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925"/>
  <workbookPr codeName="ThisWorkbook"/>
  <mc:AlternateContent xmlns:mc="http://schemas.openxmlformats.org/markup-compatibility/2006">
    <mc:Choice Requires="x15">
      <x15ac:absPath xmlns:x15ac="http://schemas.microsoft.com/office/spreadsheetml/2010/11/ac" url="N:\JPG\Investor Reporting\Paragon Finance\PPAF3\"/>
    </mc:Choice>
  </mc:AlternateContent>
  <bookViews>
    <workbookView xWindow="0" yWindow="5520" windowWidth="24192" windowHeight="7728" firstSheet="37" activeTab="45"/>
  </bookViews>
  <sheets>
    <sheet name="Sept 05" sheetId="1" r:id="rId1"/>
    <sheet name="Dec 05" sheetId="2" r:id="rId2"/>
    <sheet name="March 06" sheetId="3" r:id="rId3"/>
    <sheet name="June 06" sheetId="4" r:id="rId4"/>
    <sheet name="Sept 06" sheetId="5" r:id="rId5"/>
    <sheet name="Dec 06" sheetId="6" r:id="rId6"/>
    <sheet name="March 07" sheetId="7" r:id="rId7"/>
    <sheet name="June 07" sheetId="8" r:id="rId8"/>
    <sheet name="September 07" sheetId="9" r:id="rId9"/>
    <sheet name="Dec 07" sheetId="10" r:id="rId10"/>
    <sheet name="March 08" sheetId="11" r:id="rId11"/>
    <sheet name="June 08" sheetId="12" r:id="rId12"/>
    <sheet name="September 08" sheetId="13" r:id="rId13"/>
    <sheet name="Dec 08" sheetId="14" r:id="rId14"/>
    <sheet name="March 09" sheetId="15" r:id="rId15"/>
    <sheet name="June 09" sheetId="16" r:id="rId16"/>
    <sheet name="September 09" sheetId="17" r:id="rId17"/>
    <sheet name="Dec 09" sheetId="18" r:id="rId18"/>
    <sheet name="March 10" sheetId="19" r:id="rId19"/>
    <sheet name="June 10" sheetId="20" r:id="rId20"/>
    <sheet name="September 10" sheetId="21" r:id="rId21"/>
    <sheet name="Dec 10" sheetId="22" r:id="rId22"/>
    <sheet name="March 11" sheetId="23" r:id="rId23"/>
    <sheet name="June 11" sheetId="24" r:id="rId24"/>
    <sheet name="September 11" sheetId="25" r:id="rId25"/>
    <sheet name="Dec 11" sheetId="26" r:id="rId26"/>
    <sheet name="March 12" sheetId="27" r:id="rId27"/>
    <sheet name="June 12" sheetId="28" r:id="rId28"/>
    <sheet name="September 12" sheetId="29" r:id="rId29"/>
    <sheet name="Dec 12" sheetId="30" r:id="rId30"/>
    <sheet name="March 13" sheetId="31" r:id="rId31"/>
    <sheet name="June 13" sheetId="32" r:id="rId32"/>
    <sheet name="September 13" sheetId="33" r:id="rId33"/>
    <sheet name="Dec 13" sheetId="34" r:id="rId34"/>
    <sheet name="March 14" sheetId="35" r:id="rId35"/>
    <sheet name="June 14" sheetId="36" r:id="rId36"/>
    <sheet name="Sept 14" sheetId="37" r:id="rId37"/>
    <sheet name="Dec 14" sheetId="38" r:id="rId38"/>
    <sheet name="March 15" sheetId="39" r:id="rId39"/>
    <sheet name="June 15" sheetId="40" r:id="rId40"/>
    <sheet name="Sept 15" sheetId="41" r:id="rId41"/>
    <sheet name="Dec 15" sheetId="42" r:id="rId42"/>
    <sheet name="March 16" sheetId="43" r:id="rId43"/>
    <sheet name="June 16" sheetId="44" r:id="rId44"/>
    <sheet name="Sept 16" sheetId="45" r:id="rId45"/>
    <sheet name="Dec 16" sheetId="46" r:id="rId46"/>
  </sheets>
  <definedNames>
    <definedName name="_1PAGE_1" localSheetId="37">#REF!</definedName>
    <definedName name="_1PAGE_1" localSheetId="41">#REF!</definedName>
    <definedName name="_1PAGE_1" localSheetId="45">#REF!</definedName>
    <definedName name="_1PAGE_1" localSheetId="35">#REF!</definedName>
    <definedName name="_1PAGE_1" localSheetId="39">#REF!</definedName>
    <definedName name="_1PAGE_1" localSheetId="43">#REF!</definedName>
    <definedName name="_1PAGE_1" localSheetId="34">#REF!</definedName>
    <definedName name="_1PAGE_1" localSheetId="38">#REF!</definedName>
    <definedName name="_1PAGE_1" localSheetId="42">#REF!</definedName>
    <definedName name="_1PAGE_1" localSheetId="36">#REF!</definedName>
    <definedName name="_1PAGE_1" localSheetId="40">#REF!</definedName>
    <definedName name="_1PAGE_1" localSheetId="44">#REF!</definedName>
    <definedName name="_1PAGE_1">#REF!</definedName>
    <definedName name="_2PAGE_2" localSheetId="37">#REF!</definedName>
    <definedName name="_2PAGE_2" localSheetId="41">#REF!</definedName>
    <definedName name="_2PAGE_2" localSheetId="45">#REF!</definedName>
    <definedName name="_2PAGE_2" localSheetId="35">#REF!</definedName>
    <definedName name="_2PAGE_2" localSheetId="39">#REF!</definedName>
    <definedName name="_2PAGE_2" localSheetId="43">#REF!</definedName>
    <definedName name="_2PAGE_2" localSheetId="34">#REF!</definedName>
    <definedName name="_2PAGE_2" localSheetId="38">#REF!</definedName>
    <definedName name="_2PAGE_2" localSheetId="42">#REF!</definedName>
    <definedName name="_2PAGE_2" localSheetId="36">#REF!</definedName>
    <definedName name="_2PAGE_2" localSheetId="40">#REF!</definedName>
    <definedName name="_2PAGE_2" localSheetId="44">#REF!</definedName>
    <definedName name="_2PAGE_2">#REF!</definedName>
    <definedName name="_3PAGE_3" localSheetId="37">#REF!</definedName>
    <definedName name="_3PAGE_3" localSheetId="41">#REF!</definedName>
    <definedName name="_3PAGE_3" localSheetId="45">#REF!</definedName>
    <definedName name="_3PAGE_3" localSheetId="35">#REF!</definedName>
    <definedName name="_3PAGE_3" localSheetId="39">#REF!</definedName>
    <definedName name="_3PAGE_3" localSheetId="43">#REF!</definedName>
    <definedName name="_3PAGE_3" localSheetId="34">#REF!</definedName>
    <definedName name="_3PAGE_3" localSheetId="38">#REF!</definedName>
    <definedName name="_3PAGE_3" localSheetId="42">#REF!</definedName>
    <definedName name="_3PAGE_3" localSheetId="36">#REF!</definedName>
    <definedName name="_3PAGE_3" localSheetId="40">#REF!</definedName>
    <definedName name="_3PAGE_3" localSheetId="44">#REF!</definedName>
    <definedName name="_3PAGE_3">#REF!</definedName>
    <definedName name="_4PAGE_4" localSheetId="37">#REF!</definedName>
    <definedName name="_4PAGE_4" localSheetId="41">#REF!</definedName>
    <definedName name="_4PAGE_4" localSheetId="45">#REF!</definedName>
    <definedName name="_4PAGE_4" localSheetId="35">#REF!</definedName>
    <definedName name="_4PAGE_4" localSheetId="39">#REF!</definedName>
    <definedName name="_4PAGE_4" localSheetId="43">#REF!</definedName>
    <definedName name="_4PAGE_4" localSheetId="34">#REF!</definedName>
    <definedName name="_4PAGE_4" localSheetId="38">#REF!</definedName>
    <definedName name="_4PAGE_4" localSheetId="42">#REF!</definedName>
    <definedName name="_4PAGE_4" localSheetId="36">#REF!</definedName>
    <definedName name="_4PAGE_4" localSheetId="40">#REF!</definedName>
    <definedName name="_4PAGE_4" localSheetId="44">#REF!</definedName>
    <definedName name="_4PAGE_4">#REF!</definedName>
    <definedName name="_xlnm.Print_Area" localSheetId="1">'Dec 05'!$A$1:$W$236</definedName>
    <definedName name="_xlnm.Print_Area" localSheetId="5">'Dec 06'!$A$1:$V$235</definedName>
    <definedName name="_xlnm.Print_Area" localSheetId="9">'Dec 07'!$A$1:$V$235</definedName>
    <definedName name="_xlnm.Print_Area" localSheetId="13">'Dec 08'!$A$1:$V$235</definedName>
    <definedName name="_xlnm.Print_Area" localSheetId="17">'Dec 09'!$A$1:$V$235</definedName>
    <definedName name="_xlnm.Print_Area" localSheetId="21">'Dec 10'!$A$1:$V$234</definedName>
    <definedName name="_xlnm.Print_Area" localSheetId="25">'Dec 11'!$A$1:$V$234</definedName>
    <definedName name="_xlnm.Print_Area" localSheetId="29">'Dec 12'!$A$1:$V$234</definedName>
    <definedName name="_xlnm.Print_Area" localSheetId="33">'Dec 13'!$A$1:$V$234</definedName>
    <definedName name="_xlnm.Print_Area" localSheetId="37">'Dec 14'!$A$1:$V$234</definedName>
    <definedName name="_xlnm.Print_Area" localSheetId="41">'Dec 15'!$A$1:$V$234</definedName>
    <definedName name="_xlnm.Print_Area" localSheetId="45">'Dec 16'!$A$1:$V$236</definedName>
    <definedName name="_xlnm.Print_Area" localSheetId="3">'June 06'!$A$1:$V$234</definedName>
    <definedName name="_xlnm.Print_Area" localSheetId="7">'June 07'!$A$1:$V$235</definedName>
    <definedName name="_xlnm.Print_Area" localSheetId="11">'June 08'!$A$1:$V$235</definedName>
    <definedName name="_xlnm.Print_Area" localSheetId="15">'June 09'!$A$1:$V$235</definedName>
    <definedName name="_xlnm.Print_Area" localSheetId="19">'June 10'!$A$1:$V$234</definedName>
    <definedName name="_xlnm.Print_Area" localSheetId="23">'June 11'!$A$1:$V$234</definedName>
    <definedName name="_xlnm.Print_Area" localSheetId="27">'June 12'!$A$1:$V$234</definedName>
    <definedName name="_xlnm.Print_Area" localSheetId="31">'June 13'!$A$1:$V$234</definedName>
    <definedName name="_xlnm.Print_Area" localSheetId="35">'June 14'!$A$1:$V$234</definedName>
    <definedName name="_xlnm.Print_Area" localSheetId="39">'June 15'!$A$1:$V$234</definedName>
    <definedName name="_xlnm.Print_Area" localSheetId="43">'June 16'!$A$1:$V$234</definedName>
    <definedName name="_xlnm.Print_Area" localSheetId="2">'March 06'!$A$1:$V$233</definedName>
    <definedName name="_xlnm.Print_Area" localSheetId="6">'March 07'!$A$1:$V$235</definedName>
    <definedName name="_xlnm.Print_Area" localSheetId="10">'March 08'!$A$1:$V$235</definedName>
    <definedName name="_xlnm.Print_Area" localSheetId="14">'March 09'!$A$1:$V$236</definedName>
    <definedName name="_xlnm.Print_Area" localSheetId="18">'March 10'!$A$1:$V$235</definedName>
    <definedName name="_xlnm.Print_Area" localSheetId="22">'March 11'!$A$1:$V$234</definedName>
    <definedName name="_xlnm.Print_Area" localSheetId="26">'March 12'!$A$1:$V$234</definedName>
    <definedName name="_xlnm.Print_Area" localSheetId="30">'March 13'!$A$1:$V$234</definedName>
    <definedName name="_xlnm.Print_Area" localSheetId="34">'March 14'!$A$1:$V$234</definedName>
    <definedName name="_xlnm.Print_Area" localSheetId="38">'March 15'!$A$1:$V$234</definedName>
    <definedName name="_xlnm.Print_Area" localSheetId="42">'March 16'!$A$1:$V$234</definedName>
    <definedName name="_xlnm.Print_Area" localSheetId="0">'Sept 05'!$A$1:$W$236</definedName>
    <definedName name="_xlnm.Print_Area" localSheetId="4">'Sept 06'!$A$1:$V$234</definedName>
    <definedName name="_xlnm.Print_Area" localSheetId="36">'Sept 14'!$A$1:$V$234</definedName>
    <definedName name="_xlnm.Print_Area" localSheetId="40">'Sept 15'!$A$1:$V$234</definedName>
    <definedName name="_xlnm.Print_Area" localSheetId="44">'Sept 16'!$A$1:$V$234</definedName>
    <definedName name="_xlnm.Print_Area" localSheetId="8">'September 07'!$A$1:$V$235</definedName>
    <definedName name="_xlnm.Print_Area" localSheetId="12">'September 08'!$A$1:$V$235</definedName>
    <definedName name="_xlnm.Print_Area" localSheetId="16">'September 09'!$A$1:$V$235</definedName>
    <definedName name="_xlnm.Print_Area" localSheetId="20">'September 10'!$A$1:$V$234</definedName>
    <definedName name="_xlnm.Print_Area" localSheetId="24">'September 11'!$A$1:$V$234</definedName>
    <definedName name="_xlnm.Print_Area" localSheetId="28">'September 12'!$A$1:$V$234</definedName>
    <definedName name="_xlnm.Print_Area" localSheetId="32">'September 13'!$A$1:$V$234</definedName>
    <definedName name="_xlnm.Print_Area">#REF!</definedName>
  </definedNames>
  <calcPr calcId="171027"/>
</workbook>
</file>

<file path=xl/calcChain.xml><?xml version="1.0" encoding="utf-8"?>
<calcChain xmlns="http://schemas.openxmlformats.org/spreadsheetml/2006/main">
  <c r="U88" i="46" l="1"/>
  <c r="U103" i="46"/>
  <c r="S177" i="46" l="1"/>
  <c r="S175" i="46"/>
  <c r="U47" i="46"/>
  <c r="U107" i="46" l="1"/>
  <c r="C128" i="46" l="1"/>
  <c r="U92" i="46"/>
  <c r="U84" i="46"/>
  <c r="Q139" i="46" l="1"/>
  <c r="U139" i="46" s="1"/>
  <c r="S222" i="46"/>
  <c r="S213" i="46"/>
  <c r="Q213" i="46"/>
  <c r="Q215" i="46" s="1"/>
  <c r="N213" i="46"/>
  <c r="N215" i="46" s="1"/>
  <c r="L213" i="46"/>
  <c r="L215" i="46" s="1"/>
  <c r="B213" i="46"/>
  <c r="S200" i="46"/>
  <c r="S202" i="46" s="1"/>
  <c r="Q200" i="46"/>
  <c r="Q202" i="46" s="1"/>
  <c r="N200" i="46"/>
  <c r="N202" i="46" s="1"/>
  <c r="L200" i="46"/>
  <c r="L202" i="46" s="1"/>
  <c r="M200" i="46"/>
  <c r="S173" i="46"/>
  <c r="S168" i="46"/>
  <c r="R168" i="46"/>
  <c r="S148" i="46"/>
  <c r="Q141" i="46"/>
  <c r="U141" i="46" s="1"/>
  <c r="U140" i="46"/>
  <c r="U138" i="46"/>
  <c r="U129" i="46"/>
  <c r="U124" i="46"/>
  <c r="B110" i="46"/>
  <c r="B162" i="46" s="1"/>
  <c r="B235" i="46" s="1"/>
  <c r="A92" i="46"/>
  <c r="O80" i="46"/>
  <c r="U79" i="46"/>
  <c r="U77" i="46"/>
  <c r="S75" i="46"/>
  <c r="Q75" i="46"/>
  <c r="M75" i="46"/>
  <c r="M80" i="46" s="1"/>
  <c r="K75" i="46"/>
  <c r="K80" i="46" s="1"/>
  <c r="U72" i="46"/>
  <c r="U70" i="46"/>
  <c r="U69" i="46"/>
  <c r="U66" i="46"/>
  <c r="S66" i="46"/>
  <c r="U64" i="46"/>
  <c r="U63" i="46"/>
  <c r="K63" i="46"/>
  <c r="R54" i="46"/>
  <c r="R53" i="46"/>
  <c r="O41" i="46"/>
  <c r="K41" i="46"/>
  <c r="G41" i="46"/>
  <c r="C41" i="46"/>
  <c r="O40" i="46"/>
  <c r="K40" i="46"/>
  <c r="G40" i="46"/>
  <c r="C40" i="46"/>
  <c r="Q33" i="46"/>
  <c r="O33" i="46"/>
  <c r="M33" i="46"/>
  <c r="K33" i="46"/>
  <c r="I33" i="46"/>
  <c r="G33" i="46"/>
  <c r="E33" i="46"/>
  <c r="C33" i="46"/>
  <c r="Q32" i="46"/>
  <c r="O32" i="46"/>
  <c r="M32" i="46"/>
  <c r="K32" i="46"/>
  <c r="I32" i="46"/>
  <c r="G32" i="46"/>
  <c r="E32" i="46"/>
  <c r="C32" i="46"/>
  <c r="U31" i="46"/>
  <c r="Q30" i="46"/>
  <c r="O30" i="46"/>
  <c r="M30" i="46"/>
  <c r="K30" i="46"/>
  <c r="I30" i="46"/>
  <c r="G30" i="46"/>
  <c r="E30" i="46"/>
  <c r="C30" i="46"/>
  <c r="Q29" i="46"/>
  <c r="O29" i="46"/>
  <c r="M29" i="46"/>
  <c r="K29" i="46"/>
  <c r="I29" i="46"/>
  <c r="G29" i="46"/>
  <c r="E29" i="46"/>
  <c r="C29" i="46"/>
  <c r="U33" i="46" l="1"/>
  <c r="S225" i="46" s="1"/>
  <c r="U32" i="46"/>
  <c r="U40" i="46" s="1"/>
  <c r="S151" i="46" s="1"/>
  <c r="U128" i="46"/>
  <c r="U130" i="46" s="1"/>
  <c r="S176" i="46" s="1"/>
  <c r="S215" i="46"/>
  <c r="O213" i="46"/>
  <c r="S217" i="46"/>
  <c r="U75" i="46"/>
  <c r="O75" i="46"/>
  <c r="S221" i="46"/>
  <c r="O69" i="45"/>
  <c r="I126" i="45"/>
  <c r="N198" i="45"/>
  <c r="U77" i="45"/>
  <c r="T213" i="46" l="1"/>
  <c r="R213" i="46"/>
  <c r="M213" i="46"/>
  <c r="R200" i="46"/>
  <c r="O200" i="46"/>
  <c r="S223" i="46"/>
  <c r="U132" i="46"/>
  <c r="U134" i="46" s="1"/>
  <c r="U80" i="46"/>
  <c r="U135" i="46" s="1"/>
  <c r="T200" i="46"/>
  <c r="U91" i="45"/>
  <c r="U84" i="45"/>
  <c r="O72" i="45"/>
  <c r="O63" i="45"/>
  <c r="O75" i="45" s="1"/>
  <c r="O41" i="45"/>
  <c r="K41" i="45"/>
  <c r="G41" i="45"/>
  <c r="C41" i="45"/>
  <c r="R166" i="45" l="1"/>
  <c r="G126" i="45" l="1"/>
  <c r="E126" i="45"/>
  <c r="C126" i="45"/>
  <c r="S220" i="45"/>
  <c r="S211" i="45"/>
  <c r="S213" i="45" s="1"/>
  <c r="Q211" i="45"/>
  <c r="Q213" i="45" s="1"/>
  <c r="N211" i="45"/>
  <c r="O210" i="45" s="1"/>
  <c r="L211" i="45"/>
  <c r="L213" i="45" s="1"/>
  <c r="B211" i="45"/>
  <c r="R210" i="45"/>
  <c r="R209" i="45"/>
  <c r="R208" i="45"/>
  <c r="R207" i="45"/>
  <c r="R206" i="45"/>
  <c r="R205" i="45"/>
  <c r="R204" i="45"/>
  <c r="R211" i="45" s="1"/>
  <c r="S198" i="45"/>
  <c r="Q198" i="45"/>
  <c r="Q200" i="45" s="1"/>
  <c r="N200" i="45"/>
  <c r="L198" i="45"/>
  <c r="L200" i="45" s="1"/>
  <c r="S166" i="45"/>
  <c r="S146" i="45"/>
  <c r="U138" i="45"/>
  <c r="U136" i="45"/>
  <c r="U127" i="45"/>
  <c r="U122" i="45"/>
  <c r="B109" i="45"/>
  <c r="B160" i="45" s="1"/>
  <c r="B233" i="45" s="1"/>
  <c r="A91" i="45"/>
  <c r="U87" i="45"/>
  <c r="O80" i="45"/>
  <c r="U79" i="45"/>
  <c r="S75" i="45"/>
  <c r="Q75" i="45"/>
  <c r="S171" i="45" s="1"/>
  <c r="M75" i="45"/>
  <c r="M80" i="45" s="1"/>
  <c r="U72" i="45"/>
  <c r="U70" i="45"/>
  <c r="U69" i="45"/>
  <c r="S66" i="45"/>
  <c r="U66" i="45" s="1"/>
  <c r="U64" i="45"/>
  <c r="U63" i="45"/>
  <c r="K63" i="45"/>
  <c r="K75" i="45" s="1"/>
  <c r="K80" i="45" s="1"/>
  <c r="R54" i="45"/>
  <c r="R53" i="45"/>
  <c r="U47" i="45"/>
  <c r="O40" i="45"/>
  <c r="K40" i="45"/>
  <c r="G40" i="45"/>
  <c r="C40" i="45"/>
  <c r="Q33" i="45"/>
  <c r="O33" i="45"/>
  <c r="M33" i="45"/>
  <c r="K33" i="45"/>
  <c r="I33" i="45"/>
  <c r="G33" i="45"/>
  <c r="E33" i="45"/>
  <c r="C33" i="45"/>
  <c r="Q32" i="45"/>
  <c r="O32" i="45"/>
  <c r="M32" i="45"/>
  <c r="K32" i="45"/>
  <c r="I32" i="45"/>
  <c r="G32" i="45"/>
  <c r="E32" i="45"/>
  <c r="C32" i="45"/>
  <c r="U31" i="45"/>
  <c r="Q30" i="45"/>
  <c r="O30" i="45"/>
  <c r="M30" i="45"/>
  <c r="K30" i="45"/>
  <c r="I30" i="45"/>
  <c r="G30" i="45"/>
  <c r="E30" i="45"/>
  <c r="C30" i="45"/>
  <c r="Q29" i="45"/>
  <c r="O29" i="45"/>
  <c r="M29" i="45"/>
  <c r="K29" i="45"/>
  <c r="I29" i="45"/>
  <c r="G29" i="45"/>
  <c r="E29" i="45"/>
  <c r="C29" i="45"/>
  <c r="U32" i="45" l="1"/>
  <c r="U106" i="45"/>
  <c r="S200" i="45"/>
  <c r="S215" i="45" s="1"/>
  <c r="S219" i="45"/>
  <c r="U102" i="45" s="1"/>
  <c r="T204" i="45"/>
  <c r="T205" i="45"/>
  <c r="T206" i="45"/>
  <c r="T207" i="45"/>
  <c r="T208" i="45"/>
  <c r="T209" i="45"/>
  <c r="T210" i="45"/>
  <c r="U126" i="45"/>
  <c r="U40" i="45"/>
  <c r="S148" i="45" s="1"/>
  <c r="S149" i="45" s="1"/>
  <c r="U48" i="45"/>
  <c r="U33" i="45"/>
  <c r="S223" i="45" s="1"/>
  <c r="O207" i="45"/>
  <c r="O205" i="45"/>
  <c r="O209" i="45"/>
  <c r="N213" i="45"/>
  <c r="O204" i="45"/>
  <c r="O206" i="45"/>
  <c r="O208" i="45"/>
  <c r="M204" i="45"/>
  <c r="M205" i="45"/>
  <c r="M206" i="45"/>
  <c r="M207" i="45"/>
  <c r="M208" i="45"/>
  <c r="M209" i="45"/>
  <c r="M210" i="45"/>
  <c r="M194" i="45"/>
  <c r="M192" i="45"/>
  <c r="M196" i="45"/>
  <c r="M191" i="45"/>
  <c r="M193" i="45"/>
  <c r="M195" i="45"/>
  <c r="M197" i="45"/>
  <c r="U128" i="45"/>
  <c r="S173" i="45" s="1"/>
  <c r="R191" i="45"/>
  <c r="R192" i="45"/>
  <c r="R193" i="45"/>
  <c r="R194" i="45"/>
  <c r="R195" i="45"/>
  <c r="R196" i="45"/>
  <c r="R197" i="45"/>
  <c r="U75" i="45"/>
  <c r="U80" i="45" s="1"/>
  <c r="O191" i="45"/>
  <c r="T191" i="45"/>
  <c r="O192" i="45"/>
  <c r="T192" i="45"/>
  <c r="O193" i="45"/>
  <c r="T193" i="45"/>
  <c r="O194" i="45"/>
  <c r="T194" i="45"/>
  <c r="O195" i="45"/>
  <c r="T195" i="45"/>
  <c r="O196" i="45"/>
  <c r="T196" i="45"/>
  <c r="O197" i="45"/>
  <c r="T197" i="45"/>
  <c r="L211" i="44"/>
  <c r="T211" i="45" l="1"/>
  <c r="O211" i="45"/>
  <c r="M211" i="45"/>
  <c r="M198" i="45"/>
  <c r="R198" i="45"/>
  <c r="O198" i="45"/>
  <c r="S221" i="45"/>
  <c r="T198" i="45"/>
  <c r="U130" i="45"/>
  <c r="U132" i="45" s="1"/>
  <c r="U133" i="45"/>
  <c r="S198" i="44"/>
  <c r="Q198" i="44"/>
  <c r="Q200" i="44" s="1"/>
  <c r="T16" i="45" l="1"/>
  <c r="S225" i="45"/>
  <c r="R16" i="45"/>
  <c r="N16" i="45"/>
  <c r="P16" i="45"/>
  <c r="O69" i="44" l="1"/>
  <c r="U91" i="44" l="1"/>
  <c r="U84" i="44"/>
  <c r="O63" i="44"/>
  <c r="O75" i="44" s="1"/>
  <c r="O41" i="44"/>
  <c r="K41" i="44"/>
  <c r="G41" i="44"/>
  <c r="C41" i="44"/>
  <c r="I126" i="44" l="1"/>
  <c r="G126" i="44"/>
  <c r="E126" i="44"/>
  <c r="C126" i="44"/>
  <c r="S220" i="44"/>
  <c r="S211" i="44"/>
  <c r="S213" i="44" s="1"/>
  <c r="Q211" i="44"/>
  <c r="R210" i="44" s="1"/>
  <c r="N211" i="44"/>
  <c r="N213" i="44" s="1"/>
  <c r="M210" i="44"/>
  <c r="B211" i="44"/>
  <c r="T210" i="44"/>
  <c r="O210" i="44"/>
  <c r="T209" i="44"/>
  <c r="O209" i="44"/>
  <c r="T208" i="44"/>
  <c r="O208" i="44"/>
  <c r="T207" i="44"/>
  <c r="O207" i="44"/>
  <c r="T206" i="44"/>
  <c r="O206" i="44"/>
  <c r="T205" i="44"/>
  <c r="O205" i="44"/>
  <c r="T204" i="44"/>
  <c r="T211" i="44" s="1"/>
  <c r="O204" i="44"/>
  <c r="O211" i="44" s="1"/>
  <c r="S200" i="44"/>
  <c r="N198" i="44"/>
  <c r="L198" i="44"/>
  <c r="L200" i="44" s="1"/>
  <c r="O197" i="44"/>
  <c r="M197" i="44"/>
  <c r="T196" i="44"/>
  <c r="T194" i="44"/>
  <c r="M193" i="44"/>
  <c r="T192" i="44"/>
  <c r="S166" i="44"/>
  <c r="R166" i="44"/>
  <c r="B160" i="44"/>
  <c r="B233" i="44" s="1"/>
  <c r="S146" i="44"/>
  <c r="U138" i="44"/>
  <c r="U136" i="44"/>
  <c r="U127" i="44"/>
  <c r="U122" i="44"/>
  <c r="B109" i="44"/>
  <c r="A91" i="44"/>
  <c r="U87" i="44"/>
  <c r="O80" i="44"/>
  <c r="U79" i="44"/>
  <c r="U77" i="44"/>
  <c r="S75" i="44"/>
  <c r="Q75" i="44"/>
  <c r="S171" i="44" s="1"/>
  <c r="M75" i="44"/>
  <c r="M80" i="44" s="1"/>
  <c r="U72" i="44"/>
  <c r="U70" i="44"/>
  <c r="U69" i="44"/>
  <c r="S66" i="44"/>
  <c r="U66" i="44" s="1"/>
  <c r="U64" i="44"/>
  <c r="K63" i="44"/>
  <c r="K75" i="44" s="1"/>
  <c r="K80" i="44" s="1"/>
  <c r="R54" i="44"/>
  <c r="R53" i="44"/>
  <c r="U47" i="44"/>
  <c r="O40" i="44"/>
  <c r="K40" i="44"/>
  <c r="G40" i="44"/>
  <c r="C40" i="44"/>
  <c r="Q33" i="44"/>
  <c r="O33" i="44"/>
  <c r="M33" i="44"/>
  <c r="K33" i="44"/>
  <c r="I33" i="44"/>
  <c r="G33" i="44"/>
  <c r="E33" i="44"/>
  <c r="C33" i="44"/>
  <c r="Q32" i="44"/>
  <c r="O32" i="44"/>
  <c r="M32" i="44"/>
  <c r="K32" i="44"/>
  <c r="I32" i="44"/>
  <c r="G32" i="44"/>
  <c r="E32" i="44"/>
  <c r="C32" i="44"/>
  <c r="U31" i="44"/>
  <c r="Q30" i="44"/>
  <c r="O30" i="44"/>
  <c r="M30" i="44"/>
  <c r="K30" i="44"/>
  <c r="I30" i="44"/>
  <c r="G30" i="44"/>
  <c r="E30" i="44"/>
  <c r="C30" i="44"/>
  <c r="Q29" i="44"/>
  <c r="O29" i="44"/>
  <c r="M29" i="44"/>
  <c r="K29" i="44"/>
  <c r="I29" i="44"/>
  <c r="G29" i="44"/>
  <c r="E29" i="44"/>
  <c r="C29" i="44"/>
  <c r="U33" i="44" l="1"/>
  <c r="S215" i="44"/>
  <c r="M194" i="44"/>
  <c r="U126" i="44"/>
  <c r="U128" i="44" s="1"/>
  <c r="S173" i="44"/>
  <c r="S223" i="44"/>
  <c r="U48" i="44"/>
  <c r="U32" i="44"/>
  <c r="U40" i="44" s="1"/>
  <c r="S148" i="44" s="1"/>
  <c r="S149" i="44" s="1"/>
  <c r="S219" i="44"/>
  <c r="S221" i="44" s="1"/>
  <c r="R16" i="44" s="1"/>
  <c r="O191" i="44"/>
  <c r="O193" i="44"/>
  <c r="O194" i="44"/>
  <c r="O195" i="44"/>
  <c r="O192" i="44"/>
  <c r="O196" i="44"/>
  <c r="N200" i="44"/>
  <c r="M191" i="44"/>
  <c r="M192" i="44"/>
  <c r="M195" i="44"/>
  <c r="M196" i="44"/>
  <c r="T191" i="44"/>
  <c r="T193" i="44"/>
  <c r="T195" i="44"/>
  <c r="T197" i="44"/>
  <c r="R191" i="44"/>
  <c r="R192" i="44"/>
  <c r="R193" i="44"/>
  <c r="R194" i="44"/>
  <c r="R195" i="44"/>
  <c r="R196" i="44"/>
  <c r="R197" i="44"/>
  <c r="L213" i="44"/>
  <c r="Q213" i="44"/>
  <c r="U63" i="44"/>
  <c r="U75" i="44" s="1"/>
  <c r="M204" i="44"/>
  <c r="R204" i="44"/>
  <c r="M205" i="44"/>
  <c r="R205" i="44"/>
  <c r="M206" i="44"/>
  <c r="R206" i="44"/>
  <c r="M207" i="44"/>
  <c r="R207" i="44"/>
  <c r="M208" i="44"/>
  <c r="R208" i="44"/>
  <c r="M209" i="44"/>
  <c r="R209" i="44"/>
  <c r="S166" i="43"/>
  <c r="U102" i="44" l="1"/>
  <c r="U106" i="44" s="1"/>
  <c r="O198" i="44"/>
  <c r="M198" i="44"/>
  <c r="T198" i="44"/>
  <c r="R198" i="44"/>
  <c r="M211" i="44"/>
  <c r="U130" i="44"/>
  <c r="U132" i="44" s="1"/>
  <c r="U80" i="44"/>
  <c r="U133" i="44" s="1"/>
  <c r="R211" i="44"/>
  <c r="S225" i="44"/>
  <c r="N16" i="44"/>
  <c r="T16" i="44"/>
  <c r="P16" i="44"/>
  <c r="S198" i="43" l="1"/>
  <c r="O63" i="43" l="1"/>
  <c r="Q198" i="43" l="1"/>
  <c r="U91" i="43" l="1"/>
  <c r="U84" i="43"/>
  <c r="O69" i="43"/>
  <c r="O75" i="43" s="1"/>
  <c r="O41" i="43"/>
  <c r="K41" i="43"/>
  <c r="G41" i="43"/>
  <c r="C41" i="43"/>
  <c r="I126" i="43" l="1"/>
  <c r="G126" i="43"/>
  <c r="E126" i="43"/>
  <c r="C126" i="43"/>
  <c r="S220" i="43"/>
  <c r="S211" i="43"/>
  <c r="S213" i="43" s="1"/>
  <c r="Q211" i="43"/>
  <c r="R210" i="43" s="1"/>
  <c r="N211" i="43"/>
  <c r="N213" i="43" s="1"/>
  <c r="L211" i="43"/>
  <c r="M210" i="43" s="1"/>
  <c r="B211" i="43"/>
  <c r="S200" i="43"/>
  <c r="Q200" i="43"/>
  <c r="N198" i="43"/>
  <c r="O197" i="43" s="1"/>
  <c r="L198" i="43"/>
  <c r="L200" i="43" s="1"/>
  <c r="R166" i="43"/>
  <c r="S146" i="43"/>
  <c r="U138" i="43"/>
  <c r="U136" i="43"/>
  <c r="U127" i="43"/>
  <c r="U122" i="43"/>
  <c r="B109" i="43"/>
  <c r="B160" i="43" s="1"/>
  <c r="B233" i="43" s="1"/>
  <c r="A91" i="43"/>
  <c r="U87" i="43"/>
  <c r="O80" i="43"/>
  <c r="U79" i="43"/>
  <c r="U77" i="43"/>
  <c r="S75" i="43"/>
  <c r="Q75" i="43"/>
  <c r="S171" i="43" s="1"/>
  <c r="M75" i="43"/>
  <c r="M80" i="43" s="1"/>
  <c r="U72" i="43"/>
  <c r="U70" i="43"/>
  <c r="U69" i="43"/>
  <c r="S66" i="43"/>
  <c r="U66" i="43" s="1"/>
  <c r="U64" i="43"/>
  <c r="U63" i="43"/>
  <c r="K63" i="43"/>
  <c r="K75" i="43" s="1"/>
  <c r="K80" i="43" s="1"/>
  <c r="R54" i="43"/>
  <c r="R53" i="43"/>
  <c r="U47" i="43"/>
  <c r="O40" i="43"/>
  <c r="K40" i="43"/>
  <c r="G40" i="43"/>
  <c r="C40" i="43"/>
  <c r="Q33" i="43"/>
  <c r="O33" i="43"/>
  <c r="M33" i="43"/>
  <c r="K33" i="43"/>
  <c r="I33" i="43"/>
  <c r="G33" i="43"/>
  <c r="E33" i="43"/>
  <c r="C33" i="43"/>
  <c r="Q32" i="43"/>
  <c r="O32" i="43"/>
  <c r="M32" i="43"/>
  <c r="K32" i="43"/>
  <c r="I32" i="43"/>
  <c r="G32" i="43"/>
  <c r="E32" i="43"/>
  <c r="C32" i="43"/>
  <c r="U31" i="43"/>
  <c r="Q30" i="43"/>
  <c r="O30" i="43"/>
  <c r="M30" i="43"/>
  <c r="K30" i="43"/>
  <c r="I30" i="43"/>
  <c r="G30" i="43"/>
  <c r="E30" i="43"/>
  <c r="C30" i="43"/>
  <c r="Q29" i="43"/>
  <c r="O29" i="43"/>
  <c r="M29" i="43"/>
  <c r="K29" i="43"/>
  <c r="I29" i="43"/>
  <c r="G29" i="43"/>
  <c r="E29" i="43"/>
  <c r="C29" i="43"/>
  <c r="U126" i="43" l="1"/>
  <c r="U128" i="43"/>
  <c r="S173" i="43" s="1"/>
  <c r="U75" i="43"/>
  <c r="U130" i="43" s="1"/>
  <c r="U132" i="43" s="1"/>
  <c r="U48" i="43"/>
  <c r="U33" i="43"/>
  <c r="S223" i="43" s="1"/>
  <c r="U32" i="43"/>
  <c r="U40" i="43" s="1"/>
  <c r="S148" i="43" s="1"/>
  <c r="S149" i="43" s="1"/>
  <c r="S219" i="43"/>
  <c r="S221" i="43" s="1"/>
  <c r="T16" i="43" s="1"/>
  <c r="O207" i="43"/>
  <c r="O205" i="43"/>
  <c r="O209" i="43"/>
  <c r="O204" i="43"/>
  <c r="O206" i="43"/>
  <c r="O208" i="43"/>
  <c r="O210" i="43"/>
  <c r="O193" i="43"/>
  <c r="O191" i="43"/>
  <c r="O195" i="43"/>
  <c r="O192" i="43"/>
  <c r="O194" i="43"/>
  <c r="O196" i="43"/>
  <c r="N200" i="43"/>
  <c r="S215" i="43" s="1"/>
  <c r="M191" i="43"/>
  <c r="M192" i="43"/>
  <c r="M193" i="43"/>
  <c r="M194" i="43"/>
  <c r="M195" i="43"/>
  <c r="M196" i="43"/>
  <c r="M197" i="43"/>
  <c r="M198" i="43" s="1"/>
  <c r="T194" i="43"/>
  <c r="T192" i="43"/>
  <c r="T196" i="43"/>
  <c r="T191" i="43"/>
  <c r="T193" i="43"/>
  <c r="T195" i="43"/>
  <c r="T197" i="43"/>
  <c r="R191" i="43"/>
  <c r="R192" i="43"/>
  <c r="R193" i="43"/>
  <c r="R194" i="43"/>
  <c r="R195" i="43"/>
  <c r="R196" i="43"/>
  <c r="R197" i="43"/>
  <c r="T204" i="43"/>
  <c r="T205" i="43"/>
  <c r="T206" i="43"/>
  <c r="T207" i="43"/>
  <c r="T208" i="43"/>
  <c r="T209" i="43"/>
  <c r="T210" i="43"/>
  <c r="L213" i="43"/>
  <c r="Q213" i="43"/>
  <c r="M204" i="43"/>
  <c r="R204" i="43"/>
  <c r="M205" i="43"/>
  <c r="R205" i="43"/>
  <c r="M206" i="43"/>
  <c r="R206" i="43"/>
  <c r="M207" i="43"/>
  <c r="R207" i="43"/>
  <c r="M208" i="43"/>
  <c r="R208" i="43"/>
  <c r="M209" i="43"/>
  <c r="R209" i="43"/>
  <c r="O63" i="42"/>
  <c r="O72" i="42"/>
  <c r="U80" i="43" l="1"/>
  <c r="U133" i="43" s="1"/>
  <c r="U102" i="43"/>
  <c r="U106" i="43" s="1"/>
  <c r="O211" i="43"/>
  <c r="O198" i="43"/>
  <c r="T198" i="43"/>
  <c r="R198" i="43"/>
  <c r="T211" i="43"/>
  <c r="R211" i="43"/>
  <c r="M211" i="43"/>
  <c r="S225" i="43"/>
  <c r="P16" i="43"/>
  <c r="R16" i="43"/>
  <c r="N16" i="43"/>
  <c r="U91" i="42"/>
  <c r="U84" i="42"/>
  <c r="O69" i="42"/>
  <c r="O41" i="42"/>
  <c r="K41" i="42"/>
  <c r="G41" i="42"/>
  <c r="C41" i="42"/>
  <c r="I126" i="42" l="1"/>
  <c r="G126" i="42"/>
  <c r="E126" i="42"/>
  <c r="C126" i="42"/>
  <c r="S220" i="42"/>
  <c r="S211" i="42"/>
  <c r="T210" i="42" s="1"/>
  <c r="Q211" i="42"/>
  <c r="Q213" i="42" s="1"/>
  <c r="N211" i="42"/>
  <c r="L211" i="42"/>
  <c r="L213" i="42" s="1"/>
  <c r="B211" i="42"/>
  <c r="R210" i="42"/>
  <c r="R208" i="42"/>
  <c r="T207" i="42"/>
  <c r="R207" i="42"/>
  <c r="R206" i="42"/>
  <c r="R205" i="42"/>
  <c r="R204" i="42"/>
  <c r="S198" i="42"/>
  <c r="S200" i="42" s="1"/>
  <c r="Q198" i="42"/>
  <c r="Q200" i="42" s="1"/>
  <c r="N198" i="42"/>
  <c r="O194" i="42" s="1"/>
  <c r="L198" i="42"/>
  <c r="L200" i="42" s="1"/>
  <c r="T197" i="42"/>
  <c r="S171" i="42"/>
  <c r="S166" i="42"/>
  <c r="R166" i="42"/>
  <c r="S146" i="42"/>
  <c r="U138" i="42"/>
  <c r="U136" i="42"/>
  <c r="U127" i="42"/>
  <c r="U122" i="42"/>
  <c r="B109" i="42"/>
  <c r="B160" i="42" s="1"/>
  <c r="B233" i="42" s="1"/>
  <c r="A91" i="42"/>
  <c r="U87" i="42"/>
  <c r="O80" i="42"/>
  <c r="U79" i="42"/>
  <c r="U77" i="42"/>
  <c r="S75" i="42"/>
  <c r="Q75" i="42"/>
  <c r="M75" i="42"/>
  <c r="M80" i="42" s="1"/>
  <c r="U72" i="42"/>
  <c r="U70" i="42"/>
  <c r="U69" i="42"/>
  <c r="U66" i="42"/>
  <c r="S66" i="42"/>
  <c r="U64" i="42"/>
  <c r="O75" i="42"/>
  <c r="K63" i="42"/>
  <c r="K75" i="42" s="1"/>
  <c r="K80" i="42" s="1"/>
  <c r="R54" i="42"/>
  <c r="R53" i="42"/>
  <c r="U47" i="42"/>
  <c r="O40" i="42"/>
  <c r="K40" i="42"/>
  <c r="G40" i="42"/>
  <c r="C40" i="42"/>
  <c r="Q33" i="42"/>
  <c r="O33" i="42"/>
  <c r="M33" i="42"/>
  <c r="K33" i="42"/>
  <c r="I33" i="42"/>
  <c r="G33" i="42"/>
  <c r="E33" i="42"/>
  <c r="C33" i="42"/>
  <c r="Q32" i="42"/>
  <c r="O32" i="42"/>
  <c r="M32" i="42"/>
  <c r="K32" i="42"/>
  <c r="I32" i="42"/>
  <c r="G32" i="42"/>
  <c r="E32" i="42"/>
  <c r="C32" i="42"/>
  <c r="U31" i="42"/>
  <c r="Q30" i="42"/>
  <c r="O30" i="42"/>
  <c r="M30" i="42"/>
  <c r="K30" i="42"/>
  <c r="I30" i="42"/>
  <c r="G30" i="42"/>
  <c r="E30" i="42"/>
  <c r="C30" i="42"/>
  <c r="Q29" i="42"/>
  <c r="O29" i="42"/>
  <c r="M29" i="42"/>
  <c r="K29" i="42"/>
  <c r="I29" i="42"/>
  <c r="G29" i="42"/>
  <c r="E29" i="42"/>
  <c r="C29" i="42"/>
  <c r="U32" i="42" l="1"/>
  <c r="U40" i="42" s="1"/>
  <c r="S148" i="42" s="1"/>
  <c r="S149" i="42" s="1"/>
  <c r="O192" i="42"/>
  <c r="M204" i="42"/>
  <c r="M211" i="42" s="1"/>
  <c r="M205" i="42"/>
  <c r="M206" i="42"/>
  <c r="M207" i="42"/>
  <c r="R209" i="42"/>
  <c r="R211" i="42" s="1"/>
  <c r="U126" i="42"/>
  <c r="U128" i="42"/>
  <c r="S173" i="42" s="1"/>
  <c r="U48" i="42"/>
  <c r="U33" i="42"/>
  <c r="S223" i="42" s="1"/>
  <c r="N213" i="42"/>
  <c r="S219" i="42"/>
  <c r="S221" i="42" s="1"/>
  <c r="O191" i="42"/>
  <c r="O193" i="42"/>
  <c r="M191" i="42"/>
  <c r="M192" i="42"/>
  <c r="M193" i="42"/>
  <c r="M194" i="42"/>
  <c r="M208" i="42"/>
  <c r="M209" i="42"/>
  <c r="M210" i="42"/>
  <c r="T205" i="42"/>
  <c r="T209" i="42"/>
  <c r="S213" i="42"/>
  <c r="T204" i="42"/>
  <c r="T206" i="42"/>
  <c r="T208" i="42"/>
  <c r="T193" i="42"/>
  <c r="T191" i="42"/>
  <c r="T195" i="42"/>
  <c r="T192" i="42"/>
  <c r="T194" i="42"/>
  <c r="T196" i="42"/>
  <c r="M195" i="42"/>
  <c r="M197" i="42"/>
  <c r="U63" i="42"/>
  <c r="U75" i="42" s="1"/>
  <c r="O195" i="42"/>
  <c r="O196" i="42"/>
  <c r="O197" i="42"/>
  <c r="N200" i="42"/>
  <c r="S215" i="42" s="1"/>
  <c r="O204" i="42"/>
  <c r="O205" i="42"/>
  <c r="O206" i="42"/>
  <c r="O207" i="42"/>
  <c r="O208" i="42"/>
  <c r="O209" i="42"/>
  <c r="O210" i="42"/>
  <c r="M196" i="42"/>
  <c r="R191" i="42"/>
  <c r="R192" i="42"/>
  <c r="R193" i="42"/>
  <c r="R194" i="42"/>
  <c r="R195" i="42"/>
  <c r="R196" i="42"/>
  <c r="R197" i="42"/>
  <c r="U102" i="42" l="1"/>
  <c r="U106" i="42" s="1"/>
  <c r="O198" i="42"/>
  <c r="M198" i="42"/>
  <c r="T211" i="42"/>
  <c r="T198" i="42"/>
  <c r="O211" i="42"/>
  <c r="U130" i="42"/>
  <c r="U132" i="42" s="1"/>
  <c r="U80" i="42"/>
  <c r="U133" i="42" s="1"/>
  <c r="R198" i="42"/>
  <c r="N16" i="42"/>
  <c r="T16" i="42"/>
  <c r="P16" i="42"/>
  <c r="S225" i="42"/>
  <c r="R16" i="42"/>
  <c r="I126" i="41" l="1"/>
  <c r="G126" i="41"/>
  <c r="E126" i="41"/>
  <c r="C126" i="41"/>
  <c r="U91" i="41" l="1"/>
  <c r="U84" i="41"/>
  <c r="O72" i="41"/>
  <c r="O69" i="41"/>
  <c r="O63" i="41"/>
  <c r="O41" i="41"/>
  <c r="K41" i="41"/>
  <c r="G41" i="41"/>
  <c r="C41" i="41"/>
  <c r="S220" i="41" l="1"/>
  <c r="S211" i="41"/>
  <c r="T210" i="41" s="1"/>
  <c r="Q211" i="41"/>
  <c r="Q213" i="41" s="1"/>
  <c r="N211" i="41"/>
  <c r="L211" i="41"/>
  <c r="L213" i="41" s="1"/>
  <c r="B211" i="41"/>
  <c r="T206" i="41"/>
  <c r="T204" i="41"/>
  <c r="S198" i="41"/>
  <c r="S200" i="41" s="1"/>
  <c r="Q198" i="41"/>
  <c r="Q200" i="41" s="1"/>
  <c r="N198" i="41"/>
  <c r="L198" i="41"/>
  <c r="L200" i="41" s="1"/>
  <c r="T197" i="41"/>
  <c r="S171" i="41"/>
  <c r="S166" i="41"/>
  <c r="R166" i="41"/>
  <c r="S146" i="41"/>
  <c r="U138" i="41"/>
  <c r="U136" i="41"/>
  <c r="U127" i="41"/>
  <c r="U122" i="41"/>
  <c r="B109" i="41"/>
  <c r="B160" i="41" s="1"/>
  <c r="B233" i="41" s="1"/>
  <c r="A91" i="41"/>
  <c r="U87" i="41"/>
  <c r="O80" i="41"/>
  <c r="U79" i="41"/>
  <c r="U77" i="41"/>
  <c r="S75" i="41"/>
  <c r="Q75" i="41"/>
  <c r="M75" i="41"/>
  <c r="M80" i="41" s="1"/>
  <c r="U72" i="41"/>
  <c r="U70" i="41"/>
  <c r="U69" i="41"/>
  <c r="U66" i="41"/>
  <c r="S66" i="41"/>
  <c r="U64" i="41"/>
  <c r="O75" i="41"/>
  <c r="K63" i="41"/>
  <c r="K75" i="41" s="1"/>
  <c r="K80" i="41" s="1"/>
  <c r="R54" i="41"/>
  <c r="R53" i="41"/>
  <c r="U47" i="41"/>
  <c r="O40" i="41"/>
  <c r="K40" i="41"/>
  <c r="G40" i="41"/>
  <c r="C40" i="41"/>
  <c r="Q33" i="41"/>
  <c r="O33" i="41"/>
  <c r="M33" i="41"/>
  <c r="K33" i="41"/>
  <c r="I33" i="41"/>
  <c r="G33" i="41"/>
  <c r="E33" i="41"/>
  <c r="C33" i="41"/>
  <c r="Q32" i="41"/>
  <c r="O32" i="41"/>
  <c r="M32" i="41"/>
  <c r="K32" i="41"/>
  <c r="I32" i="41"/>
  <c r="G32" i="41"/>
  <c r="E32" i="41"/>
  <c r="C32" i="41"/>
  <c r="U31" i="41"/>
  <c r="Q30" i="41"/>
  <c r="O30" i="41"/>
  <c r="M30" i="41"/>
  <c r="K30" i="41"/>
  <c r="I30" i="41"/>
  <c r="G30" i="41"/>
  <c r="E30" i="41"/>
  <c r="C30" i="41"/>
  <c r="Q29" i="41"/>
  <c r="O29" i="41"/>
  <c r="M29" i="41"/>
  <c r="K29" i="41"/>
  <c r="I29" i="41"/>
  <c r="G29" i="41"/>
  <c r="E29" i="41"/>
  <c r="C29" i="41"/>
  <c r="U33" i="41" l="1"/>
  <c r="S223" i="41" s="1"/>
  <c r="U32" i="41"/>
  <c r="O193" i="41"/>
  <c r="O192" i="41"/>
  <c r="T205" i="41"/>
  <c r="T208" i="41"/>
  <c r="S213" i="41"/>
  <c r="N213" i="41"/>
  <c r="S219" i="41"/>
  <c r="S221" i="41" s="1"/>
  <c r="M204" i="41"/>
  <c r="M206" i="41"/>
  <c r="M209" i="41"/>
  <c r="M205" i="41"/>
  <c r="M207" i="41"/>
  <c r="M210" i="41"/>
  <c r="M208" i="41"/>
  <c r="T207" i="41"/>
  <c r="T209" i="41"/>
  <c r="T211" i="41" s="1"/>
  <c r="R205" i="41"/>
  <c r="R204" i="41"/>
  <c r="R208" i="41"/>
  <c r="R207" i="41"/>
  <c r="R209" i="41"/>
  <c r="R206" i="41"/>
  <c r="R210" i="41"/>
  <c r="U126" i="41"/>
  <c r="U128" i="41" s="1"/>
  <c r="S173" i="41" s="1"/>
  <c r="T191" i="41"/>
  <c r="T192" i="41"/>
  <c r="T193" i="41"/>
  <c r="T194" i="41"/>
  <c r="T195" i="41"/>
  <c r="T196" i="41"/>
  <c r="O191" i="41"/>
  <c r="O194" i="41"/>
  <c r="M192" i="41"/>
  <c r="M196" i="41"/>
  <c r="M191" i="41"/>
  <c r="M193" i="41"/>
  <c r="M195" i="41"/>
  <c r="M197" i="41"/>
  <c r="M194" i="41"/>
  <c r="U40" i="41"/>
  <c r="S148" i="41" s="1"/>
  <c r="S149" i="41" s="1"/>
  <c r="U48" i="41"/>
  <c r="U63" i="41"/>
  <c r="U75" i="41" s="1"/>
  <c r="O195" i="41"/>
  <c r="O196" i="41"/>
  <c r="O197" i="41"/>
  <c r="N200" i="41"/>
  <c r="O204" i="41"/>
  <c r="O205" i="41"/>
  <c r="O206" i="41"/>
  <c r="O207" i="41"/>
  <c r="O208" i="41"/>
  <c r="O209" i="41"/>
  <c r="O210" i="41"/>
  <c r="R191" i="41"/>
  <c r="R192" i="41"/>
  <c r="R193" i="41"/>
  <c r="R194" i="41"/>
  <c r="R195" i="41"/>
  <c r="R196" i="41"/>
  <c r="R197" i="41"/>
  <c r="S215" i="41" l="1"/>
  <c r="M211" i="41"/>
  <c r="U102" i="41"/>
  <c r="U106" i="41" s="1"/>
  <c r="R211" i="41"/>
  <c r="T198" i="41"/>
  <c r="M198" i="41"/>
  <c r="R198" i="41"/>
  <c r="U130" i="41"/>
  <c r="U132" i="41" s="1"/>
  <c r="U80" i="41"/>
  <c r="U133" i="41" s="1"/>
  <c r="N16" i="41"/>
  <c r="S225" i="41"/>
  <c r="T16" i="41"/>
  <c r="P16" i="41"/>
  <c r="R16" i="41"/>
  <c r="O211" i="41"/>
  <c r="O198" i="41"/>
  <c r="L198" i="40" l="1"/>
  <c r="R166" i="40" l="1"/>
  <c r="O69" i="40" l="1"/>
  <c r="U47" i="40"/>
  <c r="U84" i="40" l="1"/>
  <c r="U91" i="40"/>
  <c r="O72" i="40"/>
  <c r="O63" i="40"/>
  <c r="O41" i="40"/>
  <c r="K41" i="40"/>
  <c r="G41" i="40"/>
  <c r="C41" i="40"/>
  <c r="I126" i="40" l="1"/>
  <c r="G126" i="40"/>
  <c r="E126" i="40"/>
  <c r="C126" i="40"/>
  <c r="S220" i="40"/>
  <c r="S211" i="40"/>
  <c r="T210" i="40" s="1"/>
  <c r="Q211" i="40"/>
  <c r="Q213" i="40" s="1"/>
  <c r="N211" i="40"/>
  <c r="N213" i="40" s="1"/>
  <c r="L211" i="40"/>
  <c r="L213" i="40" s="1"/>
  <c r="B211" i="40"/>
  <c r="S198" i="40"/>
  <c r="Q198" i="40"/>
  <c r="Q200" i="40" s="1"/>
  <c r="N198" i="40"/>
  <c r="L200" i="40"/>
  <c r="S166" i="40"/>
  <c r="S146" i="40"/>
  <c r="U138" i="40"/>
  <c r="U136" i="40"/>
  <c r="U127" i="40"/>
  <c r="U122" i="40"/>
  <c r="B109" i="40"/>
  <c r="B160" i="40" s="1"/>
  <c r="B233" i="40" s="1"/>
  <c r="A91" i="40"/>
  <c r="U87" i="40"/>
  <c r="O80" i="40"/>
  <c r="U79" i="40"/>
  <c r="U77" i="40"/>
  <c r="S75" i="40"/>
  <c r="Q75" i="40"/>
  <c r="S171" i="40" s="1"/>
  <c r="M75" i="40"/>
  <c r="M80" i="40" s="1"/>
  <c r="U72" i="40"/>
  <c r="U70" i="40"/>
  <c r="U69" i="40"/>
  <c r="U66" i="40"/>
  <c r="S66" i="40"/>
  <c r="U64" i="40"/>
  <c r="U63" i="40"/>
  <c r="K63" i="40"/>
  <c r="K75" i="40" s="1"/>
  <c r="K80" i="40" s="1"/>
  <c r="R54" i="40"/>
  <c r="R53" i="40"/>
  <c r="O40" i="40"/>
  <c r="K40" i="40"/>
  <c r="G40" i="40"/>
  <c r="C40" i="40"/>
  <c r="Q33" i="40"/>
  <c r="O33" i="40"/>
  <c r="M33" i="40"/>
  <c r="K33" i="40"/>
  <c r="I33" i="40"/>
  <c r="G33" i="40"/>
  <c r="E33" i="40"/>
  <c r="C33" i="40"/>
  <c r="U48" i="40" s="1"/>
  <c r="Q32" i="40"/>
  <c r="O32" i="40"/>
  <c r="M32" i="40"/>
  <c r="K32" i="40"/>
  <c r="I32" i="40"/>
  <c r="G32" i="40"/>
  <c r="E32" i="40"/>
  <c r="C32" i="40"/>
  <c r="U31" i="40"/>
  <c r="Q30" i="40"/>
  <c r="O30" i="40"/>
  <c r="M30" i="40"/>
  <c r="K30" i="40"/>
  <c r="I30" i="40"/>
  <c r="G30" i="40"/>
  <c r="E30" i="40"/>
  <c r="C30" i="40"/>
  <c r="Q29" i="40"/>
  <c r="O29" i="40"/>
  <c r="M29" i="40"/>
  <c r="K29" i="40"/>
  <c r="I29" i="40"/>
  <c r="G29" i="40"/>
  <c r="E29" i="40"/>
  <c r="C29" i="40"/>
  <c r="S200" i="40" l="1"/>
  <c r="T194" i="40"/>
  <c r="T192" i="40"/>
  <c r="T195" i="40"/>
  <c r="T193" i="40"/>
  <c r="T191" i="40"/>
  <c r="O209" i="40"/>
  <c r="S219" i="40"/>
  <c r="S221" i="40" s="1"/>
  <c r="S213" i="40"/>
  <c r="O210" i="40"/>
  <c r="O205" i="40"/>
  <c r="O206" i="40"/>
  <c r="O207" i="40"/>
  <c r="O204" i="40"/>
  <c r="O208" i="40"/>
  <c r="M205" i="40"/>
  <c r="M207" i="40"/>
  <c r="M209" i="40"/>
  <c r="M204" i="40"/>
  <c r="M206" i="40"/>
  <c r="M208" i="40"/>
  <c r="M210" i="40"/>
  <c r="M193" i="40"/>
  <c r="M194" i="40"/>
  <c r="M191" i="40"/>
  <c r="M195" i="40"/>
  <c r="R208" i="40"/>
  <c r="R204" i="40"/>
  <c r="R205" i="40"/>
  <c r="R206" i="40"/>
  <c r="R207" i="40"/>
  <c r="R209" i="40"/>
  <c r="R210" i="40"/>
  <c r="M192" i="40"/>
  <c r="M196" i="40"/>
  <c r="T204" i="40"/>
  <c r="T205" i="40"/>
  <c r="T206" i="40"/>
  <c r="T207" i="40"/>
  <c r="T208" i="40"/>
  <c r="T209" i="40"/>
  <c r="U33" i="40"/>
  <c r="S223" i="40" s="1"/>
  <c r="U32" i="40"/>
  <c r="U40" i="40" s="1"/>
  <c r="U126" i="40"/>
  <c r="U128" i="40" s="1"/>
  <c r="S173" i="40" s="1"/>
  <c r="U75" i="40"/>
  <c r="O75" i="40"/>
  <c r="M197" i="40"/>
  <c r="O191" i="40"/>
  <c r="O192" i="40"/>
  <c r="O193" i="40"/>
  <c r="O194" i="40"/>
  <c r="O195" i="40"/>
  <c r="O196" i="40"/>
  <c r="O197" i="40"/>
  <c r="N200" i="40"/>
  <c r="S215" i="40" s="1"/>
  <c r="R191" i="40"/>
  <c r="R192" i="40"/>
  <c r="R193" i="40"/>
  <c r="R194" i="40"/>
  <c r="R195" i="40"/>
  <c r="R196" i="40"/>
  <c r="R197" i="40"/>
  <c r="T196" i="40"/>
  <c r="T197" i="40"/>
  <c r="S198" i="39"/>
  <c r="T198" i="40" l="1"/>
  <c r="M211" i="40"/>
  <c r="O211" i="40"/>
  <c r="M198" i="40"/>
  <c r="S148" i="40"/>
  <c r="S149" i="40" s="1"/>
  <c r="U102" i="40"/>
  <c r="U106" i="40" s="1"/>
  <c r="T211" i="40"/>
  <c r="R211" i="40"/>
  <c r="U130" i="40"/>
  <c r="U132" i="40" s="1"/>
  <c r="U80" i="40"/>
  <c r="U133" i="40" s="1"/>
  <c r="R198" i="40"/>
  <c r="O198" i="40"/>
  <c r="N16" i="40"/>
  <c r="T16" i="40"/>
  <c r="S225" i="40"/>
  <c r="P16" i="40"/>
  <c r="R16" i="40"/>
  <c r="N198" i="39"/>
  <c r="L198" i="39"/>
  <c r="O69" i="39" l="1"/>
  <c r="O63" i="39"/>
  <c r="U91" i="39" l="1"/>
  <c r="U84" i="39"/>
  <c r="O72" i="39"/>
  <c r="O41" i="39"/>
  <c r="K41" i="39"/>
  <c r="G41" i="39"/>
  <c r="C41" i="39"/>
  <c r="S220" i="39" l="1"/>
  <c r="I126" i="39" l="1"/>
  <c r="G126" i="39"/>
  <c r="E126" i="39"/>
  <c r="C126" i="39"/>
  <c r="S211" i="39"/>
  <c r="S213" i="39" s="1"/>
  <c r="Q211" i="39"/>
  <c r="Q213" i="39" s="1"/>
  <c r="N211" i="39"/>
  <c r="L211" i="39"/>
  <c r="L213" i="39" s="1"/>
  <c r="B211" i="39"/>
  <c r="Q198" i="39"/>
  <c r="Q200" i="39" s="1"/>
  <c r="N200" i="39"/>
  <c r="L200" i="39"/>
  <c r="S166" i="39"/>
  <c r="R166" i="39"/>
  <c r="S146" i="39"/>
  <c r="U138" i="39"/>
  <c r="U136" i="39"/>
  <c r="U127" i="39"/>
  <c r="U122" i="39"/>
  <c r="B109" i="39"/>
  <c r="B160" i="39" s="1"/>
  <c r="B233" i="39" s="1"/>
  <c r="A91" i="39"/>
  <c r="U87" i="39"/>
  <c r="O80" i="39"/>
  <c r="U79" i="39"/>
  <c r="U77" i="39"/>
  <c r="S75" i="39"/>
  <c r="Q75" i="39"/>
  <c r="S171" i="39" s="1"/>
  <c r="M75" i="39"/>
  <c r="M80" i="39" s="1"/>
  <c r="U72" i="39"/>
  <c r="U70" i="39"/>
  <c r="U69" i="39"/>
  <c r="S66" i="39"/>
  <c r="U66" i="39" s="1"/>
  <c r="U64" i="39"/>
  <c r="U63" i="39"/>
  <c r="O75" i="39"/>
  <c r="K63" i="39"/>
  <c r="K75" i="39" s="1"/>
  <c r="K80" i="39" s="1"/>
  <c r="R54" i="39"/>
  <c r="R53" i="39"/>
  <c r="U47" i="39"/>
  <c r="O40" i="39"/>
  <c r="K40" i="39"/>
  <c r="G40" i="39"/>
  <c r="C40" i="39"/>
  <c r="Q33" i="39"/>
  <c r="O33" i="39"/>
  <c r="M33" i="39"/>
  <c r="K33" i="39"/>
  <c r="I33" i="39"/>
  <c r="G33" i="39"/>
  <c r="E33" i="39"/>
  <c r="C33" i="39"/>
  <c r="Q32" i="39"/>
  <c r="O32" i="39"/>
  <c r="M32" i="39"/>
  <c r="K32" i="39"/>
  <c r="I32" i="39"/>
  <c r="G32" i="39"/>
  <c r="E32" i="39"/>
  <c r="C32" i="39"/>
  <c r="U31" i="39"/>
  <c r="Q30" i="39"/>
  <c r="O30" i="39"/>
  <c r="M30" i="39"/>
  <c r="K30" i="39"/>
  <c r="I30" i="39"/>
  <c r="G30" i="39"/>
  <c r="E30" i="39"/>
  <c r="C30" i="39"/>
  <c r="Q29" i="39"/>
  <c r="O29" i="39"/>
  <c r="M29" i="39"/>
  <c r="K29" i="39"/>
  <c r="I29" i="39"/>
  <c r="G29" i="39"/>
  <c r="E29" i="39"/>
  <c r="C29" i="39"/>
  <c r="N213" i="39" l="1"/>
  <c r="S219" i="39"/>
  <c r="S200" i="39"/>
  <c r="U48" i="39"/>
  <c r="U33" i="39"/>
  <c r="S223" i="39" s="1"/>
  <c r="U32" i="39"/>
  <c r="U40" i="39" s="1"/>
  <c r="S148" i="39" s="1"/>
  <c r="S149" i="39" s="1"/>
  <c r="O207" i="39"/>
  <c r="O205" i="39"/>
  <c r="O209" i="39"/>
  <c r="O204" i="39"/>
  <c r="O206" i="39"/>
  <c r="O208" i="39"/>
  <c r="O210" i="39"/>
  <c r="M204" i="39"/>
  <c r="M205" i="39"/>
  <c r="M206" i="39"/>
  <c r="M207" i="39"/>
  <c r="M208" i="39"/>
  <c r="M209" i="39"/>
  <c r="M210" i="39"/>
  <c r="T207" i="39"/>
  <c r="T205" i="39"/>
  <c r="T209" i="39"/>
  <c r="T204" i="39"/>
  <c r="T206" i="39"/>
  <c r="T208" i="39"/>
  <c r="T210" i="39"/>
  <c r="R204" i="39"/>
  <c r="R205" i="39"/>
  <c r="R206" i="39"/>
  <c r="R207" i="39"/>
  <c r="R208" i="39"/>
  <c r="R209" i="39"/>
  <c r="R210" i="39"/>
  <c r="U126" i="39"/>
  <c r="U128" i="39" s="1"/>
  <c r="S173" i="39" s="1"/>
  <c r="T195" i="39"/>
  <c r="S215" i="39"/>
  <c r="T191" i="39"/>
  <c r="T193" i="39"/>
  <c r="T192" i="39"/>
  <c r="T194" i="39"/>
  <c r="R191" i="39"/>
  <c r="R192" i="39"/>
  <c r="R193" i="39"/>
  <c r="R194" i="39"/>
  <c r="R195" i="39"/>
  <c r="R196" i="39"/>
  <c r="R197" i="39"/>
  <c r="O194" i="39"/>
  <c r="O192" i="39"/>
  <c r="O191" i="39"/>
  <c r="O193" i="39"/>
  <c r="M196" i="39"/>
  <c r="M197" i="39"/>
  <c r="M191" i="39"/>
  <c r="M192" i="39"/>
  <c r="M193" i="39"/>
  <c r="M194" i="39"/>
  <c r="M195" i="39"/>
  <c r="U75" i="39"/>
  <c r="U130" i="39" s="1"/>
  <c r="U132" i="39" s="1"/>
  <c r="O195" i="39"/>
  <c r="O196" i="39"/>
  <c r="T196" i="39"/>
  <c r="O197" i="39"/>
  <c r="T197" i="39"/>
  <c r="U84" i="38"/>
  <c r="U102" i="39" l="1"/>
  <c r="R198" i="39"/>
  <c r="S221" i="39"/>
  <c r="O211" i="39"/>
  <c r="M211" i="39"/>
  <c r="T211" i="39"/>
  <c r="R211" i="39"/>
  <c r="T198" i="39"/>
  <c r="O198" i="39"/>
  <c r="M198" i="39"/>
  <c r="U106" i="39"/>
  <c r="U80" i="39"/>
  <c r="U133" i="39" s="1"/>
  <c r="T16" i="39" l="1"/>
  <c r="S225" i="39"/>
  <c r="R16" i="39"/>
  <c r="N16" i="39"/>
  <c r="P16" i="39"/>
  <c r="O69" i="38"/>
  <c r="O63" i="38"/>
  <c r="U77" i="38"/>
  <c r="U69" i="38"/>
  <c r="U91" i="38" l="1"/>
  <c r="U83" i="38"/>
  <c r="O72" i="38"/>
  <c r="O41" i="38"/>
  <c r="K41" i="38"/>
  <c r="G41" i="38"/>
  <c r="C41" i="38"/>
  <c r="I126" i="38" l="1"/>
  <c r="G126" i="38"/>
  <c r="E126" i="38"/>
  <c r="C126" i="38"/>
  <c r="S220" i="38"/>
  <c r="S211" i="38"/>
  <c r="Q211" i="38"/>
  <c r="Q213" i="38" s="1"/>
  <c r="N211" i="38"/>
  <c r="L211" i="38"/>
  <c r="L213" i="38" s="1"/>
  <c r="B211" i="38"/>
  <c r="M207" i="38"/>
  <c r="M206" i="38"/>
  <c r="M205" i="38"/>
  <c r="M204" i="38"/>
  <c r="S198" i="38"/>
  <c r="S200" i="38" s="1"/>
  <c r="Q198" i="38"/>
  <c r="Q200" i="38" s="1"/>
  <c r="N198" i="38"/>
  <c r="N200" i="38" s="1"/>
  <c r="L198" i="38"/>
  <c r="L200" i="38" s="1"/>
  <c r="S166" i="38"/>
  <c r="R166" i="38"/>
  <c r="S146" i="38"/>
  <c r="U138" i="38"/>
  <c r="U136" i="38"/>
  <c r="U127" i="38"/>
  <c r="U122" i="38"/>
  <c r="B109" i="38"/>
  <c r="B160" i="38" s="1"/>
  <c r="B233" i="38" s="1"/>
  <c r="A91" i="38"/>
  <c r="U87" i="38"/>
  <c r="O80" i="38"/>
  <c r="U79" i="38"/>
  <c r="S75" i="38"/>
  <c r="Q75" i="38"/>
  <c r="S171" i="38" s="1"/>
  <c r="M75" i="38"/>
  <c r="M80" i="38" s="1"/>
  <c r="U72" i="38"/>
  <c r="U70" i="38"/>
  <c r="S66" i="38"/>
  <c r="U66" i="38" s="1"/>
  <c r="U64" i="38"/>
  <c r="U63" i="38"/>
  <c r="O75" i="38"/>
  <c r="K63" i="38"/>
  <c r="K75" i="38" s="1"/>
  <c r="K80" i="38" s="1"/>
  <c r="R54" i="38"/>
  <c r="R53" i="38"/>
  <c r="U47" i="38"/>
  <c r="O40" i="38"/>
  <c r="K40" i="38"/>
  <c r="G40" i="38"/>
  <c r="C40" i="38"/>
  <c r="Q33" i="38"/>
  <c r="O33" i="38"/>
  <c r="M33" i="38"/>
  <c r="K33" i="38"/>
  <c r="I33" i="38"/>
  <c r="G33" i="38"/>
  <c r="E33" i="38"/>
  <c r="C33" i="38"/>
  <c r="Q32" i="38"/>
  <c r="O32" i="38"/>
  <c r="M32" i="38"/>
  <c r="K32" i="38"/>
  <c r="I32" i="38"/>
  <c r="G32" i="38"/>
  <c r="E32" i="38"/>
  <c r="C32" i="38"/>
  <c r="U31" i="38"/>
  <c r="Q30" i="38"/>
  <c r="O30" i="38"/>
  <c r="M30" i="38"/>
  <c r="K30" i="38"/>
  <c r="I30" i="38"/>
  <c r="G30" i="38"/>
  <c r="E30" i="38"/>
  <c r="C30" i="38"/>
  <c r="Q29" i="38"/>
  <c r="O29" i="38"/>
  <c r="M29" i="38"/>
  <c r="K29" i="38"/>
  <c r="I29" i="38"/>
  <c r="G29" i="38"/>
  <c r="E29" i="38"/>
  <c r="C29" i="38"/>
  <c r="U32" i="38" l="1"/>
  <c r="N213" i="38"/>
  <c r="S219" i="38"/>
  <c r="O194" i="38"/>
  <c r="S213" i="38"/>
  <c r="U48" i="38"/>
  <c r="U33" i="38"/>
  <c r="S223" i="38" s="1"/>
  <c r="U40" i="38"/>
  <c r="S148" i="38" s="1"/>
  <c r="S149" i="38" s="1"/>
  <c r="O204" i="38"/>
  <c r="O205" i="38"/>
  <c r="O206" i="38"/>
  <c r="O207" i="38"/>
  <c r="O209" i="38"/>
  <c r="O208" i="38"/>
  <c r="O210" i="38"/>
  <c r="M208" i="38"/>
  <c r="M209" i="38"/>
  <c r="M210" i="38"/>
  <c r="T207" i="38"/>
  <c r="T205" i="38"/>
  <c r="T209" i="38"/>
  <c r="T204" i="38"/>
  <c r="T206" i="38"/>
  <c r="T208" i="38"/>
  <c r="T210" i="38"/>
  <c r="R204" i="38"/>
  <c r="R205" i="38"/>
  <c r="R206" i="38"/>
  <c r="R207" i="38"/>
  <c r="R208" i="38"/>
  <c r="R209" i="38"/>
  <c r="R210" i="38"/>
  <c r="T192" i="38"/>
  <c r="T195" i="38"/>
  <c r="T191" i="38"/>
  <c r="T193" i="38"/>
  <c r="T194" i="38"/>
  <c r="R194" i="38"/>
  <c r="R195" i="38"/>
  <c r="R196" i="38"/>
  <c r="R191" i="38"/>
  <c r="R192" i="38"/>
  <c r="R193" i="38"/>
  <c r="R197" i="38"/>
  <c r="U126" i="38"/>
  <c r="U128" i="38" s="1"/>
  <c r="S173" i="38" s="1"/>
  <c r="O192" i="38"/>
  <c r="O191" i="38"/>
  <c r="O193" i="38"/>
  <c r="M196" i="38"/>
  <c r="M197" i="38"/>
  <c r="M191" i="38"/>
  <c r="M192" i="38"/>
  <c r="M193" i="38"/>
  <c r="M194" i="38"/>
  <c r="M195" i="38"/>
  <c r="U75" i="38"/>
  <c r="O195" i="38"/>
  <c r="O196" i="38"/>
  <c r="T196" i="38"/>
  <c r="O197" i="38"/>
  <c r="T197" i="38"/>
  <c r="S215" i="38" l="1"/>
  <c r="S221" i="38"/>
  <c r="U102" i="38"/>
  <c r="O211" i="38"/>
  <c r="M211" i="38"/>
  <c r="T211" i="38"/>
  <c r="R211" i="38"/>
  <c r="T198" i="38"/>
  <c r="R198" i="38"/>
  <c r="O198" i="38"/>
  <c r="M198" i="38"/>
  <c r="U106" i="38"/>
  <c r="U130" i="38"/>
  <c r="U132" i="38" s="1"/>
  <c r="U80" i="38"/>
  <c r="U133" i="38" s="1"/>
  <c r="R16" i="38" l="1"/>
  <c r="N16" i="38"/>
  <c r="P16" i="38"/>
  <c r="S225" i="38"/>
  <c r="T16" i="38"/>
  <c r="Q211" i="37"/>
  <c r="U91" i="37" l="1"/>
  <c r="U84" i="37"/>
  <c r="O72" i="37"/>
  <c r="O69" i="37"/>
  <c r="O63" i="37"/>
  <c r="O41" i="37"/>
  <c r="K41" i="37"/>
  <c r="G41" i="37"/>
  <c r="C41" i="37"/>
  <c r="I126" i="37" l="1"/>
  <c r="G126" i="37"/>
  <c r="E126" i="37"/>
  <c r="C126" i="37"/>
  <c r="S220" i="37"/>
  <c r="S211" i="37"/>
  <c r="S213" i="37" s="1"/>
  <c r="R210" i="37"/>
  <c r="N211" i="37"/>
  <c r="L211" i="37"/>
  <c r="M210" i="37" s="1"/>
  <c r="B211" i="37"/>
  <c r="S198" i="37"/>
  <c r="S200" i="37" s="1"/>
  <c r="Q198" i="37"/>
  <c r="Q200" i="37" s="1"/>
  <c r="N198" i="37"/>
  <c r="L198" i="37"/>
  <c r="L200" i="37" s="1"/>
  <c r="S166" i="37"/>
  <c r="R166" i="37"/>
  <c r="S146" i="37"/>
  <c r="U138" i="37"/>
  <c r="U136" i="37"/>
  <c r="U127" i="37"/>
  <c r="U122" i="37"/>
  <c r="B109" i="37"/>
  <c r="B160" i="37" s="1"/>
  <c r="B233" i="37" s="1"/>
  <c r="A91" i="37"/>
  <c r="U87" i="37"/>
  <c r="O80" i="37"/>
  <c r="U79" i="37"/>
  <c r="U77" i="37"/>
  <c r="S75" i="37"/>
  <c r="Q75" i="37"/>
  <c r="S171" i="37" s="1"/>
  <c r="M75" i="37"/>
  <c r="M80" i="37" s="1"/>
  <c r="U72" i="37"/>
  <c r="U70" i="37"/>
  <c r="U69" i="37"/>
  <c r="S66" i="37"/>
  <c r="U66" i="37" s="1"/>
  <c r="U64" i="37"/>
  <c r="U63" i="37"/>
  <c r="O75" i="37"/>
  <c r="K63" i="37"/>
  <c r="K75" i="37" s="1"/>
  <c r="K80" i="37" s="1"/>
  <c r="R54" i="37"/>
  <c r="R53" i="37"/>
  <c r="U47" i="37"/>
  <c r="O40" i="37"/>
  <c r="K40" i="37"/>
  <c r="G40" i="37"/>
  <c r="C40" i="37"/>
  <c r="Q33" i="37"/>
  <c r="O33" i="37"/>
  <c r="M33" i="37"/>
  <c r="K33" i="37"/>
  <c r="I33" i="37"/>
  <c r="G33" i="37"/>
  <c r="E33" i="37"/>
  <c r="C33" i="37"/>
  <c r="Q32" i="37"/>
  <c r="O32" i="37"/>
  <c r="M32" i="37"/>
  <c r="K32" i="37"/>
  <c r="I32" i="37"/>
  <c r="G32" i="37"/>
  <c r="E32" i="37"/>
  <c r="C32" i="37"/>
  <c r="U31" i="37"/>
  <c r="Q30" i="37"/>
  <c r="O30" i="37"/>
  <c r="M30" i="37"/>
  <c r="K30" i="37"/>
  <c r="I30" i="37"/>
  <c r="G30" i="37"/>
  <c r="E30" i="37"/>
  <c r="C30" i="37"/>
  <c r="Q29" i="37"/>
  <c r="O29" i="37"/>
  <c r="M29" i="37"/>
  <c r="K29" i="37"/>
  <c r="I29" i="37"/>
  <c r="G29" i="37"/>
  <c r="E29" i="37"/>
  <c r="C29" i="37"/>
  <c r="U33" i="37" l="1"/>
  <c r="O196" i="37"/>
  <c r="S219" i="37"/>
  <c r="U32" i="37"/>
  <c r="U40" i="37" s="1"/>
  <c r="S148" i="37" s="1"/>
  <c r="S149" i="37" s="1"/>
  <c r="N213" i="37"/>
  <c r="O207" i="37"/>
  <c r="O205" i="37"/>
  <c r="O209" i="37"/>
  <c r="O204" i="37"/>
  <c r="O206" i="37"/>
  <c r="O208" i="37"/>
  <c r="O210" i="37"/>
  <c r="T204" i="37"/>
  <c r="T205" i="37"/>
  <c r="T206" i="37"/>
  <c r="T207" i="37"/>
  <c r="T208" i="37"/>
  <c r="T209" i="37"/>
  <c r="T210" i="37"/>
  <c r="U126" i="37"/>
  <c r="U128" i="37" s="1"/>
  <c r="S173" i="37" s="1"/>
  <c r="T197" i="37"/>
  <c r="T193" i="37"/>
  <c r="T191" i="37"/>
  <c r="T195" i="37"/>
  <c r="T192" i="37"/>
  <c r="T194" i="37"/>
  <c r="T196" i="37"/>
  <c r="R191" i="37"/>
  <c r="R192" i="37"/>
  <c r="R193" i="37"/>
  <c r="R194" i="37"/>
  <c r="R195" i="37"/>
  <c r="R196" i="37"/>
  <c r="R197" i="37"/>
  <c r="O197" i="37"/>
  <c r="O193" i="37"/>
  <c r="O191" i="37"/>
  <c r="O195" i="37"/>
  <c r="N200" i="37"/>
  <c r="S215" i="37" s="1"/>
  <c r="O192" i="37"/>
  <c r="O194" i="37"/>
  <c r="M191" i="37"/>
  <c r="M192" i="37"/>
  <c r="M193" i="37"/>
  <c r="M194" i="37"/>
  <c r="M195" i="37"/>
  <c r="M196" i="37"/>
  <c r="M197" i="37"/>
  <c r="U75" i="37"/>
  <c r="U130" i="37" s="1"/>
  <c r="U132" i="37" s="1"/>
  <c r="U48" i="37"/>
  <c r="S223" i="37"/>
  <c r="L213" i="37"/>
  <c r="Q213" i="37"/>
  <c r="M204" i="37"/>
  <c r="R204" i="37"/>
  <c r="M205" i="37"/>
  <c r="R205" i="37"/>
  <c r="M206" i="37"/>
  <c r="R206" i="37"/>
  <c r="M207" i="37"/>
  <c r="R207" i="37"/>
  <c r="M208" i="37"/>
  <c r="R208" i="37"/>
  <c r="M209" i="37"/>
  <c r="R209" i="37"/>
  <c r="M198" i="37" l="1"/>
  <c r="U102" i="37"/>
  <c r="S221" i="37"/>
  <c r="T16" i="37" s="1"/>
  <c r="O211" i="37"/>
  <c r="T211" i="37"/>
  <c r="T198" i="37"/>
  <c r="R198" i="37"/>
  <c r="O198" i="37"/>
  <c r="U80" i="37"/>
  <c r="U133" i="37" s="1"/>
  <c r="U106" i="37"/>
  <c r="R211" i="37"/>
  <c r="M211" i="37"/>
  <c r="P16" i="37"/>
  <c r="R16" i="37"/>
  <c r="N16" i="37"/>
  <c r="O63" i="36"/>
  <c r="S225" i="37" l="1"/>
  <c r="U63" i="36"/>
  <c r="U91" i="36" l="1"/>
  <c r="U84" i="36"/>
  <c r="O72" i="36"/>
  <c r="O69" i="36"/>
  <c r="O41" i="36"/>
  <c r="K41" i="36"/>
  <c r="G41" i="36"/>
  <c r="C41" i="36"/>
  <c r="I126" i="36" l="1"/>
  <c r="G126" i="36"/>
  <c r="E126" i="36"/>
  <c r="C126" i="36"/>
  <c r="S220" i="36"/>
  <c r="S211" i="36"/>
  <c r="S213" i="36" s="1"/>
  <c r="Q211" i="36"/>
  <c r="R210" i="36" s="1"/>
  <c r="N211" i="36"/>
  <c r="L211" i="36"/>
  <c r="M210" i="36" s="1"/>
  <c r="B211" i="36"/>
  <c r="S198" i="36"/>
  <c r="S200" i="36" s="1"/>
  <c r="Q198" i="36"/>
  <c r="Q200" i="36" s="1"/>
  <c r="N198" i="36"/>
  <c r="N200" i="36" s="1"/>
  <c r="L198" i="36"/>
  <c r="L200" i="36" s="1"/>
  <c r="S166" i="36"/>
  <c r="R166" i="36"/>
  <c r="S146" i="36"/>
  <c r="U138" i="36"/>
  <c r="U136" i="36"/>
  <c r="U127" i="36"/>
  <c r="U126" i="36"/>
  <c r="U122" i="36"/>
  <c r="B109" i="36"/>
  <c r="B160" i="36" s="1"/>
  <c r="B233" i="36" s="1"/>
  <c r="A91" i="36"/>
  <c r="U87" i="36"/>
  <c r="O80" i="36"/>
  <c r="U79" i="36"/>
  <c r="U77" i="36"/>
  <c r="S75" i="36"/>
  <c r="Q75" i="36"/>
  <c r="S171" i="36" s="1"/>
  <c r="M75" i="36"/>
  <c r="M80" i="36" s="1"/>
  <c r="U72" i="36"/>
  <c r="U70" i="36"/>
  <c r="U69" i="36"/>
  <c r="S66" i="36"/>
  <c r="U66" i="36" s="1"/>
  <c r="U64" i="36"/>
  <c r="O75" i="36"/>
  <c r="K63" i="36"/>
  <c r="K75" i="36" s="1"/>
  <c r="K80" i="36" s="1"/>
  <c r="R54" i="36"/>
  <c r="R53" i="36"/>
  <c r="U47" i="36"/>
  <c r="O40" i="36"/>
  <c r="K40" i="36"/>
  <c r="G40" i="36"/>
  <c r="C40" i="36"/>
  <c r="Q33" i="36"/>
  <c r="O33" i="36"/>
  <c r="M33" i="36"/>
  <c r="K33" i="36"/>
  <c r="I33" i="36"/>
  <c r="G33" i="36"/>
  <c r="E33" i="36"/>
  <c r="C33" i="36"/>
  <c r="Q32" i="36"/>
  <c r="O32" i="36"/>
  <c r="M32" i="36"/>
  <c r="K32" i="36"/>
  <c r="I32" i="36"/>
  <c r="G32" i="36"/>
  <c r="E32" i="36"/>
  <c r="C32" i="36"/>
  <c r="U31" i="36"/>
  <c r="Q30" i="36"/>
  <c r="O30" i="36"/>
  <c r="M30" i="36"/>
  <c r="K30" i="36"/>
  <c r="I30" i="36"/>
  <c r="G30" i="36"/>
  <c r="E30" i="36"/>
  <c r="C30" i="36"/>
  <c r="Q29" i="36"/>
  <c r="O29" i="36"/>
  <c r="M29" i="36"/>
  <c r="K29" i="36"/>
  <c r="I29" i="36"/>
  <c r="G29" i="36"/>
  <c r="E29" i="36"/>
  <c r="C29" i="36"/>
  <c r="T197" i="36" l="1"/>
  <c r="U33" i="36"/>
  <c r="S219" i="36"/>
  <c r="N213" i="36"/>
  <c r="S215" i="36" s="1"/>
  <c r="O207" i="36"/>
  <c r="O205" i="36"/>
  <c r="O209" i="36"/>
  <c r="O204" i="36"/>
  <c r="O206" i="36"/>
  <c r="O208" i="36"/>
  <c r="O210" i="36"/>
  <c r="T204" i="36"/>
  <c r="T205" i="36"/>
  <c r="T206" i="36"/>
  <c r="T207" i="36"/>
  <c r="T208" i="36"/>
  <c r="T209" i="36"/>
  <c r="T210" i="36"/>
  <c r="T193" i="36"/>
  <c r="T191" i="36"/>
  <c r="T195" i="36"/>
  <c r="T192" i="36"/>
  <c r="T194" i="36"/>
  <c r="T196" i="36"/>
  <c r="R191" i="36"/>
  <c r="R192" i="36"/>
  <c r="R193" i="36"/>
  <c r="R194" i="36"/>
  <c r="R195" i="36"/>
  <c r="R196" i="36"/>
  <c r="R197" i="36"/>
  <c r="O197" i="36"/>
  <c r="O193" i="36"/>
  <c r="O191" i="36"/>
  <c r="O195" i="36"/>
  <c r="O192" i="36"/>
  <c r="O194" i="36"/>
  <c r="O196" i="36"/>
  <c r="M191" i="36"/>
  <c r="M192" i="36"/>
  <c r="M193" i="36"/>
  <c r="M194" i="36"/>
  <c r="M195" i="36"/>
  <c r="M196" i="36"/>
  <c r="M197" i="36"/>
  <c r="U128" i="36"/>
  <c r="S173" i="36" s="1"/>
  <c r="U75" i="36"/>
  <c r="U48" i="36"/>
  <c r="S223" i="36"/>
  <c r="U32" i="36"/>
  <c r="L213" i="36"/>
  <c r="Q213" i="36"/>
  <c r="M204" i="36"/>
  <c r="R204" i="36"/>
  <c r="M205" i="36"/>
  <c r="R205" i="36"/>
  <c r="M206" i="36"/>
  <c r="R206" i="36"/>
  <c r="M207" i="36"/>
  <c r="R207" i="36"/>
  <c r="M208" i="36"/>
  <c r="R208" i="36"/>
  <c r="M209" i="36"/>
  <c r="R209" i="36"/>
  <c r="U102" i="36" l="1"/>
  <c r="U106" i="36" s="1"/>
  <c r="U40" i="36"/>
  <c r="S148" i="36" s="1"/>
  <c r="S149" i="36" s="1"/>
  <c r="S221" i="36"/>
  <c r="S225" i="36" s="1"/>
  <c r="U80" i="36"/>
  <c r="U133" i="36" s="1"/>
  <c r="U130" i="36"/>
  <c r="U132" i="36" s="1"/>
  <c r="O211" i="36"/>
  <c r="T211" i="36"/>
  <c r="T198" i="36"/>
  <c r="R198" i="36"/>
  <c r="O198" i="36"/>
  <c r="M198" i="36"/>
  <c r="R211" i="36"/>
  <c r="M211" i="36"/>
  <c r="R16" i="36" l="1"/>
  <c r="P16" i="36"/>
  <c r="N16" i="36"/>
  <c r="T16" i="36"/>
  <c r="U91" i="35"/>
  <c r="U84" i="35"/>
  <c r="O41" i="35"/>
  <c r="K41" i="35"/>
  <c r="G41" i="35"/>
  <c r="C41" i="35"/>
  <c r="I126" i="35" l="1"/>
  <c r="G126" i="35"/>
  <c r="E126" i="35"/>
  <c r="C126" i="35"/>
  <c r="O72" i="35" l="1"/>
  <c r="O69" i="35"/>
  <c r="O63" i="35"/>
  <c r="S220" i="35" l="1"/>
  <c r="S211" i="35"/>
  <c r="S213" i="35" s="1"/>
  <c r="Q211" i="35"/>
  <c r="Q213" i="35" s="1"/>
  <c r="N211" i="35"/>
  <c r="L211" i="35"/>
  <c r="L213" i="35" s="1"/>
  <c r="B211" i="35"/>
  <c r="S198" i="35"/>
  <c r="S200" i="35" s="1"/>
  <c r="Q198" i="35"/>
  <c r="Q200" i="35" s="1"/>
  <c r="N198" i="35"/>
  <c r="O192" i="35" s="1"/>
  <c r="L198" i="35"/>
  <c r="L200" i="35" s="1"/>
  <c r="S166" i="35"/>
  <c r="R166" i="35"/>
  <c r="S146" i="35"/>
  <c r="U138" i="35"/>
  <c r="U136" i="35"/>
  <c r="U127" i="35"/>
  <c r="U126" i="35"/>
  <c r="U122" i="35"/>
  <c r="B109" i="35"/>
  <c r="B160" i="35" s="1"/>
  <c r="B233" i="35" s="1"/>
  <c r="A91" i="35"/>
  <c r="U87" i="35"/>
  <c r="O80" i="35"/>
  <c r="U79" i="35"/>
  <c r="U77" i="35"/>
  <c r="S75" i="35"/>
  <c r="Q75" i="35"/>
  <c r="S171" i="35" s="1"/>
  <c r="M75" i="35"/>
  <c r="M80" i="35" s="1"/>
  <c r="U72" i="35"/>
  <c r="U70" i="35"/>
  <c r="U69" i="35"/>
  <c r="S66" i="35"/>
  <c r="U66" i="35" s="1"/>
  <c r="U64" i="35"/>
  <c r="U63" i="35"/>
  <c r="O75" i="35"/>
  <c r="K63" i="35"/>
  <c r="K75" i="35" s="1"/>
  <c r="K80" i="35" s="1"/>
  <c r="R54" i="35"/>
  <c r="R53" i="35"/>
  <c r="U47" i="35"/>
  <c r="O40" i="35"/>
  <c r="K40" i="35"/>
  <c r="G40" i="35"/>
  <c r="C40" i="35"/>
  <c r="Q33" i="35"/>
  <c r="O33" i="35"/>
  <c r="M33" i="35"/>
  <c r="K33" i="35"/>
  <c r="I33" i="35"/>
  <c r="G33" i="35"/>
  <c r="E33" i="35"/>
  <c r="C33" i="35"/>
  <c r="Q32" i="35"/>
  <c r="O32" i="35"/>
  <c r="M32" i="35"/>
  <c r="K32" i="35"/>
  <c r="I32" i="35"/>
  <c r="G32" i="35"/>
  <c r="E32" i="35"/>
  <c r="C32" i="35"/>
  <c r="U31" i="35"/>
  <c r="Q30" i="35"/>
  <c r="O30" i="35"/>
  <c r="M30" i="35"/>
  <c r="K30" i="35"/>
  <c r="I30" i="35"/>
  <c r="G30" i="35"/>
  <c r="E30" i="35"/>
  <c r="C30" i="35"/>
  <c r="Q29" i="35"/>
  <c r="O29" i="35"/>
  <c r="M29" i="35"/>
  <c r="K29" i="35"/>
  <c r="I29" i="35"/>
  <c r="G29" i="35"/>
  <c r="E29" i="35"/>
  <c r="C29" i="35"/>
  <c r="U128" i="35" l="1"/>
  <c r="S173" i="35" s="1"/>
  <c r="U48" i="35"/>
  <c r="U33" i="35"/>
  <c r="S223" i="35" s="1"/>
  <c r="U32" i="35"/>
  <c r="N213" i="35"/>
  <c r="S219" i="35"/>
  <c r="O207" i="35"/>
  <c r="O205" i="35"/>
  <c r="O209" i="35"/>
  <c r="O204" i="35"/>
  <c r="O206" i="35"/>
  <c r="O208" i="35"/>
  <c r="O210" i="35"/>
  <c r="M204" i="35"/>
  <c r="M205" i="35"/>
  <c r="M206" i="35"/>
  <c r="M207" i="35"/>
  <c r="M208" i="35"/>
  <c r="M209" i="35"/>
  <c r="M210" i="35"/>
  <c r="T204" i="35"/>
  <c r="T207" i="35"/>
  <c r="T205" i="35"/>
  <c r="T209" i="35"/>
  <c r="T206" i="35"/>
  <c r="T208" i="35"/>
  <c r="T210" i="35"/>
  <c r="R204" i="35"/>
  <c r="R205" i="35"/>
  <c r="R206" i="35"/>
  <c r="R207" i="35"/>
  <c r="R208" i="35"/>
  <c r="R209" i="35"/>
  <c r="R210" i="35"/>
  <c r="T195" i="35"/>
  <c r="T191" i="35"/>
  <c r="T193" i="35"/>
  <c r="T192" i="35"/>
  <c r="T194" i="35"/>
  <c r="R191" i="35"/>
  <c r="R192" i="35"/>
  <c r="R193" i="35"/>
  <c r="R194" i="35"/>
  <c r="R195" i="35"/>
  <c r="R196" i="35"/>
  <c r="R197" i="35"/>
  <c r="O194" i="35"/>
  <c r="N200" i="35"/>
  <c r="S215" i="35" s="1"/>
  <c r="O191" i="35"/>
  <c r="O193" i="35"/>
  <c r="M196" i="35"/>
  <c r="M197" i="35"/>
  <c r="M191" i="35"/>
  <c r="M192" i="35"/>
  <c r="M193" i="35"/>
  <c r="M194" i="35"/>
  <c r="M195" i="35"/>
  <c r="U75" i="35"/>
  <c r="O195" i="35"/>
  <c r="O196" i="35"/>
  <c r="T196" i="35"/>
  <c r="O197" i="35"/>
  <c r="T197" i="35"/>
  <c r="U91" i="34"/>
  <c r="U84" i="34"/>
  <c r="O72" i="34"/>
  <c r="U72" i="34" s="1"/>
  <c r="O69" i="34"/>
  <c r="O63" i="34"/>
  <c r="U63" i="34" s="1"/>
  <c r="O41" i="34"/>
  <c r="K41" i="34"/>
  <c r="G41" i="34"/>
  <c r="C41" i="34"/>
  <c r="I126" i="34"/>
  <c r="G126" i="34"/>
  <c r="E126" i="34"/>
  <c r="C126" i="34"/>
  <c r="S220" i="34"/>
  <c r="S211" i="34"/>
  <c r="S213" i="34" s="1"/>
  <c r="Q211" i="34"/>
  <c r="N211" i="34"/>
  <c r="O208" i="34" s="1"/>
  <c r="L211" i="34"/>
  <c r="B211" i="34"/>
  <c r="O210" i="34"/>
  <c r="O206" i="34"/>
  <c r="S198" i="34"/>
  <c r="S200" i="34" s="1"/>
  <c r="Q198" i="34"/>
  <c r="N198" i="34"/>
  <c r="L198" i="34"/>
  <c r="R194" i="34"/>
  <c r="S166" i="34"/>
  <c r="R166" i="34"/>
  <c r="S146" i="34"/>
  <c r="U138" i="34"/>
  <c r="U136" i="34"/>
  <c r="U127" i="34"/>
  <c r="U122" i="34"/>
  <c r="B109" i="34"/>
  <c r="B160" i="34" s="1"/>
  <c r="B233" i="34" s="1"/>
  <c r="A91" i="34"/>
  <c r="U87" i="34"/>
  <c r="O80" i="34"/>
  <c r="U79" i="34"/>
  <c r="U77" i="34"/>
  <c r="S75" i="34"/>
  <c r="Q75" i="34"/>
  <c r="S171" i="34"/>
  <c r="M75" i="34"/>
  <c r="M80" i="34" s="1"/>
  <c r="U70" i="34"/>
  <c r="U69" i="34"/>
  <c r="S66" i="34"/>
  <c r="U66" i="34" s="1"/>
  <c r="U64" i="34"/>
  <c r="K63" i="34"/>
  <c r="K75" i="34" s="1"/>
  <c r="K80" i="34" s="1"/>
  <c r="R54" i="34"/>
  <c r="R53" i="34"/>
  <c r="U47" i="34"/>
  <c r="O40" i="34"/>
  <c r="K40" i="34"/>
  <c r="G40" i="34"/>
  <c r="C40" i="34"/>
  <c r="Q33" i="34"/>
  <c r="O33" i="34"/>
  <c r="M33" i="34"/>
  <c r="K33" i="34"/>
  <c r="I33" i="34"/>
  <c r="G33" i="34"/>
  <c r="E33" i="34"/>
  <c r="C33" i="34"/>
  <c r="U48" i="34" s="1"/>
  <c r="Q32" i="34"/>
  <c r="O32" i="34"/>
  <c r="M32" i="34"/>
  <c r="K32" i="34"/>
  <c r="I32" i="34"/>
  <c r="G32" i="34"/>
  <c r="E32" i="34"/>
  <c r="C32" i="34"/>
  <c r="U31" i="34"/>
  <c r="Q30" i="34"/>
  <c r="O30" i="34"/>
  <c r="M30" i="34"/>
  <c r="K30" i="34"/>
  <c r="I30" i="34"/>
  <c r="G30" i="34"/>
  <c r="E30" i="34"/>
  <c r="C30" i="34"/>
  <c r="Q29" i="34"/>
  <c r="O29" i="34"/>
  <c r="M29" i="34"/>
  <c r="K29" i="34"/>
  <c r="I29" i="34"/>
  <c r="G29" i="34"/>
  <c r="E29" i="34"/>
  <c r="C29" i="34"/>
  <c r="U91" i="33"/>
  <c r="U84" i="33"/>
  <c r="U87" i="33" s="1"/>
  <c r="O72" i="33"/>
  <c r="U72" i="33"/>
  <c r="O69" i="33"/>
  <c r="O63" i="33"/>
  <c r="I126" i="33"/>
  <c r="G126" i="33"/>
  <c r="E126" i="33"/>
  <c r="C126" i="33"/>
  <c r="S220" i="33"/>
  <c r="S211" i="33"/>
  <c r="S213" i="33" s="1"/>
  <c r="Q211" i="33"/>
  <c r="Q213" i="33" s="1"/>
  <c r="N211" i="33"/>
  <c r="N213" i="33" s="1"/>
  <c r="L211" i="33"/>
  <c r="L213" i="33" s="1"/>
  <c r="B211" i="33"/>
  <c r="R206" i="33"/>
  <c r="S198" i="33"/>
  <c r="S200" i="33" s="1"/>
  <c r="Q198" i="33"/>
  <c r="Q200" i="33" s="1"/>
  <c r="N198" i="33"/>
  <c r="N200" i="33" s="1"/>
  <c r="L198" i="33"/>
  <c r="L200" i="33" s="1"/>
  <c r="O193" i="33"/>
  <c r="S166" i="33"/>
  <c r="R166" i="33"/>
  <c r="S146" i="33"/>
  <c r="U138" i="33"/>
  <c r="U136" i="33"/>
  <c r="U127" i="33"/>
  <c r="U126" i="33"/>
  <c r="U122" i="33"/>
  <c r="B109" i="33"/>
  <c r="B160" i="33" s="1"/>
  <c r="B233" i="33" s="1"/>
  <c r="A91" i="33"/>
  <c r="O80" i="33"/>
  <c r="U79" i="33"/>
  <c r="U77" i="33"/>
  <c r="S75" i="33"/>
  <c r="Q75" i="33"/>
  <c r="S171" i="33" s="1"/>
  <c r="M75" i="33"/>
  <c r="M80" i="33"/>
  <c r="U70" i="33"/>
  <c r="U69" i="33"/>
  <c r="S66" i="33"/>
  <c r="U66" i="33" s="1"/>
  <c r="U64" i="33"/>
  <c r="U63" i="33"/>
  <c r="K63" i="33"/>
  <c r="K75" i="33" s="1"/>
  <c r="K80" i="33" s="1"/>
  <c r="R54" i="33"/>
  <c r="R53" i="33"/>
  <c r="U47" i="33"/>
  <c r="O41" i="33"/>
  <c r="K41" i="33"/>
  <c r="G41" i="33"/>
  <c r="C41" i="33"/>
  <c r="O40" i="33"/>
  <c r="K40" i="33"/>
  <c r="G40" i="33"/>
  <c r="C40" i="33"/>
  <c r="Q33" i="33"/>
  <c r="O33" i="33"/>
  <c r="M33" i="33"/>
  <c r="K33" i="33"/>
  <c r="I33" i="33"/>
  <c r="G33" i="33"/>
  <c r="E33" i="33"/>
  <c r="C33" i="33"/>
  <c r="U48" i="33" s="1"/>
  <c r="Q32" i="33"/>
  <c r="O32" i="33"/>
  <c r="M32" i="33"/>
  <c r="K32" i="33"/>
  <c r="I32" i="33"/>
  <c r="G32" i="33"/>
  <c r="E32" i="33"/>
  <c r="C32" i="33"/>
  <c r="U31" i="33"/>
  <c r="Q30" i="33"/>
  <c r="O30" i="33"/>
  <c r="M30" i="33"/>
  <c r="K30" i="33"/>
  <c r="I30" i="33"/>
  <c r="G30" i="33"/>
  <c r="E30" i="33"/>
  <c r="C30" i="33"/>
  <c r="Q29" i="33"/>
  <c r="O29" i="33"/>
  <c r="M29" i="33"/>
  <c r="K29" i="33"/>
  <c r="I29" i="33"/>
  <c r="G29" i="33"/>
  <c r="E29" i="33"/>
  <c r="C29" i="33"/>
  <c r="O63" i="32"/>
  <c r="S198" i="32"/>
  <c r="T196" i="32" s="1"/>
  <c r="U91" i="32"/>
  <c r="U84" i="32"/>
  <c r="U87" i="32" s="1"/>
  <c r="O72" i="32"/>
  <c r="O69" i="32"/>
  <c r="U69" i="32" s="1"/>
  <c r="U63" i="32"/>
  <c r="O41" i="32"/>
  <c r="K41" i="32"/>
  <c r="G41" i="32"/>
  <c r="C41" i="32"/>
  <c r="I126" i="32"/>
  <c r="G126" i="32"/>
  <c r="E126" i="32"/>
  <c r="C126" i="32"/>
  <c r="S220" i="32"/>
  <c r="S211" i="32"/>
  <c r="S213" i="32" s="1"/>
  <c r="Q211" i="32"/>
  <c r="Q213" i="32" s="1"/>
  <c r="N211" i="32"/>
  <c r="N213" i="32" s="1"/>
  <c r="L211" i="32"/>
  <c r="L213" i="32" s="1"/>
  <c r="B211" i="32"/>
  <c r="M206" i="32"/>
  <c r="R205" i="32"/>
  <c r="S200" i="32"/>
  <c r="Q198" i="32"/>
  <c r="Q200" i="32" s="1"/>
  <c r="N198" i="32"/>
  <c r="N200" i="32" s="1"/>
  <c r="L198" i="32"/>
  <c r="L200" i="32" s="1"/>
  <c r="R197" i="32"/>
  <c r="R193" i="32"/>
  <c r="R192" i="32"/>
  <c r="R191" i="32"/>
  <c r="S166" i="32"/>
  <c r="R166" i="32"/>
  <c r="S146" i="32"/>
  <c r="U138" i="32"/>
  <c r="U136" i="32"/>
  <c r="U127" i="32"/>
  <c r="U122" i="32"/>
  <c r="B109" i="32"/>
  <c r="B160" i="32" s="1"/>
  <c r="B233" i="32" s="1"/>
  <c r="A91" i="32"/>
  <c r="O80" i="32"/>
  <c r="U79" i="32"/>
  <c r="U77" i="32"/>
  <c r="S75" i="32"/>
  <c r="Q75" i="32"/>
  <c r="S171" i="32" s="1"/>
  <c r="M75" i="32"/>
  <c r="M80" i="32" s="1"/>
  <c r="U72" i="32"/>
  <c r="U70" i="32"/>
  <c r="S66" i="32"/>
  <c r="U66" i="32" s="1"/>
  <c r="U64" i="32"/>
  <c r="K63" i="32"/>
  <c r="K75" i="32" s="1"/>
  <c r="K80" i="32" s="1"/>
  <c r="R54" i="32"/>
  <c r="R53" i="32"/>
  <c r="U47" i="32"/>
  <c r="O40" i="32"/>
  <c r="K40" i="32"/>
  <c r="G40" i="32"/>
  <c r="C40" i="32"/>
  <c r="Q33" i="32"/>
  <c r="O33" i="32"/>
  <c r="M33" i="32"/>
  <c r="K33" i="32"/>
  <c r="I33" i="32"/>
  <c r="G33" i="32"/>
  <c r="E33" i="32"/>
  <c r="C33" i="32"/>
  <c r="U48" i="32" s="1"/>
  <c r="Q32" i="32"/>
  <c r="O32" i="32"/>
  <c r="M32" i="32"/>
  <c r="K32" i="32"/>
  <c r="I32" i="32"/>
  <c r="G32" i="32"/>
  <c r="E32" i="32"/>
  <c r="C32" i="32"/>
  <c r="U31" i="32"/>
  <c r="Q30" i="32"/>
  <c r="O30" i="32"/>
  <c r="M30" i="32"/>
  <c r="K30" i="32"/>
  <c r="I30" i="32"/>
  <c r="G30" i="32"/>
  <c r="E30" i="32"/>
  <c r="C30" i="32"/>
  <c r="Q29" i="32"/>
  <c r="O29" i="32"/>
  <c r="M29" i="32"/>
  <c r="K29" i="32"/>
  <c r="I29" i="32"/>
  <c r="G29" i="32"/>
  <c r="E29" i="32"/>
  <c r="C29" i="32"/>
  <c r="O69" i="31"/>
  <c r="U69" i="31" s="1"/>
  <c r="U91" i="31"/>
  <c r="U84" i="31"/>
  <c r="O72" i="31"/>
  <c r="O75" i="31"/>
  <c r="O63" i="31"/>
  <c r="O41" i="31"/>
  <c r="K41" i="31"/>
  <c r="G41" i="31"/>
  <c r="C41" i="31"/>
  <c r="I126" i="31"/>
  <c r="G126" i="31"/>
  <c r="E126" i="31"/>
  <c r="C126" i="31"/>
  <c r="S220" i="31"/>
  <c r="S211" i="31"/>
  <c r="S213" i="31" s="1"/>
  <c r="Q211" i="31"/>
  <c r="Q213" i="31" s="1"/>
  <c r="N211" i="31"/>
  <c r="N213" i="31" s="1"/>
  <c r="L211" i="31"/>
  <c r="L213" i="31" s="1"/>
  <c r="B211" i="31"/>
  <c r="R204" i="31"/>
  <c r="S198" i="31"/>
  <c r="S200" i="31" s="1"/>
  <c r="Q198" i="31"/>
  <c r="N198" i="31"/>
  <c r="N200" i="31" s="1"/>
  <c r="S215" i="31" s="1"/>
  <c r="L198" i="31"/>
  <c r="L200" i="31" s="1"/>
  <c r="T195" i="31"/>
  <c r="R195" i="31"/>
  <c r="S166" i="31"/>
  <c r="R166" i="31"/>
  <c r="S146" i="31"/>
  <c r="U138" i="31"/>
  <c r="U136" i="31"/>
  <c r="U127" i="31"/>
  <c r="U122" i="31"/>
  <c r="B109" i="31"/>
  <c r="B160" i="31" s="1"/>
  <c r="B233" i="31" s="1"/>
  <c r="A91" i="31"/>
  <c r="U87" i="31"/>
  <c r="O80" i="31"/>
  <c r="U79" i="31"/>
  <c r="U77" i="31"/>
  <c r="S75" i="31"/>
  <c r="Q75" i="31"/>
  <c r="S171" i="31" s="1"/>
  <c r="M75" i="31"/>
  <c r="M80" i="31" s="1"/>
  <c r="U72" i="31"/>
  <c r="U70" i="31"/>
  <c r="S66" i="31"/>
  <c r="U66" i="31" s="1"/>
  <c r="U64" i="31"/>
  <c r="U63" i="31"/>
  <c r="K63" i="31"/>
  <c r="K75" i="31" s="1"/>
  <c r="K80" i="31" s="1"/>
  <c r="R54" i="31"/>
  <c r="R53" i="31"/>
  <c r="U47" i="31"/>
  <c r="O40" i="31"/>
  <c r="K40" i="31"/>
  <c r="G40" i="31"/>
  <c r="C40" i="31"/>
  <c r="Q33" i="31"/>
  <c r="O33" i="31"/>
  <c r="M33" i="31"/>
  <c r="K33" i="31"/>
  <c r="I33" i="31"/>
  <c r="G33" i="31"/>
  <c r="E33" i="31"/>
  <c r="C33" i="31"/>
  <c r="Q32" i="31"/>
  <c r="O32" i="31"/>
  <c r="M32" i="31"/>
  <c r="K32" i="31"/>
  <c r="I32" i="31"/>
  <c r="G32" i="31"/>
  <c r="E32" i="31"/>
  <c r="C32" i="31"/>
  <c r="U31" i="31"/>
  <c r="Q30" i="31"/>
  <c r="O30" i="31"/>
  <c r="M30" i="31"/>
  <c r="K30" i="31"/>
  <c r="I30" i="31"/>
  <c r="G30" i="31"/>
  <c r="E30" i="31"/>
  <c r="C30" i="31"/>
  <c r="Q29" i="31"/>
  <c r="O29" i="31"/>
  <c r="M29" i="31"/>
  <c r="K29" i="31"/>
  <c r="I29" i="31"/>
  <c r="G29" i="31"/>
  <c r="E29" i="31"/>
  <c r="C29" i="31"/>
  <c r="U84" i="30"/>
  <c r="U91" i="30"/>
  <c r="O72" i="30"/>
  <c r="U72" i="30" s="1"/>
  <c r="O69" i="30"/>
  <c r="O66" i="30"/>
  <c r="O63" i="30"/>
  <c r="O41" i="30"/>
  <c r="K41" i="30"/>
  <c r="G41" i="30"/>
  <c r="C41" i="30"/>
  <c r="I126" i="30"/>
  <c r="G126" i="30"/>
  <c r="E126" i="30"/>
  <c r="C126" i="30"/>
  <c r="S220" i="30"/>
  <c r="S211" i="30"/>
  <c r="S213" i="30" s="1"/>
  <c r="Q211" i="30"/>
  <c r="Q213" i="30" s="1"/>
  <c r="N211" i="30"/>
  <c r="N213" i="30" s="1"/>
  <c r="L211" i="30"/>
  <c r="L213" i="30" s="1"/>
  <c r="B211" i="30"/>
  <c r="R204" i="30"/>
  <c r="S198" i="30"/>
  <c r="S200" i="30" s="1"/>
  <c r="Q198" i="30"/>
  <c r="N198" i="30"/>
  <c r="S219" i="30" s="1"/>
  <c r="L198" i="30"/>
  <c r="L200" i="30" s="1"/>
  <c r="S166" i="30"/>
  <c r="R166" i="30"/>
  <c r="S146" i="30"/>
  <c r="U138" i="30"/>
  <c r="U136" i="30"/>
  <c r="U127" i="30"/>
  <c r="U122" i="30"/>
  <c r="B109" i="30"/>
  <c r="B160" i="30" s="1"/>
  <c r="B233" i="30" s="1"/>
  <c r="A91" i="30"/>
  <c r="U87" i="30"/>
  <c r="O80" i="30"/>
  <c r="U79" i="30"/>
  <c r="U77" i="30"/>
  <c r="S75" i="30"/>
  <c r="Q75" i="30"/>
  <c r="S171" i="30" s="1"/>
  <c r="M75" i="30"/>
  <c r="M80" i="30" s="1"/>
  <c r="U70" i="30"/>
  <c r="S66" i="30"/>
  <c r="U66" i="30" s="1"/>
  <c r="U64" i="30"/>
  <c r="U63" i="30"/>
  <c r="K63" i="30"/>
  <c r="K75" i="30" s="1"/>
  <c r="K80" i="30" s="1"/>
  <c r="R54" i="30"/>
  <c r="R53" i="30"/>
  <c r="U47" i="30"/>
  <c r="O40" i="30"/>
  <c r="K40" i="30"/>
  <c r="G40" i="30"/>
  <c r="C40" i="30"/>
  <c r="Q33" i="30"/>
  <c r="O33" i="30"/>
  <c r="M33" i="30"/>
  <c r="K33" i="30"/>
  <c r="I33" i="30"/>
  <c r="G33" i="30"/>
  <c r="E33" i="30"/>
  <c r="C33" i="30"/>
  <c r="Q32" i="30"/>
  <c r="O32" i="30"/>
  <c r="M32" i="30"/>
  <c r="K32" i="30"/>
  <c r="I32" i="30"/>
  <c r="G32" i="30"/>
  <c r="E32" i="30"/>
  <c r="C32" i="30"/>
  <c r="U31" i="30"/>
  <c r="Q30" i="30"/>
  <c r="O30" i="30"/>
  <c r="M30" i="30"/>
  <c r="K30" i="30"/>
  <c r="I30" i="30"/>
  <c r="G30" i="30"/>
  <c r="E30" i="30"/>
  <c r="C30" i="30"/>
  <c r="Q29" i="30"/>
  <c r="O29" i="30"/>
  <c r="M29" i="30"/>
  <c r="K29" i="30"/>
  <c r="I29" i="30"/>
  <c r="G29" i="30"/>
  <c r="E29" i="30"/>
  <c r="C29" i="30"/>
  <c r="N198" i="29"/>
  <c r="N200" i="29" s="1"/>
  <c r="U84" i="29"/>
  <c r="U87" i="29" s="1"/>
  <c r="U91" i="29"/>
  <c r="O66" i="29"/>
  <c r="O63" i="29"/>
  <c r="O72" i="29"/>
  <c r="O69" i="29"/>
  <c r="O41" i="29"/>
  <c r="K41" i="29"/>
  <c r="G41" i="29"/>
  <c r="C41" i="29"/>
  <c r="I126" i="29"/>
  <c r="G126" i="29"/>
  <c r="E126" i="29"/>
  <c r="C126" i="29"/>
  <c r="S220" i="29"/>
  <c r="S211" i="29"/>
  <c r="S213" i="29" s="1"/>
  <c r="Q211" i="29"/>
  <c r="Q213" i="29"/>
  <c r="N211" i="29"/>
  <c r="N213" i="29" s="1"/>
  <c r="L211" i="29"/>
  <c r="L213" i="29" s="1"/>
  <c r="B211" i="29"/>
  <c r="M209" i="29"/>
  <c r="M208" i="29"/>
  <c r="M206" i="29"/>
  <c r="R205" i="29"/>
  <c r="O204" i="29"/>
  <c r="S198" i="29"/>
  <c r="S219" i="29" s="1"/>
  <c r="Q198" i="29"/>
  <c r="Q200" i="29" s="1"/>
  <c r="L198" i="29"/>
  <c r="L200" i="29" s="1"/>
  <c r="S166" i="29"/>
  <c r="R166" i="29"/>
  <c r="S146" i="29"/>
  <c r="U138" i="29"/>
  <c r="U136" i="29"/>
  <c r="U127" i="29"/>
  <c r="U122" i="29"/>
  <c r="B109" i="29"/>
  <c r="B160" i="29" s="1"/>
  <c r="B233" i="29" s="1"/>
  <c r="A91" i="29"/>
  <c r="O80" i="29"/>
  <c r="U79" i="29"/>
  <c r="U77" i="29"/>
  <c r="S75" i="29"/>
  <c r="Q75" i="29"/>
  <c r="S171" i="29" s="1"/>
  <c r="M75" i="29"/>
  <c r="M80" i="29" s="1"/>
  <c r="U72" i="29"/>
  <c r="U70" i="29"/>
  <c r="U69" i="29"/>
  <c r="S66" i="29"/>
  <c r="U66" i="29" s="1"/>
  <c r="U64" i="29"/>
  <c r="U63" i="29"/>
  <c r="K63" i="29"/>
  <c r="K75" i="29" s="1"/>
  <c r="K80" i="29" s="1"/>
  <c r="R54" i="29"/>
  <c r="R53" i="29"/>
  <c r="U47" i="29"/>
  <c r="O40" i="29"/>
  <c r="K40" i="29"/>
  <c r="G40" i="29"/>
  <c r="C40" i="29"/>
  <c r="Q33" i="29"/>
  <c r="O33" i="29"/>
  <c r="M33" i="29"/>
  <c r="K33" i="29"/>
  <c r="I33" i="29"/>
  <c r="G33" i="29"/>
  <c r="E33" i="29"/>
  <c r="C33" i="29"/>
  <c r="Q32" i="29"/>
  <c r="O32" i="29"/>
  <c r="M32" i="29"/>
  <c r="K32" i="29"/>
  <c r="I32" i="29"/>
  <c r="G32" i="29"/>
  <c r="E32" i="29"/>
  <c r="C32" i="29"/>
  <c r="U31" i="29"/>
  <c r="Q30" i="29"/>
  <c r="O30" i="29"/>
  <c r="M30" i="29"/>
  <c r="K30" i="29"/>
  <c r="I30" i="29"/>
  <c r="G30" i="29"/>
  <c r="E30" i="29"/>
  <c r="C30" i="29"/>
  <c r="Q29" i="29"/>
  <c r="O29" i="29"/>
  <c r="M29" i="29"/>
  <c r="K29" i="29"/>
  <c r="I29" i="29"/>
  <c r="G29" i="29"/>
  <c r="E29" i="29"/>
  <c r="C29" i="29"/>
  <c r="U91" i="28"/>
  <c r="U84" i="28"/>
  <c r="U87" i="28" s="1"/>
  <c r="O72" i="28"/>
  <c r="O69" i="28"/>
  <c r="O63" i="28"/>
  <c r="O41" i="28"/>
  <c r="K41" i="28"/>
  <c r="G41" i="28"/>
  <c r="C41" i="28"/>
  <c r="I126" i="28"/>
  <c r="G126" i="28"/>
  <c r="E126" i="28"/>
  <c r="C126" i="28"/>
  <c r="U126" i="28" s="1"/>
  <c r="S220" i="28"/>
  <c r="S211" i="28"/>
  <c r="S213" i="28" s="1"/>
  <c r="Q211" i="28"/>
  <c r="Q213" i="28" s="1"/>
  <c r="N211" i="28"/>
  <c r="N213" i="28" s="1"/>
  <c r="L211" i="28"/>
  <c r="L213" i="28" s="1"/>
  <c r="B211" i="28"/>
  <c r="R205" i="28"/>
  <c r="S198" i="28"/>
  <c r="S200" i="28" s="1"/>
  <c r="Q198" i="28"/>
  <c r="N198" i="28"/>
  <c r="N200" i="28" s="1"/>
  <c r="L198" i="28"/>
  <c r="R196" i="28"/>
  <c r="T194" i="28"/>
  <c r="T193" i="28"/>
  <c r="S166" i="28"/>
  <c r="R166" i="28"/>
  <c r="S146" i="28"/>
  <c r="U138" i="28"/>
  <c r="U136" i="28"/>
  <c r="U127" i="28"/>
  <c r="U122" i="28"/>
  <c r="B109" i="28"/>
  <c r="B160" i="28" s="1"/>
  <c r="B233" i="28" s="1"/>
  <c r="A91" i="28"/>
  <c r="O80" i="28"/>
  <c r="U79" i="28"/>
  <c r="U77" i="28"/>
  <c r="S75" i="28"/>
  <c r="Q75" i="28"/>
  <c r="S171" i="28" s="1"/>
  <c r="M75" i="28"/>
  <c r="M80" i="28"/>
  <c r="U72" i="28"/>
  <c r="U70" i="28"/>
  <c r="U69" i="28"/>
  <c r="U66" i="28"/>
  <c r="S66" i="28"/>
  <c r="U64" i="28"/>
  <c r="U63" i="28"/>
  <c r="K63" i="28"/>
  <c r="K75" i="28" s="1"/>
  <c r="K80" i="28" s="1"/>
  <c r="R54" i="28"/>
  <c r="R53" i="28"/>
  <c r="U47" i="28"/>
  <c r="O40" i="28"/>
  <c r="K40" i="28"/>
  <c r="G40" i="28"/>
  <c r="C40" i="28"/>
  <c r="Q33" i="28"/>
  <c r="O33" i="28"/>
  <c r="M33" i="28"/>
  <c r="K33" i="28"/>
  <c r="I33" i="28"/>
  <c r="G33" i="28"/>
  <c r="E33" i="28"/>
  <c r="C33" i="28"/>
  <c r="Q32" i="28"/>
  <c r="O32" i="28"/>
  <c r="M32" i="28"/>
  <c r="K32" i="28"/>
  <c r="I32" i="28"/>
  <c r="G32" i="28"/>
  <c r="E32" i="28"/>
  <c r="C32" i="28"/>
  <c r="U31" i="28"/>
  <c r="Q30" i="28"/>
  <c r="O30" i="28"/>
  <c r="M30" i="28"/>
  <c r="K30" i="28"/>
  <c r="I30" i="28"/>
  <c r="G30" i="28"/>
  <c r="E30" i="28"/>
  <c r="C30" i="28"/>
  <c r="Q29" i="28"/>
  <c r="O29" i="28"/>
  <c r="M29" i="28"/>
  <c r="K29" i="28"/>
  <c r="I29" i="28"/>
  <c r="G29" i="28"/>
  <c r="E29" i="28"/>
  <c r="C29" i="28"/>
  <c r="U91" i="27"/>
  <c r="U84" i="27"/>
  <c r="U87" i="27"/>
  <c r="O63" i="27"/>
  <c r="O72" i="27"/>
  <c r="O69" i="27"/>
  <c r="U69" i="27"/>
  <c r="O41" i="27"/>
  <c r="K41" i="27"/>
  <c r="G41" i="27"/>
  <c r="C41" i="27"/>
  <c r="I126" i="27"/>
  <c r="G126" i="27"/>
  <c r="E126" i="27"/>
  <c r="C126" i="27"/>
  <c r="S220" i="27"/>
  <c r="S211" i="27"/>
  <c r="S213" i="27" s="1"/>
  <c r="Q211" i="27"/>
  <c r="N211" i="27"/>
  <c r="N213" i="27" s="1"/>
  <c r="L211" i="27"/>
  <c r="M206" i="27" s="1"/>
  <c r="B211" i="27"/>
  <c r="S198" i="27"/>
  <c r="S200" i="27" s="1"/>
  <c r="Q198" i="27"/>
  <c r="Q200" i="27" s="1"/>
  <c r="N198" i="27"/>
  <c r="N200" i="27" s="1"/>
  <c r="L198" i="27"/>
  <c r="L200" i="27"/>
  <c r="S166" i="27"/>
  <c r="R166" i="27"/>
  <c r="S146" i="27"/>
  <c r="U138" i="27"/>
  <c r="U136" i="27"/>
  <c r="U127" i="27"/>
  <c r="U122" i="27"/>
  <c r="B109" i="27"/>
  <c r="B160" i="27" s="1"/>
  <c r="B233" i="27" s="1"/>
  <c r="A91" i="27"/>
  <c r="O80" i="27"/>
  <c r="U79" i="27"/>
  <c r="U77" i="27"/>
  <c r="S75" i="27"/>
  <c r="Q75" i="27"/>
  <c r="S171" i="27" s="1"/>
  <c r="M75" i="27"/>
  <c r="M80" i="27"/>
  <c r="U70" i="27"/>
  <c r="S66" i="27"/>
  <c r="U66" i="27" s="1"/>
  <c r="U64" i="27"/>
  <c r="U63" i="27"/>
  <c r="K63" i="27"/>
  <c r="K75" i="27" s="1"/>
  <c r="K80" i="27" s="1"/>
  <c r="R54" i="27"/>
  <c r="R53" i="27"/>
  <c r="U47" i="27"/>
  <c r="O40" i="27"/>
  <c r="K40" i="27"/>
  <c r="G40" i="27"/>
  <c r="C40" i="27"/>
  <c r="Q33" i="27"/>
  <c r="O33" i="27"/>
  <c r="M33" i="27"/>
  <c r="K33" i="27"/>
  <c r="I33" i="27"/>
  <c r="G33" i="27"/>
  <c r="E33" i="27"/>
  <c r="C33" i="27"/>
  <c r="Q32" i="27"/>
  <c r="O32" i="27"/>
  <c r="M32" i="27"/>
  <c r="K32" i="27"/>
  <c r="I32" i="27"/>
  <c r="G32" i="27"/>
  <c r="E32" i="27"/>
  <c r="C32" i="27"/>
  <c r="U31" i="27"/>
  <c r="Q30" i="27"/>
  <c r="O30" i="27"/>
  <c r="M30" i="27"/>
  <c r="K30" i="27"/>
  <c r="I30" i="27"/>
  <c r="G30" i="27"/>
  <c r="E30" i="27"/>
  <c r="C30" i="27"/>
  <c r="Q29" i="27"/>
  <c r="O29" i="27"/>
  <c r="M29" i="27"/>
  <c r="K29" i="27"/>
  <c r="I29" i="27"/>
  <c r="G29" i="27"/>
  <c r="E29" i="27"/>
  <c r="C29" i="27"/>
  <c r="U91" i="26"/>
  <c r="U84" i="26"/>
  <c r="O66" i="26"/>
  <c r="O72" i="26"/>
  <c r="O69" i="26"/>
  <c r="O63" i="26"/>
  <c r="O41" i="26"/>
  <c r="K41" i="26"/>
  <c r="G41" i="26"/>
  <c r="C41" i="26"/>
  <c r="I126" i="26"/>
  <c r="G126" i="26"/>
  <c r="E126" i="26"/>
  <c r="C126" i="26"/>
  <c r="S220" i="26"/>
  <c r="S211" i="26"/>
  <c r="S213" i="26" s="1"/>
  <c r="Q211" i="26"/>
  <c r="Q213" i="26" s="1"/>
  <c r="N211" i="26"/>
  <c r="N213" i="26" s="1"/>
  <c r="L211" i="26"/>
  <c r="L213" i="26" s="1"/>
  <c r="B211" i="26"/>
  <c r="R209" i="26"/>
  <c r="O209" i="26"/>
  <c r="T208" i="26"/>
  <c r="R208" i="26"/>
  <c r="M208" i="26"/>
  <c r="T207" i="26"/>
  <c r="R207" i="26"/>
  <c r="O207" i="26"/>
  <c r="M207" i="26"/>
  <c r="T206" i="26"/>
  <c r="R206" i="26"/>
  <c r="O206" i="26"/>
  <c r="M206" i="26"/>
  <c r="T205" i="26"/>
  <c r="R205" i="26"/>
  <c r="O205" i="26"/>
  <c r="M205" i="26"/>
  <c r="T204" i="26"/>
  <c r="M204" i="26"/>
  <c r="S198" i="26"/>
  <c r="Q198" i="26"/>
  <c r="Q200" i="26" s="1"/>
  <c r="N198" i="26"/>
  <c r="N200" i="26" s="1"/>
  <c r="L198" i="26"/>
  <c r="L200" i="26" s="1"/>
  <c r="R197" i="26"/>
  <c r="M197" i="26"/>
  <c r="R196" i="26"/>
  <c r="M196" i="26"/>
  <c r="R195" i="26"/>
  <c r="M195" i="26"/>
  <c r="M194" i="26"/>
  <c r="T193" i="26"/>
  <c r="M192" i="26"/>
  <c r="M191" i="26"/>
  <c r="S166" i="26"/>
  <c r="R166" i="26"/>
  <c r="S146" i="26"/>
  <c r="U138" i="26"/>
  <c r="U136" i="26"/>
  <c r="U127" i="26"/>
  <c r="U122" i="26"/>
  <c r="B109" i="26"/>
  <c r="B160" i="26" s="1"/>
  <c r="B233" i="26" s="1"/>
  <c r="A91" i="26"/>
  <c r="U87" i="26"/>
  <c r="O80" i="26"/>
  <c r="U79" i="26"/>
  <c r="U77" i="26"/>
  <c r="S75" i="26"/>
  <c r="Q75" i="26"/>
  <c r="S171" i="26" s="1"/>
  <c r="M75" i="26"/>
  <c r="M80" i="26" s="1"/>
  <c r="U72" i="26"/>
  <c r="U70" i="26"/>
  <c r="U69" i="26"/>
  <c r="S66" i="26"/>
  <c r="U64" i="26"/>
  <c r="K63" i="26"/>
  <c r="K75" i="26" s="1"/>
  <c r="K80" i="26" s="1"/>
  <c r="R54" i="26"/>
  <c r="R53" i="26"/>
  <c r="U47" i="26"/>
  <c r="O40" i="26"/>
  <c r="K40" i="26"/>
  <c r="G40" i="26"/>
  <c r="C40" i="26"/>
  <c r="Q33" i="26"/>
  <c r="O33" i="26"/>
  <c r="M33" i="26"/>
  <c r="K33" i="26"/>
  <c r="I33" i="26"/>
  <c r="G33" i="26"/>
  <c r="E33" i="26"/>
  <c r="C33" i="26"/>
  <c r="Q32" i="26"/>
  <c r="O32" i="26"/>
  <c r="M32" i="26"/>
  <c r="K32" i="26"/>
  <c r="I32" i="26"/>
  <c r="G32" i="26"/>
  <c r="E32" i="26"/>
  <c r="C32" i="26"/>
  <c r="U31" i="26"/>
  <c r="Q30" i="26"/>
  <c r="O30" i="26"/>
  <c r="M30" i="26"/>
  <c r="K30" i="26"/>
  <c r="I30" i="26"/>
  <c r="G30" i="26"/>
  <c r="E30" i="26"/>
  <c r="C30" i="26"/>
  <c r="Q29" i="26"/>
  <c r="O29" i="26"/>
  <c r="M29" i="26"/>
  <c r="K29" i="26"/>
  <c r="I29" i="26"/>
  <c r="G29" i="26"/>
  <c r="E29" i="26"/>
  <c r="C29" i="26"/>
  <c r="N198" i="25"/>
  <c r="S198" i="25"/>
  <c r="U84" i="25"/>
  <c r="U91" i="25"/>
  <c r="O69" i="25"/>
  <c r="O66" i="25"/>
  <c r="O72" i="25"/>
  <c r="O63" i="25"/>
  <c r="O41" i="25"/>
  <c r="K41" i="25"/>
  <c r="G41" i="25"/>
  <c r="C41" i="25"/>
  <c r="I126" i="25"/>
  <c r="G126" i="25"/>
  <c r="E126" i="25"/>
  <c r="C126" i="25"/>
  <c r="U126" i="25"/>
  <c r="N211" i="25"/>
  <c r="S211" i="25"/>
  <c r="S220" i="25"/>
  <c r="C29" i="25"/>
  <c r="E29" i="25"/>
  <c r="G29" i="25"/>
  <c r="I29" i="25"/>
  <c r="K29" i="25"/>
  <c r="M29" i="25"/>
  <c r="O29" i="25"/>
  <c r="Q29" i="25"/>
  <c r="C30" i="25"/>
  <c r="E30" i="25"/>
  <c r="G30" i="25"/>
  <c r="I30" i="25"/>
  <c r="K30" i="25"/>
  <c r="M30" i="25"/>
  <c r="O30" i="25"/>
  <c r="Q30" i="25"/>
  <c r="U31" i="25"/>
  <c r="C32" i="25"/>
  <c r="E32" i="25"/>
  <c r="G32" i="25"/>
  <c r="I32" i="25"/>
  <c r="K32" i="25"/>
  <c r="M32" i="25"/>
  <c r="O32" i="25"/>
  <c r="Q32" i="25"/>
  <c r="C33" i="25"/>
  <c r="E33" i="25"/>
  <c r="G33" i="25"/>
  <c r="I33" i="25"/>
  <c r="K33" i="25"/>
  <c r="M33" i="25"/>
  <c r="O33" i="25"/>
  <c r="Q33" i="25"/>
  <c r="C40" i="25"/>
  <c r="G40" i="25"/>
  <c r="K40" i="25"/>
  <c r="O40" i="25"/>
  <c r="U47" i="25"/>
  <c r="R53" i="25"/>
  <c r="R54" i="25"/>
  <c r="K63" i="25"/>
  <c r="U63" i="25"/>
  <c r="U64" i="25"/>
  <c r="S66" i="25"/>
  <c r="U70" i="25"/>
  <c r="U72" i="25"/>
  <c r="K75" i="25"/>
  <c r="M75" i="25"/>
  <c r="M80" i="25"/>
  <c r="Q75" i="25"/>
  <c r="S171" i="25" s="1"/>
  <c r="S75" i="25"/>
  <c r="U77" i="25"/>
  <c r="U79" i="25"/>
  <c r="K80" i="25"/>
  <c r="O80" i="25"/>
  <c r="U87" i="25"/>
  <c r="A91" i="25"/>
  <c r="B109" i="25"/>
  <c r="B160" i="25" s="1"/>
  <c r="B233" i="25" s="1"/>
  <c r="U122" i="25"/>
  <c r="U127" i="25"/>
  <c r="U136" i="25"/>
  <c r="U138" i="25"/>
  <c r="S146" i="25"/>
  <c r="R166" i="25"/>
  <c r="S166" i="25"/>
  <c r="L198" i="25"/>
  <c r="M196" i="25" s="1"/>
  <c r="O191" i="25"/>
  <c r="Q198" i="25"/>
  <c r="O192" i="25"/>
  <c r="O193" i="25"/>
  <c r="O194" i="25"/>
  <c r="O195" i="25"/>
  <c r="O196" i="25"/>
  <c r="O197" i="25"/>
  <c r="T193" i="25"/>
  <c r="T196" i="25"/>
  <c r="N200" i="25"/>
  <c r="S200" i="25"/>
  <c r="L211" i="25"/>
  <c r="M205" i="25" s="1"/>
  <c r="Q211" i="25"/>
  <c r="T206" i="25"/>
  <c r="B211" i="25"/>
  <c r="S175" i="3"/>
  <c r="S175" i="4" s="1"/>
  <c r="S175" i="5" s="1"/>
  <c r="S176" i="6" s="1"/>
  <c r="S176" i="7" s="1"/>
  <c r="S176" i="8" s="1"/>
  <c r="S176" i="9" s="1"/>
  <c r="S176" i="10" s="1"/>
  <c r="S176" i="11" s="1"/>
  <c r="S176" i="12" s="1"/>
  <c r="S176" i="13" s="1"/>
  <c r="S176" i="14" s="1"/>
  <c r="S177" i="15" s="1"/>
  <c r="S176" i="16" s="1"/>
  <c r="S176" i="17" s="1"/>
  <c r="S176" i="18" s="1"/>
  <c r="S176" i="19" s="1"/>
  <c r="S175" i="20" s="1"/>
  <c r="S175" i="21" s="1"/>
  <c r="S175" i="22" s="1"/>
  <c r="S175" i="23" s="1"/>
  <c r="S175" i="24" s="1"/>
  <c r="S175" i="25" s="1"/>
  <c r="S175" i="26" s="1"/>
  <c r="S175" i="27" s="1"/>
  <c r="S175" i="28" s="1"/>
  <c r="S175" i="29" s="1"/>
  <c r="S175" i="30" s="1"/>
  <c r="S175" i="31" s="1"/>
  <c r="S175" i="32" s="1"/>
  <c r="S175" i="33" s="1"/>
  <c r="S175" i="34" s="1"/>
  <c r="S175" i="35" s="1"/>
  <c r="S175" i="36" s="1"/>
  <c r="S175" i="37" s="1"/>
  <c r="S175" i="38" s="1"/>
  <c r="S175" i="39" s="1"/>
  <c r="S175" i="40" s="1"/>
  <c r="S175" i="41" s="1"/>
  <c r="S175" i="42" s="1"/>
  <c r="S175" i="43" s="1"/>
  <c r="S175" i="44" s="1"/>
  <c r="S175" i="45" s="1"/>
  <c r="N198" i="24"/>
  <c r="S198" i="24"/>
  <c r="S200" i="24" s="1"/>
  <c r="N211" i="24"/>
  <c r="S211" i="24"/>
  <c r="T204" i="24" s="1"/>
  <c r="S220" i="24"/>
  <c r="Q33" i="24"/>
  <c r="O33" i="24"/>
  <c r="M33" i="24"/>
  <c r="K33" i="24"/>
  <c r="I33" i="24"/>
  <c r="G33" i="24"/>
  <c r="E33" i="24"/>
  <c r="C33" i="24"/>
  <c r="I126" i="24"/>
  <c r="G126" i="24"/>
  <c r="E126" i="24"/>
  <c r="C126" i="24"/>
  <c r="U84" i="24"/>
  <c r="U83" i="24"/>
  <c r="U87" i="24"/>
  <c r="U91" i="24"/>
  <c r="O63" i="24"/>
  <c r="U63" i="24" s="1"/>
  <c r="O69" i="24"/>
  <c r="O66" i="24"/>
  <c r="O72" i="24"/>
  <c r="U72" i="24" s="1"/>
  <c r="O41" i="24"/>
  <c r="K41" i="24"/>
  <c r="G41" i="24"/>
  <c r="C41" i="24"/>
  <c r="C29" i="24"/>
  <c r="E29" i="24"/>
  <c r="G29" i="24"/>
  <c r="I29" i="24"/>
  <c r="K29" i="24"/>
  <c r="M29" i="24"/>
  <c r="O29" i="24"/>
  <c r="Q29" i="24"/>
  <c r="C30" i="24"/>
  <c r="E30" i="24"/>
  <c r="G30" i="24"/>
  <c r="I30" i="24"/>
  <c r="K30" i="24"/>
  <c r="M30" i="24"/>
  <c r="O30" i="24"/>
  <c r="Q30" i="24"/>
  <c r="U31" i="24"/>
  <c r="C32" i="24"/>
  <c r="E32" i="24"/>
  <c r="G32" i="24"/>
  <c r="I32" i="24"/>
  <c r="K32" i="24"/>
  <c r="M32" i="24"/>
  <c r="O32" i="24"/>
  <c r="Q32" i="24"/>
  <c r="C40" i="24"/>
  <c r="G40" i="24"/>
  <c r="K40" i="24"/>
  <c r="O40" i="24"/>
  <c r="U47" i="24"/>
  <c r="R53" i="24"/>
  <c r="R54" i="24"/>
  <c r="K63" i="24"/>
  <c r="K75" i="24" s="1"/>
  <c r="K80" i="24" s="1"/>
  <c r="U64" i="24"/>
  <c r="S66" i="24"/>
  <c r="U70" i="24"/>
  <c r="M75" i="24"/>
  <c r="M80" i="24" s="1"/>
  <c r="Q75" i="24"/>
  <c r="S171" i="24" s="1"/>
  <c r="S75" i="24"/>
  <c r="U77" i="24"/>
  <c r="U79" i="24"/>
  <c r="O80" i="24"/>
  <c r="A91" i="24"/>
  <c r="B109" i="24"/>
  <c r="B160" i="24" s="1"/>
  <c r="B233" i="24" s="1"/>
  <c r="U122" i="24"/>
  <c r="U127" i="24"/>
  <c r="U136" i="24"/>
  <c r="U138" i="24"/>
  <c r="S146" i="24"/>
  <c r="R166" i="24"/>
  <c r="S166" i="24"/>
  <c r="L198" i="24"/>
  <c r="M193" i="24" s="1"/>
  <c r="M194" i="24"/>
  <c r="Q198" i="24"/>
  <c r="T191" i="24"/>
  <c r="T193" i="24"/>
  <c r="T195" i="24"/>
  <c r="T197" i="24"/>
  <c r="L200" i="24"/>
  <c r="L211" i="24"/>
  <c r="M205" i="24" s="1"/>
  <c r="O204" i="24"/>
  <c r="Q211" i="24"/>
  <c r="R206" i="24" s="1"/>
  <c r="O206" i="24"/>
  <c r="O208" i="24"/>
  <c r="O210" i="24"/>
  <c r="B211" i="24"/>
  <c r="L213" i="24"/>
  <c r="U83" i="23"/>
  <c r="O66" i="23"/>
  <c r="N211" i="23"/>
  <c r="U91" i="23"/>
  <c r="U84" i="23"/>
  <c r="O63" i="23"/>
  <c r="O72" i="23"/>
  <c r="O69" i="23"/>
  <c r="U69" i="23" s="1"/>
  <c r="Q32" i="23"/>
  <c r="M32" i="23"/>
  <c r="I32" i="23"/>
  <c r="O32" i="23"/>
  <c r="K32" i="23"/>
  <c r="G32" i="23"/>
  <c r="Q33" i="23"/>
  <c r="M33" i="23"/>
  <c r="I33" i="23"/>
  <c r="E33" i="23"/>
  <c r="O33" i="23"/>
  <c r="K33" i="23"/>
  <c r="G33" i="23"/>
  <c r="C33" i="23"/>
  <c r="Q29" i="23"/>
  <c r="M29" i="23"/>
  <c r="I29" i="23"/>
  <c r="O29" i="23"/>
  <c r="K29" i="23"/>
  <c r="G29" i="23"/>
  <c r="C29" i="23"/>
  <c r="Q30" i="23"/>
  <c r="M30" i="23"/>
  <c r="I30" i="23"/>
  <c r="E30" i="23"/>
  <c r="O30" i="23"/>
  <c r="K30" i="23"/>
  <c r="G30" i="23"/>
  <c r="C30" i="23"/>
  <c r="N198" i="23"/>
  <c r="O194" i="23" s="1"/>
  <c r="S198" i="23"/>
  <c r="S211" i="23"/>
  <c r="O41" i="23"/>
  <c r="K41" i="23"/>
  <c r="G41" i="23"/>
  <c r="C41" i="23"/>
  <c r="I126" i="23"/>
  <c r="G126" i="23"/>
  <c r="E126" i="23"/>
  <c r="C126" i="23"/>
  <c r="S220" i="23"/>
  <c r="E29" i="23"/>
  <c r="U31" i="23"/>
  <c r="C32" i="23"/>
  <c r="E32" i="23"/>
  <c r="C40" i="23"/>
  <c r="G40" i="23"/>
  <c r="K40" i="23"/>
  <c r="O40" i="23"/>
  <c r="U47" i="23"/>
  <c r="R53" i="23"/>
  <c r="R54" i="23"/>
  <c r="K63" i="23"/>
  <c r="K75" i="23"/>
  <c r="K80" i="23" s="1"/>
  <c r="U64" i="23"/>
  <c r="S66" i="23"/>
  <c r="U70" i="23"/>
  <c r="U72" i="23"/>
  <c r="M75" i="23"/>
  <c r="M80" i="23" s="1"/>
  <c r="Q75" i="23"/>
  <c r="S75" i="23"/>
  <c r="U77" i="23"/>
  <c r="U79" i="23"/>
  <c r="O80" i="23"/>
  <c r="U87" i="23"/>
  <c r="A91" i="23"/>
  <c r="B109" i="23"/>
  <c r="U122" i="23"/>
  <c r="U127" i="23"/>
  <c r="U136" i="23"/>
  <c r="U138" i="23"/>
  <c r="S146" i="23"/>
  <c r="B160" i="23"/>
  <c r="B233" i="23" s="1"/>
  <c r="R166" i="23"/>
  <c r="S166" i="23"/>
  <c r="S171" i="23"/>
  <c r="L198" i="23"/>
  <c r="Q198" i="23"/>
  <c r="T191" i="23"/>
  <c r="O192" i="23"/>
  <c r="T192" i="23"/>
  <c r="T193" i="23"/>
  <c r="T194" i="23"/>
  <c r="T195" i="23"/>
  <c r="T196" i="23"/>
  <c r="T197" i="23"/>
  <c r="S200" i="23"/>
  <c r="L211" i="23"/>
  <c r="M204" i="23" s="1"/>
  <c r="Q211" i="23"/>
  <c r="Q213" i="23" s="1"/>
  <c r="M205" i="23"/>
  <c r="O205" i="23"/>
  <c r="O206" i="23"/>
  <c r="O207" i="23"/>
  <c r="O208" i="23"/>
  <c r="O209" i="23"/>
  <c r="T209" i="23"/>
  <c r="O210" i="23"/>
  <c r="B211" i="23"/>
  <c r="S213" i="23"/>
  <c r="O69" i="22"/>
  <c r="O63" i="22"/>
  <c r="U63" i="22" s="1"/>
  <c r="S198" i="22"/>
  <c r="S211" i="22"/>
  <c r="N211" i="22"/>
  <c r="N198" i="22"/>
  <c r="S220" i="22"/>
  <c r="I126" i="22"/>
  <c r="G126" i="22"/>
  <c r="E126" i="22"/>
  <c r="C126" i="22"/>
  <c r="U127" i="22"/>
  <c r="U84" i="22"/>
  <c r="U87" i="22"/>
  <c r="U91" i="22"/>
  <c r="O66" i="22"/>
  <c r="O72" i="22"/>
  <c r="U72" i="22"/>
  <c r="O41" i="22"/>
  <c r="K41" i="22"/>
  <c r="G41" i="22"/>
  <c r="C41" i="22"/>
  <c r="C29" i="22"/>
  <c r="E29" i="22"/>
  <c r="C30" i="22"/>
  <c r="E30" i="22"/>
  <c r="U31" i="22"/>
  <c r="C32" i="22"/>
  <c r="E32" i="22"/>
  <c r="U32" i="22" s="1"/>
  <c r="C33" i="22"/>
  <c r="U33" i="22" s="1"/>
  <c r="S223" i="22" s="1"/>
  <c r="E33" i="22"/>
  <c r="C40" i="22"/>
  <c r="G40" i="22"/>
  <c r="K40" i="22"/>
  <c r="O40" i="22"/>
  <c r="U47" i="22"/>
  <c r="R53" i="22"/>
  <c r="R54" i="22"/>
  <c r="K63" i="22"/>
  <c r="K75" i="22" s="1"/>
  <c r="K80" i="22" s="1"/>
  <c r="U64" i="22"/>
  <c r="S66" i="22"/>
  <c r="U69" i="22"/>
  <c r="U70" i="22"/>
  <c r="M75" i="22"/>
  <c r="M80" i="22" s="1"/>
  <c r="Q75" i="22"/>
  <c r="S75" i="22"/>
  <c r="U77" i="22"/>
  <c r="U79" i="22"/>
  <c r="O80" i="22"/>
  <c r="A91" i="22"/>
  <c r="B109" i="22"/>
  <c r="B160" i="22" s="1"/>
  <c r="B233" i="22" s="1"/>
  <c r="U122" i="22"/>
  <c r="U136" i="22"/>
  <c r="U138" i="22"/>
  <c r="S146" i="22"/>
  <c r="R166" i="22"/>
  <c r="S166" i="22"/>
  <c r="S171" i="22"/>
  <c r="L198" i="22"/>
  <c r="M194" i="22" s="1"/>
  <c r="O191" i="22"/>
  <c r="Q198" i="22"/>
  <c r="O192" i="22"/>
  <c r="O193" i="22"/>
  <c r="O195" i="22"/>
  <c r="T195" i="22"/>
  <c r="T197" i="22"/>
  <c r="N200" i="22"/>
  <c r="L211" i="22"/>
  <c r="M207" i="22"/>
  <c r="Q211" i="22"/>
  <c r="R209" i="22" s="1"/>
  <c r="T205" i="22"/>
  <c r="O206" i="22"/>
  <c r="O208" i="22"/>
  <c r="O210" i="22"/>
  <c r="B211" i="22"/>
  <c r="N213" i="22"/>
  <c r="S213" i="22"/>
  <c r="S198" i="21"/>
  <c r="S200" i="21" s="1"/>
  <c r="S211" i="21"/>
  <c r="N198" i="21"/>
  <c r="N211" i="21"/>
  <c r="N213" i="21" s="1"/>
  <c r="I126" i="21"/>
  <c r="G126" i="21"/>
  <c r="E126" i="21"/>
  <c r="C126" i="21"/>
  <c r="U127" i="21"/>
  <c r="U84" i="21"/>
  <c r="U87" i="21" s="1"/>
  <c r="U91" i="21"/>
  <c r="O69" i="21"/>
  <c r="O72" i="21"/>
  <c r="U72" i="21"/>
  <c r="O63" i="21"/>
  <c r="O41" i="21"/>
  <c r="K41" i="21"/>
  <c r="G41" i="21"/>
  <c r="C41" i="21"/>
  <c r="C126" i="2"/>
  <c r="E126" i="2"/>
  <c r="G126" i="2"/>
  <c r="U126" i="2" s="1"/>
  <c r="I126" i="2"/>
  <c r="C126" i="3"/>
  <c r="E126" i="3"/>
  <c r="G126" i="3"/>
  <c r="U126" i="3" s="1"/>
  <c r="I126" i="3"/>
  <c r="C126" i="4"/>
  <c r="E126" i="4"/>
  <c r="G126" i="4"/>
  <c r="I126" i="4"/>
  <c r="C126" i="5"/>
  <c r="E126" i="5"/>
  <c r="G126" i="5"/>
  <c r="I126" i="5"/>
  <c r="C127" i="6"/>
  <c r="E127" i="6"/>
  <c r="G127" i="6"/>
  <c r="I127" i="6"/>
  <c r="C127" i="7"/>
  <c r="E127" i="7"/>
  <c r="G127" i="7"/>
  <c r="I127" i="7"/>
  <c r="U127" i="7"/>
  <c r="C127" i="8"/>
  <c r="E127" i="8"/>
  <c r="G127" i="8"/>
  <c r="I127" i="8"/>
  <c r="C127" i="9"/>
  <c r="E127" i="9"/>
  <c r="G127" i="9"/>
  <c r="I127" i="9"/>
  <c r="C127" i="10"/>
  <c r="E127" i="10"/>
  <c r="G127" i="10"/>
  <c r="I127" i="10"/>
  <c r="C127" i="11"/>
  <c r="E127" i="11"/>
  <c r="G127" i="11"/>
  <c r="I127" i="11"/>
  <c r="C127" i="12"/>
  <c r="E127" i="12"/>
  <c r="G127" i="12"/>
  <c r="I127" i="12"/>
  <c r="C127" i="13"/>
  <c r="E127" i="13"/>
  <c r="G127" i="13"/>
  <c r="I127" i="13"/>
  <c r="U127" i="13" s="1"/>
  <c r="C127" i="14"/>
  <c r="E127" i="14"/>
  <c r="G127" i="14"/>
  <c r="I127" i="14"/>
  <c r="C128" i="15"/>
  <c r="E128" i="15"/>
  <c r="G128" i="15"/>
  <c r="U128" i="15" s="1"/>
  <c r="I128" i="15"/>
  <c r="C127" i="16"/>
  <c r="E127" i="16"/>
  <c r="G127" i="16"/>
  <c r="I127" i="16"/>
  <c r="C127" i="17"/>
  <c r="E127" i="17"/>
  <c r="G127" i="17"/>
  <c r="I127" i="17"/>
  <c r="U128" i="17"/>
  <c r="C127" i="18"/>
  <c r="E127" i="18"/>
  <c r="G127" i="18"/>
  <c r="I127" i="18"/>
  <c r="C127" i="19"/>
  <c r="E127" i="19"/>
  <c r="G127" i="19"/>
  <c r="I127" i="19"/>
  <c r="U128" i="19"/>
  <c r="C126" i="20"/>
  <c r="E126" i="20"/>
  <c r="G126" i="20"/>
  <c r="I126" i="20"/>
  <c r="S220" i="21"/>
  <c r="C29" i="21"/>
  <c r="E29" i="21"/>
  <c r="C30" i="21"/>
  <c r="E30" i="21"/>
  <c r="U31" i="21"/>
  <c r="C32" i="21"/>
  <c r="E32" i="21"/>
  <c r="U32" i="21" s="1"/>
  <c r="C33" i="21"/>
  <c r="E33" i="21"/>
  <c r="C40" i="21"/>
  <c r="G40" i="21"/>
  <c r="K40" i="21"/>
  <c r="O40" i="21"/>
  <c r="U47" i="21"/>
  <c r="R53" i="21"/>
  <c r="R54" i="21"/>
  <c r="K63" i="21"/>
  <c r="K75" i="21" s="1"/>
  <c r="K80" i="21" s="1"/>
  <c r="U64" i="21"/>
  <c r="S66" i="21"/>
  <c r="U66" i="21" s="1"/>
  <c r="U69" i="21"/>
  <c r="U70" i="21"/>
  <c r="M75" i="21"/>
  <c r="M80" i="21" s="1"/>
  <c r="Q75" i="21"/>
  <c r="S171" i="21" s="1"/>
  <c r="S75" i="21"/>
  <c r="U77" i="21"/>
  <c r="U79" i="21"/>
  <c r="O80" i="21"/>
  <c r="A91" i="21"/>
  <c r="B109" i="21"/>
  <c r="B160" i="21" s="1"/>
  <c r="B233" i="21" s="1"/>
  <c r="U122" i="21"/>
  <c r="U136" i="21"/>
  <c r="U138" i="21"/>
  <c r="S146" i="21"/>
  <c r="R166" i="21"/>
  <c r="S166" i="21"/>
  <c r="L198" i="21"/>
  <c r="Q198" i="21"/>
  <c r="T191" i="21"/>
  <c r="T192" i="21"/>
  <c r="T193" i="21"/>
  <c r="T194" i="21"/>
  <c r="T195" i="21"/>
  <c r="T196" i="21"/>
  <c r="T197" i="21"/>
  <c r="L200" i="21"/>
  <c r="L211" i="21"/>
  <c r="O204" i="21"/>
  <c r="Q211" i="21"/>
  <c r="R204" i="21" s="1"/>
  <c r="M205" i="21"/>
  <c r="O205" i="21"/>
  <c r="T205" i="21"/>
  <c r="O206" i="21"/>
  <c r="O207" i="21"/>
  <c r="O208" i="21"/>
  <c r="T208" i="21"/>
  <c r="O209" i="21"/>
  <c r="T209" i="21"/>
  <c r="O210" i="21"/>
  <c r="B211" i="21"/>
  <c r="S211" i="20"/>
  <c r="S213" i="20" s="1"/>
  <c r="S198" i="20"/>
  <c r="N198" i="20"/>
  <c r="U84" i="20"/>
  <c r="U87" i="20"/>
  <c r="U91" i="20"/>
  <c r="O72" i="20"/>
  <c r="O69" i="20"/>
  <c r="O63" i="20"/>
  <c r="O41" i="20"/>
  <c r="K41" i="20"/>
  <c r="G41" i="20"/>
  <c r="C41" i="20"/>
  <c r="U127" i="20"/>
  <c r="N211" i="20"/>
  <c r="O204" i="20" s="1"/>
  <c r="O205" i="20"/>
  <c r="O206" i="20"/>
  <c r="O207" i="20"/>
  <c r="O208" i="20"/>
  <c r="O209" i="20"/>
  <c r="O210" i="20"/>
  <c r="S220" i="20"/>
  <c r="C29" i="20"/>
  <c r="E29" i="20"/>
  <c r="C30" i="20"/>
  <c r="E30" i="20"/>
  <c r="U31" i="20"/>
  <c r="C32" i="20"/>
  <c r="E32" i="20"/>
  <c r="U32" i="20" s="1"/>
  <c r="C33" i="20"/>
  <c r="U48" i="20"/>
  <c r="E33" i="20"/>
  <c r="C40" i="20"/>
  <c r="G40" i="20"/>
  <c r="K40" i="20"/>
  <c r="O40" i="20"/>
  <c r="U47" i="20"/>
  <c r="R53" i="20"/>
  <c r="R54" i="20"/>
  <c r="K63" i="20"/>
  <c r="U63" i="20"/>
  <c r="U64" i="20"/>
  <c r="S66" i="20"/>
  <c r="U66" i="20" s="1"/>
  <c r="U69" i="20"/>
  <c r="U70" i="20"/>
  <c r="K75" i="20"/>
  <c r="K80" i="20" s="1"/>
  <c r="M75" i="20"/>
  <c r="M80" i="20" s="1"/>
  <c r="Q75" i="20"/>
  <c r="S171" i="20" s="1"/>
  <c r="S75" i="20"/>
  <c r="U77" i="20"/>
  <c r="U79" i="20"/>
  <c r="O80" i="20"/>
  <c r="A91" i="20"/>
  <c r="B109" i="20"/>
  <c r="B160" i="20" s="1"/>
  <c r="B233" i="20" s="1"/>
  <c r="U122" i="20"/>
  <c r="U136" i="20"/>
  <c r="U138" i="20"/>
  <c r="S146" i="20"/>
  <c r="R166" i="20"/>
  <c r="S166" i="20"/>
  <c r="L198" i="20"/>
  <c r="L200" i="20" s="1"/>
  <c r="Q198" i="20"/>
  <c r="Q200" i="20" s="1"/>
  <c r="T192" i="20"/>
  <c r="T194" i="20"/>
  <c r="T196" i="20"/>
  <c r="S200" i="20"/>
  <c r="L211" i="20"/>
  <c r="Q211" i="20"/>
  <c r="T204" i="20"/>
  <c r="T205" i="20"/>
  <c r="T206" i="20"/>
  <c r="T207" i="20"/>
  <c r="T208" i="20"/>
  <c r="T209" i="20"/>
  <c r="T210" i="20"/>
  <c r="B211" i="20"/>
  <c r="N213" i="20"/>
  <c r="O70" i="19"/>
  <c r="U70" i="19" s="1"/>
  <c r="N212" i="19"/>
  <c r="N214" i="19" s="1"/>
  <c r="U85" i="19"/>
  <c r="U88" i="19" s="1"/>
  <c r="U92" i="19"/>
  <c r="O73" i="19"/>
  <c r="O76" i="19" s="1"/>
  <c r="O64" i="19"/>
  <c r="O41" i="19"/>
  <c r="K41" i="19"/>
  <c r="G41" i="19"/>
  <c r="C41" i="19"/>
  <c r="N199" i="19"/>
  <c r="O193" i="19" s="1"/>
  <c r="S199" i="19"/>
  <c r="S201" i="19" s="1"/>
  <c r="S212" i="19"/>
  <c r="T206" i="19" s="1"/>
  <c r="S221" i="19"/>
  <c r="C29" i="19"/>
  <c r="E29" i="19"/>
  <c r="C30" i="19"/>
  <c r="E30" i="19"/>
  <c r="U31" i="19"/>
  <c r="C32" i="19"/>
  <c r="E32" i="19"/>
  <c r="U32" i="19" s="1"/>
  <c r="C33" i="19"/>
  <c r="E33" i="19"/>
  <c r="U33" i="19" s="1"/>
  <c r="S224" i="19" s="1"/>
  <c r="C40" i="19"/>
  <c r="G40" i="19"/>
  <c r="K40" i="19"/>
  <c r="O40" i="19"/>
  <c r="U47" i="19"/>
  <c r="R53" i="19"/>
  <c r="R54" i="19"/>
  <c r="K64" i="19"/>
  <c r="K76" i="19" s="1"/>
  <c r="K81" i="19" s="1"/>
  <c r="U64" i="19"/>
  <c r="U65" i="19"/>
  <c r="S67" i="19"/>
  <c r="U67" i="19"/>
  <c r="U71" i="19"/>
  <c r="U73" i="19"/>
  <c r="M76" i="19"/>
  <c r="M81" i="19"/>
  <c r="Q76" i="19"/>
  <c r="S172" i="19" s="1"/>
  <c r="S76" i="19"/>
  <c r="U78" i="19"/>
  <c r="U80" i="19"/>
  <c r="O81" i="19"/>
  <c r="A92" i="19"/>
  <c r="B110" i="19"/>
  <c r="B161" i="19" s="1"/>
  <c r="B234" i="19" s="1"/>
  <c r="U123" i="19"/>
  <c r="U137" i="19"/>
  <c r="U139" i="19"/>
  <c r="S147" i="19"/>
  <c r="R167" i="19"/>
  <c r="S167" i="19"/>
  <c r="L199" i="19"/>
  <c r="L201" i="19"/>
  <c r="Q199" i="19"/>
  <c r="T192" i="19"/>
  <c r="T193" i="19"/>
  <c r="O194" i="19"/>
  <c r="T194" i="19"/>
  <c r="O195" i="19"/>
  <c r="T195" i="19"/>
  <c r="O196" i="19"/>
  <c r="T196" i="19"/>
  <c r="O197" i="19"/>
  <c r="T197" i="19"/>
  <c r="O198" i="19"/>
  <c r="T198" i="19"/>
  <c r="L212" i="19"/>
  <c r="M208" i="19" s="1"/>
  <c r="O205" i="19"/>
  <c r="Q212" i="19"/>
  <c r="R209" i="19" s="1"/>
  <c r="O206" i="19"/>
  <c r="O207" i="19"/>
  <c r="O208" i="19"/>
  <c r="M209" i="19"/>
  <c r="O209" i="19"/>
  <c r="M210" i="19"/>
  <c r="O210" i="19"/>
  <c r="O211" i="19"/>
  <c r="B212" i="19"/>
  <c r="L214" i="19"/>
  <c r="O64" i="18"/>
  <c r="S199" i="18"/>
  <c r="S201" i="18" s="1"/>
  <c r="S212" i="18"/>
  <c r="N212" i="18"/>
  <c r="S220" i="18" s="1"/>
  <c r="N199" i="18"/>
  <c r="O41" i="18"/>
  <c r="K41" i="18"/>
  <c r="G41" i="18"/>
  <c r="C41" i="18"/>
  <c r="U85" i="18"/>
  <c r="E32" i="18"/>
  <c r="U32" i="18" s="1"/>
  <c r="C32" i="18"/>
  <c r="U92" i="18"/>
  <c r="U78" i="18"/>
  <c r="U64" i="18"/>
  <c r="O67" i="18"/>
  <c r="O70" i="18"/>
  <c r="O73" i="18"/>
  <c r="U128" i="18"/>
  <c r="C29" i="18"/>
  <c r="E29" i="18"/>
  <c r="C30" i="18"/>
  <c r="E30" i="18"/>
  <c r="U31" i="18"/>
  <c r="C33" i="18"/>
  <c r="E33" i="18"/>
  <c r="C40" i="18"/>
  <c r="G40" i="18"/>
  <c r="K40" i="18"/>
  <c r="O40" i="18"/>
  <c r="U47" i="18"/>
  <c r="R53" i="18"/>
  <c r="R54" i="18"/>
  <c r="K64" i="18"/>
  <c r="K76" i="18" s="1"/>
  <c r="K81" i="18" s="1"/>
  <c r="U65" i="18"/>
  <c r="S67" i="18"/>
  <c r="U70" i="18"/>
  <c r="U71" i="18"/>
  <c r="M76" i="18"/>
  <c r="Q76" i="18"/>
  <c r="S76" i="18"/>
  <c r="U80" i="18"/>
  <c r="M81" i="18"/>
  <c r="O81" i="18"/>
  <c r="U88" i="18"/>
  <c r="A92" i="18"/>
  <c r="B110" i="18"/>
  <c r="B161" i="18" s="1"/>
  <c r="B234" i="18" s="1"/>
  <c r="U123" i="18"/>
  <c r="U137" i="18"/>
  <c r="U139" i="18"/>
  <c r="S147" i="18"/>
  <c r="R167" i="18"/>
  <c r="S167" i="18"/>
  <c r="S172" i="18"/>
  <c r="L199" i="18"/>
  <c r="M192" i="18" s="1"/>
  <c r="O192" i="18"/>
  <c r="Q199" i="18"/>
  <c r="O193" i="18"/>
  <c r="O194" i="18"/>
  <c r="O195" i="18"/>
  <c r="O196" i="18"/>
  <c r="O197" i="18"/>
  <c r="O198" i="18"/>
  <c r="N201" i="18"/>
  <c r="L212" i="18"/>
  <c r="M208" i="18" s="1"/>
  <c r="Q212" i="18"/>
  <c r="T205" i="18"/>
  <c r="T206" i="18"/>
  <c r="T207" i="18"/>
  <c r="T208" i="18"/>
  <c r="T209" i="18"/>
  <c r="O210" i="18"/>
  <c r="T210" i="18"/>
  <c r="T211" i="18"/>
  <c r="B212" i="18"/>
  <c r="S214" i="18"/>
  <c r="S221" i="18"/>
  <c r="O67" i="17"/>
  <c r="O73" i="17"/>
  <c r="U73" i="17" s="1"/>
  <c r="O41" i="17"/>
  <c r="K41" i="17"/>
  <c r="G41" i="17"/>
  <c r="C41" i="17"/>
  <c r="N212" i="17"/>
  <c r="N214" i="17" s="1"/>
  <c r="U85" i="17"/>
  <c r="E32" i="17"/>
  <c r="U32" i="17" s="1"/>
  <c r="C32" i="17"/>
  <c r="U92" i="17"/>
  <c r="O70" i="17"/>
  <c r="U70" i="17" s="1"/>
  <c r="O64" i="17"/>
  <c r="U64" i="17" s="1"/>
  <c r="U65" i="17"/>
  <c r="S67" i="17"/>
  <c r="U67" i="17" s="1"/>
  <c r="U71" i="17"/>
  <c r="N199" i="17"/>
  <c r="S199" i="17"/>
  <c r="S212" i="17"/>
  <c r="S221" i="17"/>
  <c r="C29" i="17"/>
  <c r="E29" i="17"/>
  <c r="C30" i="17"/>
  <c r="E30" i="17"/>
  <c r="U31" i="17"/>
  <c r="C33" i="17"/>
  <c r="E33" i="17"/>
  <c r="C40" i="17"/>
  <c r="G40" i="17"/>
  <c r="K40" i="17"/>
  <c r="O40" i="17"/>
  <c r="U47" i="17"/>
  <c r="R53" i="17"/>
  <c r="R54" i="17"/>
  <c r="K64" i="17"/>
  <c r="K76" i="17" s="1"/>
  <c r="K81" i="17" s="1"/>
  <c r="M76" i="17"/>
  <c r="M81" i="17" s="1"/>
  <c r="Q76" i="17"/>
  <c r="S172" i="17" s="1"/>
  <c r="S76" i="17"/>
  <c r="U78" i="17"/>
  <c r="U80" i="17"/>
  <c r="O81" i="17"/>
  <c r="U88" i="17"/>
  <c r="A92" i="17"/>
  <c r="B110" i="17"/>
  <c r="B161" i="17" s="1"/>
  <c r="B234" i="17" s="1"/>
  <c r="U123" i="17"/>
  <c r="U137" i="17"/>
  <c r="U139" i="17"/>
  <c r="S147" i="17"/>
  <c r="R167" i="17"/>
  <c r="S167" i="17"/>
  <c r="L199" i="17"/>
  <c r="M192" i="17"/>
  <c r="Q199" i="17"/>
  <c r="R192" i="17" s="1"/>
  <c r="T192" i="17"/>
  <c r="O193" i="17"/>
  <c r="T193" i="17"/>
  <c r="O194" i="17"/>
  <c r="T194" i="17"/>
  <c r="T195" i="17"/>
  <c r="T196" i="17"/>
  <c r="T197" i="17"/>
  <c r="T198" i="17"/>
  <c r="O195" i="17"/>
  <c r="O196" i="17"/>
  <c r="O197" i="17"/>
  <c r="O198" i="17"/>
  <c r="L201" i="17"/>
  <c r="S201" i="17"/>
  <c r="L212" i="17"/>
  <c r="M207" i="17" s="1"/>
  <c r="M209" i="17"/>
  <c r="O205" i="17"/>
  <c r="Q212" i="17"/>
  <c r="R205" i="17" s="1"/>
  <c r="R211" i="17"/>
  <c r="T205" i="17"/>
  <c r="T208" i="17"/>
  <c r="O206" i="17"/>
  <c r="O207" i="17"/>
  <c r="O208" i="17"/>
  <c r="O209" i="17"/>
  <c r="O210" i="17"/>
  <c r="O211" i="17"/>
  <c r="B212" i="17"/>
  <c r="L214" i="17"/>
  <c r="Q214" i="17"/>
  <c r="O67" i="16"/>
  <c r="N212" i="16"/>
  <c r="U78" i="16"/>
  <c r="S221" i="16"/>
  <c r="S222" i="15"/>
  <c r="U133" i="15" s="1"/>
  <c r="O64" i="16"/>
  <c r="U64" i="16" s="1"/>
  <c r="O70" i="16"/>
  <c r="O73" i="16"/>
  <c r="O76" i="16" s="1"/>
  <c r="Q76" i="16"/>
  <c r="S172" i="16" s="1"/>
  <c r="U92" i="16"/>
  <c r="U65" i="16"/>
  <c r="S67" i="16"/>
  <c r="U67" i="16" s="1"/>
  <c r="U70" i="16"/>
  <c r="U71" i="16"/>
  <c r="U73" i="16"/>
  <c r="U80" i="16"/>
  <c r="E32" i="16"/>
  <c r="U32" i="16" s="1"/>
  <c r="C32" i="16"/>
  <c r="U85" i="16"/>
  <c r="U88" i="16" s="1"/>
  <c r="O41" i="16"/>
  <c r="K41" i="16"/>
  <c r="G41" i="16"/>
  <c r="C41" i="16"/>
  <c r="E29" i="16"/>
  <c r="E30" i="16"/>
  <c r="C29" i="16"/>
  <c r="C30" i="16"/>
  <c r="U128" i="16"/>
  <c r="U129" i="15"/>
  <c r="N199" i="16"/>
  <c r="S199" i="16"/>
  <c r="S212" i="16"/>
  <c r="T205" i="16" s="1"/>
  <c r="E33" i="16"/>
  <c r="U33" i="16" s="1"/>
  <c r="S224" i="16" s="1"/>
  <c r="C33" i="16"/>
  <c r="U31" i="16"/>
  <c r="C40" i="16"/>
  <c r="G40" i="16"/>
  <c r="K40" i="16"/>
  <c r="O40" i="16"/>
  <c r="U47" i="16"/>
  <c r="R53" i="16"/>
  <c r="R54" i="16"/>
  <c r="K64" i="16"/>
  <c r="K76" i="16" s="1"/>
  <c r="K81" i="16" s="1"/>
  <c r="M76" i="16"/>
  <c r="M81" i="16" s="1"/>
  <c r="S76" i="16"/>
  <c r="O81" i="16"/>
  <c r="A92" i="16"/>
  <c r="B110" i="16"/>
  <c r="B161" i="16" s="1"/>
  <c r="B234" i="16" s="1"/>
  <c r="U123" i="16"/>
  <c r="U137" i="16"/>
  <c r="U139" i="16"/>
  <c r="S147" i="16"/>
  <c r="R167" i="16"/>
  <c r="S167" i="16"/>
  <c r="L199" i="16"/>
  <c r="M192" i="16" s="1"/>
  <c r="Q199" i="16"/>
  <c r="R192" i="16" s="1"/>
  <c r="T192" i="16"/>
  <c r="T193" i="16"/>
  <c r="T194" i="16"/>
  <c r="T195" i="16"/>
  <c r="T196" i="16"/>
  <c r="T197" i="16"/>
  <c r="T198" i="16"/>
  <c r="M196" i="16"/>
  <c r="S201" i="16"/>
  <c r="L212" i="16"/>
  <c r="M205" i="16" s="1"/>
  <c r="O210" i="16"/>
  <c r="Q212" i="16"/>
  <c r="R205" i="16" s="1"/>
  <c r="T206" i="16"/>
  <c r="M208" i="16"/>
  <c r="T208" i="16"/>
  <c r="M210" i="16"/>
  <c r="T210" i="16"/>
  <c r="B212" i="16"/>
  <c r="N214" i="16"/>
  <c r="Q214" i="16"/>
  <c r="N200" i="15"/>
  <c r="S200" i="15"/>
  <c r="N213" i="15"/>
  <c r="S213" i="15"/>
  <c r="O41" i="15"/>
  <c r="K41" i="15"/>
  <c r="G41" i="15"/>
  <c r="C41" i="15"/>
  <c r="O64" i="15"/>
  <c r="U64" i="15" s="1"/>
  <c r="U65" i="15"/>
  <c r="S67" i="15"/>
  <c r="U67" i="15" s="1"/>
  <c r="O70" i="15"/>
  <c r="Q70" i="15"/>
  <c r="U71" i="15"/>
  <c r="O73" i="15"/>
  <c r="U73" i="15"/>
  <c r="U78" i="15"/>
  <c r="U84" i="15"/>
  <c r="U89" i="15" s="1"/>
  <c r="U85" i="15"/>
  <c r="U93" i="15"/>
  <c r="E33" i="15"/>
  <c r="C33" i="15"/>
  <c r="E30" i="15"/>
  <c r="C30" i="15"/>
  <c r="Q139" i="1"/>
  <c r="Q137" i="2" s="1"/>
  <c r="Q139" i="2" s="1"/>
  <c r="C126" i="1"/>
  <c r="U126" i="1"/>
  <c r="C127" i="1"/>
  <c r="E127" i="1"/>
  <c r="G127" i="1"/>
  <c r="I127" i="1"/>
  <c r="C127" i="2"/>
  <c r="G127" i="2"/>
  <c r="I127" i="2"/>
  <c r="U127" i="3"/>
  <c r="U127" i="4"/>
  <c r="U127" i="5"/>
  <c r="U128" i="6"/>
  <c r="U128" i="7"/>
  <c r="U128" i="8"/>
  <c r="U128" i="9"/>
  <c r="U128" i="10"/>
  <c r="U128" i="11"/>
  <c r="U128" i="12"/>
  <c r="U128" i="13"/>
  <c r="U128" i="14"/>
  <c r="U31" i="15"/>
  <c r="U32" i="15"/>
  <c r="C40" i="15"/>
  <c r="G40" i="15"/>
  <c r="K40" i="15"/>
  <c r="O40" i="15"/>
  <c r="U47" i="15"/>
  <c r="R53" i="15"/>
  <c r="R54" i="15"/>
  <c r="K64" i="15"/>
  <c r="K76" i="15" s="1"/>
  <c r="K81" i="15" s="1"/>
  <c r="M76" i="15"/>
  <c r="M81" i="15" s="1"/>
  <c r="S76" i="15"/>
  <c r="U80" i="15"/>
  <c r="O81" i="15"/>
  <c r="A93" i="15"/>
  <c r="B111" i="15"/>
  <c r="B162" i="15" s="1"/>
  <c r="B235" i="15" s="1"/>
  <c r="U124" i="15"/>
  <c r="U138" i="15"/>
  <c r="U140" i="15"/>
  <c r="S148" i="15"/>
  <c r="R168" i="15"/>
  <c r="S168" i="15"/>
  <c r="L200" i="15"/>
  <c r="M193" i="15" s="1"/>
  <c r="O193" i="15"/>
  <c r="Q200" i="15"/>
  <c r="R193" i="15" s="1"/>
  <c r="T193" i="15"/>
  <c r="T194" i="15"/>
  <c r="T195" i="15"/>
  <c r="T196" i="15"/>
  <c r="T197" i="15"/>
  <c r="T198" i="15"/>
  <c r="T199" i="15"/>
  <c r="O194" i="15"/>
  <c r="O195" i="15"/>
  <c r="O196" i="15"/>
  <c r="O197" i="15"/>
  <c r="O198" i="15"/>
  <c r="O199" i="15"/>
  <c r="N202" i="15"/>
  <c r="S202" i="15"/>
  <c r="L213" i="15"/>
  <c r="M206" i="15" s="1"/>
  <c r="Q213" i="15"/>
  <c r="R206" i="15" s="1"/>
  <c r="T206" i="15"/>
  <c r="M207" i="15"/>
  <c r="T207" i="15"/>
  <c r="O212" i="15"/>
  <c r="T208" i="15"/>
  <c r="M209" i="15"/>
  <c r="T209" i="15"/>
  <c r="T210" i="15"/>
  <c r="T211" i="15"/>
  <c r="T212" i="15"/>
  <c r="M212" i="15"/>
  <c r="R212" i="15"/>
  <c r="B213" i="15"/>
  <c r="L215" i="15"/>
  <c r="S215" i="15"/>
  <c r="Q215" i="15"/>
  <c r="O70" i="14"/>
  <c r="O73" i="14"/>
  <c r="O64" i="14"/>
  <c r="N199" i="14"/>
  <c r="S199" i="14"/>
  <c r="N212" i="14"/>
  <c r="O207" i="14" s="1"/>
  <c r="S212" i="14"/>
  <c r="T205" i="14" s="1"/>
  <c r="U85" i="14"/>
  <c r="U88" i="14" s="1"/>
  <c r="Q70" i="14"/>
  <c r="U73" i="14"/>
  <c r="U65" i="14"/>
  <c r="S67" i="14"/>
  <c r="U67" i="14" s="1"/>
  <c r="U71" i="14"/>
  <c r="U78" i="14"/>
  <c r="U80" i="14"/>
  <c r="U92" i="14"/>
  <c r="U33" i="14"/>
  <c r="S224" i="14" s="1"/>
  <c r="O41" i="14"/>
  <c r="K41" i="14"/>
  <c r="G41" i="14"/>
  <c r="C41" i="14"/>
  <c r="U31" i="14"/>
  <c r="U32" i="14"/>
  <c r="C40" i="14"/>
  <c r="G40" i="14"/>
  <c r="K40" i="14"/>
  <c r="O40" i="14"/>
  <c r="U47" i="14"/>
  <c r="U48" i="14"/>
  <c r="R53" i="14"/>
  <c r="R54" i="14"/>
  <c r="K64" i="14"/>
  <c r="K76" i="14" s="1"/>
  <c r="K81" i="14" s="1"/>
  <c r="M76" i="14"/>
  <c r="M81" i="14" s="1"/>
  <c r="S76" i="14"/>
  <c r="A92" i="14"/>
  <c r="B110" i="14"/>
  <c r="B161" i="14" s="1"/>
  <c r="B234" i="14" s="1"/>
  <c r="U123" i="14"/>
  <c r="U137" i="14"/>
  <c r="U139" i="14"/>
  <c r="S147" i="14"/>
  <c r="R167" i="14"/>
  <c r="S167" i="14"/>
  <c r="L199" i="14"/>
  <c r="M195" i="14" s="1"/>
  <c r="O193" i="14"/>
  <c r="O196" i="14"/>
  <c r="O198" i="14"/>
  <c r="Q199" i="14"/>
  <c r="R197" i="14" s="1"/>
  <c r="L212" i="14"/>
  <c r="M205" i="14" s="1"/>
  <c r="O205" i="14"/>
  <c r="Q212" i="14"/>
  <c r="R205" i="14" s="1"/>
  <c r="O210" i="14"/>
  <c r="B212" i="14"/>
  <c r="S214" i="14"/>
  <c r="N199" i="13"/>
  <c r="O192" i="13" s="1"/>
  <c r="S212" i="13"/>
  <c r="S214" i="13" s="1"/>
  <c r="S199" i="13"/>
  <c r="T192" i="13" s="1"/>
  <c r="N212" i="13"/>
  <c r="N199" i="11"/>
  <c r="S199" i="11"/>
  <c r="N212" i="11"/>
  <c r="S212" i="11"/>
  <c r="N214" i="13"/>
  <c r="O41" i="13"/>
  <c r="K41" i="13"/>
  <c r="G41" i="13"/>
  <c r="C41" i="13"/>
  <c r="O64" i="13"/>
  <c r="U84" i="13"/>
  <c r="U85" i="13"/>
  <c r="U92" i="13"/>
  <c r="U95" i="13"/>
  <c r="U97" i="13"/>
  <c r="U98" i="13" s="1"/>
  <c r="U100" i="13"/>
  <c r="U102" i="13"/>
  <c r="U33" i="13"/>
  <c r="S224" i="13" s="1"/>
  <c r="U85" i="12"/>
  <c r="U88" i="12" s="1"/>
  <c r="U92" i="12"/>
  <c r="U33" i="12"/>
  <c r="S224" i="12" s="1"/>
  <c r="O70" i="13"/>
  <c r="O73" i="13"/>
  <c r="U73" i="13" s="1"/>
  <c r="Q70" i="13"/>
  <c r="Q76" i="13" s="1"/>
  <c r="U31" i="13"/>
  <c r="U32" i="13"/>
  <c r="C40" i="13"/>
  <c r="G40" i="13"/>
  <c r="K40" i="13"/>
  <c r="O40" i="13"/>
  <c r="U47" i="13"/>
  <c r="U48" i="13"/>
  <c r="R53" i="13"/>
  <c r="R54" i="13"/>
  <c r="K64" i="13"/>
  <c r="U65" i="13"/>
  <c r="S67" i="13"/>
  <c r="U67" i="13" s="1"/>
  <c r="U71" i="13"/>
  <c r="K76" i="13"/>
  <c r="K81" i="13" s="1"/>
  <c r="M76" i="13"/>
  <c r="S76" i="13"/>
  <c r="U78" i="13"/>
  <c r="U80" i="13"/>
  <c r="M81" i="13"/>
  <c r="A92" i="13"/>
  <c r="B110" i="13"/>
  <c r="B161" i="13" s="1"/>
  <c r="B234" i="13" s="1"/>
  <c r="U123" i="13"/>
  <c r="U137" i="13"/>
  <c r="U139" i="13"/>
  <c r="S147" i="13"/>
  <c r="R167" i="13"/>
  <c r="S167" i="13"/>
  <c r="L199" i="13"/>
  <c r="M192" i="13" s="1"/>
  <c r="Q199" i="13"/>
  <c r="R192" i="13" s="1"/>
  <c r="R195" i="13"/>
  <c r="O197" i="13"/>
  <c r="O198" i="13"/>
  <c r="T198" i="13"/>
  <c r="Q201" i="13"/>
  <c r="L212" i="13"/>
  <c r="M206" i="13" s="1"/>
  <c r="M208" i="13"/>
  <c r="O205" i="13"/>
  <c r="Q212" i="13"/>
  <c r="R208" i="13" s="1"/>
  <c r="T205" i="13"/>
  <c r="O206" i="13"/>
  <c r="T206" i="13"/>
  <c r="O207" i="13"/>
  <c r="T207" i="13"/>
  <c r="O208" i="13"/>
  <c r="T208" i="13"/>
  <c r="O209" i="13"/>
  <c r="T209" i="13"/>
  <c r="O210" i="13"/>
  <c r="T210" i="13"/>
  <c r="O211" i="13"/>
  <c r="T211" i="13"/>
  <c r="B212" i="13"/>
  <c r="L199" i="12"/>
  <c r="M192" i="12" s="1"/>
  <c r="O41" i="12"/>
  <c r="K41" i="12"/>
  <c r="G41" i="12"/>
  <c r="C41" i="12"/>
  <c r="O70" i="12"/>
  <c r="O73" i="12"/>
  <c r="Q70" i="12"/>
  <c r="O64" i="11"/>
  <c r="U65" i="11"/>
  <c r="O67" i="11"/>
  <c r="Q67" i="11"/>
  <c r="S67" i="11"/>
  <c r="O70" i="11"/>
  <c r="Q70" i="11"/>
  <c r="U70" i="11" s="1"/>
  <c r="U71" i="11"/>
  <c r="O73" i="11"/>
  <c r="U73" i="11" s="1"/>
  <c r="O64" i="12"/>
  <c r="N199" i="12"/>
  <c r="O192" i="12" s="1"/>
  <c r="S199" i="12"/>
  <c r="S201" i="12" s="1"/>
  <c r="N212" i="12"/>
  <c r="N214" i="12" s="1"/>
  <c r="S212" i="12"/>
  <c r="S214" i="12" s="1"/>
  <c r="O205" i="12"/>
  <c r="O209" i="12"/>
  <c r="O211" i="12"/>
  <c r="U31" i="12"/>
  <c r="U32" i="12"/>
  <c r="U103" i="12" s="1"/>
  <c r="C40" i="12"/>
  <c r="G40" i="12"/>
  <c r="K40" i="12"/>
  <c r="O40" i="12"/>
  <c r="U47" i="12"/>
  <c r="U48" i="12"/>
  <c r="R53" i="12"/>
  <c r="R54" i="12"/>
  <c r="K64" i="12"/>
  <c r="K76" i="12" s="1"/>
  <c r="K81" i="12" s="1"/>
  <c r="U64" i="12"/>
  <c r="U65" i="12"/>
  <c r="S67" i="12"/>
  <c r="U67" i="12" s="1"/>
  <c r="U70" i="12"/>
  <c r="U71" i="12"/>
  <c r="M76" i="12"/>
  <c r="Q76" i="12"/>
  <c r="Q79" i="12" s="1"/>
  <c r="S76" i="12"/>
  <c r="U78" i="12"/>
  <c r="U80" i="12"/>
  <c r="M81" i="12"/>
  <c r="A92" i="12"/>
  <c r="B110" i="12"/>
  <c r="B161" i="12" s="1"/>
  <c r="B234" i="12" s="1"/>
  <c r="U123" i="12"/>
  <c r="U137" i="12"/>
  <c r="U139" i="12"/>
  <c r="S147" i="12"/>
  <c r="R167" i="12"/>
  <c r="S167" i="12"/>
  <c r="S172" i="12"/>
  <c r="Q199" i="12"/>
  <c r="R192" i="12" s="1"/>
  <c r="T192" i="12"/>
  <c r="O196" i="12"/>
  <c r="O198" i="12"/>
  <c r="T193" i="12"/>
  <c r="T194" i="12"/>
  <c r="T195" i="12"/>
  <c r="M197" i="12"/>
  <c r="T196" i="12"/>
  <c r="T197" i="12"/>
  <c r="T198" i="12"/>
  <c r="L212" i="12"/>
  <c r="Q212" i="12"/>
  <c r="R206" i="12" s="1"/>
  <c r="T205" i="12"/>
  <c r="T206" i="12"/>
  <c r="T207" i="12"/>
  <c r="T208" i="12"/>
  <c r="T209" i="12"/>
  <c r="T210" i="12"/>
  <c r="T211" i="12"/>
  <c r="B212" i="12"/>
  <c r="O41" i="11"/>
  <c r="K41" i="11"/>
  <c r="G41" i="11"/>
  <c r="C41" i="11"/>
  <c r="N201" i="11"/>
  <c r="S214" i="11"/>
  <c r="S201" i="11"/>
  <c r="N214" i="11"/>
  <c r="Q199" i="11"/>
  <c r="Q201" i="11" s="1"/>
  <c r="U85" i="11"/>
  <c r="U88" i="11" s="1"/>
  <c r="U92" i="11"/>
  <c r="U33" i="11"/>
  <c r="S224" i="11" s="1"/>
  <c r="U31" i="11"/>
  <c r="U32" i="11"/>
  <c r="C40" i="11"/>
  <c r="G40" i="11"/>
  <c r="K40" i="11"/>
  <c r="O40" i="11"/>
  <c r="U47" i="11"/>
  <c r="U48" i="11"/>
  <c r="R53" i="11"/>
  <c r="R54" i="11"/>
  <c r="K64" i="11"/>
  <c r="K76" i="11" s="1"/>
  <c r="K81" i="11" s="1"/>
  <c r="M76" i="11"/>
  <c r="S76" i="11"/>
  <c r="U78" i="11"/>
  <c r="U80" i="11"/>
  <c r="M81" i="11"/>
  <c r="A92" i="11"/>
  <c r="B110" i="11"/>
  <c r="B161" i="11"/>
  <c r="B234" i="11" s="1"/>
  <c r="U123" i="11"/>
  <c r="U137" i="11"/>
  <c r="U139" i="11"/>
  <c r="S147" i="11"/>
  <c r="R167" i="11"/>
  <c r="S167" i="11"/>
  <c r="L199" i="11"/>
  <c r="M192" i="11"/>
  <c r="O192" i="11"/>
  <c r="R192" i="11"/>
  <c r="R194" i="11"/>
  <c r="R196" i="11"/>
  <c r="R198" i="11"/>
  <c r="O193" i="11"/>
  <c r="O194" i="11"/>
  <c r="O195" i="11"/>
  <c r="O196" i="11"/>
  <c r="O197" i="11"/>
  <c r="O198" i="11"/>
  <c r="T198" i="11"/>
  <c r="L212" i="11"/>
  <c r="M210" i="11" s="1"/>
  <c r="O205" i="11"/>
  <c r="Q212" i="11"/>
  <c r="R205" i="11" s="1"/>
  <c r="T205" i="11"/>
  <c r="O206" i="11"/>
  <c r="T206" i="11"/>
  <c r="O207" i="11"/>
  <c r="O208" i="11"/>
  <c r="O209" i="11"/>
  <c r="O210" i="11"/>
  <c r="O211" i="11"/>
  <c r="T207" i="11"/>
  <c r="T208" i="11"/>
  <c r="T209" i="11"/>
  <c r="T210" i="11"/>
  <c r="T211" i="11"/>
  <c r="B212" i="11"/>
  <c r="O64" i="10"/>
  <c r="O67" i="10"/>
  <c r="S212" i="10"/>
  <c r="S214" i="10" s="1"/>
  <c r="N212" i="10"/>
  <c r="N214" i="10" s="1"/>
  <c r="N199" i="10"/>
  <c r="S199" i="10"/>
  <c r="N199" i="9"/>
  <c r="S199" i="9"/>
  <c r="N212" i="9"/>
  <c r="S212" i="9"/>
  <c r="N201" i="10"/>
  <c r="G40" i="10"/>
  <c r="O41" i="10"/>
  <c r="K41" i="10"/>
  <c r="G41" i="10"/>
  <c r="C41" i="10"/>
  <c r="U85" i="10"/>
  <c r="U88" i="10"/>
  <c r="U92" i="10"/>
  <c r="Q70" i="10"/>
  <c r="Q76" i="10" s="1"/>
  <c r="Q79" i="10" s="1"/>
  <c r="O73" i="10"/>
  <c r="O70" i="10"/>
  <c r="U70" i="10" s="1"/>
  <c r="U33" i="10"/>
  <c r="S224" i="10" s="1"/>
  <c r="U31" i="10"/>
  <c r="U32" i="10"/>
  <c r="C40" i="10"/>
  <c r="K40" i="10"/>
  <c r="O40" i="10"/>
  <c r="U47" i="10"/>
  <c r="U48" i="10"/>
  <c r="R53" i="10"/>
  <c r="R54" i="10"/>
  <c r="K64" i="10"/>
  <c r="K76" i="10" s="1"/>
  <c r="K81" i="10"/>
  <c r="U64" i="10"/>
  <c r="U65" i="10"/>
  <c r="S67" i="10"/>
  <c r="U67" i="10"/>
  <c r="U71" i="10"/>
  <c r="U73" i="10"/>
  <c r="M76" i="10"/>
  <c r="M81" i="10"/>
  <c r="S76" i="10"/>
  <c r="U78" i="10"/>
  <c r="U80" i="10"/>
  <c r="A92" i="10"/>
  <c r="B110" i="10"/>
  <c r="B161" i="10" s="1"/>
  <c r="B234" i="10" s="1"/>
  <c r="U123" i="10"/>
  <c r="U137" i="10"/>
  <c r="U139" i="10"/>
  <c r="S147" i="10"/>
  <c r="R167" i="10"/>
  <c r="S167" i="10"/>
  <c r="L199" i="10"/>
  <c r="M195" i="10" s="1"/>
  <c r="O192" i="10"/>
  <c r="O193" i="10"/>
  <c r="O194" i="10"/>
  <c r="O195" i="10"/>
  <c r="O196" i="10"/>
  <c r="O197" i="10"/>
  <c r="O198" i="10"/>
  <c r="Q199" i="10"/>
  <c r="R192" i="10" s="1"/>
  <c r="R195" i="10"/>
  <c r="T194" i="10"/>
  <c r="T197" i="10"/>
  <c r="Q201" i="10"/>
  <c r="L212" i="10"/>
  <c r="M211" i="10" s="1"/>
  <c r="O205" i="10"/>
  <c r="O206" i="10"/>
  <c r="O207" i="10"/>
  <c r="O208" i="10"/>
  <c r="O209" i="10"/>
  <c r="O210" i="10"/>
  <c r="O211" i="10"/>
  <c r="Q212" i="10"/>
  <c r="R208" i="10" s="1"/>
  <c r="R210" i="10"/>
  <c r="T205" i="10"/>
  <c r="T206" i="10"/>
  <c r="T207" i="10"/>
  <c r="T208" i="10"/>
  <c r="T209" i="10"/>
  <c r="T210" i="10"/>
  <c r="T211" i="10"/>
  <c r="T212" i="10"/>
  <c r="B212" i="10"/>
  <c r="Q214" i="10"/>
  <c r="O41" i="9"/>
  <c r="K41" i="9"/>
  <c r="G41" i="9"/>
  <c r="C41" i="9"/>
  <c r="N201" i="9"/>
  <c r="S201" i="9"/>
  <c r="S214" i="9"/>
  <c r="U92" i="9"/>
  <c r="U85" i="9"/>
  <c r="O64" i="9"/>
  <c r="Q64" i="9"/>
  <c r="U64" i="9"/>
  <c r="O67" i="9"/>
  <c r="O70" i="9"/>
  <c r="U70" i="9" s="1"/>
  <c r="O73" i="9"/>
  <c r="O76" i="9"/>
  <c r="O79" i="9" s="1"/>
  <c r="Q70" i="9"/>
  <c r="Q73" i="9"/>
  <c r="U73" i="9" s="1"/>
  <c r="U88" i="9"/>
  <c r="U33" i="9"/>
  <c r="S224" i="9" s="1"/>
  <c r="U31" i="9"/>
  <c r="U32" i="9"/>
  <c r="C40" i="9"/>
  <c r="G40" i="9"/>
  <c r="K40" i="9"/>
  <c r="O40" i="9"/>
  <c r="U47" i="9"/>
  <c r="U48" i="9"/>
  <c r="R53" i="9"/>
  <c r="R54" i="9"/>
  <c r="K64" i="9"/>
  <c r="U65" i="9"/>
  <c r="S67" i="9"/>
  <c r="U67" i="9" s="1"/>
  <c r="U71" i="9"/>
  <c r="K76" i="9"/>
  <c r="K81" i="9" s="1"/>
  <c r="M76" i="9"/>
  <c r="S76" i="9"/>
  <c r="U78" i="9"/>
  <c r="U80" i="9"/>
  <c r="M81" i="9"/>
  <c r="A92" i="9"/>
  <c r="B110" i="9"/>
  <c r="B161" i="9" s="1"/>
  <c r="B234" i="9" s="1"/>
  <c r="U123" i="9"/>
  <c r="U137" i="9"/>
  <c r="U139" i="9"/>
  <c r="S147" i="9"/>
  <c r="R167" i="9"/>
  <c r="S167" i="9"/>
  <c r="L199" i="9"/>
  <c r="M194" i="9" s="1"/>
  <c r="M192" i="9"/>
  <c r="M196" i="9"/>
  <c r="M198" i="9"/>
  <c r="O192" i="9"/>
  <c r="O193" i="9"/>
  <c r="O194" i="9"/>
  <c r="O195" i="9"/>
  <c r="O196" i="9"/>
  <c r="O197" i="9"/>
  <c r="O198" i="9"/>
  <c r="Q199" i="9"/>
  <c r="R192" i="9" s="1"/>
  <c r="T192" i="9"/>
  <c r="T193" i="9"/>
  <c r="T194" i="9"/>
  <c r="T195" i="9"/>
  <c r="T196" i="9"/>
  <c r="T197" i="9"/>
  <c r="T198" i="9"/>
  <c r="L212" i="9"/>
  <c r="M205" i="9" s="1"/>
  <c r="Q212" i="9"/>
  <c r="R205" i="9" s="1"/>
  <c r="T205" i="9"/>
  <c r="T206" i="9"/>
  <c r="T207" i="9"/>
  <c r="T208" i="9"/>
  <c r="T209" i="9"/>
  <c r="T210" i="9"/>
  <c r="T211" i="9"/>
  <c r="B212" i="9"/>
  <c r="N199" i="8"/>
  <c r="N201" i="8" s="1"/>
  <c r="S212" i="8"/>
  <c r="N212" i="8"/>
  <c r="O208" i="8" s="1"/>
  <c r="S199" i="8"/>
  <c r="U85" i="8"/>
  <c r="U88" i="8" s="1"/>
  <c r="U92" i="8"/>
  <c r="U33" i="8"/>
  <c r="S224" i="8" s="1"/>
  <c r="S212" i="7"/>
  <c r="N199" i="7"/>
  <c r="S199" i="7"/>
  <c r="N212" i="7"/>
  <c r="U85" i="7"/>
  <c r="U88" i="7" s="1"/>
  <c r="U92" i="7"/>
  <c r="U33" i="7"/>
  <c r="S224" i="7" s="1"/>
  <c r="S214" i="8"/>
  <c r="S201" i="8"/>
  <c r="O41" i="8"/>
  <c r="K41" i="8"/>
  <c r="G41" i="8"/>
  <c r="C41" i="8"/>
  <c r="O73" i="8"/>
  <c r="Q70" i="8"/>
  <c r="O70" i="8"/>
  <c r="O67" i="8"/>
  <c r="S67" i="8"/>
  <c r="O64" i="8"/>
  <c r="U31" i="8"/>
  <c r="U32" i="8"/>
  <c r="C40" i="8"/>
  <c r="G40" i="8"/>
  <c r="U40" i="8" s="1"/>
  <c r="S149" i="8" s="1"/>
  <c r="S150" i="8" s="1"/>
  <c r="K40" i="8"/>
  <c r="O40" i="8"/>
  <c r="U47" i="8"/>
  <c r="U48" i="8"/>
  <c r="R53" i="8"/>
  <c r="R54" i="8"/>
  <c r="K64" i="8"/>
  <c r="K76" i="8" s="1"/>
  <c r="K81" i="8" s="1"/>
  <c r="U64" i="8"/>
  <c r="U65" i="8"/>
  <c r="U71" i="8"/>
  <c r="U73" i="8"/>
  <c r="M76" i="8"/>
  <c r="M81" i="8" s="1"/>
  <c r="S76" i="8"/>
  <c r="U78" i="8"/>
  <c r="U80" i="8"/>
  <c r="A92" i="8"/>
  <c r="B110" i="8"/>
  <c r="B161" i="8"/>
  <c r="B234" i="8" s="1"/>
  <c r="U123" i="8"/>
  <c r="U137" i="8"/>
  <c r="U139" i="8"/>
  <c r="S147" i="8"/>
  <c r="R167" i="8"/>
  <c r="S167" i="8"/>
  <c r="L199" i="8"/>
  <c r="O192" i="8"/>
  <c r="Q199" i="8"/>
  <c r="T192" i="8"/>
  <c r="T193" i="8"/>
  <c r="T194" i="8"/>
  <c r="T195" i="8"/>
  <c r="T196" i="8"/>
  <c r="T197" i="8"/>
  <c r="T198" i="8"/>
  <c r="O193" i="8"/>
  <c r="O194" i="8"/>
  <c r="O195" i="8"/>
  <c r="O196" i="8"/>
  <c r="O197" i="8"/>
  <c r="O198" i="8"/>
  <c r="R197" i="8"/>
  <c r="L212" i="8"/>
  <c r="Q212" i="8"/>
  <c r="R211" i="8" s="1"/>
  <c r="T205" i="8"/>
  <c r="T206" i="8"/>
  <c r="T207" i="8"/>
  <c r="T208" i="8"/>
  <c r="T209" i="8"/>
  <c r="O210" i="8"/>
  <c r="T210" i="8"/>
  <c r="T211" i="8"/>
  <c r="B212" i="8"/>
  <c r="O41" i="7"/>
  <c r="K41" i="7"/>
  <c r="G41" i="7"/>
  <c r="C41" i="7"/>
  <c r="S214" i="7"/>
  <c r="N214" i="7"/>
  <c r="N201" i="7"/>
  <c r="S201" i="7"/>
  <c r="O64" i="7"/>
  <c r="U64" i="7"/>
  <c r="O67" i="7"/>
  <c r="O70" i="7"/>
  <c r="O73" i="7"/>
  <c r="U73" i="7"/>
  <c r="Q70" i="7"/>
  <c r="Q76" i="7" s="1"/>
  <c r="Q79" i="7" s="1"/>
  <c r="U31" i="7"/>
  <c r="U32" i="7"/>
  <c r="C40" i="7"/>
  <c r="G40" i="7"/>
  <c r="K40" i="7"/>
  <c r="O40" i="7"/>
  <c r="U47" i="7"/>
  <c r="U48" i="7"/>
  <c r="R53" i="7"/>
  <c r="R54" i="7"/>
  <c r="K64" i="7"/>
  <c r="K76" i="7" s="1"/>
  <c r="K81" i="7" s="1"/>
  <c r="U65" i="7"/>
  <c r="S67" i="7"/>
  <c r="U71" i="7"/>
  <c r="M76" i="7"/>
  <c r="S76" i="7"/>
  <c r="U78" i="7"/>
  <c r="U80" i="7"/>
  <c r="M81" i="7"/>
  <c r="A92" i="7"/>
  <c r="B110" i="7"/>
  <c r="B161" i="7" s="1"/>
  <c r="B234" i="7" s="1"/>
  <c r="U123" i="7"/>
  <c r="U137" i="7"/>
  <c r="U139" i="7"/>
  <c r="S147" i="7"/>
  <c r="R167" i="7"/>
  <c r="S167" i="7"/>
  <c r="L199" i="7"/>
  <c r="M192" i="7" s="1"/>
  <c r="M194" i="7"/>
  <c r="M196" i="7"/>
  <c r="M198" i="7"/>
  <c r="O192" i="7"/>
  <c r="O193" i="7"/>
  <c r="O194" i="7"/>
  <c r="O195" i="7"/>
  <c r="O196" i="7"/>
  <c r="O197" i="7"/>
  <c r="O198" i="7"/>
  <c r="Q199" i="7"/>
  <c r="Q201" i="7" s="1"/>
  <c r="T192" i="7"/>
  <c r="T193" i="7"/>
  <c r="T194" i="7"/>
  <c r="T195" i="7"/>
  <c r="T196" i="7"/>
  <c r="T197" i="7"/>
  <c r="T198" i="7"/>
  <c r="L201" i="7"/>
  <c r="L212" i="7"/>
  <c r="M205" i="7" s="1"/>
  <c r="O205" i="7"/>
  <c r="O206" i="7"/>
  <c r="O207" i="7"/>
  <c r="O208" i="7"/>
  <c r="O209" i="7"/>
  <c r="O210" i="7"/>
  <c r="O211" i="7"/>
  <c r="Q212" i="7"/>
  <c r="R205" i="7" s="1"/>
  <c r="T205" i="7"/>
  <c r="T206" i="7"/>
  <c r="T207" i="7"/>
  <c r="T208" i="7"/>
  <c r="T209" i="7"/>
  <c r="T210" i="7"/>
  <c r="T211" i="7"/>
  <c r="B212" i="7"/>
  <c r="U123" i="6"/>
  <c r="O41" i="6"/>
  <c r="K41" i="6"/>
  <c r="G41" i="6"/>
  <c r="C41" i="6"/>
  <c r="S199" i="6"/>
  <c r="T192" i="6" s="1"/>
  <c r="N199" i="6"/>
  <c r="O196" i="6" s="1"/>
  <c r="N212" i="6"/>
  <c r="S212" i="6"/>
  <c r="T208" i="6" s="1"/>
  <c r="Q199" i="6"/>
  <c r="U85" i="6"/>
  <c r="U88" i="6" s="1"/>
  <c r="U92" i="6"/>
  <c r="U33" i="6"/>
  <c r="S224" i="6" s="1"/>
  <c r="O73" i="6"/>
  <c r="O70" i="6"/>
  <c r="U70" i="6" s="1"/>
  <c r="O67" i="6"/>
  <c r="O64" i="6"/>
  <c r="Q70" i="6"/>
  <c r="U31" i="6"/>
  <c r="U32" i="6"/>
  <c r="C40" i="6"/>
  <c r="G40" i="6"/>
  <c r="K40" i="6"/>
  <c r="O40" i="6"/>
  <c r="U47" i="6"/>
  <c r="U48" i="6"/>
  <c r="R53" i="6"/>
  <c r="R54" i="6"/>
  <c r="K64" i="6"/>
  <c r="K76" i="6" s="1"/>
  <c r="K81" i="6" s="1"/>
  <c r="U65" i="6"/>
  <c r="S67" i="6"/>
  <c r="U67" i="6" s="1"/>
  <c r="U71" i="6"/>
  <c r="U73" i="6"/>
  <c r="M76" i="6"/>
  <c r="M81" i="6" s="1"/>
  <c r="Q76" i="6"/>
  <c r="S76" i="6"/>
  <c r="U78" i="6"/>
  <c r="U80" i="6"/>
  <c r="A92" i="6"/>
  <c r="B110" i="6"/>
  <c r="U137" i="6"/>
  <c r="U139" i="6"/>
  <c r="S147" i="6"/>
  <c r="B161" i="6"/>
  <c r="B234" i="6" s="1"/>
  <c r="R167" i="6"/>
  <c r="S167" i="6"/>
  <c r="L199" i="6"/>
  <c r="M192" i="6" s="1"/>
  <c r="O192" i="6"/>
  <c r="R192" i="6"/>
  <c r="O193" i="6"/>
  <c r="R193" i="6"/>
  <c r="T194" i="6"/>
  <c r="T195" i="6"/>
  <c r="T197" i="6"/>
  <c r="T198" i="6"/>
  <c r="O194" i="6"/>
  <c r="R194" i="6"/>
  <c r="O195" i="6"/>
  <c r="O197" i="6"/>
  <c r="R195" i="6"/>
  <c r="R196" i="6"/>
  <c r="R197" i="6"/>
  <c r="R198" i="6"/>
  <c r="N201" i="6"/>
  <c r="Q201" i="6"/>
  <c r="N214" i="6"/>
  <c r="L212" i="6"/>
  <c r="M205" i="6" s="1"/>
  <c r="Q212" i="6"/>
  <c r="R205" i="6" s="1"/>
  <c r="T205" i="6"/>
  <c r="T207" i="6"/>
  <c r="T210" i="6"/>
  <c r="O211" i="6"/>
  <c r="B212" i="6"/>
  <c r="S211" i="5"/>
  <c r="T204" i="5" s="1"/>
  <c r="N198" i="5"/>
  <c r="S198" i="5"/>
  <c r="T193" i="5" s="1"/>
  <c r="N211" i="5"/>
  <c r="U85" i="5"/>
  <c r="U88" i="5" s="1"/>
  <c r="U92" i="5"/>
  <c r="U33" i="5"/>
  <c r="S223" i="5" s="1"/>
  <c r="S211" i="4"/>
  <c r="U85" i="4"/>
  <c r="U88" i="4" s="1"/>
  <c r="U92" i="4"/>
  <c r="U33" i="4"/>
  <c r="S223" i="4" s="1"/>
  <c r="N211" i="4"/>
  <c r="S198" i="4"/>
  <c r="N198" i="4"/>
  <c r="O67" i="5"/>
  <c r="S67" i="5"/>
  <c r="U67" i="5"/>
  <c r="O41" i="5"/>
  <c r="K41" i="5"/>
  <c r="G41" i="5"/>
  <c r="C41" i="5"/>
  <c r="O64" i="5"/>
  <c r="U64" i="5" s="1"/>
  <c r="U65" i="5"/>
  <c r="O70" i="5"/>
  <c r="U71" i="5"/>
  <c r="O73" i="5"/>
  <c r="U73" i="5" s="1"/>
  <c r="U78" i="5"/>
  <c r="Q76" i="5"/>
  <c r="Q79" i="5"/>
  <c r="U80" i="5"/>
  <c r="U31" i="5"/>
  <c r="U32" i="5"/>
  <c r="C40" i="5"/>
  <c r="G40" i="5"/>
  <c r="K40" i="5"/>
  <c r="O40" i="5"/>
  <c r="U47" i="5"/>
  <c r="U48" i="5"/>
  <c r="R53" i="5"/>
  <c r="R54" i="5"/>
  <c r="K64" i="5"/>
  <c r="K76" i="5" s="1"/>
  <c r="K81" i="5" s="1"/>
  <c r="M76" i="5"/>
  <c r="M81" i="5" s="1"/>
  <c r="S76" i="5"/>
  <c r="A92" i="5"/>
  <c r="B110" i="5"/>
  <c r="B160" i="5" s="1"/>
  <c r="B233" i="5" s="1"/>
  <c r="U122" i="5"/>
  <c r="U136" i="5"/>
  <c r="U138" i="5"/>
  <c r="S146" i="5"/>
  <c r="R166" i="5"/>
  <c r="S166" i="5"/>
  <c r="L198" i="5"/>
  <c r="M191" i="5" s="1"/>
  <c r="Q198" i="5"/>
  <c r="R193" i="5" s="1"/>
  <c r="T192" i="5"/>
  <c r="T195" i="5"/>
  <c r="L200" i="5"/>
  <c r="L211" i="5"/>
  <c r="M206" i="5" s="1"/>
  <c r="M209" i="5"/>
  <c r="O204" i="5"/>
  <c r="Q211" i="5"/>
  <c r="R204" i="5" s="1"/>
  <c r="R207" i="5"/>
  <c r="T205" i="5"/>
  <c r="T207" i="5"/>
  <c r="T209" i="5"/>
  <c r="O205" i="5"/>
  <c r="O206" i="5"/>
  <c r="O207" i="5"/>
  <c r="O208" i="5"/>
  <c r="O209" i="5"/>
  <c r="O210" i="5"/>
  <c r="B211" i="5"/>
  <c r="N213" i="5"/>
  <c r="S213" i="5"/>
  <c r="Q210" i="4"/>
  <c r="L210" i="4"/>
  <c r="Q197" i="4"/>
  <c r="Q198" i="4" s="1"/>
  <c r="L197" i="4"/>
  <c r="O64" i="4"/>
  <c r="O67" i="4"/>
  <c r="O70" i="4"/>
  <c r="O73" i="4"/>
  <c r="U73" i="4" s="1"/>
  <c r="Q70" i="4"/>
  <c r="Q76" i="4" s="1"/>
  <c r="O41" i="4"/>
  <c r="K41" i="4"/>
  <c r="G41" i="4"/>
  <c r="C41" i="4"/>
  <c r="U31" i="4"/>
  <c r="U32" i="4"/>
  <c r="U103" i="4" s="1"/>
  <c r="S220" i="4" s="1"/>
  <c r="S221" i="4" s="1"/>
  <c r="C40" i="4"/>
  <c r="G40" i="4"/>
  <c r="K40" i="4"/>
  <c r="O40" i="4"/>
  <c r="U47" i="4"/>
  <c r="U48" i="4"/>
  <c r="R53" i="4"/>
  <c r="R54" i="4"/>
  <c r="K64" i="4"/>
  <c r="U64" i="4"/>
  <c r="U65" i="4"/>
  <c r="S67" i="4"/>
  <c r="U67" i="4" s="1"/>
  <c r="U71" i="4"/>
  <c r="U78" i="4"/>
  <c r="K76" i="4"/>
  <c r="K81" i="4" s="1"/>
  <c r="M76" i="4"/>
  <c r="M81" i="4" s="1"/>
  <c r="S76" i="4"/>
  <c r="U80" i="4"/>
  <c r="A92" i="4"/>
  <c r="B110" i="4"/>
  <c r="B160" i="4" s="1"/>
  <c r="B233" i="4" s="1"/>
  <c r="U122" i="4"/>
  <c r="U136" i="4"/>
  <c r="U138" i="4"/>
  <c r="S146" i="4"/>
  <c r="R166" i="4"/>
  <c r="S166" i="4"/>
  <c r="L198" i="4"/>
  <c r="M191" i="4" s="1"/>
  <c r="O191" i="4"/>
  <c r="O192" i="4"/>
  <c r="O193" i="4"/>
  <c r="M194" i="4"/>
  <c r="O194" i="4"/>
  <c r="O195" i="4"/>
  <c r="O196" i="4"/>
  <c r="O197" i="4"/>
  <c r="N200" i="4"/>
  <c r="N213" i="4"/>
  <c r="S213" i="4"/>
  <c r="L211" i="4"/>
  <c r="M210" i="4" s="1"/>
  <c r="O204" i="4"/>
  <c r="O205" i="4"/>
  <c r="O206" i="4"/>
  <c r="O207" i="4"/>
  <c r="O208" i="4"/>
  <c r="O209" i="4"/>
  <c r="O210" i="4"/>
  <c r="Q211" i="4"/>
  <c r="R208" i="4" s="1"/>
  <c r="R207" i="4"/>
  <c r="T204" i="4"/>
  <c r="T205" i="4"/>
  <c r="T206" i="4"/>
  <c r="T207" i="4"/>
  <c r="T208" i="4"/>
  <c r="T209" i="4"/>
  <c r="T210" i="4"/>
  <c r="B211" i="4"/>
  <c r="S198" i="3"/>
  <c r="T194" i="3" s="1"/>
  <c r="N198" i="3"/>
  <c r="O193" i="3" s="1"/>
  <c r="N211" i="3"/>
  <c r="S211" i="3"/>
  <c r="U32" i="3"/>
  <c r="U85" i="3"/>
  <c r="U88" i="3" s="1"/>
  <c r="U92" i="3"/>
  <c r="U33" i="3"/>
  <c r="S223" i="3" s="1"/>
  <c r="Q197" i="3"/>
  <c r="Q198" i="3" s="1"/>
  <c r="L197" i="3"/>
  <c r="Q210" i="3"/>
  <c r="Q211" i="3" s="1"/>
  <c r="L210" i="3"/>
  <c r="O41" i="3"/>
  <c r="K41" i="3"/>
  <c r="G41" i="3"/>
  <c r="C41" i="3"/>
  <c r="O73" i="3"/>
  <c r="U73" i="3" s="1"/>
  <c r="O67" i="3"/>
  <c r="Q70" i="3"/>
  <c r="O70" i="3"/>
  <c r="O64" i="3"/>
  <c r="O76" i="3"/>
  <c r="O79" i="3" s="1"/>
  <c r="O81" i="3" s="1"/>
  <c r="U31" i="3"/>
  <c r="C40" i="3"/>
  <c r="G40" i="3"/>
  <c r="K40" i="3"/>
  <c r="O40" i="3"/>
  <c r="U47" i="3"/>
  <c r="U48" i="3"/>
  <c r="R53" i="3"/>
  <c r="R54" i="3"/>
  <c r="K64" i="3"/>
  <c r="K76" i="3" s="1"/>
  <c r="K81" i="3" s="1"/>
  <c r="U64" i="3"/>
  <c r="U65" i="3"/>
  <c r="S67" i="3"/>
  <c r="U71" i="3"/>
  <c r="M76" i="3"/>
  <c r="M81" i="3" s="1"/>
  <c r="S76" i="3"/>
  <c r="U78" i="3"/>
  <c r="U80" i="3"/>
  <c r="A92" i="3"/>
  <c r="B110" i="3"/>
  <c r="B160" i="3"/>
  <c r="B233" i="3" s="1"/>
  <c r="U122" i="3"/>
  <c r="U136" i="3"/>
  <c r="U138" i="3"/>
  <c r="S146" i="3"/>
  <c r="R166" i="3"/>
  <c r="S166" i="3"/>
  <c r="L198" i="3"/>
  <c r="O191" i="3"/>
  <c r="O194" i="3"/>
  <c r="O197" i="3"/>
  <c r="T197" i="3"/>
  <c r="N200" i="3"/>
  <c r="L211" i="3"/>
  <c r="O204" i="3"/>
  <c r="O205" i="3"/>
  <c r="O206" i="3"/>
  <c r="O207" i="3"/>
  <c r="O208" i="3"/>
  <c r="O209" i="3"/>
  <c r="O210" i="3"/>
  <c r="B211" i="3"/>
  <c r="N213" i="3"/>
  <c r="Q70" i="2"/>
  <c r="Q76" i="2" s="1"/>
  <c r="R53" i="2"/>
  <c r="O41" i="2"/>
  <c r="K41" i="2"/>
  <c r="G41" i="2"/>
  <c r="C41" i="2"/>
  <c r="N198" i="2"/>
  <c r="N200" i="2"/>
  <c r="S198" i="2"/>
  <c r="S200" i="2" s="1"/>
  <c r="N211" i="2"/>
  <c r="N213" i="2" s="1"/>
  <c r="S211" i="2"/>
  <c r="S213" i="2" s="1"/>
  <c r="U85" i="2"/>
  <c r="U88" i="2"/>
  <c r="U92" i="2"/>
  <c r="U33" i="2"/>
  <c r="S223" i="2" s="1"/>
  <c r="L197" i="2"/>
  <c r="L198" i="2" s="1"/>
  <c r="L210" i="2"/>
  <c r="L211" i="2" s="1"/>
  <c r="Q210" i="2"/>
  <c r="Q211" i="2" s="1"/>
  <c r="Q197" i="2"/>
  <c r="Q198" i="2" s="1"/>
  <c r="O64" i="2"/>
  <c r="U64" i="2" s="1"/>
  <c r="O67" i="2"/>
  <c r="U67" i="2" s="1"/>
  <c r="O70" i="2"/>
  <c r="O73" i="2"/>
  <c r="U73" i="2" s="1"/>
  <c r="U70" i="2"/>
  <c r="S67" i="2"/>
  <c r="U31" i="2"/>
  <c r="U32" i="2"/>
  <c r="C40" i="2"/>
  <c r="G40" i="2"/>
  <c r="K40" i="2"/>
  <c r="O40" i="2"/>
  <c r="U47" i="2"/>
  <c r="U48" i="2"/>
  <c r="R54" i="2"/>
  <c r="K64" i="2"/>
  <c r="K76" i="2" s="1"/>
  <c r="K81" i="2" s="1"/>
  <c r="U65" i="2"/>
  <c r="U71" i="2"/>
  <c r="M76" i="2"/>
  <c r="S76" i="2"/>
  <c r="U78" i="2"/>
  <c r="U80" i="2"/>
  <c r="M81" i="2"/>
  <c r="A92" i="2"/>
  <c r="B110" i="2"/>
  <c r="B160" i="2" s="1"/>
  <c r="B233" i="2" s="1"/>
  <c r="U122" i="2"/>
  <c r="U136" i="2"/>
  <c r="U137" i="2"/>
  <c r="U138" i="2"/>
  <c r="S146" i="2"/>
  <c r="R166" i="2"/>
  <c r="S166" i="2"/>
  <c r="O191" i="2"/>
  <c r="O192" i="2"/>
  <c r="O193" i="2"/>
  <c r="O194" i="2"/>
  <c r="O195" i="2"/>
  <c r="O196" i="2"/>
  <c r="O197" i="2"/>
  <c r="T191" i="2"/>
  <c r="T192" i="2"/>
  <c r="T193" i="2"/>
  <c r="T194" i="2"/>
  <c r="T195" i="2"/>
  <c r="T196" i="2"/>
  <c r="T197" i="2"/>
  <c r="O204" i="2"/>
  <c r="O206" i="2"/>
  <c r="O208" i="2"/>
  <c r="O210" i="2"/>
  <c r="T205" i="2"/>
  <c r="T207" i="2"/>
  <c r="T209" i="2"/>
  <c r="B211" i="2"/>
  <c r="U85" i="1"/>
  <c r="U88" i="1" s="1"/>
  <c r="C40" i="1"/>
  <c r="G40" i="1"/>
  <c r="K40" i="1"/>
  <c r="O40" i="1"/>
  <c r="U31" i="1"/>
  <c r="S166" i="1"/>
  <c r="R166" i="1"/>
  <c r="S211" i="1"/>
  <c r="T209" i="1" s="1"/>
  <c r="N198" i="1"/>
  <c r="O191" i="1" s="1"/>
  <c r="S198" i="1"/>
  <c r="N211" i="1"/>
  <c r="O206" i="1" s="1"/>
  <c r="U92" i="1"/>
  <c r="U33" i="1"/>
  <c r="S223" i="1" s="1"/>
  <c r="L211" i="1"/>
  <c r="Q211" i="1"/>
  <c r="R204" i="1" s="1"/>
  <c r="K64" i="1"/>
  <c r="O64" i="1"/>
  <c r="U65" i="1"/>
  <c r="O67" i="1"/>
  <c r="S67" i="1"/>
  <c r="O70" i="1"/>
  <c r="Q70" i="1"/>
  <c r="U71" i="1"/>
  <c r="O73" i="1"/>
  <c r="U73" i="1" s="1"/>
  <c r="U78" i="1"/>
  <c r="U80" i="1"/>
  <c r="U122" i="1"/>
  <c r="U48" i="1"/>
  <c r="U47" i="1"/>
  <c r="M76" i="1"/>
  <c r="M81" i="1" s="1"/>
  <c r="N200" i="1"/>
  <c r="M206" i="1"/>
  <c r="T191" i="1"/>
  <c r="T193" i="1"/>
  <c r="T195" i="1"/>
  <c r="T197" i="1"/>
  <c r="Q198" i="1"/>
  <c r="R192" i="1" s="1"/>
  <c r="L198" i="1"/>
  <c r="M191" i="1"/>
  <c r="M193" i="1"/>
  <c r="M197" i="1"/>
  <c r="O193" i="1"/>
  <c r="O196" i="1"/>
  <c r="U32" i="1"/>
  <c r="B110" i="1"/>
  <c r="B160" i="1" s="1"/>
  <c r="B233" i="1" s="1"/>
  <c r="R54" i="1"/>
  <c r="S76" i="1"/>
  <c r="A92" i="1"/>
  <c r="U136" i="1"/>
  <c r="U137" i="1"/>
  <c r="U138" i="1"/>
  <c r="U139" i="1"/>
  <c r="B211" i="1"/>
  <c r="Q213" i="1"/>
  <c r="U48" i="22"/>
  <c r="Q200" i="1"/>
  <c r="R195" i="1"/>
  <c r="R191" i="1"/>
  <c r="T196" i="1"/>
  <c r="T194" i="1"/>
  <c r="T192" i="1"/>
  <c r="T198" i="1"/>
  <c r="T204" i="1"/>
  <c r="T208" i="1"/>
  <c r="T210" i="1"/>
  <c r="S213" i="1"/>
  <c r="S200" i="1"/>
  <c r="L213" i="5"/>
  <c r="S171" i="5"/>
  <c r="L214" i="6"/>
  <c r="Q214" i="7"/>
  <c r="R211" i="7"/>
  <c r="R210" i="7"/>
  <c r="R209" i="7"/>
  <c r="R208" i="7"/>
  <c r="R207" i="7"/>
  <c r="R206" i="7"/>
  <c r="R198" i="7"/>
  <c r="R197" i="7"/>
  <c r="R196" i="7"/>
  <c r="R195" i="7"/>
  <c r="R194" i="7"/>
  <c r="R193" i="7"/>
  <c r="L214" i="8"/>
  <c r="O76" i="8"/>
  <c r="O79" i="8" s="1"/>
  <c r="Q214" i="9"/>
  <c r="R211" i="9"/>
  <c r="R210" i="9"/>
  <c r="R209" i="9"/>
  <c r="R208" i="9"/>
  <c r="R207" i="9"/>
  <c r="R206" i="9"/>
  <c r="R212" i="9" s="1"/>
  <c r="R198" i="9"/>
  <c r="R197" i="9"/>
  <c r="R196" i="9"/>
  <c r="R195" i="9"/>
  <c r="R194" i="9"/>
  <c r="R193" i="9"/>
  <c r="R199" i="9" s="1"/>
  <c r="L214" i="10"/>
  <c r="S172" i="10"/>
  <c r="S201" i="10"/>
  <c r="R211" i="11"/>
  <c r="R210" i="11"/>
  <c r="R209" i="11"/>
  <c r="R208" i="11"/>
  <c r="R207" i="11"/>
  <c r="R206" i="11"/>
  <c r="L214" i="12"/>
  <c r="L214" i="13"/>
  <c r="U76" i="16"/>
  <c r="R208" i="15"/>
  <c r="R207" i="15"/>
  <c r="R195" i="15"/>
  <c r="R194" i="15"/>
  <c r="R211" i="18"/>
  <c r="R210" i="18"/>
  <c r="R209" i="18"/>
  <c r="R208" i="18"/>
  <c r="R207" i="18"/>
  <c r="R206" i="18"/>
  <c r="L201" i="18"/>
  <c r="M198" i="18"/>
  <c r="M197" i="18"/>
  <c r="M196" i="18"/>
  <c r="M195" i="18"/>
  <c r="M194" i="18"/>
  <c r="M193" i="18"/>
  <c r="S220" i="19"/>
  <c r="S222" i="19" s="1"/>
  <c r="L214" i="14"/>
  <c r="R211" i="16"/>
  <c r="R210" i="16"/>
  <c r="R209" i="16"/>
  <c r="R208" i="16"/>
  <c r="R207" i="16"/>
  <c r="R206" i="16"/>
  <c r="Q201" i="16"/>
  <c r="R198" i="16"/>
  <c r="R197" i="16"/>
  <c r="R196" i="16"/>
  <c r="R195" i="16"/>
  <c r="R194" i="16"/>
  <c r="R193" i="16"/>
  <c r="R208" i="19"/>
  <c r="R207" i="19"/>
  <c r="R206" i="19"/>
  <c r="R205" i="21"/>
  <c r="O75" i="22"/>
  <c r="U103" i="19"/>
  <c r="U76" i="10"/>
  <c r="U131" i="10" s="1"/>
  <c r="S172" i="7"/>
  <c r="O81" i="9"/>
  <c r="R192" i="18"/>
  <c r="R193" i="18"/>
  <c r="R195" i="18"/>
  <c r="R197" i="18"/>
  <c r="Q201" i="18"/>
  <c r="O205" i="18"/>
  <c r="O206" i="18"/>
  <c r="O207" i="18"/>
  <c r="O209" i="18"/>
  <c r="O211" i="18"/>
  <c r="T192" i="18"/>
  <c r="T194" i="18"/>
  <c r="T196" i="18"/>
  <c r="T198" i="18"/>
  <c r="S213" i="21"/>
  <c r="T204" i="21"/>
  <c r="M204" i="22"/>
  <c r="M206" i="22"/>
  <c r="M208" i="22"/>
  <c r="M210" i="22"/>
  <c r="L213" i="22"/>
  <c r="R191" i="22"/>
  <c r="R193" i="22"/>
  <c r="R195" i="22"/>
  <c r="R197" i="22"/>
  <c r="M191" i="22"/>
  <c r="M193" i="22"/>
  <c r="M195" i="22"/>
  <c r="M197" i="22"/>
  <c r="R204" i="23"/>
  <c r="R205" i="23"/>
  <c r="R206" i="23"/>
  <c r="R207" i="23"/>
  <c r="R208" i="23"/>
  <c r="R209" i="23"/>
  <c r="R210" i="23"/>
  <c r="U63" i="23"/>
  <c r="O75" i="23"/>
  <c r="M211" i="9"/>
  <c r="M209" i="9"/>
  <c r="M207" i="9"/>
  <c r="M206" i="9"/>
  <c r="T212" i="18"/>
  <c r="T199" i="19"/>
  <c r="O211" i="21"/>
  <c r="U126" i="20"/>
  <c r="U128" i="20" s="1"/>
  <c r="S173" i="20" s="1"/>
  <c r="U129" i="13"/>
  <c r="S174" i="13" s="1"/>
  <c r="U127" i="12"/>
  <c r="U129" i="12" s="1"/>
  <c r="S174" i="12" s="1"/>
  <c r="U127" i="8"/>
  <c r="U129" i="8" s="1"/>
  <c r="S174" i="8" s="1"/>
  <c r="U126" i="4"/>
  <c r="U128" i="4" s="1"/>
  <c r="S173" i="4" s="1"/>
  <c r="R205" i="18"/>
  <c r="Q214" i="18"/>
  <c r="R205" i="19"/>
  <c r="R211" i="19"/>
  <c r="Q214" i="19"/>
  <c r="R192" i="19"/>
  <c r="R193" i="19"/>
  <c r="R194" i="19"/>
  <c r="R195" i="19"/>
  <c r="R196" i="19"/>
  <c r="R197" i="19"/>
  <c r="R198" i="19"/>
  <c r="Q201" i="19"/>
  <c r="M192" i="19"/>
  <c r="M193" i="19"/>
  <c r="M194" i="19"/>
  <c r="M195" i="19"/>
  <c r="M196" i="19"/>
  <c r="M197" i="19"/>
  <c r="M198" i="19"/>
  <c r="N201" i="19"/>
  <c r="O192" i="19"/>
  <c r="O199" i="19" s="1"/>
  <c r="M204" i="20"/>
  <c r="M205" i="20"/>
  <c r="M206" i="20"/>
  <c r="M207" i="20"/>
  <c r="M208" i="20"/>
  <c r="M209" i="20"/>
  <c r="M210" i="20"/>
  <c r="L213" i="20"/>
  <c r="R191" i="20"/>
  <c r="R192" i="20"/>
  <c r="R193" i="20"/>
  <c r="R194" i="20"/>
  <c r="R195" i="20"/>
  <c r="R196" i="20"/>
  <c r="R197" i="20"/>
  <c r="M191" i="20"/>
  <c r="M192" i="20"/>
  <c r="M193" i="20"/>
  <c r="M194" i="20"/>
  <c r="M195" i="20"/>
  <c r="M196" i="20"/>
  <c r="M197" i="20"/>
  <c r="S219" i="20"/>
  <c r="O191" i="20"/>
  <c r="N200" i="20"/>
  <c r="S215" i="20" s="1"/>
  <c r="M204" i="21"/>
  <c r="M206" i="21"/>
  <c r="M207" i="21"/>
  <c r="M208" i="21"/>
  <c r="M209" i="21"/>
  <c r="M210" i="21"/>
  <c r="L213" i="21"/>
  <c r="M191" i="21"/>
  <c r="M192" i="21"/>
  <c r="M193" i="21"/>
  <c r="M194" i="21"/>
  <c r="M195" i="21"/>
  <c r="M196" i="21"/>
  <c r="M197" i="21"/>
  <c r="U63" i="21"/>
  <c r="O75" i="21"/>
  <c r="N200" i="21"/>
  <c r="S219" i="21"/>
  <c r="S221" i="21" s="1"/>
  <c r="T16" i="21" s="1"/>
  <c r="R204" i="22"/>
  <c r="R206" i="22"/>
  <c r="R208" i="22"/>
  <c r="R210" i="22"/>
  <c r="O204" i="22"/>
  <c r="O205" i="22"/>
  <c r="O207" i="22"/>
  <c r="O209" i="22"/>
  <c r="T192" i="22"/>
  <c r="T194" i="22"/>
  <c r="T196" i="22"/>
  <c r="S200" i="22"/>
  <c r="S215" i="22" s="1"/>
  <c r="R191" i="23"/>
  <c r="R192" i="23"/>
  <c r="R193" i="23"/>
  <c r="R194" i="23"/>
  <c r="R195" i="23"/>
  <c r="R196" i="23"/>
  <c r="R197" i="23"/>
  <c r="Q200" i="23"/>
  <c r="O204" i="23"/>
  <c r="O211" i="23" s="1"/>
  <c r="N213" i="23"/>
  <c r="O191" i="23"/>
  <c r="R207" i="1"/>
  <c r="L201" i="6"/>
  <c r="M198" i="6"/>
  <c r="M197" i="6"/>
  <c r="M196" i="6"/>
  <c r="M195" i="6"/>
  <c r="M194" i="6"/>
  <c r="M193" i="6"/>
  <c r="M211" i="7"/>
  <c r="M209" i="7"/>
  <c r="M207" i="7"/>
  <c r="M206" i="7"/>
  <c r="M211" i="11"/>
  <c r="M209" i="11"/>
  <c r="M207" i="11"/>
  <c r="M206" i="11"/>
  <c r="L201" i="11"/>
  <c r="M198" i="11"/>
  <c r="M197" i="11"/>
  <c r="M196" i="11"/>
  <c r="M195" i="11"/>
  <c r="M194" i="11"/>
  <c r="M193" i="11"/>
  <c r="Q214" i="12"/>
  <c r="R198" i="12"/>
  <c r="R197" i="12"/>
  <c r="R196" i="12"/>
  <c r="R195" i="12"/>
  <c r="R194" i="12"/>
  <c r="R193" i="12"/>
  <c r="Q214" i="13"/>
  <c r="T196" i="13"/>
  <c r="O196" i="13"/>
  <c r="T195" i="13"/>
  <c r="O195" i="13"/>
  <c r="T194" i="13"/>
  <c r="O194" i="13"/>
  <c r="T193" i="13"/>
  <c r="O193" i="13"/>
  <c r="Q214" i="14"/>
  <c r="T211" i="14"/>
  <c r="T210" i="14"/>
  <c r="T209" i="14"/>
  <c r="T208" i="14"/>
  <c r="T207" i="14"/>
  <c r="T206" i="14"/>
  <c r="S201" i="14"/>
  <c r="T198" i="14"/>
  <c r="T197" i="14"/>
  <c r="T196" i="14"/>
  <c r="T195" i="14"/>
  <c r="T194" i="14"/>
  <c r="T193" i="14"/>
  <c r="T192" i="14"/>
  <c r="T199" i="14" s="1"/>
  <c r="M208" i="15"/>
  <c r="R199" i="15"/>
  <c r="R198" i="15"/>
  <c r="R197" i="15"/>
  <c r="R196" i="15"/>
  <c r="O76" i="15"/>
  <c r="S214" i="16"/>
  <c r="T211" i="16"/>
  <c r="M211" i="16"/>
  <c r="T209" i="16"/>
  <c r="M209" i="16"/>
  <c r="T207" i="16"/>
  <c r="M207" i="16"/>
  <c r="M206" i="16"/>
  <c r="L201" i="16"/>
  <c r="M197" i="16"/>
  <c r="M195" i="16"/>
  <c r="M193" i="16"/>
  <c r="Q201" i="17"/>
  <c r="N201" i="17"/>
  <c r="R198" i="17"/>
  <c r="M198" i="17"/>
  <c r="R197" i="17"/>
  <c r="M197" i="17"/>
  <c r="R196" i="17"/>
  <c r="M196" i="17"/>
  <c r="R195" i="17"/>
  <c r="M195" i="17"/>
  <c r="R194" i="17"/>
  <c r="M194" i="17"/>
  <c r="R193" i="17"/>
  <c r="R199" i="17"/>
  <c r="M193" i="17"/>
  <c r="O192" i="17"/>
  <c r="O199" i="17" s="1"/>
  <c r="O76" i="17"/>
  <c r="N214" i="18"/>
  <c r="S216" i="18" s="1"/>
  <c r="O208" i="18"/>
  <c r="R198" i="18"/>
  <c r="T197" i="18"/>
  <c r="R196" i="18"/>
  <c r="T195" i="18"/>
  <c r="R194" i="18"/>
  <c r="T193" i="18"/>
  <c r="T199" i="18" s="1"/>
  <c r="U73" i="18"/>
  <c r="T198" i="21"/>
  <c r="U127" i="18"/>
  <c r="U129" i="18" s="1"/>
  <c r="S174" i="18" s="1"/>
  <c r="U130" i="15"/>
  <c r="S175" i="15" s="1"/>
  <c r="U127" i="14"/>
  <c r="U129" i="14"/>
  <c r="S174" i="14" s="1"/>
  <c r="U127" i="10"/>
  <c r="U129" i="10" s="1"/>
  <c r="S174" i="10" s="1"/>
  <c r="U129" i="7"/>
  <c r="S174" i="7" s="1"/>
  <c r="U127" i="6"/>
  <c r="U129" i="6" s="1"/>
  <c r="S174" i="6" s="1"/>
  <c r="M209" i="22"/>
  <c r="M205" i="22"/>
  <c r="Q200" i="22"/>
  <c r="L200" i="22"/>
  <c r="R196" i="22"/>
  <c r="R194" i="22"/>
  <c r="R192" i="22"/>
  <c r="R198" i="22" s="1"/>
  <c r="M196" i="22"/>
  <c r="M192" i="22"/>
  <c r="U66" i="22"/>
  <c r="U102" i="21"/>
  <c r="M211" i="21"/>
  <c r="M198" i="22"/>
  <c r="P16" i="21"/>
  <c r="U66" i="23"/>
  <c r="U48" i="23"/>
  <c r="T16" i="19"/>
  <c r="R193" i="2"/>
  <c r="R197" i="2"/>
  <c r="R192" i="2"/>
  <c r="R196" i="2"/>
  <c r="R191" i="2"/>
  <c r="R195" i="2"/>
  <c r="Q200" i="2"/>
  <c r="R194" i="2"/>
  <c r="L200" i="1"/>
  <c r="M196" i="1"/>
  <c r="M194" i="1"/>
  <c r="M192" i="1"/>
  <c r="R196" i="1"/>
  <c r="R208" i="1"/>
  <c r="S219" i="2"/>
  <c r="M209" i="3"/>
  <c r="U76" i="9"/>
  <c r="U131" i="9" s="1"/>
  <c r="L200" i="4"/>
  <c r="M195" i="4"/>
  <c r="M193" i="4"/>
  <c r="U70" i="13"/>
  <c r="R211" i="15"/>
  <c r="R210" i="15"/>
  <c r="R209" i="15"/>
  <c r="M197" i="15"/>
  <c r="M195" i="15"/>
  <c r="U48" i="16"/>
  <c r="R194" i="21"/>
  <c r="R192" i="21"/>
  <c r="R209" i="6"/>
  <c r="R208" i="6"/>
  <c r="M208" i="6"/>
  <c r="R207" i="6"/>
  <c r="M207" i="6"/>
  <c r="R206" i="6"/>
  <c r="M206" i="6"/>
  <c r="L214" i="7"/>
  <c r="M210" i="7"/>
  <c r="Q214" i="8"/>
  <c r="Q201" i="8"/>
  <c r="R196" i="8"/>
  <c r="M196" i="8"/>
  <c r="R195" i="8"/>
  <c r="R194" i="8"/>
  <c r="M194" i="8"/>
  <c r="R193" i="8"/>
  <c r="L214" i="9"/>
  <c r="M210" i="9"/>
  <c r="M198" i="13"/>
  <c r="M197" i="13"/>
  <c r="M196" i="13"/>
  <c r="M195" i="13"/>
  <c r="M194" i="13"/>
  <c r="M193" i="13"/>
  <c r="S201" i="13"/>
  <c r="S220" i="13"/>
  <c r="R210" i="14"/>
  <c r="M210" i="14"/>
  <c r="R208" i="14"/>
  <c r="M208" i="14"/>
  <c r="R206" i="14"/>
  <c r="M206" i="14"/>
  <c r="Q201" i="14"/>
  <c r="R198" i="14"/>
  <c r="R196" i="14"/>
  <c r="R194" i="14"/>
  <c r="M210" i="23"/>
  <c r="M208" i="23"/>
  <c r="M206" i="23"/>
  <c r="M197" i="23"/>
  <c r="M195" i="23"/>
  <c r="M193" i="23"/>
  <c r="N200" i="23"/>
  <c r="U103" i="13"/>
  <c r="S221" i="13" s="1"/>
  <c r="S222" i="13" s="1"/>
  <c r="U103" i="2"/>
  <c r="S220" i="2" s="1"/>
  <c r="S221" i="2" s="1"/>
  <c r="U48" i="24"/>
  <c r="Q213" i="2"/>
  <c r="R206" i="2"/>
  <c r="R209" i="2"/>
  <c r="R210" i="2"/>
  <c r="M210" i="2"/>
  <c r="M206" i="3"/>
  <c r="Q76" i="3"/>
  <c r="M197" i="4"/>
  <c r="M196" i="4"/>
  <c r="M209" i="12"/>
  <c r="M208" i="12"/>
  <c r="M207" i="12"/>
  <c r="M206" i="12"/>
  <c r="M194" i="16"/>
  <c r="R210" i="1"/>
  <c r="R211" i="6"/>
  <c r="R210" i="6"/>
  <c r="Q201" i="9"/>
  <c r="Q214" i="11"/>
  <c r="R193" i="13"/>
  <c r="N201" i="13"/>
  <c r="S216" i="13" s="1"/>
  <c r="R211" i="14"/>
  <c r="R209" i="14"/>
  <c r="R207" i="14"/>
  <c r="R195" i="14"/>
  <c r="M206" i="19"/>
  <c r="U33" i="25"/>
  <c r="S223" i="25"/>
  <c r="M207" i="2"/>
  <c r="M209" i="2"/>
  <c r="L213" i="2"/>
  <c r="M205" i="2"/>
  <c r="Q200" i="3"/>
  <c r="R196" i="3"/>
  <c r="R193" i="3"/>
  <c r="R197" i="3"/>
  <c r="R191" i="3"/>
  <c r="R194" i="3"/>
  <c r="R192" i="3"/>
  <c r="R195" i="3"/>
  <c r="N16" i="4"/>
  <c r="S225" i="4"/>
  <c r="M204" i="2"/>
  <c r="M208" i="2"/>
  <c r="M196" i="2"/>
  <c r="M195" i="2"/>
  <c r="L200" i="2"/>
  <c r="M197" i="2"/>
  <c r="M192" i="2"/>
  <c r="M191" i="2"/>
  <c r="M194" i="2"/>
  <c r="M193" i="2"/>
  <c r="S215" i="2"/>
  <c r="M206" i="2"/>
  <c r="P16" i="19"/>
  <c r="R16" i="19"/>
  <c r="R194" i="1"/>
  <c r="R206" i="1"/>
  <c r="M192" i="4"/>
  <c r="M198" i="4" s="1"/>
  <c r="M207" i="8"/>
  <c r="M205" i="8"/>
  <c r="M209" i="8"/>
  <c r="M206" i="8"/>
  <c r="M206" i="4"/>
  <c r="R210" i="5"/>
  <c r="R206" i="5"/>
  <c r="M208" i="5"/>
  <c r="M204" i="5"/>
  <c r="R195" i="5"/>
  <c r="R191" i="5"/>
  <c r="M197" i="5"/>
  <c r="M193" i="5"/>
  <c r="M211" i="8"/>
  <c r="R209" i="5"/>
  <c r="R205" i="5"/>
  <c r="M196" i="5"/>
  <c r="M192" i="5"/>
  <c r="M210" i="8"/>
  <c r="R208" i="5"/>
  <c r="M210" i="5"/>
  <c r="R197" i="5"/>
  <c r="M195" i="5"/>
  <c r="Q214" i="6"/>
  <c r="M208" i="8"/>
  <c r="R211" i="10"/>
  <c r="R207" i="10"/>
  <c r="R198" i="10"/>
  <c r="R194" i="10"/>
  <c r="R210" i="13"/>
  <c r="R206" i="13"/>
  <c r="R193" i="14"/>
  <c r="Q76" i="14"/>
  <c r="M210" i="17"/>
  <c r="M206" i="17"/>
  <c r="T191" i="20"/>
  <c r="T193" i="20"/>
  <c r="T195" i="20"/>
  <c r="T197" i="20"/>
  <c r="Q213" i="22"/>
  <c r="R207" i="22"/>
  <c r="M191" i="23"/>
  <c r="M192" i="23"/>
  <c r="O191" i="24"/>
  <c r="O195" i="24"/>
  <c r="N200" i="24"/>
  <c r="S219" i="24"/>
  <c r="O193" i="24"/>
  <c r="O197" i="24"/>
  <c r="O194" i="24"/>
  <c r="N213" i="25"/>
  <c r="O204" i="25"/>
  <c r="O205" i="25"/>
  <c r="O206" i="25"/>
  <c r="O207" i="25"/>
  <c r="O208" i="25"/>
  <c r="O209" i="25"/>
  <c r="O210" i="25"/>
  <c r="M198" i="8"/>
  <c r="M192" i="8"/>
  <c r="R206" i="10"/>
  <c r="R197" i="10"/>
  <c r="R193" i="10"/>
  <c r="R209" i="13"/>
  <c r="R205" i="13"/>
  <c r="M211" i="13"/>
  <c r="M207" i="13"/>
  <c r="R192" i="14"/>
  <c r="R199" i="14" s="1"/>
  <c r="M197" i="14"/>
  <c r="Q76" i="15"/>
  <c r="S173" i="15" s="1"/>
  <c r="M205" i="17"/>
  <c r="L214" i="18"/>
  <c r="M211" i="18"/>
  <c r="M207" i="18"/>
  <c r="U67" i="18"/>
  <c r="U76" i="18" s="1"/>
  <c r="U127" i="9"/>
  <c r="U129" i="9" s="1"/>
  <c r="S174" i="9" s="1"/>
  <c r="T207" i="21"/>
  <c r="T206" i="21"/>
  <c r="T211" i="21" s="1"/>
  <c r="T210" i="21"/>
  <c r="T193" i="22"/>
  <c r="T191" i="22"/>
  <c r="U126" i="23"/>
  <c r="U128" i="23" s="1"/>
  <c r="S173" i="23" s="1"/>
  <c r="R204" i="24"/>
  <c r="R208" i="24"/>
  <c r="R205" i="24"/>
  <c r="R209" i="24"/>
  <c r="Q213" i="24"/>
  <c r="N213" i="24"/>
  <c r="O205" i="24"/>
  <c r="O207" i="24"/>
  <c r="O209" i="24"/>
  <c r="R209" i="10"/>
  <c r="M210" i="10"/>
  <c r="R196" i="10"/>
  <c r="M197" i="10"/>
  <c r="M210" i="18"/>
  <c r="M206" i="18"/>
  <c r="M211" i="19"/>
  <c r="M207" i="19"/>
  <c r="R206" i="21"/>
  <c r="R210" i="21"/>
  <c r="R209" i="21"/>
  <c r="R193" i="21"/>
  <c r="R196" i="21"/>
  <c r="R195" i="21"/>
  <c r="U127" i="11"/>
  <c r="U129" i="11" s="1"/>
  <c r="S174" i="11" s="1"/>
  <c r="O196" i="22"/>
  <c r="O194" i="22"/>
  <c r="O197" i="22"/>
  <c r="T198" i="23"/>
  <c r="M196" i="23"/>
  <c r="T205" i="23"/>
  <c r="T210" i="23"/>
  <c r="T204" i="23"/>
  <c r="T207" i="23"/>
  <c r="R191" i="25"/>
  <c r="R192" i="25"/>
  <c r="R193" i="25"/>
  <c r="R194" i="25"/>
  <c r="R195" i="25"/>
  <c r="R196" i="25"/>
  <c r="R197" i="25"/>
  <c r="Q200" i="25"/>
  <c r="U48" i="25"/>
  <c r="R211" i="13"/>
  <c r="M209" i="13"/>
  <c r="R197" i="13"/>
  <c r="M209" i="14"/>
  <c r="R209" i="17"/>
  <c r="M211" i="17"/>
  <c r="M209" i="18"/>
  <c r="U33" i="20"/>
  <c r="S223" i="20" s="1"/>
  <c r="O211" i="20"/>
  <c r="O193" i="20"/>
  <c r="O195" i="20"/>
  <c r="O197" i="20"/>
  <c r="R205" i="22"/>
  <c r="R211" i="22" s="1"/>
  <c r="T208" i="23"/>
  <c r="T206" i="23"/>
  <c r="L200" i="23"/>
  <c r="M194" i="23"/>
  <c r="M198" i="23" s="1"/>
  <c r="R207" i="24"/>
  <c r="U32" i="24"/>
  <c r="O75" i="24"/>
  <c r="U69" i="24"/>
  <c r="O75" i="25"/>
  <c r="U69" i="25"/>
  <c r="U32" i="25"/>
  <c r="U40" i="25" s="1"/>
  <c r="S148" i="25" s="1"/>
  <c r="S149" i="25" s="1"/>
  <c r="R196" i="24"/>
  <c r="R194" i="24"/>
  <c r="R192" i="24"/>
  <c r="L213" i="25"/>
  <c r="M210" i="25"/>
  <c r="M209" i="25"/>
  <c r="M208" i="25"/>
  <c r="M207" i="25"/>
  <c r="M206" i="25"/>
  <c r="O198" i="22"/>
  <c r="O211" i="24"/>
  <c r="Q79" i="14"/>
  <c r="S172" i="14"/>
  <c r="T198" i="22"/>
  <c r="M211" i="2"/>
  <c r="S221" i="24"/>
  <c r="N16" i="24" s="1"/>
  <c r="T16" i="24"/>
  <c r="S219" i="26"/>
  <c r="S221" i="26" s="1"/>
  <c r="O194" i="26"/>
  <c r="O195" i="26"/>
  <c r="T195" i="26"/>
  <c r="O196" i="26"/>
  <c r="T196" i="26"/>
  <c r="O197" i="26"/>
  <c r="T197" i="26"/>
  <c r="O81" i="8"/>
  <c r="Q213" i="3"/>
  <c r="R208" i="3"/>
  <c r="R204" i="3"/>
  <c r="R205" i="3"/>
  <c r="R209" i="3"/>
  <c r="R207" i="3"/>
  <c r="R210" i="3"/>
  <c r="R206" i="3"/>
  <c r="R212" i="7"/>
  <c r="M195" i="1"/>
  <c r="M198" i="1" s="1"/>
  <c r="M209" i="4"/>
  <c r="M207" i="4"/>
  <c r="Q200" i="4"/>
  <c r="M199" i="6"/>
  <c r="M197" i="7"/>
  <c r="M195" i="7"/>
  <c r="M193" i="7"/>
  <c r="M199" i="7" s="1"/>
  <c r="U70" i="7"/>
  <c r="O76" i="7"/>
  <c r="O79" i="7" s="1"/>
  <c r="U79" i="7" s="1"/>
  <c r="U132" i="7" s="1"/>
  <c r="R210" i="8"/>
  <c r="R208" i="8"/>
  <c r="R206" i="8"/>
  <c r="L201" i="9"/>
  <c r="M197" i="9"/>
  <c r="M195" i="9"/>
  <c r="M193" i="9"/>
  <c r="M209" i="10"/>
  <c r="M207" i="10"/>
  <c r="M196" i="10"/>
  <c r="M194" i="10"/>
  <c r="L201" i="14"/>
  <c r="M196" i="14"/>
  <c r="M194" i="14"/>
  <c r="R210" i="17"/>
  <c r="R207" i="17"/>
  <c r="Q213" i="21"/>
  <c r="R208" i="21"/>
  <c r="R207" i="21"/>
  <c r="M207" i="23"/>
  <c r="M210" i="24"/>
  <c r="M208" i="24"/>
  <c r="M206" i="24"/>
  <c r="R208" i="25"/>
  <c r="R207" i="25"/>
  <c r="R206" i="25"/>
  <c r="R205" i="25"/>
  <c r="M197" i="25"/>
  <c r="M195" i="25"/>
  <c r="M193" i="25"/>
  <c r="O191" i="26"/>
  <c r="O192" i="26"/>
  <c r="O193" i="26"/>
  <c r="U126" i="26"/>
  <c r="U128" i="26" s="1"/>
  <c r="S173" i="26" s="1"/>
  <c r="M193" i="26"/>
  <c r="M198" i="26" s="1"/>
  <c r="O204" i="26"/>
  <c r="O208" i="26"/>
  <c r="O210" i="26"/>
  <c r="M209" i="26"/>
  <c r="M210" i="26"/>
  <c r="T209" i="26"/>
  <c r="T210" i="26"/>
  <c r="R204" i="26"/>
  <c r="R210" i="26"/>
  <c r="T191" i="26"/>
  <c r="T192" i="26"/>
  <c r="R191" i="26"/>
  <c r="R192" i="26"/>
  <c r="R193" i="26"/>
  <c r="R194" i="26"/>
  <c r="O198" i="26"/>
  <c r="U48" i="26"/>
  <c r="S219" i="27"/>
  <c r="S221" i="27" s="1"/>
  <c r="T16" i="27" s="1"/>
  <c r="O191" i="27"/>
  <c r="T191" i="27"/>
  <c r="O192" i="27"/>
  <c r="T192" i="27"/>
  <c r="O193" i="27"/>
  <c r="T193" i="27"/>
  <c r="O194" i="27"/>
  <c r="T194" i="27"/>
  <c r="O195" i="27"/>
  <c r="T195" i="27"/>
  <c r="O196" i="27"/>
  <c r="T196" i="27"/>
  <c r="O197" i="27"/>
  <c r="T197" i="27"/>
  <c r="O204" i="27"/>
  <c r="O205" i="27"/>
  <c r="O206" i="27"/>
  <c r="O207" i="27"/>
  <c r="O209" i="27"/>
  <c r="M204" i="27"/>
  <c r="O208" i="27"/>
  <c r="O210" i="27"/>
  <c r="M208" i="27"/>
  <c r="M209" i="27"/>
  <c r="M210" i="27"/>
  <c r="M191" i="27"/>
  <c r="M194" i="27"/>
  <c r="M192" i="27"/>
  <c r="M196" i="27"/>
  <c r="M193" i="27"/>
  <c r="M195" i="27"/>
  <c r="M197" i="27"/>
  <c r="T207" i="27"/>
  <c r="T205" i="27"/>
  <c r="T209" i="27"/>
  <c r="T204" i="27"/>
  <c r="T206" i="27"/>
  <c r="T208" i="27"/>
  <c r="T210" i="27"/>
  <c r="S215" i="27"/>
  <c r="R205" i="27"/>
  <c r="R206" i="27"/>
  <c r="R207" i="27"/>
  <c r="R208" i="27"/>
  <c r="R209" i="27"/>
  <c r="R210" i="27"/>
  <c r="R191" i="27"/>
  <c r="R192" i="27"/>
  <c r="R193" i="27"/>
  <c r="R194" i="27"/>
  <c r="R195" i="27"/>
  <c r="R196" i="27"/>
  <c r="R197" i="27"/>
  <c r="U126" i="27"/>
  <c r="U128" i="27" s="1"/>
  <c r="S173" i="27" s="1"/>
  <c r="U33" i="27"/>
  <c r="S223" i="27" s="1"/>
  <c r="U48" i="27"/>
  <c r="O75" i="28"/>
  <c r="S219" i="28"/>
  <c r="O194" i="28"/>
  <c r="O195" i="28"/>
  <c r="T195" i="28"/>
  <c r="O196" i="28"/>
  <c r="T196" i="28"/>
  <c r="O197" i="28"/>
  <c r="T197" i="28"/>
  <c r="O192" i="28"/>
  <c r="O191" i="28"/>
  <c r="O193" i="28"/>
  <c r="M191" i="28"/>
  <c r="M192" i="28"/>
  <c r="M193" i="28"/>
  <c r="O204" i="28"/>
  <c r="O207" i="28"/>
  <c r="O205" i="28"/>
  <c r="O206" i="28"/>
  <c r="O209" i="28"/>
  <c r="O208" i="28"/>
  <c r="O210" i="28"/>
  <c r="M205" i="28"/>
  <c r="M204" i="28"/>
  <c r="M206" i="28"/>
  <c r="M207" i="28"/>
  <c r="M208" i="28"/>
  <c r="M209" i="28"/>
  <c r="M210" i="28"/>
  <c r="T204" i="28"/>
  <c r="T205" i="28"/>
  <c r="T207" i="28"/>
  <c r="T206" i="28"/>
  <c r="T209" i="28"/>
  <c r="T208" i="28"/>
  <c r="T210" i="28"/>
  <c r="R204" i="28"/>
  <c r="R206" i="28"/>
  <c r="R207" i="28"/>
  <c r="R208" i="28"/>
  <c r="R209" i="28"/>
  <c r="R210" i="28"/>
  <c r="T191" i="28"/>
  <c r="T192" i="28"/>
  <c r="R191" i="28"/>
  <c r="R192" i="28"/>
  <c r="R193" i="28"/>
  <c r="R194" i="28"/>
  <c r="U75" i="28"/>
  <c r="U130" i="28" s="1"/>
  <c r="U132" i="28" s="1"/>
  <c r="U48" i="28"/>
  <c r="U33" i="28"/>
  <c r="S223" i="28" s="1"/>
  <c r="U128" i="28"/>
  <c r="S173" i="28" s="1"/>
  <c r="S215" i="28"/>
  <c r="O75" i="29"/>
  <c r="O191" i="29"/>
  <c r="T191" i="29"/>
  <c r="O192" i="29"/>
  <c r="T192" i="29"/>
  <c r="O193" i="29"/>
  <c r="T193" i="29"/>
  <c r="O194" i="29"/>
  <c r="T194" i="29"/>
  <c r="O195" i="29"/>
  <c r="T195" i="29"/>
  <c r="O196" i="29"/>
  <c r="T196" i="29"/>
  <c r="O197" i="29"/>
  <c r="T197" i="29"/>
  <c r="O198" i="29"/>
  <c r="U75" i="29"/>
  <c r="U80" i="29" s="1"/>
  <c r="U133" i="29" s="1"/>
  <c r="U48" i="29"/>
  <c r="U33" i="29"/>
  <c r="S223" i="29" s="1"/>
  <c r="M191" i="29"/>
  <c r="M194" i="29"/>
  <c r="M192" i="29"/>
  <c r="M196" i="29"/>
  <c r="M193" i="29"/>
  <c r="M195" i="29"/>
  <c r="M197" i="29"/>
  <c r="O206" i="29"/>
  <c r="O207" i="29"/>
  <c r="O208" i="29"/>
  <c r="O209" i="29"/>
  <c r="O205" i="29"/>
  <c r="O210" i="29"/>
  <c r="M204" i="29"/>
  <c r="M205" i="29"/>
  <c r="M210" i="29"/>
  <c r="R191" i="29"/>
  <c r="R192" i="29"/>
  <c r="R193" i="29"/>
  <c r="R194" i="29"/>
  <c r="R195" i="29"/>
  <c r="R196" i="29"/>
  <c r="R197" i="29"/>
  <c r="T204" i="29"/>
  <c r="T206" i="29"/>
  <c r="T205" i="29"/>
  <c r="T208" i="29"/>
  <c r="T207" i="29"/>
  <c r="T209" i="29"/>
  <c r="T210" i="29"/>
  <c r="R204" i="29"/>
  <c r="R206" i="29"/>
  <c r="R207" i="29"/>
  <c r="R208" i="29"/>
  <c r="R209" i="29"/>
  <c r="R210" i="29"/>
  <c r="S221" i="29"/>
  <c r="S225" i="29" s="1"/>
  <c r="S200" i="29"/>
  <c r="S215" i="29" s="1"/>
  <c r="R16" i="29"/>
  <c r="U126" i="30"/>
  <c r="U128" i="30" s="1"/>
  <c r="S173" i="30" s="1"/>
  <c r="O191" i="30"/>
  <c r="O192" i="30"/>
  <c r="T192" i="30"/>
  <c r="O193" i="30"/>
  <c r="T193" i="30"/>
  <c r="O194" i="30"/>
  <c r="T194" i="30"/>
  <c r="O195" i="30"/>
  <c r="T195" i="30"/>
  <c r="O196" i="30"/>
  <c r="T196" i="30"/>
  <c r="O197" i="30"/>
  <c r="T197" i="30"/>
  <c r="O207" i="30"/>
  <c r="O204" i="30"/>
  <c r="O205" i="30"/>
  <c r="O209" i="30"/>
  <c r="O206" i="30"/>
  <c r="O208" i="30"/>
  <c r="O210" i="30"/>
  <c r="M204" i="30"/>
  <c r="M205" i="30"/>
  <c r="M206" i="30"/>
  <c r="M207" i="30"/>
  <c r="M208" i="30"/>
  <c r="M209" i="30"/>
  <c r="M210" i="30"/>
  <c r="M194" i="30"/>
  <c r="M191" i="30"/>
  <c r="M196" i="30"/>
  <c r="M192" i="30"/>
  <c r="M193" i="30"/>
  <c r="M195" i="30"/>
  <c r="M197" i="30"/>
  <c r="R193" i="30"/>
  <c r="R194" i="30"/>
  <c r="R195" i="30"/>
  <c r="R196" i="30"/>
  <c r="R197" i="30"/>
  <c r="T207" i="30"/>
  <c r="T205" i="30"/>
  <c r="T209" i="30"/>
  <c r="T204" i="30"/>
  <c r="T206" i="30"/>
  <c r="T208" i="30"/>
  <c r="T210" i="30"/>
  <c r="R205" i="30"/>
  <c r="R206" i="30"/>
  <c r="R207" i="30"/>
  <c r="R208" i="30"/>
  <c r="R209" i="30"/>
  <c r="R210" i="30"/>
  <c r="O75" i="30"/>
  <c r="U69" i="30"/>
  <c r="U75" i="30" s="1"/>
  <c r="U80" i="30" s="1"/>
  <c r="U133" i="30" s="1"/>
  <c r="U33" i="30"/>
  <c r="S223" i="30"/>
  <c r="U48" i="30"/>
  <c r="S221" i="30"/>
  <c r="R16" i="30" s="1"/>
  <c r="S219" i="31"/>
  <c r="O195" i="31"/>
  <c r="O196" i="31"/>
  <c r="T196" i="31"/>
  <c r="O197" i="31"/>
  <c r="T197" i="31"/>
  <c r="U126" i="31"/>
  <c r="U128" i="31" s="1"/>
  <c r="S173" i="31" s="1"/>
  <c r="O191" i="31"/>
  <c r="O192" i="31"/>
  <c r="O193" i="31"/>
  <c r="M192" i="31"/>
  <c r="M193" i="31"/>
  <c r="M191" i="31"/>
  <c r="M196" i="31"/>
  <c r="M194" i="31"/>
  <c r="M195" i="31"/>
  <c r="M197" i="31"/>
  <c r="O207" i="31"/>
  <c r="O204" i="31"/>
  <c r="O205" i="31"/>
  <c r="O209" i="31"/>
  <c r="O206" i="31"/>
  <c r="O208" i="31"/>
  <c r="O210" i="31"/>
  <c r="M204" i="31"/>
  <c r="M205" i="31"/>
  <c r="M206" i="31"/>
  <c r="M207" i="31"/>
  <c r="M208" i="31"/>
  <c r="M209" i="31"/>
  <c r="M210" i="31"/>
  <c r="T191" i="31"/>
  <c r="T193" i="31"/>
  <c r="T192" i="31"/>
  <c r="T194" i="31"/>
  <c r="R192" i="31"/>
  <c r="R193" i="31"/>
  <c r="R194" i="31"/>
  <c r="R196" i="31"/>
  <c r="R197" i="31"/>
  <c r="T205" i="31"/>
  <c r="T207" i="31"/>
  <c r="T204" i="31"/>
  <c r="T206" i="31"/>
  <c r="T209" i="31"/>
  <c r="T208" i="31"/>
  <c r="T210" i="31"/>
  <c r="R205" i="31"/>
  <c r="R206" i="31"/>
  <c r="R207" i="31"/>
  <c r="R208" i="31"/>
  <c r="R209" i="31"/>
  <c r="R210" i="31"/>
  <c r="U75" i="31"/>
  <c r="U80" i="31" s="1"/>
  <c r="U133" i="31" s="1"/>
  <c r="U48" i="31"/>
  <c r="O75" i="32"/>
  <c r="O197" i="32"/>
  <c r="T197" i="32"/>
  <c r="U75" i="32"/>
  <c r="U80" i="32"/>
  <c r="U133" i="32" s="1"/>
  <c r="U33" i="32"/>
  <c r="S223" i="32" s="1"/>
  <c r="O195" i="32"/>
  <c r="O191" i="32"/>
  <c r="O192" i="32"/>
  <c r="O193" i="32"/>
  <c r="O194" i="32"/>
  <c r="O196" i="32"/>
  <c r="U126" i="32"/>
  <c r="U128" i="32" s="1"/>
  <c r="S173" i="32" s="1"/>
  <c r="M192" i="32"/>
  <c r="M191" i="32"/>
  <c r="M193" i="32"/>
  <c r="M194" i="32"/>
  <c r="M195" i="32"/>
  <c r="M196" i="32"/>
  <c r="O206" i="32"/>
  <c r="O207" i="32"/>
  <c r="O204" i="32"/>
  <c r="O209" i="32"/>
  <c r="O205" i="32"/>
  <c r="O208" i="32"/>
  <c r="O210" i="32"/>
  <c r="M204" i="32"/>
  <c r="M205" i="32"/>
  <c r="M208" i="32"/>
  <c r="M209" i="32"/>
  <c r="M210" i="32"/>
  <c r="T204" i="32"/>
  <c r="T205" i="32"/>
  <c r="T207" i="32"/>
  <c r="T206" i="32"/>
  <c r="T209" i="32"/>
  <c r="T208" i="32"/>
  <c r="T210" i="32"/>
  <c r="S215" i="32"/>
  <c r="R204" i="32"/>
  <c r="R206" i="32"/>
  <c r="R207" i="32"/>
  <c r="R208" i="32"/>
  <c r="R209" i="32"/>
  <c r="R210" i="32"/>
  <c r="T194" i="32"/>
  <c r="T191" i="32"/>
  <c r="T192" i="32"/>
  <c r="T193" i="32"/>
  <c r="T195" i="32"/>
  <c r="R194" i="32"/>
  <c r="R195" i="32"/>
  <c r="R196" i="32"/>
  <c r="U130" i="32"/>
  <c r="U132" i="32" s="1"/>
  <c r="O75" i="33"/>
  <c r="O194" i="33"/>
  <c r="O195" i="33"/>
  <c r="T195" i="33"/>
  <c r="O196" i="33"/>
  <c r="T196" i="33"/>
  <c r="O197" i="33"/>
  <c r="T197" i="33"/>
  <c r="U75" i="33"/>
  <c r="U130" i="33" s="1"/>
  <c r="U132" i="33" s="1"/>
  <c r="U33" i="33"/>
  <c r="S223" i="33" s="1"/>
  <c r="O191" i="33"/>
  <c r="O192" i="33"/>
  <c r="M192" i="33"/>
  <c r="M193" i="33"/>
  <c r="M194" i="33"/>
  <c r="M196" i="33"/>
  <c r="M191" i="33"/>
  <c r="M195" i="33"/>
  <c r="M197" i="33"/>
  <c r="O205" i="33"/>
  <c r="O206" i="33"/>
  <c r="O204" i="33"/>
  <c r="O209" i="33"/>
  <c r="O207" i="33"/>
  <c r="O208" i="33"/>
  <c r="O210" i="33"/>
  <c r="M205" i="33"/>
  <c r="M204" i="33"/>
  <c r="M207" i="33"/>
  <c r="M206" i="33"/>
  <c r="M208" i="33"/>
  <c r="M209" i="33"/>
  <c r="M210" i="33"/>
  <c r="T193" i="33"/>
  <c r="T194" i="33"/>
  <c r="T192" i="33"/>
  <c r="R191" i="33"/>
  <c r="R192" i="33"/>
  <c r="R193" i="33"/>
  <c r="R194" i="33"/>
  <c r="R195" i="33"/>
  <c r="R196" i="33"/>
  <c r="R197" i="33"/>
  <c r="T204" i="33"/>
  <c r="T205" i="33"/>
  <c r="T206" i="33"/>
  <c r="T207" i="33"/>
  <c r="T209" i="33"/>
  <c r="T208" i="33"/>
  <c r="T210" i="33"/>
  <c r="R204" i="33"/>
  <c r="R208" i="33"/>
  <c r="R209" i="33"/>
  <c r="R210" i="33"/>
  <c r="T191" i="33"/>
  <c r="S219" i="33"/>
  <c r="S221" i="33" s="1"/>
  <c r="N16" i="33" s="1"/>
  <c r="S215" i="33"/>
  <c r="O75" i="34"/>
  <c r="O193" i="34"/>
  <c r="O194" i="34"/>
  <c r="T194" i="34"/>
  <c r="O195" i="34"/>
  <c r="T195" i="34"/>
  <c r="O196" i="34"/>
  <c r="T196" i="34"/>
  <c r="O197" i="34"/>
  <c r="T197" i="34"/>
  <c r="O191" i="34"/>
  <c r="O192" i="34"/>
  <c r="M191" i="34"/>
  <c r="M192" i="34"/>
  <c r="M205" i="34"/>
  <c r="M206" i="34"/>
  <c r="M207" i="34"/>
  <c r="M208" i="34"/>
  <c r="M209" i="34"/>
  <c r="M210" i="34"/>
  <c r="O204" i="34"/>
  <c r="O205" i="34"/>
  <c r="T204" i="34"/>
  <c r="T205" i="34"/>
  <c r="T207" i="34"/>
  <c r="T206" i="34"/>
  <c r="T209" i="34"/>
  <c r="T208" i="34"/>
  <c r="T210" i="34"/>
  <c r="R204" i="34"/>
  <c r="R206" i="34"/>
  <c r="R207" i="34"/>
  <c r="R208" i="34"/>
  <c r="R209" i="34"/>
  <c r="R210" i="34"/>
  <c r="T191" i="34"/>
  <c r="R192" i="34"/>
  <c r="R193" i="34"/>
  <c r="U75" i="34"/>
  <c r="U130" i="34" s="1"/>
  <c r="U132" i="34" s="1"/>
  <c r="U33" i="34"/>
  <c r="S223" i="34"/>
  <c r="R198" i="33" l="1"/>
  <c r="M211" i="33"/>
  <c r="O198" i="33"/>
  <c r="U130" i="31"/>
  <c r="U132" i="31" s="1"/>
  <c r="O211" i="30"/>
  <c r="T16" i="29"/>
  <c r="U130" i="29"/>
  <c r="U132" i="29" s="1"/>
  <c r="O211" i="26"/>
  <c r="O81" i="7"/>
  <c r="M199" i="9"/>
  <c r="R16" i="24"/>
  <c r="R199" i="10"/>
  <c r="R212" i="6"/>
  <c r="T212" i="16"/>
  <c r="T211" i="23"/>
  <c r="U81" i="16"/>
  <c r="U134" i="16" s="1"/>
  <c r="U131" i="16"/>
  <c r="U133" i="16" s="1"/>
  <c r="O212" i="7"/>
  <c r="U67" i="8"/>
  <c r="N214" i="8"/>
  <c r="S216" i="8" s="1"/>
  <c r="S220" i="7"/>
  <c r="L214" i="11"/>
  <c r="R197" i="11"/>
  <c r="R195" i="11"/>
  <c r="R193" i="11"/>
  <c r="O197" i="12"/>
  <c r="O194" i="12"/>
  <c r="O210" i="12"/>
  <c r="O207" i="12"/>
  <c r="R207" i="13"/>
  <c r="R212" i="13" s="1"/>
  <c r="L201" i="13"/>
  <c r="R198" i="13"/>
  <c r="T197" i="13"/>
  <c r="R196" i="13"/>
  <c r="R194" i="13"/>
  <c r="U88" i="13"/>
  <c r="R208" i="17"/>
  <c r="U40" i="18"/>
  <c r="S149" i="18" s="1"/>
  <c r="S150" i="18" s="1"/>
  <c r="U76" i="19"/>
  <c r="T211" i="20"/>
  <c r="U48" i="21"/>
  <c r="U126" i="29"/>
  <c r="U128" i="29" s="1"/>
  <c r="S173" i="29" s="1"/>
  <c r="U75" i="22"/>
  <c r="R205" i="1"/>
  <c r="R211" i="1" s="1"/>
  <c r="R209" i="1"/>
  <c r="S215" i="21"/>
  <c r="S216" i="10"/>
  <c r="R193" i="1"/>
  <c r="R197" i="1"/>
  <c r="O197" i="1"/>
  <c r="O195" i="1"/>
  <c r="O192" i="1"/>
  <c r="U40" i="1"/>
  <c r="T210" i="2"/>
  <c r="T208" i="2"/>
  <c r="T206" i="2"/>
  <c r="T204" i="2"/>
  <c r="O209" i="2"/>
  <c r="O207" i="2"/>
  <c r="O205" i="2"/>
  <c r="T198" i="2"/>
  <c r="O195" i="3"/>
  <c r="U40" i="3"/>
  <c r="S148" i="3" s="1"/>
  <c r="S149" i="3" s="1"/>
  <c r="U70" i="3"/>
  <c r="R206" i="4"/>
  <c r="U40" i="4"/>
  <c r="S148" i="4" s="1"/>
  <c r="S149" i="4" s="1"/>
  <c r="Q213" i="5"/>
  <c r="T210" i="5"/>
  <c r="T208" i="5"/>
  <c r="T206" i="5"/>
  <c r="M207" i="5"/>
  <c r="S200" i="5"/>
  <c r="T197" i="5"/>
  <c r="T194" i="5"/>
  <c r="T191" i="5"/>
  <c r="T209" i="6"/>
  <c r="T206" i="6"/>
  <c r="S214" i="6"/>
  <c r="O198" i="6"/>
  <c r="U40" i="7"/>
  <c r="S149" i="7" s="1"/>
  <c r="S150" i="7" s="1"/>
  <c r="U40" i="9"/>
  <c r="S149" i="9" s="1"/>
  <c r="S150" i="9" s="1"/>
  <c r="T199" i="13"/>
  <c r="M205" i="18"/>
  <c r="U33" i="18"/>
  <c r="S224" i="18" s="1"/>
  <c r="U127" i="17"/>
  <c r="U129" i="17" s="1"/>
  <c r="S174" i="17" s="1"/>
  <c r="U127" i="16"/>
  <c r="U126" i="22"/>
  <c r="L213" i="23"/>
  <c r="T209" i="24"/>
  <c r="T206" i="24"/>
  <c r="T196" i="24"/>
  <c r="T194" i="24"/>
  <c r="T192" i="24"/>
  <c r="U126" i="34"/>
  <c r="P16" i="26"/>
  <c r="N16" i="26"/>
  <c r="R16" i="26"/>
  <c r="T16" i="2"/>
  <c r="N16" i="2"/>
  <c r="R16" i="2"/>
  <c r="S225" i="2"/>
  <c r="P16" i="2"/>
  <c r="T198" i="33"/>
  <c r="R212" i="14"/>
  <c r="U131" i="19"/>
  <c r="U133" i="19" s="1"/>
  <c r="U81" i="19"/>
  <c r="U134" i="19" s="1"/>
  <c r="O211" i="33"/>
  <c r="R198" i="32"/>
  <c r="T198" i="32"/>
  <c r="M198" i="31"/>
  <c r="R211" i="30"/>
  <c r="T211" i="30"/>
  <c r="P16" i="29"/>
  <c r="R211" i="29"/>
  <c r="M198" i="29"/>
  <c r="R198" i="27"/>
  <c r="T211" i="27"/>
  <c r="T211" i="26"/>
  <c r="M211" i="26"/>
  <c r="P16" i="24"/>
  <c r="M212" i="18"/>
  <c r="N16" i="21"/>
  <c r="S222" i="18"/>
  <c r="U103" i="18"/>
  <c r="U107" i="18" s="1"/>
  <c r="O198" i="30"/>
  <c r="N16" i="29"/>
  <c r="T198" i="28"/>
  <c r="R211" i="28"/>
  <c r="R198" i="26"/>
  <c r="R211" i="26"/>
  <c r="M198" i="2"/>
  <c r="R199" i="13"/>
  <c r="U107" i="13"/>
  <c r="R16" i="21"/>
  <c r="Q137" i="3"/>
  <c r="U139" i="2"/>
  <c r="O211" i="32"/>
  <c r="T198" i="31"/>
  <c r="U80" i="28"/>
  <c r="U133" i="28" s="1"/>
  <c r="T198" i="27"/>
  <c r="R211" i="21"/>
  <c r="T198" i="20"/>
  <c r="R198" i="3"/>
  <c r="M199" i="13"/>
  <c r="M199" i="17"/>
  <c r="U106" i="21"/>
  <c r="O199" i="13"/>
  <c r="U107" i="19"/>
  <c r="R198" i="1"/>
  <c r="T211" i="2"/>
  <c r="U107" i="2"/>
  <c r="T211" i="4"/>
  <c r="U40" i="5"/>
  <c r="S148" i="5" s="1"/>
  <c r="S149" i="5" s="1"/>
  <c r="M210" i="6"/>
  <c r="T212" i="7"/>
  <c r="R192" i="7"/>
  <c r="R199" i="7" s="1"/>
  <c r="O212" i="10"/>
  <c r="M192" i="10"/>
  <c r="S220" i="10"/>
  <c r="O212" i="11"/>
  <c r="R211" i="12"/>
  <c r="O208" i="12"/>
  <c r="M210" i="13"/>
  <c r="M207" i="14"/>
  <c r="M192" i="14"/>
  <c r="S220" i="14"/>
  <c r="L202" i="15"/>
  <c r="M198" i="15"/>
  <c r="U127" i="2"/>
  <c r="U128" i="2" s="1"/>
  <c r="S173" i="2" s="1"/>
  <c r="U70" i="15"/>
  <c r="U76" i="15" s="1"/>
  <c r="L214" i="16"/>
  <c r="M198" i="16"/>
  <c r="M199" i="16" s="1"/>
  <c r="U40" i="20"/>
  <c r="S148" i="20" s="1"/>
  <c r="S149" i="20" s="1"/>
  <c r="U129" i="16"/>
  <c r="S174" i="16" s="1"/>
  <c r="U128" i="3"/>
  <c r="S173" i="3" s="1"/>
  <c r="R210" i="24"/>
  <c r="R211" i="24" s="1"/>
  <c r="M204" i="24"/>
  <c r="M196" i="24"/>
  <c r="M192" i="24"/>
  <c r="U128" i="25"/>
  <c r="S173" i="25" s="1"/>
  <c r="U32" i="29"/>
  <c r="U40" i="29" s="1"/>
  <c r="S148" i="29" s="1"/>
  <c r="S149" i="29" s="1"/>
  <c r="O194" i="31"/>
  <c r="O198" i="31" s="1"/>
  <c r="M207" i="32"/>
  <c r="M211" i="32" s="1"/>
  <c r="T192" i="34"/>
  <c r="S219" i="34"/>
  <c r="O207" i="34"/>
  <c r="R198" i="35"/>
  <c r="R200" i="15"/>
  <c r="T212" i="14"/>
  <c r="R198" i="23"/>
  <c r="O211" i="22"/>
  <c r="U75" i="23"/>
  <c r="R211" i="23"/>
  <c r="O212" i="18"/>
  <c r="R199" i="18"/>
  <c r="R212" i="16"/>
  <c r="M199" i="18"/>
  <c r="R212" i="18"/>
  <c r="R213" i="15"/>
  <c r="T205" i="1"/>
  <c r="O211" i="2"/>
  <c r="R210" i="4"/>
  <c r="R205" i="4"/>
  <c r="O198" i="4"/>
  <c r="R196" i="5"/>
  <c r="O199" i="6"/>
  <c r="M208" i="7"/>
  <c r="M212" i="7" s="1"/>
  <c r="U67" i="7"/>
  <c r="S216" i="7"/>
  <c r="U70" i="8"/>
  <c r="O199" i="10"/>
  <c r="O76" i="10"/>
  <c r="O79" i="10" s="1"/>
  <c r="M208" i="11"/>
  <c r="M205" i="11"/>
  <c r="R199" i="11"/>
  <c r="R209" i="12"/>
  <c r="Q201" i="12"/>
  <c r="U40" i="16"/>
  <c r="S149" i="16" s="1"/>
  <c r="S150" i="16" s="1"/>
  <c r="R206" i="17"/>
  <c r="R212" i="17" s="1"/>
  <c r="O212" i="19"/>
  <c r="U126" i="5"/>
  <c r="U128" i="5" s="1"/>
  <c r="S173" i="5" s="1"/>
  <c r="U126" i="21"/>
  <c r="U128" i="21" s="1"/>
  <c r="S173" i="21" s="1"/>
  <c r="M195" i="24"/>
  <c r="M191" i="24"/>
  <c r="U126" i="24"/>
  <c r="U128" i="24" s="1"/>
  <c r="S173" i="24" s="1"/>
  <c r="U128" i="33"/>
  <c r="S173" i="33" s="1"/>
  <c r="R207" i="33"/>
  <c r="T193" i="34"/>
  <c r="O209" i="34"/>
  <c r="N213" i="34"/>
  <c r="T206" i="1"/>
  <c r="T207" i="1"/>
  <c r="U67" i="3"/>
  <c r="U76" i="3" s="1"/>
  <c r="U130" i="3" s="1"/>
  <c r="R209" i="4"/>
  <c r="R204" i="4"/>
  <c r="R194" i="5"/>
  <c r="U40" i="6"/>
  <c r="S149" i="6" s="1"/>
  <c r="S150" i="6" s="1"/>
  <c r="U76" i="8"/>
  <c r="Q76" i="9"/>
  <c r="R205" i="10"/>
  <c r="R212" i="10" s="1"/>
  <c r="L201" i="10"/>
  <c r="O199" i="11"/>
  <c r="R207" i="12"/>
  <c r="O206" i="12"/>
  <c r="M205" i="13"/>
  <c r="M212" i="13" s="1"/>
  <c r="M211" i="15"/>
  <c r="M210" i="15"/>
  <c r="M213" i="15" s="1"/>
  <c r="Q202" i="15"/>
  <c r="M199" i="15"/>
  <c r="M194" i="15"/>
  <c r="M208" i="17"/>
  <c r="M212" i="17" s="1"/>
  <c r="U48" i="18"/>
  <c r="O76" i="18"/>
  <c r="R210" i="19"/>
  <c r="U66" i="24"/>
  <c r="U75" i="24" s="1"/>
  <c r="U32" i="27"/>
  <c r="U32" i="30"/>
  <c r="T191" i="30"/>
  <c r="T198" i="30" s="1"/>
  <c r="U32" i="34"/>
  <c r="U128" i="34"/>
  <c r="S173" i="34" s="1"/>
  <c r="M212" i="11"/>
  <c r="M198" i="20"/>
  <c r="O198" i="2"/>
  <c r="U107" i="4"/>
  <c r="U103" i="7"/>
  <c r="T212" i="9"/>
  <c r="M198" i="10"/>
  <c r="O76" i="12"/>
  <c r="O79" i="12" s="1"/>
  <c r="O81" i="12" s="1"/>
  <c r="M198" i="14"/>
  <c r="U70" i="14"/>
  <c r="M196" i="15"/>
  <c r="U127" i="1"/>
  <c r="U128" i="1" s="1"/>
  <c r="S220" i="17"/>
  <c r="U76" i="17"/>
  <c r="U127" i="19"/>
  <c r="U129" i="19" s="1"/>
  <c r="S174" i="19" s="1"/>
  <c r="U128" i="22"/>
  <c r="S173" i="22" s="1"/>
  <c r="U33" i="23"/>
  <c r="S223" i="23" s="1"/>
  <c r="M209" i="24"/>
  <c r="M197" i="24"/>
  <c r="U66" i="25"/>
  <c r="U75" i="25" s="1"/>
  <c r="U32" i="26"/>
  <c r="M207" i="29"/>
  <c r="M211" i="29" s="1"/>
  <c r="U32" i="31"/>
  <c r="U40" i="31" s="1"/>
  <c r="S148" i="31" s="1"/>
  <c r="S149" i="31" s="1"/>
  <c r="M197" i="32"/>
  <c r="R205" i="33"/>
  <c r="U103" i="14"/>
  <c r="S221" i="14" s="1"/>
  <c r="S222" i="14" s="1"/>
  <c r="U40" i="35"/>
  <c r="S148" i="35" s="1"/>
  <c r="S149" i="35" s="1"/>
  <c r="T211" i="34"/>
  <c r="O198" i="34"/>
  <c r="S225" i="33"/>
  <c r="R211" i="33"/>
  <c r="M198" i="33"/>
  <c r="U80" i="33"/>
  <c r="U133" i="33" s="1"/>
  <c r="R211" i="32"/>
  <c r="T211" i="32"/>
  <c r="O211" i="31"/>
  <c r="U130" i="30"/>
  <c r="U132" i="30" s="1"/>
  <c r="U102" i="29"/>
  <c r="U106" i="29" s="1"/>
  <c r="T211" i="29"/>
  <c r="P16" i="27"/>
  <c r="R16" i="27"/>
  <c r="S225" i="27"/>
  <c r="N16" i="27"/>
  <c r="U130" i="24"/>
  <c r="U132" i="24" s="1"/>
  <c r="U80" i="24"/>
  <c r="U133" i="24" s="1"/>
  <c r="M212" i="8"/>
  <c r="R191" i="4"/>
  <c r="R194" i="4"/>
  <c r="R196" i="4"/>
  <c r="R193" i="4"/>
  <c r="R192" i="4"/>
  <c r="R197" i="4"/>
  <c r="R195" i="4"/>
  <c r="U76" i="7"/>
  <c r="U131" i="8"/>
  <c r="T16" i="33"/>
  <c r="T211" i="33"/>
  <c r="S221" i="28"/>
  <c r="O198" i="27"/>
  <c r="U40" i="24"/>
  <c r="S148" i="24" s="1"/>
  <c r="S149" i="24" s="1"/>
  <c r="U102" i="24"/>
  <c r="U106" i="24" s="1"/>
  <c r="M192" i="3"/>
  <c r="L200" i="3"/>
  <c r="M195" i="3"/>
  <c r="M196" i="3"/>
  <c r="M197" i="3"/>
  <c r="M194" i="3"/>
  <c r="M191" i="3"/>
  <c r="M193" i="3"/>
  <c r="U103" i="10"/>
  <c r="U107" i="14"/>
  <c r="O198" i="16"/>
  <c r="O192" i="16"/>
  <c r="O193" i="16"/>
  <c r="O194" i="16"/>
  <c r="O196" i="16"/>
  <c r="N201" i="16"/>
  <c r="S216" i="16" s="1"/>
  <c r="O197" i="16"/>
  <c r="O195" i="16"/>
  <c r="O212" i="17"/>
  <c r="T199" i="17"/>
  <c r="Q213" i="20"/>
  <c r="R206" i="20"/>
  <c r="R210" i="20"/>
  <c r="R207" i="20"/>
  <c r="R204" i="20"/>
  <c r="R208" i="20"/>
  <c r="R209" i="20"/>
  <c r="U80" i="34"/>
  <c r="U133" i="34" s="1"/>
  <c r="M198" i="32"/>
  <c r="O198" i="32"/>
  <c r="T211" i="31"/>
  <c r="M211" i="31"/>
  <c r="M198" i="30"/>
  <c r="M211" i="30"/>
  <c r="R198" i="29"/>
  <c r="T198" i="29"/>
  <c r="O211" i="28"/>
  <c r="M198" i="27"/>
  <c r="O211" i="27"/>
  <c r="U130" i="25"/>
  <c r="U132" i="25" s="1"/>
  <c r="U80" i="25"/>
  <c r="U133" i="25" s="1"/>
  <c r="R198" i="25"/>
  <c r="N16" i="13"/>
  <c r="T16" i="13"/>
  <c r="R16" i="13"/>
  <c r="P16" i="13"/>
  <c r="S226" i="13"/>
  <c r="R205" i="20"/>
  <c r="S220" i="16"/>
  <c r="U70" i="1"/>
  <c r="Q76" i="1"/>
  <c r="L213" i="1"/>
  <c r="M204" i="1"/>
  <c r="M207" i="1"/>
  <c r="M208" i="1"/>
  <c r="M205" i="1"/>
  <c r="M209" i="1"/>
  <c r="M210" i="1"/>
  <c r="T16" i="4"/>
  <c r="R16" i="4"/>
  <c r="T192" i="4"/>
  <c r="T196" i="4"/>
  <c r="T191" i="4"/>
  <c r="T193" i="4"/>
  <c r="T197" i="4"/>
  <c r="T194" i="4"/>
  <c r="T195" i="4"/>
  <c r="S200" i="4"/>
  <c r="S215" i="4" s="1"/>
  <c r="P16" i="4"/>
  <c r="S219" i="5"/>
  <c r="O194" i="5"/>
  <c r="O197" i="5"/>
  <c r="N200" i="5"/>
  <c r="S215" i="5" s="1"/>
  <c r="O192" i="5"/>
  <c r="O195" i="5"/>
  <c r="O191" i="5"/>
  <c r="O193" i="5"/>
  <c r="O196" i="5"/>
  <c r="T207" i="3"/>
  <c r="T204" i="3"/>
  <c r="T208" i="3"/>
  <c r="T205" i="3"/>
  <c r="T209" i="3"/>
  <c r="T206" i="3"/>
  <c r="S213" i="3"/>
  <c r="T210" i="3"/>
  <c r="O207" i="9"/>
  <c r="O211" i="9"/>
  <c r="S220" i="9"/>
  <c r="O205" i="9"/>
  <c r="O208" i="9"/>
  <c r="N214" i="9"/>
  <c r="O209" i="9"/>
  <c r="O206" i="9"/>
  <c r="O210" i="9"/>
  <c r="P16" i="33"/>
  <c r="R16" i="33"/>
  <c r="R211" i="31"/>
  <c r="P16" i="30"/>
  <c r="S225" i="30"/>
  <c r="T16" i="30"/>
  <c r="N16" i="30"/>
  <c r="O211" i="29"/>
  <c r="T211" i="28"/>
  <c r="M211" i="28"/>
  <c r="O198" i="28"/>
  <c r="R211" i="3"/>
  <c r="U131" i="18"/>
  <c r="U133" i="18" s="1"/>
  <c r="U81" i="18"/>
  <c r="U134" i="18" s="1"/>
  <c r="O211" i="25"/>
  <c r="R211" i="5"/>
  <c r="S171" i="3"/>
  <c r="Q79" i="3"/>
  <c r="U79" i="3" s="1"/>
  <c r="S221" i="20"/>
  <c r="U102" i="20"/>
  <c r="U106" i="20" s="1"/>
  <c r="R198" i="20"/>
  <c r="M211" i="20"/>
  <c r="S221" i="31"/>
  <c r="U102" i="31"/>
  <c r="U106" i="31" s="1"/>
  <c r="T16" i="26"/>
  <c r="R199" i="12"/>
  <c r="M198" i="21"/>
  <c r="R199" i="16"/>
  <c r="O210" i="1"/>
  <c r="U76" i="2"/>
  <c r="R211" i="4"/>
  <c r="O211" i="4"/>
  <c r="Q79" i="4"/>
  <c r="S171" i="4"/>
  <c r="U70" i="5"/>
  <c r="O76" i="5"/>
  <c r="O79" i="5" s="1"/>
  <c r="S220" i="6"/>
  <c r="O207" i="6"/>
  <c r="O208" i="6"/>
  <c r="O210" i="6"/>
  <c r="T199" i="7"/>
  <c r="U107" i="7"/>
  <c r="S221" i="7"/>
  <c r="S222" i="7" s="1"/>
  <c r="L201" i="8"/>
  <c r="M197" i="8"/>
  <c r="M195" i="8"/>
  <c r="M193" i="8"/>
  <c r="S216" i="9"/>
  <c r="S172" i="13"/>
  <c r="Q79" i="13"/>
  <c r="U64" i="13"/>
  <c r="U76" i="13" s="1"/>
  <c r="O76" i="13"/>
  <c r="O79" i="13" s="1"/>
  <c r="T195" i="11"/>
  <c r="T192" i="11"/>
  <c r="T193" i="11"/>
  <c r="T196" i="11"/>
  <c r="T197" i="11"/>
  <c r="T194" i="11"/>
  <c r="R198" i="2"/>
  <c r="M212" i="16"/>
  <c r="R212" i="19"/>
  <c r="M211" i="22"/>
  <c r="R212" i="11"/>
  <c r="U64" i="1"/>
  <c r="K76" i="1"/>
  <c r="K81" i="1" s="1"/>
  <c r="O76" i="2"/>
  <c r="O79" i="2" s="1"/>
  <c r="R204" i="2"/>
  <c r="R205" i="2"/>
  <c r="R207" i="2"/>
  <c r="R208" i="2"/>
  <c r="S171" i="2"/>
  <c r="Q79" i="2"/>
  <c r="O211" i="3"/>
  <c r="M210" i="3"/>
  <c r="S219" i="3"/>
  <c r="O209" i="6"/>
  <c r="O205" i="6"/>
  <c r="R199" i="6"/>
  <c r="Q79" i="6"/>
  <c r="S172" i="6"/>
  <c r="O199" i="7"/>
  <c r="U67" i="11"/>
  <c r="Q76" i="11"/>
  <c r="S215" i="23"/>
  <c r="U80" i="22"/>
  <c r="U133" i="22" s="1"/>
  <c r="U130" i="22"/>
  <c r="U132" i="22" s="1"/>
  <c r="U75" i="21"/>
  <c r="M199" i="19"/>
  <c r="R199" i="19"/>
  <c r="N16" i="19"/>
  <c r="S226" i="19"/>
  <c r="U67" i="1"/>
  <c r="O76" i="1"/>
  <c r="O79" i="1" s="1"/>
  <c r="N213" i="1"/>
  <c r="S215" i="1" s="1"/>
  <c r="O204" i="1"/>
  <c r="O207" i="1"/>
  <c r="O208" i="1"/>
  <c r="O205" i="1"/>
  <c r="O209" i="1"/>
  <c r="S219" i="1"/>
  <c r="U40" i="2"/>
  <c r="S148" i="2" s="1"/>
  <c r="S149" i="2" s="1"/>
  <c r="M207" i="3"/>
  <c r="M208" i="3"/>
  <c r="M205" i="3"/>
  <c r="M204" i="3"/>
  <c r="L213" i="3"/>
  <c r="T195" i="3"/>
  <c r="T193" i="3"/>
  <c r="T192" i="3"/>
  <c r="T196" i="3"/>
  <c r="S200" i="3"/>
  <c r="S215" i="3" s="1"/>
  <c r="T191" i="3"/>
  <c r="M204" i="4"/>
  <c r="L213" i="4"/>
  <c r="M205" i="4"/>
  <c r="M208" i="4"/>
  <c r="U70" i="4"/>
  <c r="U76" i="4" s="1"/>
  <c r="O76" i="4"/>
  <c r="O79" i="4" s="1"/>
  <c r="T211" i="5"/>
  <c r="O211" i="5"/>
  <c r="U76" i="5"/>
  <c r="O206" i="6"/>
  <c r="U64" i="6"/>
  <c r="U76" i="6" s="1"/>
  <c r="O76" i="6"/>
  <c r="O79" i="6" s="1"/>
  <c r="M199" i="11"/>
  <c r="T212" i="12"/>
  <c r="T199" i="12"/>
  <c r="S221" i="12"/>
  <c r="S222" i="12" s="1"/>
  <c r="U107" i="12"/>
  <c r="O194" i="1"/>
  <c r="O198" i="1" s="1"/>
  <c r="O196" i="3"/>
  <c r="O192" i="3"/>
  <c r="Q213" i="4"/>
  <c r="M205" i="5"/>
  <c r="M211" i="5" s="1"/>
  <c r="Q200" i="5"/>
  <c r="T196" i="5"/>
  <c r="T198" i="5" s="1"/>
  <c r="R192" i="5"/>
  <c r="R198" i="5" s="1"/>
  <c r="M194" i="5"/>
  <c r="M198" i="5" s="1"/>
  <c r="M211" i="6"/>
  <c r="M209" i="6"/>
  <c r="T211" i="6"/>
  <c r="T212" i="6" s="1"/>
  <c r="S201" i="6"/>
  <c r="S216" i="6" s="1"/>
  <c r="T196" i="6"/>
  <c r="T193" i="6"/>
  <c r="T199" i="8"/>
  <c r="Q76" i="8"/>
  <c r="T199" i="9"/>
  <c r="O199" i="9"/>
  <c r="U40" i="10"/>
  <c r="S149" i="10" s="1"/>
  <c r="S150" i="10" s="1"/>
  <c r="M205" i="12"/>
  <c r="M210" i="12"/>
  <c r="M211" i="12"/>
  <c r="T212" i="13"/>
  <c r="O212" i="13"/>
  <c r="S220" i="11"/>
  <c r="U64" i="14"/>
  <c r="U76" i="14" s="1"/>
  <c r="O76" i="14"/>
  <c r="O79" i="14" s="1"/>
  <c r="O192" i="24"/>
  <c r="O196" i="24"/>
  <c r="R205" i="8"/>
  <c r="R207" i="8"/>
  <c r="R209" i="8"/>
  <c r="O199" i="8"/>
  <c r="R192" i="8"/>
  <c r="R198" i="8"/>
  <c r="T212" i="11"/>
  <c r="S216" i="11"/>
  <c r="O211" i="14"/>
  <c r="N214" i="14"/>
  <c r="O208" i="14"/>
  <c r="O206" i="14"/>
  <c r="O212" i="14" s="1"/>
  <c r="O209" i="14"/>
  <c r="Q200" i="24"/>
  <c r="R193" i="24"/>
  <c r="R191" i="24"/>
  <c r="R197" i="24"/>
  <c r="R195" i="24"/>
  <c r="T212" i="8"/>
  <c r="S220" i="8"/>
  <c r="O206" i="8"/>
  <c r="O207" i="8"/>
  <c r="O209" i="8"/>
  <c r="O211" i="8"/>
  <c r="O205" i="8"/>
  <c r="M208" i="9"/>
  <c r="M212" i="9" s="1"/>
  <c r="M206" i="10"/>
  <c r="M205" i="10"/>
  <c r="M208" i="10"/>
  <c r="T198" i="10"/>
  <c r="T192" i="10"/>
  <c r="T195" i="10"/>
  <c r="T193" i="10"/>
  <c r="T196" i="10"/>
  <c r="O212" i="12"/>
  <c r="U64" i="11"/>
  <c r="O76" i="11"/>
  <c r="O79" i="11" s="1"/>
  <c r="M195" i="12"/>
  <c r="M193" i="12"/>
  <c r="M198" i="12"/>
  <c r="L201" i="12"/>
  <c r="M194" i="12"/>
  <c r="M196" i="12"/>
  <c r="O206" i="15"/>
  <c r="O211" i="15"/>
  <c r="S221" i="15"/>
  <c r="S223" i="15" s="1"/>
  <c r="O208" i="15"/>
  <c r="O207" i="15"/>
  <c r="O209" i="15"/>
  <c r="N215" i="15"/>
  <c r="S217" i="15" s="1"/>
  <c r="O210" i="15"/>
  <c r="U48" i="17"/>
  <c r="U33" i="17"/>
  <c r="S224" i="17" s="1"/>
  <c r="U72" i="20"/>
  <c r="U75" i="20" s="1"/>
  <c r="O75" i="20"/>
  <c r="O194" i="20"/>
  <c r="O192" i="20"/>
  <c r="O196" i="20"/>
  <c r="U33" i="26"/>
  <c r="S223" i="26" s="1"/>
  <c r="S225" i="26" s="1"/>
  <c r="M193" i="10"/>
  <c r="M199" i="10" s="1"/>
  <c r="R208" i="12"/>
  <c r="R205" i="12"/>
  <c r="O193" i="12"/>
  <c r="U73" i="12"/>
  <c r="U76" i="12" s="1"/>
  <c r="U40" i="12"/>
  <c r="S149" i="12" s="1"/>
  <c r="S150" i="12" s="1"/>
  <c r="N201" i="12"/>
  <c r="S216" i="12" s="1"/>
  <c r="M211" i="14"/>
  <c r="M212" i="14" s="1"/>
  <c r="O195" i="14"/>
  <c r="O192" i="14"/>
  <c r="M193" i="14"/>
  <c r="M199" i="14" s="1"/>
  <c r="T213" i="15"/>
  <c r="T200" i="15"/>
  <c r="O200" i="15"/>
  <c r="U48" i="15"/>
  <c r="U33" i="15"/>
  <c r="S225" i="15" s="1"/>
  <c r="O199" i="18"/>
  <c r="U48" i="19"/>
  <c r="R191" i="21"/>
  <c r="Q200" i="21"/>
  <c r="R197" i="21"/>
  <c r="O193" i="21"/>
  <c r="O195" i="21"/>
  <c r="O197" i="21"/>
  <c r="O191" i="21"/>
  <c r="O192" i="21"/>
  <c r="O194" i="21"/>
  <c r="O196" i="21"/>
  <c r="U40" i="22"/>
  <c r="S148" i="22" s="1"/>
  <c r="S149" i="22" s="1"/>
  <c r="S213" i="24"/>
  <c r="S215" i="24" s="1"/>
  <c r="T207" i="24"/>
  <c r="T205" i="24"/>
  <c r="T210" i="24"/>
  <c r="T208" i="24"/>
  <c r="R204" i="25"/>
  <c r="R210" i="25"/>
  <c r="R209" i="25"/>
  <c r="S219" i="32"/>
  <c r="U32" i="33"/>
  <c r="U40" i="33" s="1"/>
  <c r="S148" i="33" s="1"/>
  <c r="S149" i="33" s="1"/>
  <c r="U40" i="11"/>
  <c r="S149" i="11" s="1"/>
  <c r="S150" i="11" s="1"/>
  <c r="U40" i="14"/>
  <c r="S149" i="14" s="1"/>
  <c r="S150" i="14" s="1"/>
  <c r="U40" i="15"/>
  <c r="S150" i="15" s="1"/>
  <c r="S151" i="15" s="1"/>
  <c r="O207" i="16"/>
  <c r="O211" i="16"/>
  <c r="O208" i="16"/>
  <c r="O205" i="16"/>
  <c r="O209" i="16"/>
  <c r="U40" i="17"/>
  <c r="S149" i="17" s="1"/>
  <c r="S150" i="17" s="1"/>
  <c r="U40" i="19"/>
  <c r="S149" i="19" s="1"/>
  <c r="S150" i="19" s="1"/>
  <c r="T208" i="19"/>
  <c r="T209" i="19"/>
  <c r="T205" i="19"/>
  <c r="T210" i="19"/>
  <c r="S214" i="19"/>
  <c r="S216" i="19" s="1"/>
  <c r="T207" i="19"/>
  <c r="T211" i="19"/>
  <c r="T206" i="22"/>
  <c r="T209" i="22"/>
  <c r="T207" i="22"/>
  <c r="T210" i="22"/>
  <c r="S219" i="22"/>
  <c r="T204" i="22"/>
  <c r="T208" i="22"/>
  <c r="U32" i="23"/>
  <c r="U40" i="23" s="1"/>
  <c r="S148" i="23" s="1"/>
  <c r="S149" i="23" s="1"/>
  <c r="U33" i="24"/>
  <c r="S223" i="24" s="1"/>
  <c r="S225" i="24" s="1"/>
  <c r="Q213" i="25"/>
  <c r="Q213" i="34"/>
  <c r="R205" i="34"/>
  <c r="R211" i="34" s="1"/>
  <c r="R210" i="12"/>
  <c r="O195" i="12"/>
  <c r="U40" i="13"/>
  <c r="S149" i="13" s="1"/>
  <c r="S150" i="13" s="1"/>
  <c r="N201" i="14"/>
  <c r="S216" i="14" s="1"/>
  <c r="O197" i="14"/>
  <c r="O194" i="14"/>
  <c r="O206" i="16"/>
  <c r="T199" i="16"/>
  <c r="T206" i="17"/>
  <c r="T209" i="17"/>
  <c r="T210" i="17"/>
  <c r="S214" i="17"/>
  <c r="S216" i="17" s="1"/>
  <c r="T207" i="17"/>
  <c r="T211" i="17"/>
  <c r="U33" i="21"/>
  <c r="S223" i="21" s="1"/>
  <c r="S225" i="21" s="1"/>
  <c r="O195" i="23"/>
  <c r="O196" i="23"/>
  <c r="S219" i="23"/>
  <c r="O193" i="23"/>
  <c r="O197" i="23"/>
  <c r="T198" i="24"/>
  <c r="U63" i="26"/>
  <c r="O75" i="26"/>
  <c r="U33" i="31"/>
  <c r="S223" i="31" s="1"/>
  <c r="S221" i="34"/>
  <c r="U102" i="34"/>
  <c r="U106" i="34" s="1"/>
  <c r="M205" i="19"/>
  <c r="M212" i="19" s="1"/>
  <c r="U40" i="21"/>
  <c r="S148" i="21" s="1"/>
  <c r="S149" i="21" s="1"/>
  <c r="T207" i="25"/>
  <c r="S213" i="25"/>
  <c r="S215" i="25" s="1"/>
  <c r="T204" i="25"/>
  <c r="T208" i="25"/>
  <c r="T210" i="25"/>
  <c r="T205" i="25"/>
  <c r="Q213" i="27"/>
  <c r="R204" i="27"/>
  <c r="R211" i="27" s="1"/>
  <c r="L200" i="28"/>
  <c r="M196" i="28"/>
  <c r="M194" i="28"/>
  <c r="M197" i="28"/>
  <c r="M195" i="28"/>
  <c r="Q200" i="30"/>
  <c r="R192" i="30"/>
  <c r="R191" i="30"/>
  <c r="Q200" i="31"/>
  <c r="R191" i="31"/>
  <c r="R198" i="31" s="1"/>
  <c r="U32" i="32"/>
  <c r="U40" i="32" s="1"/>
  <c r="S148" i="32" s="1"/>
  <c r="S149" i="32" s="1"/>
  <c r="Q200" i="34"/>
  <c r="R191" i="34"/>
  <c r="R197" i="34"/>
  <c r="R195" i="34"/>
  <c r="L213" i="34"/>
  <c r="M204" i="34"/>
  <c r="M211" i="34" s="1"/>
  <c r="M209" i="23"/>
  <c r="M211" i="23" s="1"/>
  <c r="M207" i="24"/>
  <c r="M211" i="24" s="1"/>
  <c r="T209" i="25"/>
  <c r="T197" i="25"/>
  <c r="S219" i="25"/>
  <c r="T192" i="25"/>
  <c r="T194" i="25"/>
  <c r="T191" i="25"/>
  <c r="T198" i="25" s="1"/>
  <c r="T195" i="25"/>
  <c r="R196" i="34"/>
  <c r="O198" i="25"/>
  <c r="M191" i="25"/>
  <c r="M198" i="25" s="1"/>
  <c r="M192" i="25"/>
  <c r="L200" i="25"/>
  <c r="M194" i="25"/>
  <c r="S200" i="26"/>
  <c r="S215" i="26" s="1"/>
  <c r="T194" i="26"/>
  <c r="T198" i="26" s="1"/>
  <c r="U66" i="26"/>
  <c r="L213" i="27"/>
  <c r="M205" i="27"/>
  <c r="M211" i="27" s="1"/>
  <c r="M207" i="27"/>
  <c r="U72" i="27"/>
  <c r="U75" i="27" s="1"/>
  <c r="O75" i="27"/>
  <c r="U32" i="28"/>
  <c r="U40" i="28" s="1"/>
  <c r="S148" i="28" s="1"/>
  <c r="S149" i="28" s="1"/>
  <c r="Q200" i="28"/>
  <c r="R197" i="28"/>
  <c r="R195" i="28"/>
  <c r="U40" i="34"/>
  <c r="S148" i="34" s="1"/>
  <c r="S149" i="34" s="1"/>
  <c r="L200" i="34"/>
  <c r="M196" i="34"/>
  <c r="M194" i="34"/>
  <c r="M197" i="34"/>
  <c r="M195" i="34"/>
  <c r="M193" i="34"/>
  <c r="M204" i="25"/>
  <c r="M211" i="25" s="1"/>
  <c r="N200" i="30"/>
  <c r="S215" i="30" s="1"/>
  <c r="N200" i="34"/>
  <c r="S215" i="34" s="1"/>
  <c r="U102" i="35"/>
  <c r="U106" i="35" s="1"/>
  <c r="S221" i="35"/>
  <c r="O211" i="35"/>
  <c r="M211" i="35"/>
  <c r="T211" i="35"/>
  <c r="R211" i="35"/>
  <c r="T198" i="35"/>
  <c r="O198" i="35"/>
  <c r="M198" i="35"/>
  <c r="U130" i="35"/>
  <c r="U132" i="35" s="1"/>
  <c r="U80" i="35"/>
  <c r="U133" i="35" s="1"/>
  <c r="S148" i="1" l="1"/>
  <c r="S149" i="1" s="1"/>
  <c r="S145" i="1"/>
  <c r="S146" i="1" s="1"/>
  <c r="R198" i="28"/>
  <c r="M200" i="15"/>
  <c r="T198" i="34"/>
  <c r="O198" i="23"/>
  <c r="R211" i="25"/>
  <c r="T211" i="24"/>
  <c r="R198" i="21"/>
  <c r="R212" i="12"/>
  <c r="M199" i="8"/>
  <c r="O198" i="5"/>
  <c r="U40" i="26"/>
  <c r="S148" i="26" s="1"/>
  <c r="S149" i="26" s="1"/>
  <c r="U102" i="26"/>
  <c r="U106" i="26" s="1"/>
  <c r="U103" i="17"/>
  <c r="U107" i="17" s="1"/>
  <c r="S222" i="17"/>
  <c r="U40" i="30"/>
  <c r="S148" i="30" s="1"/>
  <c r="S149" i="30" s="1"/>
  <c r="U102" i="30"/>
  <c r="U106" i="30" s="1"/>
  <c r="U79" i="12"/>
  <c r="U132" i="12" s="1"/>
  <c r="O211" i="34"/>
  <c r="U137" i="3"/>
  <c r="Q139" i="3"/>
  <c r="M198" i="34"/>
  <c r="U75" i="26"/>
  <c r="T211" i="22"/>
  <c r="S226" i="17"/>
  <c r="R199" i="8"/>
  <c r="T199" i="6"/>
  <c r="M211" i="4"/>
  <c r="M211" i="3"/>
  <c r="S174" i="1"/>
  <c r="S174" i="2" s="1"/>
  <c r="S174" i="3" s="1"/>
  <c r="S174" i="4" s="1"/>
  <c r="S174" i="5" s="1"/>
  <c r="S175" i="6" s="1"/>
  <c r="S175" i="7" s="1"/>
  <c r="S175" i="8" s="1"/>
  <c r="S175" i="9" s="1"/>
  <c r="S175" i="10" s="1"/>
  <c r="S175" i="11" s="1"/>
  <c r="S175" i="12" s="1"/>
  <c r="S175" i="13" s="1"/>
  <c r="S175" i="14" s="1"/>
  <c r="S176" i="15" s="1"/>
  <c r="S175" i="16" s="1"/>
  <c r="S175" i="17" s="1"/>
  <c r="S175" i="18" s="1"/>
  <c r="S175" i="19" s="1"/>
  <c r="S174" i="20" s="1"/>
  <c r="S174" i="21" s="1"/>
  <c r="S174" i="22" s="1"/>
  <c r="S174" i="23" s="1"/>
  <c r="S174" i="24" s="1"/>
  <c r="S174" i="25" s="1"/>
  <c r="S174" i="26" s="1"/>
  <c r="S174" i="27" s="1"/>
  <c r="S174" i="28" s="1"/>
  <c r="S174" i="29" s="1"/>
  <c r="S174" i="30" s="1"/>
  <c r="S174" i="31" s="1"/>
  <c r="S174" i="32" s="1"/>
  <c r="S174" i="33" s="1"/>
  <c r="S174" i="34" s="1"/>
  <c r="S174" i="35" s="1"/>
  <c r="S174" i="36" s="1"/>
  <c r="S174" i="37" s="1"/>
  <c r="S174" i="38" s="1"/>
  <c r="S174" i="39" s="1"/>
  <c r="S174" i="40" s="1"/>
  <c r="S174" i="41" s="1"/>
  <c r="S174" i="42" s="1"/>
  <c r="S174" i="43" s="1"/>
  <c r="S174" i="44" s="1"/>
  <c r="S174" i="45" s="1"/>
  <c r="S173" i="1"/>
  <c r="U40" i="27"/>
  <c r="S148" i="27" s="1"/>
  <c r="S149" i="27" s="1"/>
  <c r="U102" i="27"/>
  <c r="U106" i="27" s="1"/>
  <c r="M198" i="24"/>
  <c r="U81" i="15"/>
  <c r="U132" i="15"/>
  <c r="U134" i="15" s="1"/>
  <c r="R198" i="34"/>
  <c r="T212" i="17"/>
  <c r="U76" i="1"/>
  <c r="S172" i="9"/>
  <c r="Q79" i="9"/>
  <c r="U79" i="9" s="1"/>
  <c r="U79" i="10"/>
  <c r="O81" i="10"/>
  <c r="T211" i="1"/>
  <c r="U80" i="23"/>
  <c r="U133" i="23" s="1"/>
  <c r="U130" i="23"/>
  <c r="U132" i="23" s="1"/>
  <c r="O199" i="12"/>
  <c r="M199" i="12"/>
  <c r="T199" i="10"/>
  <c r="O198" i="24"/>
  <c r="M212" i="12"/>
  <c r="R211" i="2"/>
  <c r="U81" i="17"/>
  <c r="U134" i="17" s="1"/>
  <c r="U131" i="17"/>
  <c r="U133" i="17" s="1"/>
  <c r="R16" i="18"/>
  <c r="N16" i="18"/>
  <c r="P16" i="18"/>
  <c r="S226" i="18"/>
  <c r="T16" i="18"/>
  <c r="U130" i="4"/>
  <c r="S226" i="14"/>
  <c r="R16" i="14"/>
  <c r="X222" i="14"/>
  <c r="N16" i="14"/>
  <c r="P16" i="14"/>
  <c r="T16" i="14"/>
  <c r="U131" i="6"/>
  <c r="U79" i="13"/>
  <c r="U132" i="13" s="1"/>
  <c r="O81" i="13"/>
  <c r="S225" i="31"/>
  <c r="P16" i="31"/>
  <c r="T16" i="31"/>
  <c r="N16" i="31"/>
  <c r="R16" i="31"/>
  <c r="U102" i="28"/>
  <c r="U106" i="28" s="1"/>
  <c r="R198" i="30"/>
  <c r="T16" i="34"/>
  <c r="R16" i="34"/>
  <c r="S225" i="34"/>
  <c r="N16" i="34"/>
  <c r="P16" i="34"/>
  <c r="S221" i="22"/>
  <c r="U102" i="22"/>
  <c r="U106" i="22" s="1"/>
  <c r="O212" i="16"/>
  <c r="S221" i="32"/>
  <c r="U102" i="32"/>
  <c r="U106" i="32" s="1"/>
  <c r="O199" i="14"/>
  <c r="U130" i="20"/>
  <c r="U132" i="20" s="1"/>
  <c r="U80" i="20"/>
  <c r="U133" i="20" s="1"/>
  <c r="P16" i="15"/>
  <c r="T16" i="15"/>
  <c r="S227" i="15"/>
  <c r="N16" i="15"/>
  <c r="R16" i="15"/>
  <c r="O81" i="14"/>
  <c r="U79" i="14"/>
  <c r="U132" i="14" s="1"/>
  <c r="T198" i="3"/>
  <c r="O81" i="1"/>
  <c r="U79" i="2"/>
  <c r="U131" i="2" s="1"/>
  <c r="O81" i="2"/>
  <c r="U131" i="13"/>
  <c r="U81" i="13"/>
  <c r="U134" i="13" s="1"/>
  <c r="U79" i="5"/>
  <c r="U131" i="5" s="1"/>
  <c r="O81" i="5"/>
  <c r="T16" i="20"/>
  <c r="N16" i="20"/>
  <c r="R16" i="20"/>
  <c r="P16" i="20"/>
  <c r="S225" i="20"/>
  <c r="U103" i="9"/>
  <c r="T198" i="4"/>
  <c r="Q79" i="1"/>
  <c r="U79" i="1" s="1"/>
  <c r="S171" i="1"/>
  <c r="S221" i="10"/>
  <c r="S222" i="10" s="1"/>
  <c r="U107" i="10"/>
  <c r="M198" i="3"/>
  <c r="R16" i="28"/>
  <c r="N16" i="28"/>
  <c r="P16" i="28"/>
  <c r="S225" i="28"/>
  <c r="T16" i="28"/>
  <c r="U80" i="26"/>
  <c r="U133" i="26" s="1"/>
  <c r="U130" i="26"/>
  <c r="U132" i="26" s="1"/>
  <c r="Q79" i="8"/>
  <c r="U79" i="8" s="1"/>
  <c r="S172" i="8"/>
  <c r="U81" i="5"/>
  <c r="U133" i="5" s="1"/>
  <c r="U130" i="5"/>
  <c r="U132" i="5" s="1"/>
  <c r="U103" i="3"/>
  <c r="U102" i="33"/>
  <c r="U106" i="33" s="1"/>
  <c r="U80" i="27"/>
  <c r="U133" i="27" s="1"/>
  <c r="U130" i="27"/>
  <c r="U132" i="27" s="1"/>
  <c r="M198" i="28"/>
  <c r="T212" i="19"/>
  <c r="O198" i="21"/>
  <c r="U81" i="12"/>
  <c r="U134" i="12" s="1"/>
  <c r="U131" i="12"/>
  <c r="U133" i="12" s="1"/>
  <c r="O198" i="20"/>
  <c r="O81" i="11"/>
  <c r="O212" i="8"/>
  <c r="R212" i="8"/>
  <c r="U131" i="14"/>
  <c r="U81" i="14"/>
  <c r="U134" i="14" s="1"/>
  <c r="M212" i="6"/>
  <c r="O198" i="3"/>
  <c r="S226" i="12"/>
  <c r="N16" i="12"/>
  <c r="R16" i="12"/>
  <c r="T16" i="12"/>
  <c r="P16" i="12"/>
  <c r="U103" i="1"/>
  <c r="O212" i="6"/>
  <c r="T199" i="11"/>
  <c r="N16" i="7"/>
  <c r="S226" i="7"/>
  <c r="P16" i="7"/>
  <c r="R16" i="7"/>
  <c r="T16" i="7"/>
  <c r="U131" i="3"/>
  <c r="U132" i="3" s="1"/>
  <c r="U81" i="3"/>
  <c r="U133" i="3" s="1"/>
  <c r="T211" i="3"/>
  <c r="U103" i="5"/>
  <c r="O199" i="16"/>
  <c r="R198" i="4"/>
  <c r="U102" i="23"/>
  <c r="U106" i="23" s="1"/>
  <c r="S221" i="23"/>
  <c r="U103" i="6"/>
  <c r="O212" i="9"/>
  <c r="R211" i="20"/>
  <c r="S221" i="25"/>
  <c r="U102" i="25"/>
  <c r="U106" i="25" s="1"/>
  <c r="T211" i="25"/>
  <c r="O213" i="15"/>
  <c r="U76" i="11"/>
  <c r="M212" i="10"/>
  <c r="U103" i="8"/>
  <c r="R198" i="24"/>
  <c r="U103" i="11"/>
  <c r="O81" i="6"/>
  <c r="U79" i="6"/>
  <c r="U132" i="6" s="1"/>
  <c r="O81" i="4"/>
  <c r="U79" i="4"/>
  <c r="U131" i="4" s="1"/>
  <c r="O211" i="1"/>
  <c r="U80" i="21"/>
  <c r="U133" i="21" s="1"/>
  <c r="U130" i="21"/>
  <c r="U132" i="21" s="1"/>
  <c r="Q79" i="11"/>
  <c r="U79" i="11" s="1"/>
  <c r="U132" i="11" s="1"/>
  <c r="S172" i="11"/>
  <c r="U130" i="1"/>
  <c r="U130" i="2"/>
  <c r="U132" i="2" s="1"/>
  <c r="U81" i="2"/>
  <c r="U133" i="2" s="1"/>
  <c r="M211" i="1"/>
  <c r="S222" i="16"/>
  <c r="U103" i="16"/>
  <c r="U107" i="16" s="1"/>
  <c r="U131" i="7"/>
  <c r="U133" i="7" s="1"/>
  <c r="U81" i="7"/>
  <c r="U134" i="7" s="1"/>
  <c r="R16" i="35"/>
  <c r="N16" i="35"/>
  <c r="T16" i="35"/>
  <c r="P16" i="35"/>
  <c r="S225" i="35"/>
  <c r="U133" i="14" l="1"/>
  <c r="U104" i="15"/>
  <c r="U108" i="15" s="1"/>
  <c r="U135" i="15"/>
  <c r="T16" i="17"/>
  <c r="R16" i="17"/>
  <c r="P16" i="17"/>
  <c r="N16" i="17"/>
  <c r="U132" i="10"/>
  <c r="U133" i="10" s="1"/>
  <c r="U81" i="10"/>
  <c r="U134" i="10" s="1"/>
  <c r="U133" i="13"/>
  <c r="U132" i="9"/>
  <c r="U133" i="9" s="1"/>
  <c r="U81" i="9"/>
  <c r="U134" i="9" s="1"/>
  <c r="Q137" i="4"/>
  <c r="U139" i="3"/>
  <c r="U131" i="1"/>
  <c r="U81" i="1"/>
  <c r="U133" i="1" s="1"/>
  <c r="S221" i="11"/>
  <c r="S222" i="11" s="1"/>
  <c r="U107" i="11"/>
  <c r="U107" i="3"/>
  <c r="S220" i="3"/>
  <c r="S221" i="3" s="1"/>
  <c r="T16" i="32"/>
  <c r="P16" i="32"/>
  <c r="R16" i="32"/>
  <c r="N16" i="32"/>
  <c r="S225" i="32"/>
  <c r="S226" i="16"/>
  <c r="R16" i="16"/>
  <c r="P16" i="16"/>
  <c r="T16" i="16"/>
  <c r="N16" i="16"/>
  <c r="U132" i="1"/>
  <c r="U107" i="5"/>
  <c r="S220" i="5"/>
  <c r="S221" i="5" s="1"/>
  <c r="S220" i="1"/>
  <c r="S221" i="1" s="1"/>
  <c r="U107" i="1"/>
  <c r="U132" i="8"/>
  <c r="U133" i="8" s="1"/>
  <c r="U81" i="8"/>
  <c r="U134" i="8" s="1"/>
  <c r="S221" i="8"/>
  <c r="S222" i="8" s="1"/>
  <c r="U107" i="8"/>
  <c r="U81" i="11"/>
  <c r="U134" i="11" s="1"/>
  <c r="U131" i="11"/>
  <c r="U133" i="11" s="1"/>
  <c r="N16" i="25"/>
  <c r="R16" i="25"/>
  <c r="P16" i="25"/>
  <c r="T16" i="25"/>
  <c r="S225" i="25"/>
  <c r="U107" i="6"/>
  <c r="S221" i="6"/>
  <c r="S222" i="6" s="1"/>
  <c r="U81" i="6"/>
  <c r="U134" i="6" s="1"/>
  <c r="U81" i="4"/>
  <c r="U133" i="4" s="1"/>
  <c r="T16" i="23"/>
  <c r="S225" i="23"/>
  <c r="P16" i="23"/>
  <c r="R16" i="23"/>
  <c r="N16" i="23"/>
  <c r="N16" i="10"/>
  <c r="R16" i="10"/>
  <c r="S226" i="10"/>
  <c r="P16" i="10"/>
  <c r="T16" i="10"/>
  <c r="S221" i="9"/>
  <c r="S222" i="9" s="1"/>
  <c r="U107" i="9"/>
  <c r="S225" i="22"/>
  <c r="N16" i="22"/>
  <c r="P16" i="22"/>
  <c r="R16" i="22"/>
  <c r="T16" i="22"/>
  <c r="U133" i="6"/>
  <c r="U132" i="4"/>
  <c r="Q139" i="4" l="1"/>
  <c r="U137" i="4"/>
  <c r="N16" i="8"/>
  <c r="P16" i="8"/>
  <c r="S226" i="8"/>
  <c r="R16" i="8"/>
  <c r="T16" i="8"/>
  <c r="S226" i="9"/>
  <c r="T16" i="9"/>
  <c r="N16" i="9"/>
  <c r="P16" i="9"/>
  <c r="R16" i="9"/>
  <c r="P16" i="5"/>
  <c r="S225" i="5"/>
  <c r="R16" i="5"/>
  <c r="T16" i="5"/>
  <c r="N16" i="5"/>
  <c r="R16" i="11"/>
  <c r="P16" i="11"/>
  <c r="T16" i="11"/>
  <c r="S226" i="11"/>
  <c r="N16" i="11"/>
  <c r="S225" i="1"/>
  <c r="N16" i="1"/>
  <c r="P16" i="1"/>
  <c r="T16" i="1"/>
  <c r="R16" i="1"/>
  <c r="R16" i="6"/>
  <c r="T16" i="6"/>
  <c r="S226" i="6"/>
  <c r="N16" i="6"/>
  <c r="P16" i="6"/>
  <c r="R16" i="3"/>
  <c r="S225" i="3"/>
  <c r="P16" i="3"/>
  <c r="N16" i="3"/>
  <c r="T16" i="3"/>
  <c r="Q137" i="5" l="1"/>
  <c r="U139" i="4"/>
  <c r="U137" i="5" l="1"/>
  <c r="Q139" i="5"/>
  <c r="Q138" i="6" l="1"/>
  <c r="U139" i="5"/>
  <c r="Q140" i="6" l="1"/>
  <c r="U138" i="6"/>
  <c r="Q138" i="7" l="1"/>
  <c r="U140" i="6"/>
  <c r="U138" i="7" l="1"/>
  <c r="Q140" i="7"/>
  <c r="U140" i="7" l="1"/>
  <c r="Q138" i="8"/>
  <c r="Q140" i="8" l="1"/>
  <c r="U138" i="8"/>
  <c r="Q138" i="9" l="1"/>
  <c r="U140" i="8"/>
  <c r="Q140" i="9" l="1"/>
  <c r="U138" i="9"/>
  <c r="U140" i="9" l="1"/>
  <c r="Q138" i="10"/>
  <c r="Q140" i="10" l="1"/>
  <c r="U138" i="10"/>
  <c r="U140" i="10" l="1"/>
  <c r="Q138" i="11"/>
  <c r="U138" i="11" l="1"/>
  <c r="Q140" i="11"/>
  <c r="Q138" i="12" l="1"/>
  <c r="U140" i="11"/>
  <c r="U138" i="12" l="1"/>
  <c r="Q140" i="12"/>
  <c r="U140" i="12" l="1"/>
  <c r="Q138" i="13"/>
  <c r="Q140" i="13" l="1"/>
  <c r="U138" i="13"/>
  <c r="Q138" i="14" l="1"/>
  <c r="U140" i="13"/>
  <c r="U138" i="14" l="1"/>
  <c r="Q140" i="14"/>
  <c r="Q139" i="15" l="1"/>
  <c r="U140" i="14"/>
  <c r="U139" i="15" l="1"/>
  <c r="Q141" i="15"/>
  <c r="U141" i="15" l="1"/>
  <c r="Q138" i="16"/>
  <c r="U138" i="16" l="1"/>
  <c r="Q140" i="16"/>
  <c r="U140" i="16" l="1"/>
  <c r="Q138" i="17"/>
  <c r="Q140" i="17" l="1"/>
  <c r="U138" i="17"/>
  <c r="Q138" i="18" l="1"/>
  <c r="U140" i="17"/>
  <c r="Q140" i="18" l="1"/>
  <c r="U138" i="18"/>
  <c r="U140" i="18" l="1"/>
  <c r="Q138" i="19"/>
  <c r="U138" i="19" l="1"/>
  <c r="Q140" i="19"/>
  <c r="Q137" i="20" l="1"/>
  <c r="U140" i="19"/>
  <c r="Q139" i="20" l="1"/>
  <c r="U137" i="20"/>
  <c r="U139" i="20" l="1"/>
  <c r="Q137" i="21"/>
  <c r="U137" i="21" l="1"/>
  <c r="Q139" i="21"/>
  <c r="Q137" i="22" l="1"/>
  <c r="U139" i="21"/>
  <c r="U137" i="22" l="1"/>
  <c r="Q139" i="22"/>
  <c r="U139" i="22" l="1"/>
  <c r="Q137" i="23"/>
  <c r="Q139" i="23" l="1"/>
  <c r="U137" i="23"/>
  <c r="Q137" i="24" l="1"/>
  <c r="U139" i="23"/>
  <c r="U137" i="24" l="1"/>
  <c r="Q139" i="24"/>
  <c r="U139" i="24" l="1"/>
  <c r="Q137" i="25"/>
  <c r="Q139" i="25" l="1"/>
  <c r="U137" i="25"/>
  <c r="U139" i="25" l="1"/>
  <c r="Q137" i="26"/>
  <c r="U137" i="26" l="1"/>
  <c r="Q139" i="26"/>
  <c r="U139" i="26" l="1"/>
  <c r="Q137" i="27"/>
  <c r="U137" i="27" l="1"/>
  <c r="Q139" i="27"/>
  <c r="U139" i="27" l="1"/>
  <c r="Q137" i="28"/>
  <c r="Q139" i="28" l="1"/>
  <c r="U137" i="28"/>
  <c r="Q137" i="29" l="1"/>
  <c r="U139" i="28"/>
  <c r="Q139" i="29" l="1"/>
  <c r="U137" i="29"/>
  <c r="Q137" i="30" l="1"/>
  <c r="U139" i="29"/>
  <c r="U137" i="30" l="1"/>
  <c r="Q139" i="30"/>
  <c r="Q137" i="31" l="1"/>
  <c r="U139" i="30"/>
  <c r="U137" i="31" l="1"/>
  <c r="Q139" i="31"/>
  <c r="Q137" i="32" l="1"/>
  <c r="U139" i="31"/>
  <c r="Q139" i="32" l="1"/>
  <c r="U137" i="32"/>
  <c r="Q137" i="33" l="1"/>
  <c r="U139" i="32"/>
  <c r="Q139" i="33" l="1"/>
  <c r="U137" i="33"/>
  <c r="U139" i="33" l="1"/>
  <c r="Q137" i="34"/>
  <c r="U137" i="34" l="1"/>
  <c r="Q139" i="34"/>
  <c r="Q137" i="35" l="1"/>
  <c r="U139" i="34"/>
  <c r="Q139" i="35" l="1"/>
  <c r="U137" i="35"/>
  <c r="U139" i="35" l="1"/>
  <c r="Q137" i="36"/>
  <c r="Q139" i="36" l="1"/>
  <c r="U137" i="36"/>
  <c r="Q137" i="37" l="1"/>
  <c r="Q137" i="38"/>
  <c r="U139" i="36"/>
  <c r="Q139" i="38" l="1"/>
  <c r="U137" i="38"/>
  <c r="U137" i="37"/>
  <c r="Q139" i="37"/>
  <c r="U139" i="37" s="1"/>
  <c r="U139" i="38" l="1"/>
  <c r="Q137" i="39"/>
  <c r="Q139" i="39" l="1"/>
  <c r="U137" i="39"/>
  <c r="U139" i="39" l="1"/>
  <c r="Q137" i="40"/>
  <c r="Q139" i="40" l="1"/>
  <c r="U137" i="40"/>
  <c r="U139" i="40" l="1"/>
  <c r="Q137" i="41"/>
  <c r="U137" i="41" l="1"/>
  <c r="Q139" i="41"/>
  <c r="U139" i="41" l="1"/>
  <c r="Q137" i="42"/>
  <c r="Q139" i="42" l="1"/>
  <c r="U137" i="42"/>
  <c r="U139" i="42" l="1"/>
  <c r="Q137" i="43"/>
  <c r="Q139" i="43" l="1"/>
  <c r="U137" i="43"/>
  <c r="U139" i="43" l="1"/>
  <c r="Q137" i="44"/>
  <c r="Q139" i="44" l="1"/>
  <c r="U137" i="44"/>
  <c r="U139" i="44" l="1"/>
  <c r="Q137" i="45"/>
  <c r="Q139" i="45" l="1"/>
  <c r="U139" i="45" s="1"/>
  <c r="U137" i="45"/>
</calcChain>
</file>

<file path=xl/sharedStrings.xml><?xml version="1.0" encoding="utf-8"?>
<sst xmlns="http://schemas.openxmlformats.org/spreadsheetml/2006/main" count="14993" uniqueCount="306">
  <si>
    <t>N.B. This data fact sheet and its notes can only be a summary of certain features of the bonds and their structure. No representation can be made that the information herein is accurate or complete and no liability is accepted therefor. Reference should be made to the issue</t>
  </si>
  <si>
    <t>documentation for a full description of the bonds and their structure. This data fact sheet and its notes are for information purposes only and are not intended as an offer or invitation with respect to the purchase or sale of any security. Reliance should not be placed</t>
  </si>
  <si>
    <t>on the information herein when making any decision whether to buy, hold or sell bonds (or other securities) or for any other purpose.</t>
  </si>
  <si>
    <t>Summary Transaction  Features</t>
  </si>
  <si>
    <t>Name of Issuer</t>
  </si>
  <si>
    <t>Asset  % at Closing</t>
  </si>
  <si>
    <t xml:space="preserve">Asset  % at the Quarter End </t>
  </si>
  <si>
    <t>Date of Issue</t>
  </si>
  <si>
    <t>Date of Production</t>
  </si>
  <si>
    <t>Security Level Data</t>
  </si>
  <si>
    <t>Moody's Rating at Closing</t>
  </si>
  <si>
    <t>Standard &amp; Poors  Rating at Closing</t>
  </si>
  <si>
    <t>Current Moody's Rating</t>
  </si>
  <si>
    <t>Current Standard &amp; Poors Rating</t>
  </si>
  <si>
    <t>ISIN</t>
  </si>
  <si>
    <t>Previous Outstanding Note Principal</t>
  </si>
  <si>
    <t>Outstanding Note Principal</t>
  </si>
  <si>
    <t>Optional Redemption (Call) Dates</t>
  </si>
  <si>
    <t>Step-up Dates</t>
  </si>
  <si>
    <t>Interest Payment Cycle</t>
  </si>
  <si>
    <t>Interest Payment Date</t>
  </si>
  <si>
    <t>Interest Calculated on</t>
  </si>
  <si>
    <t>Record Date and PDD</t>
  </si>
  <si>
    <t>Portfolio Asset Movements</t>
  </si>
  <si>
    <t>Personal Loans (£'000)</t>
  </si>
  <si>
    <t>Accrued Arrears and Interest Sold to Issuer (£'000)</t>
  </si>
  <si>
    <t>Retail Credit Loans (£'000)</t>
  </si>
  <si>
    <t>Secured Loans (£'000)</t>
  </si>
  <si>
    <t>Car Finance Loans (£'000)</t>
  </si>
  <si>
    <t>Total (£'000)</t>
  </si>
  <si>
    <t>Allocated Purchase Funds</t>
  </si>
  <si>
    <t>Over collateralisation due to replenishment of PDL</t>
  </si>
  <si>
    <t>Issuer Fund Analysis</t>
  </si>
  <si>
    <t>Cash balance in the Transaction Account  at the  Determination Date</t>
  </si>
  <si>
    <t>Accruals  made to the Interest Payment Date plus cash held in the Collection Acounts</t>
  </si>
  <si>
    <t>Total Cash for the Period</t>
  </si>
  <si>
    <t xml:space="preserve">Payments made from Issuer Funds </t>
  </si>
  <si>
    <t>Trustee Fee</t>
  </si>
  <si>
    <t>Payments to swap counterparty</t>
  </si>
  <si>
    <t>First Loss Fund  replenishments</t>
  </si>
  <si>
    <t>Surplus income to the Issuer</t>
  </si>
  <si>
    <t>Available Credit Enhancement</t>
  </si>
  <si>
    <t>First Loss Fund Analysis</t>
  </si>
  <si>
    <t>First Loss Fund at Closing</t>
  </si>
  <si>
    <t>Drawing used to pay</t>
  </si>
  <si>
    <t>Closing First Loss Fund Balance</t>
  </si>
  <si>
    <t>Non Performing Loans and Write off of Portfolio Assets</t>
  </si>
  <si>
    <t>Write off of loans</t>
  </si>
  <si>
    <t>Total  for the Period</t>
  </si>
  <si>
    <t>Over Collateralisation</t>
  </si>
  <si>
    <t>Current Principal Balance  (£'000)</t>
  </si>
  <si>
    <t>Principal Cash (£'000)</t>
  </si>
  <si>
    <t>Total Collateralisation</t>
  </si>
  <si>
    <t>Outstanding Note Principal (£'000)</t>
  </si>
  <si>
    <t>Mandatory and Discretionary Further Advances (FA's)</t>
  </si>
  <si>
    <t>Total FA's permitted</t>
  </si>
  <si>
    <t>FA's made to last quarter</t>
  </si>
  <si>
    <t>FA's made this quarter</t>
  </si>
  <si>
    <t>Total FA's made to date</t>
  </si>
  <si>
    <t>Collateral Level Data</t>
  </si>
  <si>
    <t>Original Weighted Average Yield</t>
  </si>
  <si>
    <t>Original Weighted Note Coupon</t>
  </si>
  <si>
    <t xml:space="preserve">Original Spread </t>
  </si>
  <si>
    <t>Current Weighted Average Yield</t>
  </si>
  <si>
    <t>Current Weighted Note Coupon</t>
  </si>
  <si>
    <t xml:space="preserve">Current Spread </t>
  </si>
  <si>
    <t xml:space="preserve">Quarterly Prepayment Rate </t>
  </si>
  <si>
    <t xml:space="preserve">Life Time Prepayment Rate </t>
  </si>
  <si>
    <t>Delinquency Status</t>
  </si>
  <si>
    <t>Aggregate Principal Balance of Repurchased Loans</t>
  </si>
  <si>
    <t>Aggregate Balance of Substituted Loans</t>
  </si>
  <si>
    <t>Principal Losses</t>
  </si>
  <si>
    <t>Agg Loan Principal Losses (during related Collection Period)</t>
  </si>
  <si>
    <t>Cumulative Principal Losses (since closing date)</t>
  </si>
  <si>
    <t>Recoveries (Cumulative)</t>
  </si>
  <si>
    <t>Average Arrears @ Redemption date</t>
  </si>
  <si>
    <t>Average Days between Possession &amp; Redemption</t>
  </si>
  <si>
    <t>Vehicles Sold</t>
  </si>
  <si>
    <t>Vehicles Sold by the administrator</t>
  </si>
  <si>
    <t>Average Days between Possession &amp; Sale</t>
  </si>
  <si>
    <t>Delinquency Summary</t>
  </si>
  <si>
    <t>Performing</t>
  </si>
  <si>
    <t>&gt;1&lt;=2 Months</t>
  </si>
  <si>
    <t>&gt;2&lt;=3 Months</t>
  </si>
  <si>
    <t>Total Performing  Assets</t>
  </si>
  <si>
    <t>&gt;12 Months</t>
  </si>
  <si>
    <t>Total Assets</t>
  </si>
  <si>
    <t>Required Principal Funds Test</t>
  </si>
  <si>
    <t>Total Current Principal Balance of Performing Assets</t>
  </si>
  <si>
    <t>Allocated Purchase Funds from the Priority of Payments</t>
  </si>
  <si>
    <t>Total</t>
  </si>
  <si>
    <t>Notes Outstanding</t>
  </si>
  <si>
    <t>Result of the Required Principal Funds Test</t>
  </si>
  <si>
    <t xml:space="preserve">Personal Loans </t>
  </si>
  <si>
    <t>No.</t>
  </si>
  <si>
    <t>Class A Notes</t>
  </si>
  <si>
    <t>Aaa</t>
  </si>
  <si>
    <t>AAA</t>
  </si>
  <si>
    <t>Last Quarter Balance</t>
  </si>
  <si>
    <t>Retail Credit</t>
  </si>
  <si>
    <t>Unsecured Personal Loans (£'000)</t>
  </si>
  <si>
    <t>%</t>
  </si>
  <si>
    <t xml:space="preserve">Secured Loans </t>
  </si>
  <si>
    <t>£'000 Principal</t>
  </si>
  <si>
    <t>A2</t>
  </si>
  <si>
    <t>A</t>
  </si>
  <si>
    <t>120 bp</t>
  </si>
  <si>
    <t>This Quarter Redemptions and Repayments</t>
  </si>
  <si>
    <t>Car Finance</t>
  </si>
  <si>
    <t>Baa2</t>
  </si>
  <si>
    <t>BBB</t>
  </si>
  <si>
    <t>Additions this quarter</t>
  </si>
  <si>
    <t>DFA's</t>
  </si>
  <si>
    <t>Repurchases this quarter</t>
  </si>
  <si>
    <t>MFA's</t>
  </si>
  <si>
    <t>n/a</t>
  </si>
  <si>
    <t>£'000 Value</t>
  </si>
  <si>
    <t>=</t>
  </si>
  <si>
    <t>Quarterly</t>
  </si>
  <si>
    <t>ACTUAL/365</t>
  </si>
  <si>
    <t>Current Principal Balance</t>
  </si>
  <si>
    <t>Issuer Funds(£'000)</t>
  </si>
  <si>
    <t xml:space="preserve">Movement into the &gt; 12 Month Arrears Loans </t>
  </si>
  <si>
    <t>Paragon Personal and Auto Finance (No.3) PLC</t>
  </si>
  <si>
    <t>PPAF3 INVESTOR REPORT QUARTER ENDING SEPTEMBER 2005</t>
  </si>
  <si>
    <t>This performance report is issued by Paragon Finance PLC for and on behalf of Paragon Personal and Auto Finance (No.3) PLC</t>
  </si>
  <si>
    <t>PPAF (No.3) PLC</t>
  </si>
  <si>
    <t>Contact Name                           Tel.                           Email</t>
  </si>
  <si>
    <t>John Harvey                              0121 712 3894         john.harvey@paragon-group.co.uk</t>
  </si>
  <si>
    <t>Jimmy Giles                             0121 712 2315          jimmy.giles@paragon-group.co.uk</t>
  </si>
  <si>
    <t>Class A1 Notes</t>
  </si>
  <si>
    <t>Class A2 Notes</t>
  </si>
  <si>
    <t>Class B1 Notes</t>
  </si>
  <si>
    <t>Class B2 Notes</t>
  </si>
  <si>
    <t>Class C1 Notes</t>
  </si>
  <si>
    <t>Class C2 Notes</t>
  </si>
  <si>
    <t>Class D1 Notes</t>
  </si>
  <si>
    <t>Class D2 Notes</t>
  </si>
  <si>
    <t>Aa2</t>
  </si>
  <si>
    <t>AA</t>
  </si>
  <si>
    <t>XS0219226841</t>
  </si>
  <si>
    <t>XS0219227492</t>
  </si>
  <si>
    <t>XS0219227658</t>
  </si>
  <si>
    <t>XS0219230017</t>
  </si>
  <si>
    <t>XS0219230447</t>
  </si>
  <si>
    <t>XS0219230793</t>
  </si>
  <si>
    <t>XS0219231841</t>
  </si>
  <si>
    <t>Original Issue Amount ('000)</t>
  </si>
  <si>
    <t>Current Outstanding Note Principal</t>
  </si>
  <si>
    <t>Current Pool Factor</t>
  </si>
  <si>
    <t>Previous Pool Factor</t>
  </si>
  <si>
    <t>Current Note Interest Rates</t>
  </si>
  <si>
    <t>Previous Note Interest Rates</t>
  </si>
  <si>
    <t>Note Interest Margins</t>
  </si>
  <si>
    <t>Note Step-up Margins</t>
  </si>
  <si>
    <t>Previous Quarterly Interest Period (No. of Days)</t>
  </si>
  <si>
    <t>Current Quarterly Interest Period (No. of Days)</t>
  </si>
  <si>
    <t>22 bp</t>
  </si>
  <si>
    <t>33 bp</t>
  </si>
  <si>
    <t>60 bp</t>
  </si>
  <si>
    <t>57 bp</t>
  </si>
  <si>
    <t>95 bp</t>
  </si>
  <si>
    <t>90 bp</t>
  </si>
  <si>
    <t>44 bp</t>
  </si>
  <si>
    <t>66 bp</t>
  </si>
  <si>
    <t>114 bp</t>
  </si>
  <si>
    <t>190 bp</t>
  </si>
  <si>
    <t>180 bp</t>
  </si>
  <si>
    <t>Senior Administration Fee to PFPLC/Substitute Administrators Commitment Fee</t>
  </si>
  <si>
    <t>A1 Note Interest</t>
  </si>
  <si>
    <t>A2 Swap Currency Interest</t>
  </si>
  <si>
    <t>Third Party Payments</t>
  </si>
  <si>
    <t>B1 Note Interest</t>
  </si>
  <si>
    <t>B2 Swap Currency Interest</t>
  </si>
  <si>
    <t>6a</t>
  </si>
  <si>
    <t>C1 Note Interest</t>
  </si>
  <si>
    <t>6b</t>
  </si>
  <si>
    <t>C2 Swap Currency Interest</t>
  </si>
  <si>
    <t>7a</t>
  </si>
  <si>
    <t>D1 Note Interest</t>
  </si>
  <si>
    <t>7b</t>
  </si>
  <si>
    <t>D2 Swap Currency Interest</t>
  </si>
  <si>
    <t>Required Principal Funds</t>
  </si>
  <si>
    <t>Termination Fees to Swap Provider</t>
  </si>
  <si>
    <t>Junior Administration Fee to PFPLC</t>
  </si>
  <si>
    <t>Personal Loans</t>
  </si>
  <si>
    <t>&gt;3&lt;=4 Months</t>
  </si>
  <si>
    <t>&gt;4&lt;=5 Months</t>
  </si>
  <si>
    <t>&gt;5&lt;=6 Months</t>
  </si>
  <si>
    <t>&gt;6&lt;=12 Months</t>
  </si>
  <si>
    <t>4a</t>
  </si>
  <si>
    <t>4b</t>
  </si>
  <si>
    <t>8a</t>
  </si>
  <si>
    <t>8b</t>
  </si>
  <si>
    <t xml:space="preserve">FOR FURTHER ASSISTANCE ON THE INVESTOR REPORTS, PLEASE REFER TO THE "INVESTOR TERMS" POSTED ON THE PARAGON WEBSITE   </t>
  </si>
  <si>
    <t>http://www.paragon-group.co.uk</t>
  </si>
  <si>
    <t xml:space="preserve">FOR ADDITIONAL INFORMATION ON THE UNDERLYING ASSETS, PLEASE REFER TO THE "POOL TABLES" AND "SUMMARY" SECTIONS POSTED ON THE PARAGON WEBSITE   </t>
  </si>
  <si>
    <t>At Closing</t>
  </si>
  <si>
    <t>24.8 bp</t>
  </si>
  <si>
    <t>62.8 bp</t>
  </si>
  <si>
    <t>99.1 bp</t>
  </si>
  <si>
    <t>Class B, C &amp; D Notes as a percentage Class A Notes at issue</t>
  </si>
  <si>
    <t>Outstanding Class B, C &amp; D Notes as a percentage of Outstanding Class A Notes</t>
  </si>
  <si>
    <t>Determination Event for Paying Class B, C &amp; D Notes</t>
  </si>
  <si>
    <t>Stated Maturity Class A Notes</t>
  </si>
  <si>
    <t>Stated Maturity Class B Notes</t>
  </si>
  <si>
    <t>Stated Maturity Class C Notes</t>
  </si>
  <si>
    <t>Stated Maturity Class D Notes</t>
  </si>
  <si>
    <t>Replenishments for losees during the period</t>
  </si>
  <si>
    <t>A Note/ Swap Currency Interest</t>
  </si>
  <si>
    <t>B Note/ Swap Currency Interest</t>
  </si>
  <si>
    <t>C Note/ Swap Currency Interest</t>
  </si>
  <si>
    <t>D Note/ Swap Currency Interest</t>
  </si>
  <si>
    <t xml:space="preserve">or the IPD falling  in April 2010, whichever is the later </t>
  </si>
  <si>
    <t xml:space="preserve">Credit Enhancement/ Movement into &gt;12 months Arrears </t>
  </si>
  <si>
    <t>Remaining permitted FA's (N/A)</t>
  </si>
  <si>
    <t>Enforcements in Progress - Secured Loans</t>
  </si>
  <si>
    <t>Enforcements in Progress - Car Loans</t>
  </si>
  <si>
    <t>Enforcements in Progress - Retail Credit Loans</t>
  </si>
  <si>
    <t>Enforcements in Progress - Unsecured Loans</t>
  </si>
  <si>
    <t>Cars in Possession</t>
  </si>
  <si>
    <t>Original Weighted Average Maturity  (months)</t>
  </si>
  <si>
    <t>Current Weighted Average Maturity (months)</t>
  </si>
  <si>
    <t xml:space="preserve"> </t>
  </si>
  <si>
    <t>Properties in Possession (Secured Loans)</t>
  </si>
  <si>
    <t>36.7 bp</t>
  </si>
  <si>
    <t>73.4 bp</t>
  </si>
  <si>
    <t>125.6 bp</t>
  </si>
  <si>
    <t>49.6 bp</t>
  </si>
  <si>
    <t>198.2 bp</t>
  </si>
  <si>
    <t>Drawing on the PLF1 Subordinated Loan to meet the Required Princiapl Funds test</t>
  </si>
  <si>
    <t>Drawing on the PLF1 Subordinated Loan for Interest Shortfalls</t>
  </si>
  <si>
    <t>PPAF3 INVESTOR REPORT QUARTER ENDING DECEMBER 2005</t>
  </si>
  <si>
    <t xml:space="preserve">  </t>
  </si>
  <si>
    <t>First Loss Fund  re-establishments</t>
  </si>
  <si>
    <t>PPAF3 INVESTOR REPORT QUARTER ENDING MARCH 2006</t>
  </si>
  <si>
    <t>PPAF3 INVESTOR REPORT QUARTER ENDING JUNE 2006</t>
  </si>
  <si>
    <t>.</t>
  </si>
  <si>
    <t>PPAF3 INVESTOR REPORT QUARTER ENDING SEPTEMBER 2006</t>
  </si>
  <si>
    <t>PPAF3 INVESTOR REPORT QUARTER ENDING DECEMBER 2006</t>
  </si>
  <si>
    <t>Last Quarter closing First Loss Fund balance</t>
  </si>
  <si>
    <t>Drawings this quarter to fund</t>
  </si>
  <si>
    <t>Replenishments for losses during the period</t>
  </si>
  <si>
    <t>PPAF3 INVESTOR REPORT QUARTER ENDING MARCH 2007</t>
  </si>
  <si>
    <t>PPAF3 INVESTOR REPORT QUARTER ENDING JUNE 2007</t>
  </si>
  <si>
    <t>PPAF3 INVESTOR REPORT QUARTER ENDING SEPTEMBER 2007</t>
  </si>
  <si>
    <t>Andrew Kitching                      0121 712 3896         andrew.kitching@paragon-group.co.uk</t>
  </si>
  <si>
    <t>PPAF3 INVESTOR REPORT QUARTER ENDING DECEMBER 2007</t>
  </si>
  <si>
    <t>PPAF3 INVESTOR REPORT QUARTER ENDING MARCH 2008</t>
  </si>
  <si>
    <t>PPAF3 INVESTOR REPORT QUARTER ENDING JUNE 2008</t>
  </si>
  <si>
    <t>PPAF3 INVESTOR REPORT QUARTER ENDING SEPTEMBER 2008</t>
  </si>
  <si>
    <t>PPAF3 INVESTOR REPORT QUARTER ENDING DECEMBER 2008</t>
  </si>
  <si>
    <t>PPAF3 INVESTOR REPORT QUARTER ENDING MARCH 2009</t>
  </si>
  <si>
    <t>Available Redemption Funds</t>
  </si>
  <si>
    <t xml:space="preserve">Properties Sold by Mortgagee </t>
  </si>
  <si>
    <t>Properties Sold by Mortgagee</t>
  </si>
  <si>
    <t>PPAF3 INVESTOR REPORT QUARTER ENDING JUNE 2009</t>
  </si>
  <si>
    <t>Required Principal Funds / Available Redemption Funds</t>
  </si>
  <si>
    <t>XS0219229860</t>
  </si>
  <si>
    <t>Possession Properties Sold</t>
  </si>
  <si>
    <t>Original GBP Equivalent Note Principal</t>
  </si>
  <si>
    <t>Previous GBP Equivalent Note Principal</t>
  </si>
  <si>
    <t>Current GBP Equivalent Note Principal</t>
  </si>
  <si>
    <t>GBP Note Margin</t>
  </si>
  <si>
    <t>Current GBP Interest Rates</t>
  </si>
  <si>
    <t>Previous GBP Interest Rates</t>
  </si>
  <si>
    <t>GBP Step-Up Margins</t>
  </si>
  <si>
    <t>PPAF3 INVESTOR REPORT QUARTER ENDING SEPTEMBER 2009</t>
  </si>
  <si>
    <t>PPAF3 INVESTOR REPORT QUARTER ENDING DECEMBER 2009</t>
  </si>
  <si>
    <t>PPAF3 INVESTOR REPORT QUARTER ENDING MARCH 2010</t>
  </si>
  <si>
    <t>PPAF3 INVESTOR REPORT QUARTER ENDING JUNE 2010</t>
  </si>
  <si>
    <t>PPAF3 INVESTOR REPORT QUARTER ENDING SEPTEMBER 2010</t>
  </si>
  <si>
    <t>PPAF3 INVESTOR REPORT QUARTER ENDING DECEMBER 2010</t>
  </si>
  <si>
    <t>PPAF3 INVESTOR REPORT QUARTER ENDING MARCH 2011</t>
  </si>
  <si>
    <t>PPAF3 INVESTOR REPORT QUARTER ENDING JUNE 2011</t>
  </si>
  <si>
    <t>AA+</t>
  </si>
  <si>
    <t>PPAF3 INVESTOR REPORT QUARTER ENDING SEPTMEBER 2011</t>
  </si>
  <si>
    <t>PPAF3 INVESTOR REPORT QUARTER ENDING DECEMBER 2011</t>
  </si>
  <si>
    <t>PPAF3 INVESTOR REPORT QUARTER ENDING MARCH 2012</t>
  </si>
  <si>
    <t>PPAF3 INVESTOR REPORT QUARTER ENDING JUNE 2012</t>
  </si>
  <si>
    <t>AA-</t>
  </si>
  <si>
    <t>PPAF3 INVESTOR REPORT QUARTER ENDING SEPTEMBER 2012</t>
  </si>
  <si>
    <t>PPAF3 INVESTOR REPORT QUARTER ENDING DECEMBER 2012</t>
  </si>
  <si>
    <t>PPAF3 INVESTOR REPORT QUARTER ENDING MARCH 2013</t>
  </si>
  <si>
    <t>Aa1</t>
  </si>
  <si>
    <t>PPAF3 INVESTOR REPORT QUARTER ENDING JUNE 2013</t>
  </si>
  <si>
    <t>PPAF3 INVESTOR REPORT QUARTER ENDING SEPTEMBER 2013</t>
  </si>
  <si>
    <t>PPAF3 INVESTOR REPORT QUARTER ENDING DECEMBER 2013</t>
  </si>
  <si>
    <t>A3</t>
  </si>
  <si>
    <t>PPAF3 INVESTOR REPORT QUARTER ENDING MARCH 2014</t>
  </si>
  <si>
    <t>PPAF3 INVESTOR REPORT QUARTER ENDING JUNE 2014</t>
  </si>
  <si>
    <t>PPAF3 INVESTOR REPORT QUARTER ENDING SEPTEMBER 2014</t>
  </si>
  <si>
    <t>PPAF3 INVESTOR REPORT QUARTER ENDING DECEMBER 2014</t>
  </si>
  <si>
    <t>PPAF3 INVESTOR REPORT QUARTER ENDING MARCH 2015</t>
  </si>
  <si>
    <t>PPAF3 INVESTOR REPORT QUARTER ENDING JUNE 2015</t>
  </si>
  <si>
    <t>PPAF3 INVESTOR REPORT QUARTER ENDING SEPTEMBER 2015</t>
  </si>
  <si>
    <t>PPAF3 INVESTOR REPORT QUARTER ENDING DECEMBER 2015</t>
  </si>
  <si>
    <t>PPAF3 INVESTOR REPORT QUARTER ENDING MARCH 2016</t>
  </si>
  <si>
    <t>PPAF3 INVESTOR REPORT QUARTER ENDING JUNE 2016</t>
  </si>
  <si>
    <t>PPAF3 INVESTOR REPORT QUARTER ENDING SEPTEMBER 2016</t>
  </si>
  <si>
    <t>PPAF3 INVESTOR REPORT QUARTER ENDING DECEMBER 2016</t>
  </si>
  <si>
    <t>Release of the First Loss Fund following repayment of the Notes</t>
  </si>
  <si>
    <t>N/A</t>
  </si>
  <si>
    <t>Cash balance in the Transaction Account at the Determination Date</t>
  </si>
  <si>
    <t>Sale of Outstanding Performing Loan Balance</t>
  </si>
  <si>
    <t>Repayment of the Subordinated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</si>
</sst>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809]#,##0"/>
    <numFmt numFmtId="165" formatCode="[$£-809]#,##0.00"/>
    <numFmt numFmtId="166" formatCode="#,##0.0000"/>
    <numFmt numFmtId="167" formatCode="dd/mm"/>
    <numFmt numFmtId="168" formatCode="0.00000%"/>
    <numFmt numFmtId="169" formatCode="0.0%"/>
    <numFmt numFmtId="170" formatCode="&quot;£&quot;#,##0"/>
    <numFmt numFmtId="171" formatCode="[$€-2]\ #,##0"/>
    <numFmt numFmtId="172" formatCode="0.0000000"/>
  </numFmts>
  <fonts count="58">
    <font>
      <sz val="12"/>
      <name val="Arial"/>
    </font>
    <font>
      <sz val="12"/>
      <name val="Arial"/>
      <family val="2"/>
    </font>
    <font>
      <sz val="12"/>
      <name val="Times New Roman"/>
      <family val="1"/>
    </font>
    <font>
      <b/>
      <u/>
      <sz val="16"/>
      <color indexed="12"/>
      <name val="Times New Roman"/>
      <family val="1"/>
    </font>
    <font>
      <b/>
      <u/>
      <sz val="12"/>
      <name val="Times New Roman"/>
      <family val="1"/>
    </font>
    <font>
      <u/>
      <sz val="12"/>
      <name val="Times New Roman"/>
      <family val="1"/>
    </font>
    <font>
      <b/>
      <sz val="12"/>
      <color indexed="29"/>
      <name val="Times New Roman"/>
      <family val="1"/>
    </font>
    <font>
      <b/>
      <i/>
      <sz val="12"/>
      <name val="Times New Roman"/>
      <family val="1"/>
    </font>
    <font>
      <sz val="12"/>
      <name val="Arial MT"/>
    </font>
    <font>
      <b/>
      <sz val="12"/>
      <name val="Times New Roman"/>
      <family val="1"/>
    </font>
    <font>
      <b/>
      <sz val="12"/>
      <color indexed="12"/>
      <name val="Times New Roman"/>
      <family val="1"/>
    </font>
    <font>
      <sz val="12"/>
      <color indexed="12"/>
      <name val="Times New Roman"/>
      <family val="1"/>
    </font>
    <font>
      <b/>
      <u/>
      <sz val="12"/>
      <color indexed="12"/>
      <name val="Times New Roman"/>
      <family val="1"/>
    </font>
    <font>
      <b/>
      <sz val="12"/>
      <color indexed="12"/>
      <name val="Arial MT"/>
    </font>
    <font>
      <sz val="12"/>
      <color indexed="8"/>
      <name val="Times New Roman"/>
      <family val="1"/>
    </font>
    <font>
      <sz val="12"/>
      <name val="Arial"/>
      <family val="2"/>
    </font>
    <font>
      <b/>
      <sz val="12"/>
      <color indexed="8"/>
      <name val="Times New Roman"/>
      <family val="1"/>
    </font>
    <font>
      <b/>
      <u val="double"/>
      <sz val="12"/>
      <color indexed="12"/>
      <name val="Times New Roman"/>
      <family val="1"/>
    </font>
    <font>
      <sz val="12"/>
      <color indexed="12"/>
      <name val="Arial MT"/>
    </font>
    <font>
      <b/>
      <sz val="12"/>
      <name val="Arial MT"/>
    </font>
    <font>
      <b/>
      <sz val="12"/>
      <color indexed="53"/>
      <name val="Times New Roman"/>
      <family val="1"/>
    </font>
    <font>
      <sz val="12"/>
      <color indexed="53"/>
      <name val="Times New Roman"/>
      <family val="1"/>
    </font>
    <font>
      <b/>
      <sz val="12"/>
      <color indexed="53"/>
      <name val="Times New Roman"/>
      <family val="1"/>
    </font>
    <font>
      <sz val="12"/>
      <color indexed="53"/>
      <name val="Arial"/>
      <family val="2"/>
    </font>
    <font>
      <b/>
      <u/>
      <sz val="12"/>
      <color indexed="53"/>
      <name val="Times New Roman"/>
      <family val="1"/>
    </font>
    <font>
      <u/>
      <sz val="8.4"/>
      <color indexed="12"/>
      <name val="Arial"/>
      <family val="2"/>
    </font>
    <font>
      <sz val="12"/>
      <name val="Times New Roman"/>
      <family val="1"/>
    </font>
    <font>
      <b/>
      <sz val="12"/>
      <color indexed="12"/>
      <name val="Times New Roman"/>
      <family val="1"/>
    </font>
    <font>
      <b/>
      <sz val="14"/>
      <color indexed="53"/>
      <name val="Times New Roman"/>
      <family val="1"/>
    </font>
    <font>
      <b/>
      <u/>
      <sz val="14"/>
      <color indexed="53"/>
      <name val="Times New Roman"/>
      <family val="1"/>
    </font>
    <font>
      <b/>
      <i/>
      <sz val="10"/>
      <name val="Times New Roman"/>
      <family val="1"/>
    </font>
    <font>
      <sz val="12"/>
      <color indexed="8"/>
      <name val="Times New Roman"/>
      <family val="1"/>
    </font>
    <font>
      <sz val="12"/>
      <color indexed="10"/>
      <name val="Times New Roman"/>
      <family val="1"/>
    </font>
    <font>
      <sz val="12"/>
      <color indexed="10"/>
      <name val="Times New Roman"/>
      <family val="1"/>
    </font>
    <font>
      <b/>
      <sz val="12"/>
      <color indexed="10"/>
      <name val="Times New Roman"/>
      <family val="1"/>
    </font>
    <font>
      <sz val="12"/>
      <color indexed="10"/>
      <name val="Arial"/>
      <family val="2"/>
    </font>
    <font>
      <sz val="12"/>
      <color indexed="9"/>
      <name val="Times New Roman"/>
      <family val="1"/>
    </font>
    <font>
      <b/>
      <sz val="12"/>
      <color indexed="9"/>
      <name val="Times New Roman"/>
      <family val="1"/>
    </font>
    <font>
      <b/>
      <sz val="12"/>
      <color indexed="9"/>
      <name val="Times New Roman"/>
      <family val="1"/>
    </font>
    <font>
      <sz val="12"/>
      <color indexed="9"/>
      <name val="Arial MT"/>
    </font>
    <font>
      <b/>
      <u/>
      <sz val="16"/>
      <color indexed="18"/>
      <name val="Times New Roman"/>
      <family val="1"/>
    </font>
    <font>
      <b/>
      <i/>
      <sz val="10"/>
      <color indexed="18"/>
      <name val="Times New Roman"/>
      <family val="1"/>
    </font>
    <font>
      <b/>
      <sz val="12"/>
      <color indexed="18"/>
      <name val="Times New Roman"/>
      <family val="1"/>
    </font>
    <font>
      <sz val="12"/>
      <color indexed="18"/>
      <name val="Times New Roman"/>
      <family val="1"/>
    </font>
    <font>
      <b/>
      <u/>
      <sz val="12"/>
      <color indexed="18"/>
      <name val="Times New Roman"/>
      <family val="1"/>
    </font>
    <font>
      <b/>
      <sz val="12"/>
      <color indexed="18"/>
      <name val="Times New Roman"/>
      <family val="1"/>
    </font>
    <font>
      <b/>
      <sz val="12"/>
      <color indexed="18"/>
      <name val="Arial MT"/>
    </font>
    <font>
      <sz val="12"/>
      <color indexed="18"/>
      <name val="Times New Roman"/>
      <family val="1"/>
    </font>
    <font>
      <sz val="12"/>
      <color indexed="18"/>
      <name val="Arial MT"/>
    </font>
    <font>
      <b/>
      <u/>
      <sz val="12"/>
      <color indexed="9"/>
      <name val="Times New Roman"/>
      <family val="1"/>
    </font>
    <font>
      <b/>
      <u/>
      <sz val="12"/>
      <color indexed="18"/>
      <name val="Times New Roman"/>
      <family val="1"/>
    </font>
    <font>
      <u/>
      <sz val="12"/>
      <color indexed="9"/>
      <name val="Times New Roman"/>
      <family val="1"/>
    </font>
    <font>
      <sz val="12"/>
      <color indexed="18"/>
      <name val="Arial"/>
      <family val="2"/>
    </font>
    <font>
      <sz val="12"/>
      <color indexed="9"/>
      <name val="Arial"/>
      <family val="2"/>
    </font>
    <font>
      <sz val="12"/>
      <color rgb="FFFF0000"/>
      <name val="Times New Roman"/>
      <family val="1"/>
    </font>
    <font>
      <sz val="12"/>
      <color rgb="FF002060"/>
      <name val="Times New Roman"/>
      <family val="1"/>
    </font>
    <font>
      <sz val="12"/>
      <color rgb="FF000099"/>
      <name val="Times New Roman"/>
      <family val="1"/>
    </font>
    <font>
      <sz val="12"/>
      <color rgb="FF000080"/>
      <name val="Times New Roman"/>
      <family val="1"/>
    </font>
  </fonts>
  <fills count="8">
    <fill>
      <patternFill patternType="none"/>
    </fill>
    <fill>
      <patternFill patternType="gray125"/>
    </fill>
    <fill>
      <patternFill patternType="solid">
        <fgColor indexed="26"/>
        <bgColor indexed="64"/>
      </patternFill>
    </fill>
    <fill>
      <patternFill patternType="solid">
        <fgColor indexed="26"/>
        <bgColor indexed="8"/>
      </patternFill>
    </fill>
    <fill>
      <patternFill patternType="solid">
        <fgColor indexed="18"/>
        <bgColor indexed="64"/>
      </patternFill>
    </fill>
    <fill>
      <patternFill patternType="solid">
        <fgColor indexed="38"/>
        <bgColor indexed="64"/>
      </patternFill>
    </fill>
    <fill>
      <patternFill patternType="solid">
        <fgColor indexed="38"/>
        <bgColor indexed="8"/>
      </patternFill>
    </fill>
    <fill>
      <patternFill patternType="solid">
        <fgColor indexed="18"/>
        <bgColor indexed="8"/>
      </patternFill>
    </fill>
  </fills>
  <borders count="23">
    <border>
      <left/>
      <right/>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style="thin">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top style="thin">
        <color indexed="8"/>
      </top>
      <bottom style="thin">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style="thin">
        <color indexed="8"/>
      </top>
      <bottom/>
      <diagonal/>
    </border>
    <border>
      <left style="medium">
        <color indexed="8"/>
      </left>
      <right/>
      <top style="thin">
        <color indexed="18"/>
      </top>
      <bottom style="thin">
        <color indexed="18"/>
      </bottom>
      <diagonal/>
    </border>
    <border>
      <left/>
      <right/>
      <top style="thin">
        <color indexed="18"/>
      </top>
      <bottom style="thin">
        <color indexed="18"/>
      </bottom>
      <diagonal/>
    </border>
    <border>
      <left/>
      <right style="medium">
        <color indexed="8"/>
      </right>
      <top style="thin">
        <color indexed="18"/>
      </top>
      <bottom style="thin">
        <color indexed="18"/>
      </bottom>
      <diagonal/>
    </border>
    <border>
      <left style="medium">
        <color indexed="8"/>
      </left>
      <right/>
      <top style="thin">
        <color indexed="18"/>
      </top>
      <bottom style="thin">
        <color indexed="8"/>
      </bottom>
      <diagonal/>
    </border>
    <border>
      <left/>
      <right/>
      <top style="thin">
        <color indexed="18"/>
      </top>
      <bottom style="thin">
        <color indexed="8"/>
      </bottom>
      <diagonal/>
    </border>
    <border>
      <left/>
      <right style="medium">
        <color indexed="8"/>
      </right>
      <top style="thin">
        <color indexed="18"/>
      </top>
      <bottom style="thin">
        <color indexed="8"/>
      </bottom>
      <diagonal/>
    </border>
    <border>
      <left style="medium">
        <color indexed="8"/>
      </left>
      <right/>
      <top style="thin">
        <color indexed="55"/>
      </top>
      <bottom style="thin">
        <color indexed="55"/>
      </bottom>
      <diagonal/>
    </border>
    <border>
      <left/>
      <right/>
      <top style="thin">
        <color indexed="55"/>
      </top>
      <bottom style="thin">
        <color indexed="55"/>
      </bottom>
      <diagonal/>
    </border>
    <border>
      <left/>
      <right style="medium">
        <color indexed="8"/>
      </right>
      <top style="thin">
        <color indexed="55"/>
      </top>
      <bottom style="thin">
        <color indexed="55"/>
      </bottom>
      <diagonal/>
    </border>
  </borders>
  <cellStyleXfs count="2">
    <xf numFmtId="0" fontId="0" fillId="0" borderId="0"/>
    <xf numFmtId="0" fontId="25" fillId="0" borderId="0" applyNumberFormat="0" applyFill="0" applyBorder="0" applyAlignment="0" applyProtection="0">
      <alignment vertical="top"/>
      <protection locked="0"/>
    </xf>
  </cellStyleXfs>
  <cellXfs count="559">
    <xf numFmtId="0" fontId="0" fillId="0" borderId="0" xfId="0"/>
    <xf numFmtId="0" fontId="1" fillId="0" borderId="0" xfId="0" applyNumberFormat="1" applyFont="1" applyAlignment="1"/>
    <xf numFmtId="0" fontId="2" fillId="2" borderId="1" xfId="0" applyNumberFormat="1" applyFont="1" applyFill="1" applyBorder="1" applyAlignment="1"/>
    <xf numFmtId="0" fontId="3" fillId="2" borderId="2" xfId="0" applyNumberFormat="1" applyFont="1" applyFill="1" applyBorder="1" applyAlignment="1"/>
    <xf numFmtId="0" fontId="4" fillId="2" borderId="2" xfId="0" applyNumberFormat="1" applyFont="1" applyFill="1" applyBorder="1" applyAlignment="1"/>
    <xf numFmtId="0" fontId="2" fillId="2" borderId="2" xfId="0" applyNumberFormat="1" applyFont="1" applyFill="1" applyBorder="1" applyAlignment="1"/>
    <xf numFmtId="0" fontId="0" fillId="0" borderId="3" xfId="0" applyNumberFormat="1" applyBorder="1"/>
    <xf numFmtId="0" fontId="2" fillId="2" borderId="3" xfId="0" applyNumberFormat="1" applyFont="1" applyFill="1" applyBorder="1" applyAlignment="1"/>
    <xf numFmtId="0" fontId="5" fillId="2" borderId="0" xfId="0" applyNumberFormat="1" applyFont="1" applyFill="1" applyAlignment="1"/>
    <xf numFmtId="0" fontId="2" fillId="2" borderId="0" xfId="0" applyNumberFormat="1" applyFont="1" applyFill="1" applyAlignment="1"/>
    <xf numFmtId="0" fontId="2" fillId="2" borderId="3" xfId="0" applyNumberFormat="1" applyFont="1" applyFill="1" applyBorder="1" applyAlignment="1">
      <alignment horizontal="center"/>
    </xf>
    <xf numFmtId="0" fontId="7" fillId="2" borderId="0" xfId="0" applyNumberFormat="1" applyFont="1" applyFill="1" applyAlignment="1"/>
    <xf numFmtId="0" fontId="8" fillId="2" borderId="0" xfId="0" applyNumberFormat="1" applyFont="1" applyFill="1" applyAlignment="1"/>
    <xf numFmtId="0" fontId="9" fillId="2" borderId="0" xfId="0" applyNumberFormat="1" applyFont="1" applyFill="1" applyAlignment="1"/>
    <xf numFmtId="0" fontId="10" fillId="2" borderId="0" xfId="0" applyNumberFormat="1" applyFont="1" applyFill="1" applyAlignment="1"/>
    <xf numFmtId="0" fontId="11" fillId="2" borderId="0" xfId="0" applyNumberFormat="1" applyFont="1" applyFill="1" applyAlignment="1"/>
    <xf numFmtId="0" fontId="12" fillId="2" borderId="0" xfId="0" applyNumberFormat="1" applyFont="1" applyFill="1" applyAlignment="1">
      <alignment horizontal="center" wrapText="1"/>
    </xf>
    <xf numFmtId="0" fontId="10" fillId="2" borderId="0" xfId="0" applyNumberFormat="1" applyFont="1" applyFill="1" applyAlignment="1">
      <alignment horizontal="center"/>
    </xf>
    <xf numFmtId="10" fontId="10" fillId="2" borderId="0" xfId="0" applyNumberFormat="1" applyFont="1" applyFill="1" applyAlignment="1">
      <alignment horizontal="center"/>
    </xf>
    <xf numFmtId="15" fontId="10" fillId="2" borderId="0" xfId="0" applyNumberFormat="1" applyFont="1" applyFill="1" applyAlignment="1">
      <alignment horizontal="center"/>
    </xf>
    <xf numFmtId="0" fontId="2" fillId="2" borderId="0" xfId="0" applyNumberFormat="1" applyFont="1" applyFill="1" applyAlignment="1">
      <alignment horizontal="center"/>
    </xf>
    <xf numFmtId="0" fontId="4" fillId="2" borderId="0" xfId="0" applyNumberFormat="1" applyFont="1" applyFill="1" applyAlignment="1"/>
    <xf numFmtId="0" fontId="2" fillId="2" borderId="0" xfId="0" applyNumberFormat="1" applyFont="1" applyFill="1" applyAlignment="1">
      <alignment horizontal="right"/>
    </xf>
    <xf numFmtId="0" fontId="6" fillId="2" borderId="0" xfId="0" applyNumberFormat="1" applyFont="1" applyFill="1" applyAlignment="1">
      <alignment horizontal="center" wrapText="1"/>
    </xf>
    <xf numFmtId="0" fontId="2" fillId="2" borderId="0" xfId="0" applyNumberFormat="1" applyFont="1" applyFill="1" applyAlignment="1">
      <alignment horizontal="center" wrapText="1"/>
    </xf>
    <xf numFmtId="0" fontId="2" fillId="2" borderId="4" xfId="0" applyNumberFormat="1" applyFont="1" applyFill="1" applyBorder="1" applyAlignment="1"/>
    <xf numFmtId="0" fontId="2" fillId="2" borderId="5" xfId="0" applyNumberFormat="1" applyFont="1" applyFill="1" applyBorder="1" applyAlignment="1"/>
    <xf numFmtId="0" fontId="6" fillId="2" borderId="5" xfId="0" applyNumberFormat="1" applyFont="1" applyFill="1" applyBorder="1" applyAlignment="1">
      <alignment horizontal="center"/>
    </xf>
    <xf numFmtId="0" fontId="2" fillId="2" borderId="5" xfId="0" applyNumberFormat="1" applyFont="1" applyFill="1" applyBorder="1" applyAlignment="1">
      <alignment horizontal="center" wrapText="1"/>
    </xf>
    <xf numFmtId="0" fontId="8" fillId="2" borderId="5" xfId="0" applyNumberFormat="1" applyFont="1" applyFill="1" applyBorder="1" applyAlignment="1"/>
    <xf numFmtId="0" fontId="10" fillId="2" borderId="5" xfId="0" applyNumberFormat="1" applyFont="1" applyFill="1" applyBorder="1" applyAlignment="1"/>
    <xf numFmtId="0" fontId="10" fillId="2" borderId="5" xfId="0" applyNumberFormat="1" applyFont="1" applyFill="1" applyBorder="1" applyAlignment="1">
      <alignment horizontal="center" wrapText="1"/>
    </xf>
    <xf numFmtId="0" fontId="13" fillId="2" borderId="5" xfId="0" applyNumberFormat="1" applyFont="1" applyFill="1" applyBorder="1" applyAlignment="1"/>
    <xf numFmtId="0" fontId="2" fillId="2" borderId="5" xfId="0" applyNumberFormat="1" applyFont="1" applyFill="1" applyBorder="1" applyAlignment="1">
      <alignment horizontal="center"/>
    </xf>
    <xf numFmtId="164" fontId="2" fillId="2" borderId="5" xfId="0" applyNumberFormat="1" applyFont="1" applyFill="1" applyBorder="1" applyAlignment="1">
      <alignment horizontal="center"/>
    </xf>
    <xf numFmtId="164" fontId="2" fillId="2" borderId="5" xfId="0" applyNumberFormat="1" applyFont="1" applyFill="1" applyBorder="1" applyAlignment="1"/>
    <xf numFmtId="164" fontId="8" fillId="2" borderId="5" xfId="0" applyNumberFormat="1" applyFont="1" applyFill="1" applyBorder="1" applyAlignment="1"/>
    <xf numFmtId="165" fontId="2" fillId="2" borderId="5" xfId="0" applyNumberFormat="1" applyFont="1" applyFill="1" applyBorder="1" applyAlignment="1"/>
    <xf numFmtId="166" fontId="2" fillId="2" borderId="5" xfId="0" applyNumberFormat="1" applyFont="1" applyFill="1" applyBorder="1" applyAlignment="1"/>
    <xf numFmtId="167" fontId="2" fillId="2" borderId="5" xfId="0" applyNumberFormat="1" applyFont="1" applyFill="1" applyBorder="1" applyAlignment="1">
      <alignment horizontal="center"/>
    </xf>
    <xf numFmtId="0" fontId="10" fillId="2" borderId="4" xfId="0" applyNumberFormat="1" applyFont="1" applyFill="1" applyBorder="1" applyAlignment="1"/>
    <xf numFmtId="166" fontId="14" fillId="2" borderId="5" xfId="0" applyNumberFormat="1" applyFont="1" applyFill="1" applyBorder="1" applyAlignment="1"/>
    <xf numFmtId="164" fontId="10" fillId="2" borderId="5" xfId="0" applyNumberFormat="1" applyFont="1" applyFill="1" applyBorder="1" applyAlignment="1">
      <alignment horizontal="center"/>
    </xf>
    <xf numFmtId="164" fontId="10" fillId="2" borderId="5" xfId="0" applyNumberFormat="1" applyFont="1" applyFill="1" applyBorder="1" applyAlignment="1"/>
    <xf numFmtId="164" fontId="13" fillId="2" borderId="5" xfId="0" applyNumberFormat="1" applyFont="1" applyFill="1" applyBorder="1" applyAlignment="1"/>
    <xf numFmtId="10" fontId="2" fillId="2" borderId="5" xfId="0" applyNumberFormat="1" applyFont="1" applyFill="1" applyBorder="1" applyAlignment="1">
      <alignment horizontal="center"/>
    </xf>
    <xf numFmtId="15" fontId="2" fillId="2" borderId="5" xfId="0" applyNumberFormat="1" applyFont="1" applyFill="1" applyBorder="1" applyAlignment="1">
      <alignment horizontal="center"/>
    </xf>
    <xf numFmtId="0" fontId="2" fillId="2" borderId="5" xfId="0" applyNumberFormat="1" applyFont="1" applyFill="1" applyBorder="1" applyAlignment="1">
      <alignment horizontal="right"/>
    </xf>
    <xf numFmtId="4" fontId="2" fillId="2" borderId="5" xfId="0" applyNumberFormat="1" applyFont="1" applyFill="1" applyBorder="1" applyAlignment="1">
      <alignment horizontal="center"/>
    </xf>
    <xf numFmtId="15" fontId="10" fillId="2" borderId="5" xfId="0" applyNumberFormat="1" applyFont="1" applyFill="1" applyBorder="1" applyAlignment="1">
      <alignment horizontal="center"/>
    </xf>
    <xf numFmtId="15" fontId="10" fillId="2" borderId="5" xfId="0" applyNumberFormat="1" applyFont="1" applyFill="1" applyBorder="1" applyAlignment="1" applyProtection="1">
      <alignment horizontal="center"/>
      <protection locked="0"/>
    </xf>
    <xf numFmtId="15" fontId="2" fillId="2" borderId="5" xfId="0" applyNumberFormat="1" applyFont="1" applyFill="1" applyBorder="1" applyAlignment="1"/>
    <xf numFmtId="15" fontId="14" fillId="2" borderId="5" xfId="0" applyNumberFormat="1" applyFont="1" applyFill="1" applyBorder="1" applyAlignment="1" applyProtection="1">
      <alignment horizontal="center"/>
      <protection locked="0"/>
    </xf>
    <xf numFmtId="15" fontId="14" fillId="2" borderId="5" xfId="0" applyNumberFormat="1" applyFont="1" applyFill="1" applyBorder="1" applyAlignment="1">
      <alignment horizontal="center"/>
    </xf>
    <xf numFmtId="0" fontId="2" fillId="2" borderId="5" xfId="0" applyNumberFormat="1" applyFont="1" applyFill="1" applyBorder="1" applyAlignment="1" applyProtection="1">
      <alignment horizontal="right"/>
      <protection locked="0"/>
    </xf>
    <xf numFmtId="0" fontId="2" fillId="2" borderId="0" xfId="0" applyNumberFormat="1" applyFont="1" applyFill="1" applyAlignment="1" applyProtection="1">
      <alignment horizontal="right"/>
      <protection locked="0"/>
    </xf>
    <xf numFmtId="4" fontId="2" fillId="2" borderId="2" xfId="0" applyNumberFormat="1" applyFont="1" applyFill="1" applyBorder="1" applyAlignment="1" applyProtection="1">
      <alignment horizontal="right"/>
      <protection locked="0"/>
    </xf>
    <xf numFmtId="0" fontId="12" fillId="2" borderId="0" xfId="0" applyNumberFormat="1" applyFont="1" applyFill="1" applyAlignment="1"/>
    <xf numFmtId="4" fontId="2" fillId="2" borderId="0" xfId="0" applyNumberFormat="1" applyFont="1" applyFill="1" applyAlignment="1" applyProtection="1">
      <alignment horizontal="right"/>
      <protection locked="0"/>
    </xf>
    <xf numFmtId="3" fontId="2" fillId="2" borderId="5" xfId="0" applyNumberFormat="1" applyFont="1" applyFill="1" applyBorder="1" applyAlignment="1"/>
    <xf numFmtId="3" fontId="14" fillId="2" borderId="5" xfId="0" applyNumberFormat="1" applyFont="1" applyFill="1" applyBorder="1" applyAlignment="1" applyProtection="1">
      <alignment horizontal="right"/>
      <protection locked="0"/>
    </xf>
    <xf numFmtId="3" fontId="14" fillId="2" borderId="5" xfId="0" applyNumberFormat="1" applyFont="1" applyFill="1" applyBorder="1" applyAlignment="1"/>
    <xf numFmtId="0" fontId="6" fillId="2" borderId="5" xfId="0" applyNumberFormat="1" applyFont="1" applyFill="1" applyBorder="1" applyAlignment="1"/>
    <xf numFmtId="10" fontId="2" fillId="2" borderId="5" xfId="0" applyNumberFormat="1" applyFont="1" applyFill="1" applyBorder="1" applyAlignment="1"/>
    <xf numFmtId="3" fontId="0" fillId="0" borderId="0" xfId="0" applyNumberFormat="1"/>
    <xf numFmtId="0" fontId="4" fillId="2" borderId="5" xfId="0" applyNumberFormat="1" applyFont="1" applyFill="1" applyBorder="1" applyAlignment="1"/>
    <xf numFmtId="3" fontId="2" fillId="2" borderId="0" xfId="0" applyNumberFormat="1" applyFont="1" applyFill="1" applyAlignment="1"/>
    <xf numFmtId="3" fontId="2" fillId="2" borderId="2" xfId="0" applyNumberFormat="1" applyFont="1" applyFill="1" applyBorder="1" applyAlignment="1"/>
    <xf numFmtId="0" fontId="2" fillId="3" borderId="3" xfId="0" applyNumberFormat="1" applyFont="1" applyFill="1" applyBorder="1" applyAlignment="1"/>
    <xf numFmtId="0" fontId="12" fillId="3" borderId="0" xfId="0" applyNumberFormat="1" applyFont="1" applyFill="1" applyAlignment="1"/>
    <xf numFmtId="0" fontId="2" fillId="3" borderId="0" xfId="0" applyNumberFormat="1" applyFont="1" applyFill="1" applyAlignment="1"/>
    <xf numFmtId="4" fontId="2" fillId="3" borderId="0" xfId="0" applyNumberFormat="1" applyFont="1" applyFill="1" applyAlignment="1" applyProtection="1">
      <alignment horizontal="right"/>
      <protection locked="0"/>
    </xf>
    <xf numFmtId="0" fontId="5" fillId="3" borderId="0" xfId="0" applyNumberFormat="1" applyFont="1" applyFill="1" applyAlignment="1"/>
    <xf numFmtId="3" fontId="2" fillId="2" borderId="5" xfId="0" applyNumberFormat="1" applyFont="1" applyFill="1" applyBorder="1" applyAlignment="1" applyProtection="1">
      <alignment horizontal="right"/>
      <protection locked="0"/>
    </xf>
    <xf numFmtId="0" fontId="15" fillId="2" borderId="0" xfId="0" applyNumberFormat="1" applyFont="1" applyFill="1" applyAlignment="1"/>
    <xf numFmtId="4" fontId="14" fillId="2" borderId="0" xfId="0" applyNumberFormat="1" applyFont="1" applyFill="1" applyAlignment="1" applyProtection="1">
      <alignment horizontal="right"/>
      <protection locked="0"/>
    </xf>
    <xf numFmtId="0" fontId="15" fillId="2" borderId="5" xfId="0" applyNumberFormat="1" applyFont="1" applyFill="1" applyBorder="1" applyAlignment="1"/>
    <xf numFmtId="0" fontId="9" fillId="2" borderId="5" xfId="0" applyNumberFormat="1" applyFont="1" applyFill="1" applyBorder="1" applyAlignment="1"/>
    <xf numFmtId="4" fontId="2" fillId="2" borderId="5" xfId="0" applyNumberFormat="1" applyFont="1" applyFill="1" applyBorder="1" applyAlignment="1" applyProtection="1">
      <alignment horizontal="right"/>
      <protection locked="0"/>
    </xf>
    <xf numFmtId="3" fontId="14" fillId="2" borderId="5" xfId="0" applyNumberFormat="1" applyFont="1" applyFill="1" applyBorder="1" applyAlignment="1" applyProtection="1">
      <alignment horizontal="center"/>
      <protection locked="0"/>
    </xf>
    <xf numFmtId="0" fontId="14" fillId="2" borderId="3" xfId="0" applyNumberFormat="1" applyFont="1" applyFill="1" applyBorder="1" applyAlignment="1"/>
    <xf numFmtId="15" fontId="10" fillId="2" borderId="0" xfId="0" applyNumberFormat="1" applyFont="1" applyFill="1" applyAlignment="1">
      <alignment horizontal="centerContinuous"/>
    </xf>
    <xf numFmtId="0" fontId="14" fillId="2" borderId="4" xfId="0" applyNumberFormat="1" applyFont="1" applyFill="1" applyBorder="1" applyAlignment="1"/>
    <xf numFmtId="0" fontId="14" fillId="2" borderId="5" xfId="0" applyNumberFormat="1" applyFont="1" applyFill="1" applyBorder="1" applyAlignment="1"/>
    <xf numFmtId="15" fontId="16" fillId="2" borderId="5" xfId="0" applyNumberFormat="1" applyFont="1" applyFill="1" applyBorder="1" applyAlignment="1">
      <alignment horizontal="centerContinuous"/>
    </xf>
    <xf numFmtId="15" fontId="16" fillId="2" borderId="5" xfId="0" applyNumberFormat="1" applyFont="1" applyFill="1" applyBorder="1" applyAlignment="1">
      <alignment horizontal="center"/>
    </xf>
    <xf numFmtId="10" fontId="14" fillId="2" borderId="5" xfId="0" applyNumberFormat="1" applyFont="1" applyFill="1" applyBorder="1" applyAlignment="1">
      <alignment horizontal="center"/>
    </xf>
    <xf numFmtId="4" fontId="14" fillId="2" borderId="5" xfId="0" applyNumberFormat="1" applyFont="1" applyFill="1" applyBorder="1" applyAlignment="1">
      <alignment horizontal="center"/>
    </xf>
    <xf numFmtId="4" fontId="2" fillId="2" borderId="5" xfId="0" applyNumberFormat="1" applyFont="1" applyFill="1" applyBorder="1" applyAlignment="1" applyProtection="1">
      <alignment horizontal="center"/>
      <protection locked="0"/>
    </xf>
    <xf numFmtId="0" fontId="2" fillId="2" borderId="5" xfId="0" applyNumberFormat="1" applyFont="1" applyFill="1" applyBorder="1" applyAlignment="1" applyProtection="1">
      <protection locked="0"/>
    </xf>
    <xf numFmtId="0" fontId="14" fillId="2" borderId="0" xfId="0" applyNumberFormat="1" applyFont="1" applyFill="1" applyAlignment="1"/>
    <xf numFmtId="4" fontId="2" fillId="2" borderId="0" xfId="0" applyNumberFormat="1" applyFont="1" applyFill="1" applyAlignment="1" applyProtection="1">
      <alignment horizontal="center"/>
      <protection locked="0"/>
    </xf>
    <xf numFmtId="0" fontId="2" fillId="2" borderId="0" xfId="0" applyNumberFormat="1" applyFont="1" applyFill="1" applyAlignment="1" applyProtection="1">
      <protection locked="0"/>
    </xf>
    <xf numFmtId="0" fontId="14" fillId="2" borderId="1" xfId="0" applyNumberFormat="1" applyFont="1" applyFill="1" applyBorder="1" applyAlignment="1">
      <alignment horizontal="right"/>
    </xf>
    <xf numFmtId="0" fontId="12" fillId="2" borderId="2" xfId="0" applyNumberFormat="1" applyFont="1" applyFill="1" applyBorder="1" applyAlignment="1"/>
    <xf numFmtId="0" fontId="10" fillId="2" borderId="2" xfId="0" applyNumberFormat="1" applyFont="1" applyFill="1" applyBorder="1" applyAlignment="1">
      <alignment horizontal="center"/>
    </xf>
    <xf numFmtId="3" fontId="10" fillId="2" borderId="2" xfId="0" applyNumberFormat="1" applyFont="1" applyFill="1" applyBorder="1" applyAlignment="1">
      <alignment horizontal="center"/>
    </xf>
    <xf numFmtId="0" fontId="11" fillId="2" borderId="2" xfId="0" applyNumberFormat="1" applyFont="1" applyFill="1" applyBorder="1" applyAlignment="1"/>
    <xf numFmtId="0" fontId="14" fillId="2" borderId="4" xfId="0" applyNumberFormat="1" applyFont="1" applyFill="1" applyBorder="1" applyAlignment="1">
      <alignment horizontal="right"/>
    </xf>
    <xf numFmtId="3" fontId="16" fillId="2" borderId="5" xfId="0" applyNumberFormat="1" applyFont="1" applyFill="1" applyBorder="1" applyAlignment="1"/>
    <xf numFmtId="0" fontId="14" fillId="2" borderId="5" xfId="0" applyNumberFormat="1" applyFont="1" applyFill="1" applyBorder="1" applyAlignment="1" applyProtection="1">
      <alignment horizontal="right"/>
      <protection locked="0"/>
    </xf>
    <xf numFmtId="0" fontId="14" fillId="2" borderId="4" xfId="0" applyNumberFormat="1" applyFont="1" applyFill="1" applyBorder="1" applyAlignment="1">
      <alignment horizontal="center"/>
    </xf>
    <xf numFmtId="4" fontId="14" fillId="2" borderId="5" xfId="0" applyNumberFormat="1" applyFont="1" applyFill="1" applyBorder="1" applyAlignment="1" applyProtection="1">
      <alignment horizontal="right"/>
      <protection locked="0"/>
    </xf>
    <xf numFmtId="0" fontId="16" fillId="2" borderId="5" xfId="0" applyNumberFormat="1" applyFont="1" applyFill="1" applyBorder="1" applyAlignment="1"/>
    <xf numFmtId="0" fontId="14" fillId="2" borderId="5" xfId="0" applyNumberFormat="1" applyFont="1" applyFill="1" applyBorder="1" applyAlignment="1">
      <alignment horizontal="right"/>
    </xf>
    <xf numFmtId="4" fontId="14" fillId="2" borderId="5" xfId="0" applyNumberFormat="1" applyFont="1" applyFill="1" applyBorder="1" applyAlignment="1">
      <alignment horizontal="right"/>
    </xf>
    <xf numFmtId="9" fontId="14" fillId="2" borderId="5" xfId="0" applyNumberFormat="1" applyFont="1" applyFill="1" applyBorder="1" applyAlignment="1">
      <alignment horizontal="right"/>
    </xf>
    <xf numFmtId="10" fontId="14" fillId="2" borderId="5" xfId="0" applyNumberFormat="1" applyFont="1" applyFill="1" applyBorder="1" applyAlignment="1" applyProtection="1">
      <alignment horizontal="center"/>
      <protection locked="0"/>
    </xf>
    <xf numFmtId="0" fontId="14" fillId="2" borderId="5" xfId="0" applyNumberFormat="1" applyFont="1" applyFill="1" applyBorder="1" applyAlignment="1" applyProtection="1">
      <alignment horizontal="center"/>
      <protection locked="0"/>
    </xf>
    <xf numFmtId="0" fontId="17" fillId="2" borderId="5" xfId="0" applyNumberFormat="1" applyFont="1" applyFill="1" applyBorder="1" applyAlignment="1"/>
    <xf numFmtId="0" fontId="10" fillId="2" borderId="5" xfId="0" applyNumberFormat="1" applyFont="1" applyFill="1" applyBorder="1" applyAlignment="1">
      <alignment horizontal="center"/>
    </xf>
    <xf numFmtId="3" fontId="10" fillId="2" borderId="5" xfId="0" applyNumberFormat="1" applyFont="1" applyFill="1" applyBorder="1" applyAlignment="1">
      <alignment horizontal="center"/>
    </xf>
    <xf numFmtId="0" fontId="11" fillId="2" borderId="5" xfId="0" applyNumberFormat="1" applyFont="1" applyFill="1" applyBorder="1" applyAlignment="1"/>
    <xf numFmtId="3" fontId="14" fillId="2" borderId="5" xfId="0" applyNumberFormat="1" applyFont="1" applyFill="1" applyBorder="1" applyAlignment="1">
      <alignment horizontal="center"/>
    </xf>
    <xf numFmtId="0" fontId="14" fillId="2" borderId="5" xfId="0" applyNumberFormat="1" applyFont="1" applyFill="1" applyBorder="1" applyAlignment="1">
      <alignment horizontal="center"/>
    </xf>
    <xf numFmtId="9" fontId="14" fillId="2" borderId="5" xfId="0" applyNumberFormat="1" applyFont="1" applyFill="1" applyBorder="1" applyAlignment="1">
      <alignment horizontal="center"/>
    </xf>
    <xf numFmtId="0" fontId="16" fillId="2" borderId="5" xfId="0" applyNumberFormat="1" applyFont="1" applyFill="1" applyBorder="1" applyAlignment="1">
      <alignment horizontal="center"/>
    </xf>
    <xf numFmtId="3" fontId="16" fillId="2" borderId="5" xfId="0" applyNumberFormat="1" applyFont="1" applyFill="1" applyBorder="1" applyAlignment="1">
      <alignment horizontal="center"/>
    </xf>
    <xf numFmtId="3" fontId="12" fillId="2" borderId="5" xfId="0" applyNumberFormat="1" applyFont="1" applyFill="1" applyBorder="1" applyAlignment="1"/>
    <xf numFmtId="3" fontId="0" fillId="0" borderId="3" xfId="0" applyNumberFormat="1" applyBorder="1"/>
    <xf numFmtId="169" fontId="2" fillId="2" borderId="5" xfId="0" applyNumberFormat="1" applyFont="1" applyFill="1" applyBorder="1" applyAlignment="1"/>
    <xf numFmtId="0" fontId="8" fillId="2" borderId="4" xfId="0" applyNumberFormat="1" applyFont="1" applyFill="1" applyBorder="1" applyAlignment="1"/>
    <xf numFmtId="0" fontId="13" fillId="2" borderId="5" xfId="0" applyNumberFormat="1" applyFont="1" applyFill="1" applyBorder="1" applyAlignment="1">
      <alignment horizontal="center"/>
    </xf>
    <xf numFmtId="0" fontId="18" fillId="2" borderId="5" xfId="0" applyNumberFormat="1" applyFont="1" applyFill="1" applyBorder="1" applyAlignment="1"/>
    <xf numFmtId="3" fontId="18" fillId="2" borderId="5" xfId="0" applyNumberFormat="1" applyFont="1" applyFill="1" applyBorder="1" applyAlignment="1"/>
    <xf numFmtId="0" fontId="8" fillId="2" borderId="3" xfId="0" applyNumberFormat="1" applyFont="1" applyFill="1" applyBorder="1" applyAlignment="1"/>
    <xf numFmtId="0" fontId="19" fillId="2" borderId="0" xfId="0" applyNumberFormat="1" applyFont="1" applyFill="1" applyAlignment="1"/>
    <xf numFmtId="0" fontId="9" fillId="2" borderId="0" xfId="0" applyNumberFormat="1" applyFont="1" applyFill="1" applyAlignment="1">
      <alignment horizontal="center"/>
    </xf>
    <xf numFmtId="0" fontId="0" fillId="0" borderId="2" xfId="0" applyNumberFormat="1" applyBorder="1"/>
    <xf numFmtId="0" fontId="15" fillId="2" borderId="6" xfId="0" applyNumberFormat="1" applyFont="1" applyFill="1" applyBorder="1" applyAlignment="1"/>
    <xf numFmtId="0" fontId="2" fillId="2" borderId="7" xfId="0" applyNumberFormat="1" applyFont="1" applyFill="1" applyBorder="1" applyAlignment="1"/>
    <xf numFmtId="0" fontId="9" fillId="2" borderId="8" xfId="0" applyNumberFormat="1" applyFont="1" applyFill="1" applyBorder="1" applyAlignment="1"/>
    <xf numFmtId="0" fontId="2" fillId="2" borderId="8" xfId="0" applyNumberFormat="1" applyFont="1" applyFill="1" applyBorder="1" applyAlignment="1"/>
    <xf numFmtId="0" fontId="2" fillId="2" borderId="8" xfId="0" applyNumberFormat="1" applyFont="1" applyFill="1" applyBorder="1" applyAlignment="1" applyProtection="1">
      <alignment horizontal="right"/>
      <protection locked="0"/>
    </xf>
    <xf numFmtId="0" fontId="2" fillId="2" borderId="9" xfId="0" applyNumberFormat="1" applyFont="1" applyFill="1" applyBorder="1" applyAlignment="1"/>
    <xf numFmtId="3" fontId="2" fillId="2" borderId="8" xfId="0" applyNumberFormat="1" applyFont="1" applyFill="1" applyBorder="1" applyAlignment="1"/>
    <xf numFmtId="0" fontId="14" fillId="2" borderId="7" xfId="0" applyNumberFormat="1" applyFont="1" applyFill="1" applyBorder="1" applyAlignment="1"/>
    <xf numFmtId="0" fontId="14" fillId="2" borderId="8" xfId="0" applyNumberFormat="1" applyFont="1" applyFill="1" applyBorder="1" applyAlignment="1"/>
    <xf numFmtId="0" fontId="2" fillId="2" borderId="8" xfId="0" applyNumberFormat="1" applyFont="1" applyFill="1" applyBorder="1" applyAlignment="1">
      <alignment horizontal="center"/>
    </xf>
    <xf numFmtId="4" fontId="2" fillId="2" borderId="8" xfId="0" applyNumberFormat="1" applyFont="1" applyFill="1" applyBorder="1" applyAlignment="1" applyProtection="1">
      <alignment horizontal="center"/>
      <protection locked="0"/>
    </xf>
    <xf numFmtId="0" fontId="2" fillId="2" borderId="8" xfId="0" applyNumberFormat="1" applyFont="1" applyFill="1" applyBorder="1" applyAlignment="1" applyProtection="1">
      <protection locked="0"/>
    </xf>
    <xf numFmtId="0" fontId="20" fillId="2" borderId="0" xfId="0" applyNumberFormat="1" applyFont="1" applyFill="1" applyAlignment="1"/>
    <xf numFmtId="0" fontId="20" fillId="2" borderId="0" xfId="0" applyNumberFormat="1" applyFont="1" applyFill="1" applyAlignment="1">
      <alignment horizontal="center"/>
    </xf>
    <xf numFmtId="0" fontId="20" fillId="2" borderId="5" xfId="0" applyNumberFormat="1" applyFont="1" applyFill="1" applyBorder="1" applyAlignment="1">
      <alignment horizontal="center"/>
    </xf>
    <xf numFmtId="0" fontId="20" fillId="2" borderId="0" xfId="0" applyNumberFormat="1" applyFont="1" applyFill="1" applyAlignment="1">
      <alignment horizontal="center" wrapText="1"/>
    </xf>
    <xf numFmtId="0" fontId="21" fillId="2" borderId="3" xfId="0" applyNumberFormat="1" applyFont="1" applyFill="1" applyBorder="1" applyAlignment="1"/>
    <xf numFmtId="0" fontId="22" fillId="2" borderId="0" xfId="0" applyNumberFormat="1" applyFont="1" applyFill="1" applyAlignment="1">
      <alignment horizontal="left" vertical="top" wrapText="1"/>
    </xf>
    <xf numFmtId="0" fontId="22" fillId="2" borderId="0" xfId="0" applyNumberFormat="1" applyFont="1" applyFill="1" applyAlignment="1">
      <alignment horizontal="center" vertical="top" wrapText="1"/>
    </xf>
    <xf numFmtId="4" fontId="22" fillId="2" borderId="0" xfId="0" applyNumberFormat="1" applyFont="1" applyFill="1" applyAlignment="1" applyProtection="1">
      <alignment horizontal="center" vertical="top" wrapText="1"/>
      <protection locked="0"/>
    </xf>
    <xf numFmtId="0" fontId="22" fillId="2" borderId="0" xfId="0" applyNumberFormat="1" applyFont="1" applyFill="1" applyAlignment="1"/>
    <xf numFmtId="0" fontId="23" fillId="0" borderId="3" xfId="0" applyNumberFormat="1" applyFont="1" applyBorder="1"/>
    <xf numFmtId="0" fontId="23" fillId="0" borderId="0" xfId="0" applyNumberFormat="1" applyFont="1" applyAlignment="1"/>
    <xf numFmtId="0" fontId="24" fillId="2" borderId="5" xfId="0" applyNumberFormat="1" applyFont="1" applyFill="1" applyBorder="1" applyAlignment="1"/>
    <xf numFmtId="0" fontId="24" fillId="2" borderId="0" xfId="0" applyNumberFormat="1" applyFont="1" applyFill="1" applyAlignment="1"/>
    <xf numFmtId="0" fontId="20" fillId="2" borderId="0" xfId="0" applyNumberFormat="1" applyFont="1" applyFill="1" applyAlignment="1">
      <alignment horizontal="right"/>
    </xf>
    <xf numFmtId="4" fontId="20" fillId="2" borderId="0" xfId="0" applyNumberFormat="1" applyFont="1" applyFill="1" applyAlignment="1" applyProtection="1">
      <alignment horizontal="center"/>
      <protection locked="0"/>
    </xf>
    <xf numFmtId="0" fontId="20" fillId="2" borderId="5" xfId="0" applyNumberFormat="1" applyFont="1" applyFill="1" applyBorder="1" applyAlignment="1"/>
    <xf numFmtId="0" fontId="26" fillId="2" borderId="5" xfId="0" applyNumberFormat="1" applyFont="1" applyFill="1" applyBorder="1" applyAlignment="1">
      <alignment horizontal="center"/>
    </xf>
    <xf numFmtId="0" fontId="26" fillId="2" borderId="5" xfId="0" applyNumberFormat="1" applyFont="1" applyFill="1" applyBorder="1" applyAlignment="1"/>
    <xf numFmtId="166" fontId="27" fillId="2" borderId="5" xfId="0" applyNumberFormat="1" applyFont="1" applyFill="1" applyBorder="1" applyAlignment="1"/>
    <xf numFmtId="170" fontId="27" fillId="2" borderId="5" xfId="0" applyNumberFormat="1" applyFont="1" applyFill="1" applyBorder="1" applyAlignment="1"/>
    <xf numFmtId="170" fontId="14" fillId="2" borderId="5" xfId="0" applyNumberFormat="1" applyFont="1" applyFill="1" applyBorder="1" applyAlignment="1"/>
    <xf numFmtId="170" fontId="27" fillId="2" borderId="5" xfId="0" applyNumberFormat="1" applyFont="1" applyFill="1" applyBorder="1" applyAlignment="1">
      <alignment horizontal="center"/>
    </xf>
    <xf numFmtId="170" fontId="10" fillId="2" borderId="5" xfId="0" applyNumberFormat="1" applyFont="1" applyFill="1" applyBorder="1" applyAlignment="1">
      <alignment horizontal="center"/>
    </xf>
    <xf numFmtId="170" fontId="10" fillId="2" borderId="5" xfId="0" applyNumberFormat="1" applyFont="1" applyFill="1" applyBorder="1" applyAlignment="1"/>
    <xf numFmtId="171" fontId="2" fillId="2" borderId="5" xfId="0" applyNumberFormat="1" applyFont="1" applyFill="1" applyBorder="1" applyAlignment="1">
      <alignment horizontal="center"/>
    </xf>
    <xf numFmtId="171" fontId="10" fillId="2" borderId="5" xfId="0" applyNumberFormat="1" applyFont="1" applyFill="1" applyBorder="1" applyAlignment="1">
      <alignment horizontal="center"/>
    </xf>
    <xf numFmtId="170" fontId="26" fillId="2" borderId="5" xfId="0" applyNumberFormat="1" applyFont="1" applyFill="1" applyBorder="1" applyAlignment="1">
      <alignment horizontal="center"/>
    </xf>
    <xf numFmtId="170" fontId="2" fillId="2" borderId="5" xfId="0" applyNumberFormat="1" applyFont="1" applyFill="1" applyBorder="1" applyAlignment="1">
      <alignment horizontal="center"/>
    </xf>
    <xf numFmtId="166" fontId="2" fillId="2" borderId="5" xfId="0" applyNumberFormat="1" applyFont="1" applyFill="1" applyBorder="1" applyAlignment="1">
      <alignment horizontal="center"/>
    </xf>
    <xf numFmtId="166" fontId="27" fillId="2" borderId="5" xfId="0" applyNumberFormat="1" applyFont="1" applyFill="1" applyBorder="1" applyAlignment="1">
      <alignment horizontal="center"/>
    </xf>
    <xf numFmtId="171" fontId="27" fillId="2" borderId="5" xfId="0" applyNumberFormat="1" applyFont="1" applyFill="1" applyBorder="1" applyAlignment="1">
      <alignment horizontal="center"/>
    </xf>
    <xf numFmtId="170" fontId="14" fillId="2" borderId="5" xfId="0" applyNumberFormat="1" applyFont="1" applyFill="1" applyBorder="1" applyAlignment="1">
      <alignment horizontal="center"/>
    </xf>
    <xf numFmtId="166" fontId="14" fillId="2" borderId="5" xfId="0" applyNumberFormat="1" applyFont="1" applyFill="1" applyBorder="1" applyAlignment="1">
      <alignment horizontal="center"/>
    </xf>
    <xf numFmtId="0" fontId="22" fillId="2" borderId="5" xfId="0" applyNumberFormat="1" applyFont="1" applyFill="1" applyBorder="1" applyAlignment="1"/>
    <xf numFmtId="172" fontId="22" fillId="2" borderId="5" xfId="0" applyNumberFormat="1" applyFont="1" applyFill="1" applyBorder="1" applyAlignment="1">
      <alignment horizontal="center"/>
    </xf>
    <xf numFmtId="164" fontId="22" fillId="2" borderId="5" xfId="0" applyNumberFormat="1" applyFont="1" applyFill="1" applyBorder="1" applyAlignment="1">
      <alignment horizontal="center"/>
    </xf>
    <xf numFmtId="0" fontId="2" fillId="2" borderId="4" xfId="0" applyNumberFormat="1" applyFont="1" applyFill="1" applyBorder="1" applyAlignment="1">
      <alignment horizontal="right"/>
    </xf>
    <xf numFmtId="0" fontId="28" fillId="2" borderId="0" xfId="0" applyNumberFormat="1" applyFont="1" applyFill="1" applyAlignment="1"/>
    <xf numFmtId="0" fontId="29" fillId="2" borderId="0" xfId="1" applyNumberFormat="1" applyFont="1" applyFill="1" applyAlignment="1" applyProtection="1"/>
    <xf numFmtId="0" fontId="28" fillId="2" borderId="5" xfId="0" applyNumberFormat="1" applyFont="1" applyFill="1" applyBorder="1" applyAlignment="1"/>
    <xf numFmtId="0" fontId="29" fillId="2" borderId="5" xfId="1" applyNumberFormat="1" applyFont="1" applyFill="1" applyBorder="1" applyAlignment="1" applyProtection="1"/>
    <xf numFmtId="3" fontId="1" fillId="0" borderId="0" xfId="0" applyNumberFormat="1" applyFont="1" applyAlignment="1"/>
    <xf numFmtId="15" fontId="2" fillId="2" borderId="10" xfId="0" applyNumberFormat="1" applyFont="1" applyFill="1" applyBorder="1" applyAlignment="1">
      <alignment horizontal="center"/>
    </xf>
    <xf numFmtId="168" fontId="26" fillId="2" borderId="5" xfId="0" applyNumberFormat="1" applyFont="1" applyFill="1" applyBorder="1" applyAlignment="1"/>
    <xf numFmtId="168" fontId="26" fillId="2" borderId="5" xfId="0" applyNumberFormat="1" applyFont="1" applyFill="1" applyBorder="1" applyAlignment="1">
      <alignment horizontal="center"/>
    </xf>
    <xf numFmtId="10" fontId="26" fillId="2" borderId="5" xfId="0" applyNumberFormat="1" applyFont="1" applyFill="1" applyBorder="1" applyAlignment="1">
      <alignment horizontal="center"/>
    </xf>
    <xf numFmtId="15" fontId="26" fillId="2" borderId="5" xfId="0" applyNumberFormat="1" applyFont="1" applyFill="1" applyBorder="1" applyAlignment="1">
      <alignment horizontal="center"/>
    </xf>
    <xf numFmtId="0" fontId="1" fillId="2" borderId="0" xfId="0" applyNumberFormat="1" applyFont="1" applyFill="1" applyAlignment="1"/>
    <xf numFmtId="0" fontId="1" fillId="2" borderId="5" xfId="0" applyNumberFormat="1" applyFont="1" applyFill="1" applyBorder="1" applyAlignment="1"/>
    <xf numFmtId="0" fontId="1" fillId="2" borderId="6" xfId="0" applyNumberFormat="1" applyFont="1" applyFill="1" applyBorder="1" applyAlignment="1"/>
    <xf numFmtId="4" fontId="14" fillId="2" borderId="5" xfId="0" applyNumberFormat="1" applyFont="1" applyFill="1" applyBorder="1" applyAlignment="1" applyProtection="1">
      <alignment horizontal="center"/>
      <protection locked="0"/>
    </xf>
    <xf numFmtId="0" fontId="30" fillId="2" borderId="0" xfId="0" applyNumberFormat="1" applyFont="1" applyFill="1" applyAlignment="1"/>
    <xf numFmtId="0" fontId="2" fillId="2" borderId="11" xfId="0" applyNumberFormat="1" applyFont="1" applyFill="1" applyBorder="1" applyAlignment="1"/>
    <xf numFmtId="0" fontId="2" fillId="2" borderId="12" xfId="0" applyNumberFormat="1" applyFont="1" applyFill="1" applyBorder="1" applyAlignment="1"/>
    <xf numFmtId="0" fontId="11" fillId="2" borderId="12" xfId="0" applyNumberFormat="1" applyFont="1" applyFill="1" applyBorder="1" applyAlignment="1"/>
    <xf numFmtId="0" fontId="2" fillId="2" borderId="13" xfId="0" applyNumberFormat="1" applyFont="1" applyFill="1" applyBorder="1" applyAlignment="1"/>
    <xf numFmtId="165" fontId="2" fillId="2" borderId="13" xfId="0" applyNumberFormat="1" applyFont="1" applyFill="1" applyBorder="1" applyAlignment="1"/>
    <xf numFmtId="0" fontId="10" fillId="2" borderId="13" xfId="0" applyNumberFormat="1" applyFont="1" applyFill="1" applyBorder="1" applyAlignment="1"/>
    <xf numFmtId="0" fontId="22" fillId="2" borderId="12" xfId="0" applyNumberFormat="1" applyFont="1" applyFill="1" applyBorder="1" applyAlignment="1"/>
    <xf numFmtId="0" fontId="10" fillId="2" borderId="12" xfId="0" applyNumberFormat="1" applyFont="1" applyFill="1" applyBorder="1" applyAlignment="1"/>
    <xf numFmtId="0" fontId="5" fillId="3" borderId="12" xfId="0" applyNumberFormat="1" applyFont="1" applyFill="1" applyBorder="1" applyAlignment="1"/>
    <xf numFmtId="0" fontId="2" fillId="3" borderId="12" xfId="0" applyNumberFormat="1" applyFont="1" applyFill="1" applyBorder="1" applyAlignment="1"/>
    <xf numFmtId="0" fontId="8" fillId="2" borderId="13" xfId="0" applyNumberFormat="1" applyFont="1" applyFill="1" applyBorder="1" applyAlignment="1"/>
    <xf numFmtId="3" fontId="16" fillId="2" borderId="13" xfId="0" applyNumberFormat="1" applyFont="1" applyFill="1" applyBorder="1" applyAlignment="1"/>
    <xf numFmtId="0" fontId="16" fillId="2" borderId="13" xfId="0" applyNumberFormat="1" applyFont="1" applyFill="1" applyBorder="1" applyAlignment="1"/>
    <xf numFmtId="0" fontId="2" fillId="2" borderId="13" xfId="0" applyNumberFormat="1" applyFont="1" applyFill="1" applyBorder="1" applyAlignment="1" applyProtection="1">
      <protection locked="0"/>
    </xf>
    <xf numFmtId="0" fontId="8" fillId="2" borderId="12" xfId="0" applyNumberFormat="1" applyFont="1" applyFill="1" applyBorder="1" applyAlignment="1"/>
    <xf numFmtId="0" fontId="8" fillId="2" borderId="9" xfId="0" applyNumberFormat="1" applyFont="1" applyFill="1" applyBorder="1" applyAlignment="1"/>
    <xf numFmtId="3" fontId="11" fillId="2" borderId="5" xfId="0" applyNumberFormat="1" applyFont="1" applyFill="1" applyBorder="1" applyAlignment="1"/>
    <xf numFmtId="3" fontId="31" fillId="2" borderId="5" xfId="0" applyNumberFormat="1" applyFont="1" applyFill="1" applyBorder="1" applyAlignment="1" applyProtection="1">
      <alignment horizontal="right"/>
      <protection locked="0"/>
    </xf>
    <xf numFmtId="3" fontId="26" fillId="2" borderId="5" xfId="0" applyNumberFormat="1" applyFont="1" applyFill="1" applyBorder="1" applyAlignment="1"/>
    <xf numFmtId="3" fontId="31" fillId="2" borderId="5" xfId="0" applyNumberFormat="1" applyFont="1" applyFill="1" applyBorder="1" applyAlignment="1" applyProtection="1">
      <alignment horizontal="center"/>
      <protection locked="0"/>
    </xf>
    <xf numFmtId="4" fontId="31" fillId="2" borderId="5" xfId="0" applyNumberFormat="1" applyFont="1" applyFill="1" applyBorder="1" applyAlignment="1" applyProtection="1">
      <alignment horizontal="center"/>
      <protection locked="0"/>
    </xf>
    <xf numFmtId="0" fontId="31" fillId="2" borderId="5" xfId="0" applyNumberFormat="1" applyFont="1" applyFill="1" applyBorder="1" applyAlignment="1" applyProtection="1">
      <alignment horizontal="center"/>
      <protection locked="0"/>
    </xf>
    <xf numFmtId="3" fontId="26" fillId="2" borderId="5" xfId="0" applyNumberFormat="1" applyFont="1" applyFill="1" applyBorder="1" applyAlignment="1" applyProtection="1">
      <alignment horizontal="right"/>
      <protection locked="0"/>
    </xf>
    <xf numFmtId="0" fontId="26" fillId="2" borderId="5" xfId="0" applyNumberFormat="1" applyFont="1" applyFill="1" applyBorder="1" applyAlignment="1" applyProtection="1">
      <alignment horizontal="center"/>
      <protection locked="0"/>
    </xf>
    <xf numFmtId="3" fontId="32" fillId="2" borderId="5" xfId="0" applyNumberFormat="1" applyFont="1" applyFill="1" applyBorder="1" applyAlignment="1" applyProtection="1">
      <alignment horizontal="center"/>
      <protection locked="0"/>
    </xf>
    <xf numFmtId="0" fontId="32" fillId="2" borderId="5" xfId="0" applyNumberFormat="1" applyFont="1" applyFill="1" applyBorder="1" applyAlignment="1">
      <alignment horizontal="center"/>
    </xf>
    <xf numFmtId="3" fontId="26" fillId="2" borderId="5" xfId="0" applyNumberFormat="1" applyFont="1" applyFill="1" applyBorder="1" applyAlignment="1" applyProtection="1">
      <alignment horizontal="center"/>
      <protection locked="0"/>
    </xf>
    <xf numFmtId="4" fontId="26" fillId="2" borderId="5" xfId="0" applyNumberFormat="1" applyFont="1" applyFill="1" applyBorder="1" applyAlignment="1" applyProtection="1">
      <alignment horizontal="center"/>
      <protection locked="0"/>
    </xf>
    <xf numFmtId="4" fontId="26" fillId="2" borderId="5" xfId="0" applyNumberFormat="1" applyFont="1" applyFill="1" applyBorder="1" applyAlignment="1" applyProtection="1">
      <alignment horizontal="right"/>
      <protection locked="0"/>
    </xf>
    <xf numFmtId="3" fontId="33" fillId="2" borderId="5" xfId="0" applyNumberFormat="1" applyFont="1" applyFill="1" applyBorder="1" applyAlignment="1">
      <alignment horizontal="center"/>
    </xf>
    <xf numFmtId="0" fontId="34" fillId="2" borderId="5" xfId="0" applyNumberFormat="1" applyFont="1" applyFill="1" applyBorder="1" applyAlignment="1">
      <alignment horizontal="center"/>
    </xf>
    <xf numFmtId="0" fontId="35" fillId="2" borderId="5" xfId="0" applyNumberFormat="1" applyFont="1" applyFill="1" applyBorder="1" applyAlignment="1"/>
    <xf numFmtId="9" fontId="33" fillId="2" borderId="5" xfId="0" applyNumberFormat="1" applyFont="1" applyFill="1" applyBorder="1" applyAlignment="1">
      <alignment horizontal="center"/>
    </xf>
    <xf numFmtId="3" fontId="34" fillId="2" borderId="5" xfId="0" applyNumberFormat="1" applyFont="1" applyFill="1" applyBorder="1" applyAlignment="1">
      <alignment horizontal="center"/>
    </xf>
    <xf numFmtId="3" fontId="2" fillId="2" borderId="5" xfId="0" applyNumberFormat="1" applyFont="1" applyFill="1" applyBorder="1" applyAlignment="1">
      <alignment horizontal="center"/>
    </xf>
    <xf numFmtId="0" fontId="9" fillId="2" borderId="5" xfId="0" applyNumberFormat="1" applyFont="1" applyFill="1" applyBorder="1" applyAlignment="1">
      <alignment horizontal="center"/>
    </xf>
    <xf numFmtId="9" fontId="2" fillId="2" borderId="5" xfId="0" applyNumberFormat="1" applyFont="1" applyFill="1" applyBorder="1" applyAlignment="1">
      <alignment horizontal="center"/>
    </xf>
    <xf numFmtId="0" fontId="36" fillId="4" borderId="3" xfId="0" applyNumberFormat="1" applyFont="1" applyFill="1" applyBorder="1" applyAlignment="1"/>
    <xf numFmtId="0" fontId="36" fillId="4" borderId="0" xfId="0" applyNumberFormat="1" applyFont="1" applyFill="1" applyAlignment="1"/>
    <xf numFmtId="0" fontId="37" fillId="4" borderId="0" xfId="0" applyNumberFormat="1" applyFont="1" applyFill="1" applyAlignment="1">
      <alignment horizontal="center"/>
    </xf>
    <xf numFmtId="0" fontId="37" fillId="4" borderId="0" xfId="0" applyNumberFormat="1" applyFont="1" applyFill="1" applyAlignment="1">
      <alignment horizontal="center" wrapText="1"/>
    </xf>
    <xf numFmtId="0" fontId="38" fillId="4" borderId="0" xfId="0" applyNumberFormat="1" applyFont="1" applyFill="1" applyAlignment="1">
      <alignment horizontal="center" wrapText="1"/>
    </xf>
    <xf numFmtId="0" fontId="36" fillId="4" borderId="0" xfId="0" applyNumberFormat="1" applyFont="1" applyFill="1" applyAlignment="1">
      <alignment horizontal="center" wrapText="1"/>
    </xf>
    <xf numFmtId="0" fontId="39" fillId="4" borderId="0" xfId="0" applyNumberFormat="1" applyFont="1" applyFill="1" applyAlignment="1"/>
    <xf numFmtId="0" fontId="36" fillId="4" borderId="12" xfId="0" applyNumberFormat="1" applyFont="1" applyFill="1" applyBorder="1" applyAlignment="1"/>
    <xf numFmtId="0" fontId="2" fillId="5" borderId="1" xfId="0" applyNumberFormat="1" applyFont="1" applyFill="1" applyBorder="1" applyAlignment="1"/>
    <xf numFmtId="0" fontId="4" fillId="5" borderId="2" xfId="0" applyNumberFormat="1" applyFont="1" applyFill="1" applyBorder="1" applyAlignment="1"/>
    <xf numFmtId="0" fontId="2" fillId="5" borderId="2" xfId="0" applyNumberFormat="1" applyFont="1" applyFill="1" applyBorder="1" applyAlignment="1"/>
    <xf numFmtId="0" fontId="2" fillId="5" borderId="11" xfId="0" applyNumberFormat="1" applyFont="1" applyFill="1" applyBorder="1" applyAlignment="1"/>
    <xf numFmtId="0" fontId="2" fillId="5" borderId="3" xfId="0" applyNumberFormat="1" applyFont="1" applyFill="1" applyBorder="1" applyAlignment="1"/>
    <xf numFmtId="0" fontId="5" fillId="5" borderId="0" xfId="0" applyNumberFormat="1" applyFont="1" applyFill="1" applyAlignment="1"/>
    <xf numFmtId="0" fontId="2" fillId="5" borderId="0" xfId="0" applyNumberFormat="1" applyFont="1" applyFill="1" applyAlignment="1"/>
    <xf numFmtId="0" fontId="2" fillId="5" borderId="12" xfId="0" applyNumberFormat="1" applyFont="1" applyFill="1" applyBorder="1" applyAlignment="1"/>
    <xf numFmtId="0" fontId="2" fillId="5" borderId="3" xfId="0" applyNumberFormat="1" applyFont="1" applyFill="1" applyBorder="1" applyAlignment="1">
      <alignment horizontal="center"/>
    </xf>
    <xf numFmtId="0" fontId="20" fillId="5" borderId="0" xfId="0" applyNumberFormat="1" applyFont="1" applyFill="1" applyAlignment="1"/>
    <xf numFmtId="0" fontId="7" fillId="5" borderId="0" xfId="0" applyNumberFormat="1" applyFont="1" applyFill="1" applyAlignment="1"/>
    <xf numFmtId="0" fontId="8" fillId="5" borderId="0" xfId="0" applyNumberFormat="1" applyFont="1" applyFill="1" applyAlignment="1"/>
    <xf numFmtId="0" fontId="28" fillId="5" borderId="0" xfId="0" applyNumberFormat="1" applyFont="1" applyFill="1" applyAlignment="1"/>
    <xf numFmtId="0" fontId="29" fillId="5" borderId="0" xfId="1" applyNumberFormat="1" applyFont="1" applyFill="1" applyAlignment="1" applyProtection="1"/>
    <xf numFmtId="0" fontId="9" fillId="5" borderId="0" xfId="0" applyNumberFormat="1" applyFont="1" applyFill="1" applyAlignment="1"/>
    <xf numFmtId="0" fontId="10" fillId="5" borderId="0" xfId="0" applyNumberFormat="1" applyFont="1" applyFill="1" applyAlignment="1"/>
    <xf numFmtId="0" fontId="11" fillId="5" borderId="12" xfId="0" applyNumberFormat="1" applyFont="1" applyFill="1" applyBorder="1" applyAlignment="1"/>
    <xf numFmtId="0" fontId="2" fillId="5" borderId="0" xfId="0" applyNumberFormat="1" applyFont="1" applyFill="1" applyAlignment="1">
      <alignment horizontal="center"/>
    </xf>
    <xf numFmtId="0" fontId="2" fillId="5" borderId="0" xfId="0" applyNumberFormat="1" applyFont="1" applyFill="1" applyAlignment="1">
      <alignment horizontal="right"/>
    </xf>
    <xf numFmtId="0" fontId="2" fillId="5" borderId="4" xfId="0" applyNumberFormat="1" applyFont="1" applyFill="1" applyBorder="1" applyAlignment="1"/>
    <xf numFmtId="0" fontId="2" fillId="5" borderId="5" xfId="0" applyNumberFormat="1" applyFont="1" applyFill="1" applyBorder="1" applyAlignment="1">
      <alignment horizontal="center" wrapText="1"/>
    </xf>
    <xf numFmtId="0" fontId="8" fillId="5" borderId="5" xfId="0" applyNumberFormat="1" applyFont="1" applyFill="1" applyBorder="1" applyAlignment="1"/>
    <xf numFmtId="0" fontId="2" fillId="5" borderId="13" xfId="0" applyNumberFormat="1" applyFont="1" applyFill="1" applyBorder="1" applyAlignment="1"/>
    <xf numFmtId="0" fontId="2" fillId="5" borderId="7" xfId="0" applyNumberFormat="1" applyFont="1" applyFill="1" applyBorder="1" applyAlignment="1"/>
    <xf numFmtId="0" fontId="2" fillId="5" borderId="9" xfId="0" applyNumberFormat="1" applyFont="1" applyFill="1" applyBorder="1" applyAlignment="1"/>
    <xf numFmtId="4" fontId="2" fillId="5" borderId="0" xfId="0" applyNumberFormat="1" applyFont="1" applyFill="1" applyAlignment="1" applyProtection="1">
      <alignment horizontal="right"/>
      <protection locked="0"/>
    </xf>
    <xf numFmtId="0" fontId="21" fillId="5" borderId="3" xfId="0" applyNumberFormat="1" applyFont="1" applyFill="1" applyBorder="1" applyAlignment="1"/>
    <xf numFmtId="0" fontId="22" fillId="5" borderId="0" xfId="0" applyNumberFormat="1" applyFont="1" applyFill="1" applyAlignment="1">
      <alignment horizontal="left" vertical="top" wrapText="1"/>
    </xf>
    <xf numFmtId="0" fontId="22" fillId="5" borderId="0" xfId="0" applyNumberFormat="1" applyFont="1" applyFill="1" applyAlignment="1">
      <alignment horizontal="center" vertical="top" wrapText="1"/>
    </xf>
    <xf numFmtId="4" fontId="22" fillId="5" borderId="0" xfId="0" applyNumberFormat="1" applyFont="1" applyFill="1" applyAlignment="1" applyProtection="1">
      <alignment horizontal="center" vertical="top" wrapText="1"/>
      <protection locked="0"/>
    </xf>
    <xf numFmtId="0" fontId="22" fillId="5" borderId="12" xfId="0" applyNumberFormat="1" applyFont="1" applyFill="1" applyBorder="1" applyAlignment="1"/>
    <xf numFmtId="3" fontId="2" fillId="5" borderId="2" xfId="0" applyNumberFormat="1" applyFont="1" applyFill="1" applyBorder="1" applyAlignment="1"/>
    <xf numFmtId="0" fontId="2" fillId="6" borderId="3" xfId="0" applyNumberFormat="1" applyFont="1" applyFill="1" applyBorder="1" applyAlignment="1"/>
    <xf numFmtId="0" fontId="2" fillId="6" borderId="0" xfId="0" applyNumberFormat="1" applyFont="1" applyFill="1" applyAlignment="1"/>
    <xf numFmtId="4" fontId="2" fillId="6" borderId="0" xfId="0" applyNumberFormat="1" applyFont="1" applyFill="1" applyAlignment="1" applyProtection="1">
      <alignment horizontal="right"/>
      <protection locked="0"/>
    </xf>
    <xf numFmtId="0" fontId="2" fillId="6" borderId="12" xfId="0" applyNumberFormat="1" applyFont="1" applyFill="1" applyBorder="1" applyAlignment="1"/>
    <xf numFmtId="0" fontId="24" fillId="5" borderId="0" xfId="0" applyNumberFormat="1" applyFont="1" applyFill="1" applyAlignment="1"/>
    <xf numFmtId="0" fontId="1" fillId="5" borderId="0" xfId="0" applyNumberFormat="1" applyFont="1" applyFill="1" applyAlignment="1"/>
    <xf numFmtId="4" fontId="14" fillId="5" borderId="0" xfId="0" applyNumberFormat="1" applyFont="1" applyFill="1" applyAlignment="1" applyProtection="1">
      <alignment horizontal="right"/>
      <protection locked="0"/>
    </xf>
    <xf numFmtId="0" fontId="20" fillId="5" borderId="0" xfId="0" applyNumberFormat="1" applyFont="1" applyFill="1" applyAlignment="1">
      <alignment horizontal="center"/>
    </xf>
    <xf numFmtId="0" fontId="20" fillId="5" borderId="0" xfId="0" applyNumberFormat="1" applyFont="1" applyFill="1" applyAlignment="1">
      <alignment horizontal="right"/>
    </xf>
    <xf numFmtId="4" fontId="20" fillId="5" borderId="0" xfId="0" applyNumberFormat="1" applyFont="1" applyFill="1" applyAlignment="1" applyProtection="1">
      <alignment horizontal="center"/>
      <protection locked="0"/>
    </xf>
    <xf numFmtId="0" fontId="14" fillId="5" borderId="3" xfId="0" applyNumberFormat="1" applyFont="1" applyFill="1" applyBorder="1" applyAlignment="1"/>
    <xf numFmtId="0" fontId="14" fillId="5" borderId="4" xfId="0" applyNumberFormat="1" applyFont="1" applyFill="1" applyBorder="1" applyAlignment="1"/>
    <xf numFmtId="0" fontId="14" fillId="5" borderId="7" xfId="0" applyNumberFormat="1" applyFont="1" applyFill="1" applyBorder="1" applyAlignment="1"/>
    <xf numFmtId="0" fontId="14" fillId="5" borderId="4" xfId="0" applyNumberFormat="1" applyFont="1" applyFill="1" applyBorder="1" applyAlignment="1">
      <alignment horizontal="right"/>
    </xf>
    <xf numFmtId="0" fontId="8" fillId="5" borderId="12" xfId="0" applyNumberFormat="1" applyFont="1" applyFill="1" applyBorder="1" applyAlignment="1"/>
    <xf numFmtId="0" fontId="40" fillId="5" borderId="2" xfId="0" applyNumberFormat="1" applyFont="1" applyFill="1" applyBorder="1" applyAlignment="1"/>
    <xf numFmtId="0" fontId="41" fillId="5" borderId="0" xfId="0" applyNumberFormat="1" applyFont="1" applyFill="1" applyAlignment="1"/>
    <xf numFmtId="0" fontId="42" fillId="5" borderId="0" xfId="0" applyNumberFormat="1" applyFont="1" applyFill="1" applyAlignment="1"/>
    <xf numFmtId="0" fontId="43" fillId="5" borderId="0" xfId="0" applyNumberFormat="1" applyFont="1" applyFill="1" applyAlignment="1"/>
    <xf numFmtId="0" fontId="44" fillId="5" borderId="0" xfId="0" applyNumberFormat="1" applyFont="1" applyFill="1" applyAlignment="1">
      <alignment horizontal="center" wrapText="1"/>
    </xf>
    <xf numFmtId="0" fontId="42" fillId="5" borderId="0" xfId="0" applyNumberFormat="1" applyFont="1" applyFill="1" applyAlignment="1">
      <alignment horizontal="center"/>
    </xf>
    <xf numFmtId="10" fontId="42" fillId="5" borderId="0" xfId="0" applyNumberFormat="1" applyFont="1" applyFill="1" applyAlignment="1">
      <alignment horizontal="center"/>
    </xf>
    <xf numFmtId="15" fontId="42" fillId="5" borderId="0" xfId="0" applyNumberFormat="1" applyFont="1" applyFill="1" applyAlignment="1">
      <alignment horizontal="center"/>
    </xf>
    <xf numFmtId="0" fontId="44" fillId="5" borderId="0" xfId="0" applyNumberFormat="1" applyFont="1" applyFill="1" applyAlignment="1"/>
    <xf numFmtId="0" fontId="43" fillId="5" borderId="5" xfId="0" applyNumberFormat="1" applyFont="1" applyFill="1" applyBorder="1" applyAlignment="1"/>
    <xf numFmtId="0" fontId="43" fillId="5" borderId="5" xfId="0" applyNumberFormat="1" applyFont="1" applyFill="1" applyBorder="1" applyAlignment="1">
      <alignment horizontal="center"/>
    </xf>
    <xf numFmtId="0" fontId="42" fillId="5" borderId="5" xfId="0" applyNumberFormat="1" applyFont="1" applyFill="1" applyBorder="1" applyAlignment="1">
      <alignment horizontal="center"/>
    </xf>
    <xf numFmtId="0" fontId="43" fillId="5" borderId="5" xfId="0" applyNumberFormat="1" applyFont="1" applyFill="1" applyBorder="1" applyAlignment="1">
      <alignment horizontal="center" wrapText="1"/>
    </xf>
    <xf numFmtId="0" fontId="43" fillId="5" borderId="13" xfId="0" applyNumberFormat="1" applyFont="1" applyFill="1" applyBorder="1" applyAlignment="1"/>
    <xf numFmtId="10" fontId="43" fillId="5" borderId="5" xfId="0" applyNumberFormat="1" applyFont="1" applyFill="1" applyBorder="1" applyAlignment="1">
      <alignment horizontal="center"/>
    </xf>
    <xf numFmtId="15" fontId="42" fillId="5" borderId="5" xfId="0" applyNumberFormat="1" applyFont="1" applyFill="1" applyBorder="1" applyAlignment="1">
      <alignment horizontal="center"/>
    </xf>
    <xf numFmtId="0" fontId="42" fillId="5" borderId="13" xfId="0" applyNumberFormat="1" applyFont="1" applyFill="1" applyBorder="1" applyAlignment="1"/>
    <xf numFmtId="0" fontId="43" fillId="5" borderId="0" xfId="0" applyNumberFormat="1" applyFont="1" applyFill="1" applyAlignment="1" applyProtection="1">
      <alignment horizontal="right"/>
      <protection locked="0"/>
    </xf>
    <xf numFmtId="0" fontId="43" fillId="5" borderId="12" xfId="0" applyNumberFormat="1" applyFont="1" applyFill="1" applyBorder="1" applyAlignment="1"/>
    <xf numFmtId="0" fontId="42" fillId="5" borderId="8" xfId="0" applyNumberFormat="1" applyFont="1" applyFill="1" applyBorder="1" applyAlignment="1"/>
    <xf numFmtId="0" fontId="43" fillId="5" borderId="8" xfId="0" applyNumberFormat="1" applyFont="1" applyFill="1" applyBorder="1" applyAlignment="1"/>
    <xf numFmtId="0" fontId="43" fillId="5" borderId="8" xfId="0" applyNumberFormat="1" applyFont="1" applyFill="1" applyBorder="1" applyAlignment="1" applyProtection="1">
      <alignment horizontal="right"/>
      <protection locked="0"/>
    </xf>
    <xf numFmtId="0" fontId="43" fillId="5" borderId="9" xfId="0" applyNumberFormat="1" applyFont="1" applyFill="1" applyBorder="1" applyAlignment="1"/>
    <xf numFmtId="0" fontId="38" fillId="4" borderId="0" xfId="0" applyNumberFormat="1" applyFont="1" applyFill="1" applyAlignment="1"/>
    <xf numFmtId="4" fontId="36" fillId="4" borderId="0" xfId="0" applyNumberFormat="1" applyFont="1" applyFill="1" applyAlignment="1" applyProtection="1">
      <alignment horizontal="right"/>
      <protection locked="0"/>
    </xf>
    <xf numFmtId="3" fontId="43" fillId="5" borderId="5" xfId="0" applyNumberFormat="1" applyFont="1" applyFill="1" applyBorder="1" applyAlignment="1"/>
    <xf numFmtId="3" fontId="43" fillId="5" borderId="5" xfId="0" applyNumberFormat="1" applyFont="1" applyFill="1" applyBorder="1" applyAlignment="1" applyProtection="1">
      <alignment horizontal="right"/>
      <protection locked="0"/>
    </xf>
    <xf numFmtId="0" fontId="42" fillId="5" borderId="12" xfId="0" applyNumberFormat="1" applyFont="1" applyFill="1" applyBorder="1" applyAlignment="1"/>
    <xf numFmtId="0" fontId="38" fillId="4" borderId="0" xfId="0" applyNumberFormat="1" applyFont="1" applyFill="1" applyAlignment="1">
      <alignment horizontal="center"/>
    </xf>
    <xf numFmtId="0" fontId="38" fillId="4" borderId="12" xfId="0" applyNumberFormat="1" applyFont="1" applyFill="1" applyBorder="1" applyAlignment="1"/>
    <xf numFmtId="0" fontId="43" fillId="5" borderId="4" xfId="0" applyNumberFormat="1" applyFont="1" applyFill="1" applyBorder="1" applyAlignment="1"/>
    <xf numFmtId="0" fontId="43" fillId="5" borderId="3" xfId="0" applyNumberFormat="1" applyFont="1" applyFill="1" applyBorder="1" applyAlignment="1"/>
    <xf numFmtId="0" fontId="48" fillId="5" borderId="0" xfId="0" applyNumberFormat="1" applyFont="1" applyFill="1" applyAlignment="1"/>
    <xf numFmtId="3" fontId="43" fillId="5" borderId="0" xfId="0" applyNumberFormat="1" applyFont="1" applyFill="1" applyAlignment="1"/>
    <xf numFmtId="0" fontId="43" fillId="5" borderId="7" xfId="0" applyNumberFormat="1" applyFont="1" applyFill="1" applyBorder="1" applyAlignment="1"/>
    <xf numFmtId="3" fontId="43" fillId="5" borderId="8" xfId="0" applyNumberFormat="1" applyFont="1" applyFill="1" applyBorder="1" applyAlignment="1"/>
    <xf numFmtId="0" fontId="36" fillId="7" borderId="3" xfId="0" applyNumberFormat="1" applyFont="1" applyFill="1" applyBorder="1" applyAlignment="1"/>
    <xf numFmtId="0" fontId="36" fillId="7" borderId="0" xfId="0" applyNumberFormat="1" applyFont="1" applyFill="1" applyAlignment="1"/>
    <xf numFmtId="4" fontId="36" fillId="7" borderId="0" xfId="0" applyNumberFormat="1" applyFont="1" applyFill="1" applyAlignment="1" applyProtection="1">
      <alignment horizontal="right"/>
      <protection locked="0"/>
    </xf>
    <xf numFmtId="0" fontId="51" fillId="7" borderId="12" xfId="0" applyNumberFormat="1" applyFont="1" applyFill="1" applyBorder="1" applyAlignment="1"/>
    <xf numFmtId="0" fontId="52" fillId="5" borderId="5" xfId="0" applyNumberFormat="1" applyFont="1" applyFill="1" applyBorder="1" applyAlignment="1"/>
    <xf numFmtId="0" fontId="53" fillId="4" borderId="0" xfId="0" applyNumberFormat="1" applyFont="1" applyFill="1" applyAlignment="1"/>
    <xf numFmtId="15" fontId="38" fillId="4" borderId="0" xfId="0" applyNumberFormat="1" applyFont="1" applyFill="1" applyAlignment="1">
      <alignment horizontal="centerContinuous"/>
    </xf>
    <xf numFmtId="15" fontId="38" fillId="4" borderId="0" xfId="0" applyNumberFormat="1" applyFont="1" applyFill="1" applyAlignment="1">
      <alignment horizontal="center"/>
    </xf>
    <xf numFmtId="15" fontId="42" fillId="5" borderId="5" xfId="0" applyNumberFormat="1" applyFont="1" applyFill="1" applyBorder="1" applyAlignment="1">
      <alignment horizontal="centerContinuous"/>
    </xf>
    <xf numFmtId="0" fontId="43" fillId="5" borderId="5" xfId="0" applyNumberFormat="1" applyFont="1" applyFill="1" applyBorder="1" applyAlignment="1" applyProtection="1">
      <protection locked="0"/>
    </xf>
    <xf numFmtId="0" fontId="43" fillId="5" borderId="0" xfId="0" applyNumberFormat="1" applyFont="1" applyFill="1" applyAlignment="1">
      <alignment horizontal="center"/>
    </xf>
    <xf numFmtId="4" fontId="43" fillId="5" borderId="0" xfId="0" applyNumberFormat="1" applyFont="1" applyFill="1" applyAlignment="1" applyProtection="1">
      <alignment horizontal="center"/>
      <protection locked="0"/>
    </xf>
    <xf numFmtId="0" fontId="43" fillId="5" borderId="0" xfId="0" applyNumberFormat="1" applyFont="1" applyFill="1" applyAlignment="1" applyProtection="1">
      <protection locked="0"/>
    </xf>
    <xf numFmtId="0" fontId="43" fillId="5" borderId="8" xfId="0" applyNumberFormat="1" applyFont="1" applyFill="1" applyBorder="1" applyAlignment="1">
      <alignment horizontal="center"/>
    </xf>
    <xf numFmtId="4" fontId="43" fillId="5" borderId="8" xfId="0" applyNumberFormat="1" applyFont="1" applyFill="1" applyBorder="1" applyAlignment="1" applyProtection="1">
      <alignment horizontal="center"/>
      <protection locked="0"/>
    </xf>
    <xf numFmtId="0" fontId="43" fillId="5" borderId="8" xfId="0" applyNumberFormat="1" applyFont="1" applyFill="1" applyBorder="1" applyAlignment="1" applyProtection="1">
      <protection locked="0"/>
    </xf>
    <xf numFmtId="0" fontId="36" fillId="4" borderId="1" xfId="0" applyNumberFormat="1" applyFont="1" applyFill="1" applyBorder="1" applyAlignment="1">
      <alignment horizontal="right"/>
    </xf>
    <xf numFmtId="0" fontId="38" fillId="4" borderId="2" xfId="0" applyNumberFormat="1" applyFont="1" applyFill="1" applyBorder="1" applyAlignment="1">
      <alignment horizontal="center"/>
    </xf>
    <xf numFmtId="3" fontId="38" fillId="4" borderId="2" xfId="0" applyNumberFormat="1" applyFont="1" applyFill="1" applyBorder="1" applyAlignment="1">
      <alignment horizontal="center"/>
    </xf>
    <xf numFmtId="0" fontId="36" fillId="4" borderId="2" xfId="0" applyNumberFormat="1" applyFont="1" applyFill="1" applyBorder="1" applyAlignment="1"/>
    <xf numFmtId="0" fontId="36" fillId="4" borderId="11" xfId="0" applyNumberFormat="1" applyFont="1" applyFill="1" applyBorder="1" applyAlignment="1"/>
    <xf numFmtId="3" fontId="42" fillId="5" borderId="13" xfId="0" applyNumberFormat="1" applyFont="1" applyFill="1" applyBorder="1" applyAlignment="1"/>
    <xf numFmtId="0" fontId="53" fillId="4" borderId="5" xfId="0" applyNumberFormat="1" applyFont="1" applyFill="1" applyBorder="1" applyAlignment="1"/>
    <xf numFmtId="0" fontId="38" fillId="4" borderId="5" xfId="0" applyNumberFormat="1" applyFont="1" applyFill="1" applyBorder="1" applyAlignment="1">
      <alignment horizontal="center"/>
    </xf>
    <xf numFmtId="3" fontId="38" fillId="4" borderId="5" xfId="0" applyNumberFormat="1" applyFont="1" applyFill="1" applyBorder="1" applyAlignment="1">
      <alignment horizontal="center"/>
    </xf>
    <xf numFmtId="0" fontId="36" fillId="4" borderId="5" xfId="0" applyNumberFormat="1" applyFont="1" applyFill="1" applyBorder="1" applyAlignment="1"/>
    <xf numFmtId="0" fontId="38" fillId="4" borderId="13" xfId="0" applyNumberFormat="1" applyFont="1" applyFill="1" applyBorder="1" applyAlignment="1"/>
    <xf numFmtId="0" fontId="2" fillId="4" borderId="4" xfId="0" applyNumberFormat="1" applyFont="1" applyFill="1" applyBorder="1" applyAlignment="1"/>
    <xf numFmtId="0" fontId="36" fillId="4" borderId="4" xfId="0" applyNumberFormat="1" applyFont="1" applyFill="1" applyBorder="1" applyAlignment="1"/>
    <xf numFmtId="3" fontId="36" fillId="4" borderId="5" xfId="0" applyNumberFormat="1" applyFont="1" applyFill="1" applyBorder="1" applyAlignment="1"/>
    <xf numFmtId="3" fontId="43" fillId="5" borderId="5" xfId="0" applyNumberFormat="1" applyFont="1" applyFill="1" applyBorder="1" applyAlignment="1">
      <alignment horizontal="center"/>
    </xf>
    <xf numFmtId="3" fontId="42" fillId="5" borderId="5" xfId="0" applyNumberFormat="1" applyFont="1" applyFill="1" applyBorder="1" applyAlignment="1">
      <alignment horizontal="center"/>
    </xf>
    <xf numFmtId="0" fontId="48" fillId="5" borderId="3" xfId="0" applyNumberFormat="1" applyFont="1" applyFill="1" applyBorder="1" applyAlignment="1"/>
    <xf numFmtId="0" fontId="46" fillId="5" borderId="0" xfId="0" applyNumberFormat="1" applyFont="1" applyFill="1" applyAlignment="1"/>
    <xf numFmtId="0" fontId="48" fillId="5" borderId="12" xfId="0" applyNumberFormat="1" applyFont="1" applyFill="1" applyBorder="1" applyAlignment="1"/>
    <xf numFmtId="0" fontId="48" fillId="5" borderId="9" xfId="0" applyNumberFormat="1" applyFont="1" applyFill="1" applyBorder="1" applyAlignment="1"/>
    <xf numFmtId="3" fontId="49" fillId="4" borderId="5" xfId="0" applyNumberFormat="1" applyFont="1" applyFill="1" applyBorder="1" applyAlignment="1"/>
    <xf numFmtId="3" fontId="36" fillId="4" borderId="5" xfId="0" applyNumberFormat="1" applyFont="1" applyFill="1" applyBorder="1" applyAlignment="1">
      <alignment horizontal="center"/>
    </xf>
    <xf numFmtId="0" fontId="38" fillId="4" borderId="5" xfId="0" applyNumberFormat="1" applyFont="1" applyFill="1" applyBorder="1" applyAlignment="1"/>
    <xf numFmtId="3" fontId="43" fillId="5" borderId="0" xfId="0" applyNumberFormat="1" applyFont="1" applyFill="1" applyBorder="1" applyAlignment="1"/>
    <xf numFmtId="3" fontId="43" fillId="5" borderId="0" xfId="0" applyNumberFormat="1" applyFont="1" applyFill="1" applyBorder="1" applyAlignment="1">
      <alignment horizontal="center"/>
    </xf>
    <xf numFmtId="10" fontId="43" fillId="5" borderId="0" xfId="0" applyNumberFormat="1" applyFont="1" applyFill="1" applyBorder="1" applyAlignment="1">
      <alignment horizontal="center"/>
    </xf>
    <xf numFmtId="0" fontId="42" fillId="5" borderId="0" xfId="0" applyNumberFormat="1" applyFont="1" applyFill="1" applyBorder="1" applyAlignment="1">
      <alignment horizontal="center"/>
    </xf>
    <xf numFmtId="0" fontId="43" fillId="5" borderId="0" xfId="0" applyNumberFormat="1" applyFont="1" applyFill="1" applyBorder="1" applyAlignment="1"/>
    <xf numFmtId="0" fontId="36" fillId="4" borderId="14" xfId="0" applyNumberFormat="1" applyFont="1" applyFill="1" applyBorder="1" applyAlignment="1"/>
    <xf numFmtId="0" fontId="53" fillId="4" borderId="15" xfId="0" applyNumberFormat="1" applyFont="1" applyFill="1" applyBorder="1" applyAlignment="1"/>
    <xf numFmtId="3" fontId="38" fillId="4" borderId="15" xfId="0" applyNumberFormat="1" applyFont="1" applyFill="1" applyBorder="1" applyAlignment="1">
      <alignment horizontal="center"/>
    </xf>
    <xf numFmtId="0" fontId="38" fillId="4" borderId="15" xfId="0" applyNumberFormat="1" applyFont="1" applyFill="1" applyBorder="1" applyAlignment="1">
      <alignment horizontal="center"/>
    </xf>
    <xf numFmtId="0" fontId="36" fillId="4" borderId="15" xfId="0" applyNumberFormat="1" applyFont="1" applyFill="1" applyBorder="1" applyAlignment="1"/>
    <xf numFmtId="0" fontId="38" fillId="4" borderId="16" xfId="0" applyNumberFormat="1" applyFont="1" applyFill="1" applyBorder="1" applyAlignment="1"/>
    <xf numFmtId="0" fontId="36" fillId="4" borderId="17" xfId="0" applyNumberFormat="1" applyFont="1" applyFill="1" applyBorder="1" applyAlignment="1"/>
    <xf numFmtId="0" fontId="53" fillId="4" borderId="18" xfId="0" applyNumberFormat="1" applyFont="1" applyFill="1" applyBorder="1" applyAlignment="1"/>
    <xf numFmtId="3" fontId="38" fillId="4" borderId="18" xfId="0" applyNumberFormat="1" applyFont="1" applyFill="1" applyBorder="1" applyAlignment="1">
      <alignment horizontal="center"/>
    </xf>
    <xf numFmtId="0" fontId="38" fillId="4" borderId="18" xfId="0" applyNumberFormat="1" applyFont="1" applyFill="1" applyBorder="1" applyAlignment="1">
      <alignment horizontal="center"/>
    </xf>
    <xf numFmtId="0" fontId="36" fillId="4" borderId="18" xfId="0" applyNumberFormat="1" applyFont="1" applyFill="1" applyBorder="1" applyAlignment="1"/>
    <xf numFmtId="0" fontId="38" fillId="4" borderId="19" xfId="0" applyNumberFormat="1" applyFont="1" applyFill="1" applyBorder="1" applyAlignment="1"/>
    <xf numFmtId="0" fontId="43" fillId="5" borderId="0" xfId="0" applyNumberFormat="1" applyFont="1" applyFill="1" applyBorder="1" applyAlignment="1" applyProtection="1">
      <alignment horizontal="right"/>
      <protection locked="0"/>
    </xf>
    <xf numFmtId="0" fontId="2" fillId="5" borderId="20" xfId="0" applyNumberFormat="1" applyFont="1" applyFill="1" applyBorder="1" applyAlignment="1"/>
    <xf numFmtId="0" fontId="43" fillId="5" borderId="21" xfId="0" applyNumberFormat="1" applyFont="1" applyFill="1" applyBorder="1" applyAlignment="1"/>
    <xf numFmtId="0" fontId="43" fillId="5" borderId="21" xfId="0" applyNumberFormat="1" applyFont="1" applyFill="1" applyBorder="1" applyAlignment="1">
      <alignment horizontal="center"/>
    </xf>
    <xf numFmtId="0" fontId="42" fillId="5" borderId="21" xfId="0" applyNumberFormat="1" applyFont="1" applyFill="1" applyBorder="1" applyAlignment="1">
      <alignment horizontal="center"/>
    </xf>
    <xf numFmtId="0" fontId="43" fillId="5" borderId="21" xfId="0" applyNumberFormat="1" applyFont="1" applyFill="1" applyBorder="1" applyAlignment="1">
      <alignment horizontal="center" wrapText="1"/>
    </xf>
    <xf numFmtId="0" fontId="2" fillId="5" borderId="21" xfId="0" applyNumberFormat="1" applyFont="1" applyFill="1" applyBorder="1" applyAlignment="1">
      <alignment horizontal="center" wrapText="1"/>
    </xf>
    <xf numFmtId="0" fontId="8" fillId="5" borderId="21" xfId="0" applyNumberFormat="1" applyFont="1" applyFill="1" applyBorder="1" applyAlignment="1"/>
    <xf numFmtId="0" fontId="2" fillId="5" borderId="22" xfId="0" applyNumberFormat="1" applyFont="1" applyFill="1" applyBorder="1" applyAlignment="1"/>
    <xf numFmtId="0" fontId="42" fillId="5" borderId="21" xfId="0" applyNumberFormat="1" applyFont="1" applyFill="1" applyBorder="1" applyAlignment="1"/>
    <xf numFmtId="0" fontId="42" fillId="5" borderId="21" xfId="0" applyNumberFormat="1" applyFont="1" applyFill="1" applyBorder="1" applyAlignment="1">
      <alignment horizontal="center" wrapText="1"/>
    </xf>
    <xf numFmtId="0" fontId="10" fillId="5" borderId="21" xfId="0" applyNumberFormat="1" applyFont="1" applyFill="1" applyBorder="1" applyAlignment="1">
      <alignment horizontal="center" wrapText="1"/>
    </xf>
    <xf numFmtId="0" fontId="13" fillId="5" borderId="21" xfId="0" applyNumberFormat="1" applyFont="1" applyFill="1" applyBorder="1" applyAlignment="1"/>
    <xf numFmtId="0" fontId="2" fillId="5" borderId="21" xfId="0" applyNumberFormat="1" applyFont="1" applyFill="1" applyBorder="1" applyAlignment="1">
      <alignment horizontal="center"/>
    </xf>
    <xf numFmtId="170" fontId="43" fillId="5" borderId="21" xfId="0" applyNumberFormat="1" applyFont="1" applyFill="1" applyBorder="1" applyAlignment="1">
      <alignment horizontal="center"/>
    </xf>
    <xf numFmtId="171" fontId="43" fillId="5" borderId="21" xfId="0" applyNumberFormat="1" applyFont="1" applyFill="1" applyBorder="1" applyAlignment="1">
      <alignment horizontal="center"/>
    </xf>
    <xf numFmtId="164" fontId="43" fillId="5" borderId="21" xfId="0" applyNumberFormat="1" applyFont="1" applyFill="1" applyBorder="1" applyAlignment="1"/>
    <xf numFmtId="164" fontId="43" fillId="5" borderId="21" xfId="0" applyNumberFormat="1" applyFont="1" applyFill="1" applyBorder="1" applyAlignment="1">
      <alignment horizontal="center"/>
    </xf>
    <xf numFmtId="164" fontId="2" fillId="5" borderId="21" xfId="0" applyNumberFormat="1" applyFont="1" applyFill="1" applyBorder="1" applyAlignment="1">
      <alignment horizontal="center"/>
    </xf>
    <xf numFmtId="164" fontId="8" fillId="5" borderId="21" xfId="0" applyNumberFormat="1" applyFont="1" applyFill="1" applyBorder="1" applyAlignment="1"/>
    <xf numFmtId="165" fontId="2" fillId="5" borderId="22" xfId="0" applyNumberFormat="1" applyFont="1" applyFill="1" applyBorder="1" applyAlignment="1"/>
    <xf numFmtId="166" fontId="43" fillId="5" borderId="21" xfId="0" applyNumberFormat="1" applyFont="1" applyFill="1" applyBorder="1" applyAlignment="1">
      <alignment horizontal="center"/>
    </xf>
    <xf numFmtId="166" fontId="43" fillId="5" borderId="21" xfId="0" applyNumberFormat="1" applyFont="1" applyFill="1" applyBorder="1" applyAlignment="1"/>
    <xf numFmtId="167" fontId="2" fillId="5" borderId="21" xfId="0" applyNumberFormat="1" applyFont="1" applyFill="1" applyBorder="1" applyAlignment="1">
      <alignment horizontal="center"/>
    </xf>
    <xf numFmtId="0" fontId="10" fillId="5" borderId="20" xfId="0" applyNumberFormat="1" applyFont="1" applyFill="1" applyBorder="1" applyAlignment="1"/>
    <xf numFmtId="170" fontId="45" fillId="5" borderId="21" xfId="0" applyNumberFormat="1" applyFont="1" applyFill="1" applyBorder="1" applyAlignment="1">
      <alignment horizontal="center"/>
    </xf>
    <xf numFmtId="166" fontId="45" fillId="5" borderId="21" xfId="0" applyNumberFormat="1" applyFont="1" applyFill="1" applyBorder="1" applyAlignment="1">
      <alignment horizontal="center"/>
    </xf>
    <xf numFmtId="171" fontId="45" fillId="5" borderId="21" xfId="0" applyNumberFormat="1" applyFont="1" applyFill="1" applyBorder="1" applyAlignment="1">
      <alignment horizontal="center"/>
    </xf>
    <xf numFmtId="166" fontId="45" fillId="5" borderId="21" xfId="0" applyNumberFormat="1" applyFont="1" applyFill="1" applyBorder="1" applyAlignment="1"/>
    <xf numFmtId="171" fontId="42" fillId="5" borderId="21" xfId="0" applyNumberFormat="1" applyFont="1" applyFill="1" applyBorder="1" applyAlignment="1">
      <alignment horizontal="center"/>
    </xf>
    <xf numFmtId="164" fontId="42" fillId="5" borderId="21" xfId="0" applyNumberFormat="1" applyFont="1" applyFill="1" applyBorder="1" applyAlignment="1"/>
    <xf numFmtId="164" fontId="42" fillId="5" borderId="21" xfId="0" applyNumberFormat="1" applyFont="1" applyFill="1" applyBorder="1" applyAlignment="1">
      <alignment horizontal="center"/>
    </xf>
    <xf numFmtId="164" fontId="46" fillId="5" borderId="21" xfId="0" applyNumberFormat="1" applyFont="1" applyFill="1" applyBorder="1" applyAlignment="1"/>
    <xf numFmtId="0" fontId="43" fillId="5" borderId="22" xfId="0" applyNumberFormat="1" applyFont="1" applyFill="1" applyBorder="1" applyAlignment="1"/>
    <xf numFmtId="0" fontId="47" fillId="5" borderId="21" xfId="0" applyNumberFormat="1" applyFont="1" applyFill="1" applyBorder="1" applyAlignment="1"/>
    <xf numFmtId="170" fontId="43" fillId="5" borderId="21" xfId="0" applyNumberFormat="1" applyFont="1" applyFill="1" applyBorder="1" applyAlignment="1"/>
    <xf numFmtId="170" fontId="47" fillId="5" borderId="21" xfId="0" applyNumberFormat="1" applyFont="1" applyFill="1" applyBorder="1" applyAlignment="1">
      <alignment horizontal="center"/>
    </xf>
    <xf numFmtId="170" fontId="42" fillId="5" borderId="21" xfId="0" applyNumberFormat="1" applyFont="1" applyFill="1" applyBorder="1" applyAlignment="1"/>
    <xf numFmtId="170" fontId="42" fillId="5" borderId="21" xfId="0" applyNumberFormat="1" applyFont="1" applyFill="1" applyBorder="1" applyAlignment="1">
      <alignment horizontal="center"/>
    </xf>
    <xf numFmtId="170" fontId="45" fillId="5" borderId="21" xfId="0" applyNumberFormat="1" applyFont="1" applyFill="1" applyBorder="1" applyAlignment="1"/>
    <xf numFmtId="0" fontId="22" fillId="5" borderId="21" xfId="0" applyNumberFormat="1" applyFont="1" applyFill="1" applyBorder="1" applyAlignment="1"/>
    <xf numFmtId="172" fontId="22" fillId="5" borderId="21" xfId="0" applyNumberFormat="1" applyFont="1" applyFill="1" applyBorder="1" applyAlignment="1">
      <alignment horizontal="center"/>
    </xf>
    <xf numFmtId="164" fontId="22" fillId="5" borderId="21" xfId="0" applyNumberFormat="1" applyFont="1" applyFill="1" applyBorder="1" applyAlignment="1">
      <alignment horizontal="center"/>
    </xf>
    <xf numFmtId="164" fontId="10" fillId="5" borderId="21" xfId="0" applyNumberFormat="1" applyFont="1" applyFill="1" applyBorder="1" applyAlignment="1">
      <alignment horizontal="center"/>
    </xf>
    <xf numFmtId="164" fontId="13" fillId="5" borderId="21" xfId="0" applyNumberFormat="1" applyFont="1" applyFill="1" applyBorder="1" applyAlignment="1"/>
    <xf numFmtId="0" fontId="47" fillId="5" borderId="21" xfId="0" applyNumberFormat="1" applyFont="1" applyFill="1" applyBorder="1" applyAlignment="1">
      <alignment horizontal="center"/>
    </xf>
    <xf numFmtId="168" fontId="47" fillId="5" borderId="21" xfId="0" applyNumberFormat="1" applyFont="1" applyFill="1" applyBorder="1" applyAlignment="1"/>
    <xf numFmtId="0" fontId="48" fillId="5" borderId="21" xfId="0" applyNumberFormat="1" applyFont="1" applyFill="1" applyBorder="1" applyAlignment="1"/>
    <xf numFmtId="168" fontId="47" fillId="5" borderId="21" xfId="0" applyNumberFormat="1" applyFont="1" applyFill="1" applyBorder="1" applyAlignment="1">
      <alignment horizontal="center"/>
    </xf>
    <xf numFmtId="10" fontId="47" fillId="5" borderId="21" xfId="0" applyNumberFormat="1" applyFont="1" applyFill="1" applyBorder="1" applyAlignment="1">
      <alignment horizontal="center"/>
    </xf>
    <xf numFmtId="10" fontId="43" fillId="5" borderId="21" xfId="0" applyNumberFormat="1" applyFont="1" applyFill="1" applyBorder="1" applyAlignment="1">
      <alignment horizontal="center"/>
    </xf>
    <xf numFmtId="15" fontId="47" fillId="5" borderId="21" xfId="0" applyNumberFormat="1" applyFont="1" applyFill="1" applyBorder="1" applyAlignment="1">
      <alignment horizontal="center"/>
    </xf>
    <xf numFmtId="15" fontId="43" fillId="5" borderId="21" xfId="0" applyNumberFormat="1" applyFont="1" applyFill="1" applyBorder="1" applyAlignment="1">
      <alignment horizontal="center"/>
    </xf>
    <xf numFmtId="15" fontId="43" fillId="5" borderId="21" xfId="0" applyNumberFormat="1" applyFont="1" applyFill="1" applyBorder="1" applyAlignment="1"/>
    <xf numFmtId="0" fontId="43" fillId="5" borderId="21" xfId="0" applyNumberFormat="1" applyFont="1" applyFill="1" applyBorder="1" applyAlignment="1">
      <alignment horizontal="right"/>
    </xf>
    <xf numFmtId="4" fontId="43" fillId="5" borderId="21" xfId="0" applyNumberFormat="1" applyFont="1" applyFill="1" applyBorder="1" applyAlignment="1">
      <alignment horizontal="center"/>
    </xf>
    <xf numFmtId="15" fontId="42" fillId="5" borderId="21" xfId="0" applyNumberFormat="1" applyFont="1" applyFill="1" applyBorder="1" applyAlignment="1">
      <alignment horizontal="center"/>
    </xf>
    <xf numFmtId="15" fontId="42" fillId="5" borderId="21" xfId="0" applyNumberFormat="1" applyFont="1" applyFill="1" applyBorder="1" applyAlignment="1" applyProtection="1">
      <alignment horizontal="center"/>
      <protection locked="0"/>
    </xf>
    <xf numFmtId="0" fontId="42" fillId="5" borderId="22" xfId="0" applyNumberFormat="1" applyFont="1" applyFill="1" applyBorder="1" applyAlignment="1"/>
    <xf numFmtId="15" fontId="43" fillId="5" borderId="21" xfId="0" applyNumberFormat="1" applyFont="1" applyFill="1" applyBorder="1" applyAlignment="1" applyProtection="1">
      <alignment horizontal="center"/>
      <protection locked="0"/>
    </xf>
    <xf numFmtId="3" fontId="2" fillId="5" borderId="0" xfId="0" applyNumberFormat="1" applyFont="1" applyFill="1" applyBorder="1" applyAlignment="1"/>
    <xf numFmtId="0" fontId="2" fillId="5" borderId="0" xfId="0" applyNumberFormat="1" applyFont="1" applyFill="1" applyBorder="1" applyAlignment="1"/>
    <xf numFmtId="0" fontId="2" fillId="5" borderId="0" xfId="0" applyNumberFormat="1" applyFont="1" applyFill="1" applyBorder="1" applyAlignment="1">
      <alignment horizontal="center"/>
    </xf>
    <xf numFmtId="3" fontId="43" fillId="5" borderId="21" xfId="0" applyNumberFormat="1" applyFont="1" applyFill="1" applyBorder="1" applyAlignment="1"/>
    <xf numFmtId="3" fontId="43" fillId="5" borderId="21" xfId="0" applyNumberFormat="1" applyFont="1" applyFill="1" applyBorder="1" applyAlignment="1" applyProtection="1">
      <alignment horizontal="right"/>
      <protection locked="0"/>
    </xf>
    <xf numFmtId="10" fontId="43" fillId="5" borderId="21" xfId="0" applyNumberFormat="1" applyFont="1" applyFill="1" applyBorder="1" applyAlignment="1"/>
    <xf numFmtId="0" fontId="48" fillId="5" borderId="0" xfId="0" applyNumberFormat="1" applyFont="1" applyFill="1" applyBorder="1" applyAlignment="1"/>
    <xf numFmtId="0" fontId="43" fillId="5" borderId="20" xfId="0" applyNumberFormat="1" applyFont="1" applyFill="1" applyBorder="1" applyAlignment="1"/>
    <xf numFmtId="0" fontId="50" fillId="5" borderId="21" xfId="0" applyNumberFormat="1" applyFont="1" applyFill="1" applyBorder="1" applyAlignment="1"/>
    <xf numFmtId="0" fontId="44" fillId="5" borderId="21" xfId="0" applyNumberFormat="1" applyFont="1" applyFill="1" applyBorder="1" applyAlignment="1"/>
    <xf numFmtId="0" fontId="43" fillId="5" borderId="20" xfId="0" applyNumberFormat="1" applyFont="1" applyFill="1" applyBorder="1" applyAlignment="1">
      <alignment horizontal="right"/>
    </xf>
    <xf numFmtId="3" fontId="2" fillId="5" borderId="0" xfId="0" applyNumberFormat="1" applyFont="1" applyFill="1" applyBorder="1" applyAlignment="1" applyProtection="1">
      <alignment horizontal="right"/>
      <protection locked="0"/>
    </xf>
    <xf numFmtId="3" fontId="43" fillId="5" borderId="0" xfId="0" applyNumberFormat="1" applyFont="1" applyFill="1" applyBorder="1" applyAlignment="1" applyProtection="1">
      <alignment horizontal="right"/>
      <protection locked="0"/>
    </xf>
    <xf numFmtId="0" fontId="52" fillId="5" borderId="21" xfId="0" applyNumberFormat="1" applyFont="1" applyFill="1" applyBorder="1" applyAlignment="1"/>
    <xf numFmtId="4" fontId="2" fillId="5" borderId="0" xfId="0" applyNumberFormat="1" applyFont="1" applyFill="1" applyBorder="1" applyAlignment="1" applyProtection="1">
      <alignment horizontal="right"/>
      <protection locked="0"/>
    </xf>
    <xf numFmtId="0" fontId="8" fillId="5" borderId="0" xfId="0" applyNumberFormat="1" applyFont="1" applyFill="1" applyBorder="1" applyAlignment="1"/>
    <xf numFmtId="3" fontId="43" fillId="5" borderId="21" xfId="0" applyNumberFormat="1" applyFont="1" applyFill="1" applyBorder="1" applyAlignment="1" applyProtection="1">
      <alignment horizontal="center"/>
      <protection locked="0"/>
    </xf>
    <xf numFmtId="0" fontId="2" fillId="5" borderId="21" xfId="0" applyNumberFormat="1" applyFont="1" applyFill="1" applyBorder="1" applyAlignment="1"/>
    <xf numFmtId="0" fontId="43" fillId="5" borderId="0" xfId="0" applyNumberFormat="1" applyFont="1" applyFill="1" applyBorder="1" applyAlignment="1">
      <alignment horizontal="center"/>
    </xf>
    <xf numFmtId="4" fontId="43" fillId="5" borderId="0" xfId="0" applyNumberFormat="1" applyFont="1" applyFill="1" applyBorder="1" applyAlignment="1" applyProtection="1">
      <alignment horizontal="center"/>
      <protection locked="0"/>
    </xf>
    <xf numFmtId="0" fontId="43" fillId="5" borderId="0" xfId="0" applyNumberFormat="1" applyFont="1" applyFill="1" applyBorder="1" applyAlignment="1" applyProtection="1">
      <protection locked="0"/>
    </xf>
    <xf numFmtId="0" fontId="14" fillId="5" borderId="20" xfId="0" applyNumberFormat="1" applyFont="1" applyFill="1" applyBorder="1" applyAlignment="1"/>
    <xf numFmtId="15" fontId="42" fillId="5" borderId="21" xfId="0" applyNumberFormat="1" applyFont="1" applyFill="1" applyBorder="1" applyAlignment="1">
      <alignment horizontal="centerContinuous"/>
    </xf>
    <xf numFmtId="0" fontId="17" fillId="5" borderId="0" xfId="0" applyNumberFormat="1" applyFont="1" applyFill="1" applyBorder="1" applyAlignment="1"/>
    <xf numFmtId="0" fontId="10" fillId="5" borderId="0" xfId="0" applyNumberFormat="1" applyFont="1" applyFill="1" applyBorder="1" applyAlignment="1">
      <alignment horizontal="center"/>
    </xf>
    <xf numFmtId="3" fontId="10" fillId="5" borderId="0" xfId="0" applyNumberFormat="1" applyFont="1" applyFill="1" applyBorder="1" applyAlignment="1">
      <alignment horizontal="center"/>
    </xf>
    <xf numFmtId="0" fontId="11" fillId="5" borderId="0" xfId="0" applyNumberFormat="1" applyFont="1" applyFill="1" applyBorder="1" applyAlignment="1"/>
    <xf numFmtId="0" fontId="16" fillId="5" borderId="12" xfId="0" applyNumberFormat="1" applyFont="1" applyFill="1" applyBorder="1" applyAlignment="1"/>
    <xf numFmtId="0" fontId="14" fillId="5" borderId="20" xfId="0" applyNumberFormat="1" applyFont="1" applyFill="1" applyBorder="1" applyAlignment="1">
      <alignment horizontal="right"/>
    </xf>
    <xf numFmtId="0" fontId="43" fillId="5" borderId="21" xfId="0" applyNumberFormat="1" applyFont="1" applyFill="1" applyBorder="1" applyAlignment="1" applyProtection="1">
      <protection locked="0"/>
    </xf>
    <xf numFmtId="3" fontId="42" fillId="5" borderId="22" xfId="0" applyNumberFormat="1" applyFont="1" applyFill="1" applyBorder="1" applyAlignment="1"/>
    <xf numFmtId="0" fontId="20" fillId="5" borderId="21" xfId="0" applyNumberFormat="1" applyFont="1" applyFill="1" applyBorder="1" applyAlignment="1"/>
    <xf numFmtId="3" fontId="14" fillId="5" borderId="21" xfId="0" applyNumberFormat="1" applyFont="1" applyFill="1" applyBorder="1" applyAlignment="1"/>
    <xf numFmtId="0" fontId="2" fillId="5" borderId="21" xfId="0" applyNumberFormat="1" applyFont="1" applyFill="1" applyBorder="1" applyAlignment="1" applyProtection="1">
      <protection locked="0"/>
    </xf>
    <xf numFmtId="3" fontId="16" fillId="5" borderId="22" xfId="0" applyNumberFormat="1" applyFont="1" applyFill="1" applyBorder="1" applyAlignment="1"/>
    <xf numFmtId="0" fontId="14" fillId="5" borderId="20" xfId="0" applyNumberFormat="1" applyFont="1" applyFill="1" applyBorder="1" applyAlignment="1">
      <alignment horizontal="center"/>
    </xf>
    <xf numFmtId="0" fontId="14" fillId="5" borderId="21" xfId="0" applyNumberFormat="1" applyFont="1" applyFill="1" applyBorder="1" applyAlignment="1"/>
    <xf numFmtId="0" fontId="16" fillId="5" borderId="22" xfId="0" applyNumberFormat="1" applyFont="1" applyFill="1" applyBorder="1" applyAlignment="1"/>
    <xf numFmtId="0" fontId="14" fillId="5" borderId="21" xfId="0" applyNumberFormat="1" applyFont="1" applyFill="1" applyBorder="1" applyAlignment="1">
      <alignment horizontal="right"/>
    </xf>
    <xf numFmtId="4" fontId="14" fillId="5" borderId="21" xfId="0" applyNumberFormat="1" applyFont="1" applyFill="1" applyBorder="1" applyAlignment="1">
      <alignment horizontal="right"/>
    </xf>
    <xf numFmtId="9" fontId="14" fillId="5" borderId="21" xfId="0" applyNumberFormat="1" applyFont="1" applyFill="1" applyBorder="1" applyAlignment="1">
      <alignment horizontal="right"/>
    </xf>
    <xf numFmtId="10" fontId="14" fillId="5" borderId="21" xfId="0" applyNumberFormat="1" applyFont="1" applyFill="1" applyBorder="1" applyAlignment="1" applyProtection="1">
      <alignment horizontal="center"/>
      <protection locked="0"/>
    </xf>
    <xf numFmtId="0" fontId="2" fillId="5" borderId="22" xfId="0" applyNumberFormat="1" applyFont="1" applyFill="1" applyBorder="1" applyAlignment="1" applyProtection="1">
      <protection locked="0"/>
    </xf>
    <xf numFmtId="0" fontId="14" fillId="5" borderId="21" xfId="0" applyNumberFormat="1" applyFont="1" applyFill="1" applyBorder="1" applyAlignment="1" applyProtection="1">
      <alignment horizontal="center"/>
      <protection locked="0"/>
    </xf>
    <xf numFmtId="3" fontId="14" fillId="5" borderId="21" xfId="0" applyNumberFormat="1" applyFont="1" applyFill="1" applyBorder="1" applyAlignment="1" applyProtection="1">
      <alignment horizontal="center"/>
      <protection locked="0"/>
    </xf>
    <xf numFmtId="0" fontId="28" fillId="5" borderId="21" xfId="0" applyNumberFormat="1" applyFont="1" applyFill="1" applyBorder="1" applyAlignment="1"/>
    <xf numFmtId="0" fontId="29" fillId="5" borderId="21" xfId="1" applyNumberFormat="1" applyFont="1" applyFill="1" applyBorder="1" applyAlignment="1" applyProtection="1"/>
    <xf numFmtId="3" fontId="14" fillId="5" borderId="0" xfId="0" applyNumberFormat="1" applyFont="1" applyFill="1" applyBorder="1" applyAlignment="1"/>
    <xf numFmtId="3" fontId="14" fillId="5" borderId="0" xfId="0" applyNumberFormat="1" applyFont="1" applyFill="1" applyBorder="1" applyAlignment="1">
      <alignment horizontal="center"/>
    </xf>
    <xf numFmtId="3" fontId="33" fillId="5" borderId="0" xfId="0" applyNumberFormat="1" applyFont="1" applyFill="1" applyBorder="1" applyAlignment="1">
      <alignment horizontal="center"/>
    </xf>
    <xf numFmtId="9" fontId="33" fillId="5" borderId="0" xfId="0" applyNumberFormat="1" applyFont="1" applyFill="1" applyBorder="1" applyAlignment="1">
      <alignment horizontal="center"/>
    </xf>
    <xf numFmtId="0" fontId="34" fillId="5" borderId="0" xfId="0" applyNumberFormat="1" applyFont="1" applyFill="1" applyBorder="1" applyAlignment="1">
      <alignment horizontal="center"/>
    </xf>
    <xf numFmtId="3" fontId="43" fillId="5" borderId="21" xfId="0" applyNumberFormat="1" applyFont="1" applyFill="1" applyBorder="1" applyAlignment="1">
      <alignment horizontal="center"/>
    </xf>
    <xf numFmtId="9" fontId="43" fillId="5" borderId="21" xfId="0" applyNumberFormat="1" applyFont="1" applyFill="1" applyBorder="1" applyAlignment="1">
      <alignment horizontal="center"/>
    </xf>
    <xf numFmtId="3" fontId="42" fillId="5" borderId="0" xfId="0" applyNumberFormat="1" applyFont="1" applyFill="1" applyBorder="1" applyAlignment="1">
      <alignment horizontal="center"/>
    </xf>
    <xf numFmtId="0" fontId="52" fillId="5" borderId="22" xfId="0" applyNumberFormat="1" applyFont="1" applyFill="1" applyBorder="1" applyAlignment="1"/>
    <xf numFmtId="3" fontId="42" fillId="5" borderId="21" xfId="0" applyNumberFormat="1" applyFont="1" applyFill="1" applyBorder="1" applyAlignment="1">
      <alignment horizontal="center"/>
    </xf>
    <xf numFmtId="0" fontId="42" fillId="5" borderId="0" xfId="0" applyNumberFormat="1" applyFont="1" applyFill="1" applyBorder="1" applyAlignment="1"/>
    <xf numFmtId="0" fontId="46" fillId="5" borderId="0" xfId="0" applyNumberFormat="1" applyFont="1" applyFill="1" applyBorder="1" applyAlignment="1">
      <alignment horizontal="center"/>
    </xf>
    <xf numFmtId="3" fontId="48" fillId="5" borderId="0" xfId="0" applyNumberFormat="1" applyFont="1" applyFill="1" applyBorder="1" applyAlignment="1"/>
    <xf numFmtId="169" fontId="43" fillId="5" borderId="21" xfId="0" applyNumberFormat="1" applyFont="1" applyFill="1" applyBorder="1" applyAlignment="1"/>
    <xf numFmtId="0" fontId="38" fillId="4" borderId="2" xfId="0" applyNumberFormat="1" applyFont="1" applyFill="1" applyBorder="1" applyAlignment="1"/>
    <xf numFmtId="0" fontId="38" fillId="7" borderId="0" xfId="0" applyNumberFormat="1" applyFont="1" applyFill="1" applyAlignment="1"/>
    <xf numFmtId="4" fontId="43" fillId="5" borderId="21" xfId="0" applyNumberFormat="1" applyFont="1" applyFill="1" applyBorder="1" applyAlignment="1" applyProtection="1">
      <alignment horizontal="right"/>
      <protection locked="0"/>
    </xf>
    <xf numFmtId="4" fontId="43" fillId="5" borderId="21" xfId="0" applyNumberFormat="1" applyFont="1" applyFill="1" applyBorder="1" applyAlignment="1" applyProtection="1">
      <alignment horizontal="center"/>
      <protection locked="0"/>
    </xf>
    <xf numFmtId="0" fontId="43" fillId="5" borderId="21" xfId="0" applyNumberFormat="1" applyFont="1" applyFill="1" applyBorder="1" applyAlignment="1" applyProtection="1">
      <alignment horizontal="center"/>
      <protection locked="0"/>
    </xf>
    <xf numFmtId="3" fontId="33" fillId="5" borderId="21" xfId="0" applyNumberFormat="1" applyFont="1" applyFill="1" applyBorder="1" applyAlignment="1" applyProtection="1">
      <alignment horizontal="center"/>
      <protection locked="0"/>
    </xf>
    <xf numFmtId="0" fontId="33" fillId="5" borderId="21" xfId="0" applyNumberFormat="1" applyFont="1" applyFill="1" applyBorder="1" applyAlignment="1">
      <alignment horizontal="center"/>
    </xf>
    <xf numFmtId="166" fontId="42" fillId="5" borderId="21" xfId="0" applyNumberFormat="1" applyFont="1" applyFill="1" applyBorder="1" applyAlignment="1">
      <alignment horizontal="center"/>
    </xf>
    <xf numFmtId="166" fontId="42" fillId="5" borderId="21" xfId="0" applyNumberFormat="1" applyFont="1" applyFill="1" applyBorder="1" applyAlignment="1"/>
    <xf numFmtId="172" fontId="20" fillId="5" borderId="21" xfId="0" applyNumberFormat="1" applyFont="1" applyFill="1" applyBorder="1" applyAlignment="1">
      <alignment horizontal="center"/>
    </xf>
    <xf numFmtId="164" fontId="20" fillId="5" borderId="21" xfId="0" applyNumberFormat="1" applyFont="1" applyFill="1" applyBorder="1" applyAlignment="1">
      <alignment horizontal="center"/>
    </xf>
    <xf numFmtId="168" fontId="43" fillId="5" borderId="21" xfId="0" applyNumberFormat="1" applyFont="1" applyFill="1" applyBorder="1" applyAlignment="1">
      <alignment horizontal="center"/>
    </xf>
    <xf numFmtId="168" fontId="43" fillId="5" borderId="21" xfId="0" applyNumberFormat="1" applyFont="1" applyFill="1" applyBorder="1" applyAlignment="1"/>
    <xf numFmtId="0" fontId="37" fillId="4" borderId="0" xfId="0" applyNumberFormat="1" applyFont="1" applyFill="1" applyAlignment="1"/>
    <xf numFmtId="0" fontId="20" fillId="5" borderId="0" xfId="0" applyNumberFormat="1" applyFont="1" applyFill="1" applyAlignment="1">
      <alignment horizontal="left" vertical="top" wrapText="1"/>
    </xf>
    <xf numFmtId="0" fontId="20" fillId="5" borderId="0" xfId="0" applyNumberFormat="1" applyFont="1" applyFill="1" applyAlignment="1">
      <alignment horizontal="center" vertical="top" wrapText="1"/>
    </xf>
    <xf numFmtId="4" fontId="20" fillId="5" borderId="0" xfId="0" applyNumberFormat="1" applyFont="1" applyFill="1" applyAlignment="1" applyProtection="1">
      <alignment horizontal="center" vertical="top" wrapText="1"/>
      <protection locked="0"/>
    </xf>
    <xf numFmtId="0" fontId="20" fillId="5" borderId="12" xfId="0" applyNumberFormat="1" applyFont="1" applyFill="1" applyBorder="1" applyAlignment="1"/>
    <xf numFmtId="0" fontId="37" fillId="4" borderId="12" xfId="0" applyNumberFormat="1" applyFont="1" applyFill="1" applyBorder="1" applyAlignment="1"/>
    <xf numFmtId="0" fontId="37" fillId="7" borderId="0" xfId="0" applyNumberFormat="1" applyFont="1" applyFill="1" applyAlignment="1"/>
    <xf numFmtId="15" fontId="37" fillId="4" borderId="0" xfId="0" applyNumberFormat="1" applyFont="1" applyFill="1" applyAlignment="1">
      <alignment horizontal="centerContinuous"/>
    </xf>
    <xf numFmtId="15" fontId="37" fillId="4" borderId="0" xfId="0" applyNumberFormat="1" applyFont="1" applyFill="1" applyAlignment="1">
      <alignment horizontal="center"/>
    </xf>
    <xf numFmtId="0" fontId="37" fillId="4" borderId="2" xfId="0" applyNumberFormat="1" applyFont="1" applyFill="1" applyBorder="1" applyAlignment="1"/>
    <xf numFmtId="0" fontId="37" fillId="4" borderId="2" xfId="0" applyNumberFormat="1" applyFont="1" applyFill="1" applyBorder="1" applyAlignment="1">
      <alignment horizontal="center"/>
    </xf>
    <xf numFmtId="3" fontId="37" fillId="4" borderId="2" xfId="0" applyNumberFormat="1" applyFont="1" applyFill="1" applyBorder="1" applyAlignment="1">
      <alignment horizontal="center"/>
    </xf>
    <xf numFmtId="3" fontId="32" fillId="5" borderId="21" xfId="0" applyNumberFormat="1" applyFont="1" applyFill="1" applyBorder="1" applyAlignment="1" applyProtection="1">
      <alignment horizontal="center"/>
      <protection locked="0"/>
    </xf>
    <xf numFmtId="0" fontId="32" fillId="5" borderId="21" xfId="0" applyNumberFormat="1" applyFont="1" applyFill="1" applyBorder="1" applyAlignment="1">
      <alignment horizontal="center"/>
    </xf>
    <xf numFmtId="0" fontId="37" fillId="4" borderId="5" xfId="0" applyNumberFormat="1" applyFont="1" applyFill="1" applyBorder="1" applyAlignment="1"/>
    <xf numFmtId="0" fontId="37" fillId="4" borderId="5" xfId="0" applyNumberFormat="1" applyFont="1" applyFill="1" applyBorder="1" applyAlignment="1">
      <alignment horizontal="center"/>
    </xf>
    <xf numFmtId="3" fontId="37" fillId="4" borderId="5" xfId="0" applyNumberFormat="1" applyFont="1" applyFill="1" applyBorder="1" applyAlignment="1">
      <alignment horizontal="center"/>
    </xf>
    <xf numFmtId="0" fontId="37" fillId="4" borderId="13" xfId="0" applyNumberFormat="1" applyFont="1" applyFill="1" applyBorder="1" applyAlignment="1"/>
    <xf numFmtId="3" fontId="37" fillId="4" borderId="15" xfId="0" applyNumberFormat="1" applyFont="1" applyFill="1" applyBorder="1" applyAlignment="1">
      <alignment horizontal="center"/>
    </xf>
    <xf numFmtId="0" fontId="37" fillId="4" borderId="15" xfId="0" applyNumberFormat="1" applyFont="1" applyFill="1" applyBorder="1" applyAlignment="1">
      <alignment horizontal="center"/>
    </xf>
    <xf numFmtId="0" fontId="37" fillId="4" borderId="16" xfId="0" applyNumberFormat="1" applyFont="1" applyFill="1" applyBorder="1" applyAlignment="1"/>
    <xf numFmtId="3" fontId="32" fillId="5" borderId="0" xfId="0" applyNumberFormat="1" applyFont="1" applyFill="1" applyBorder="1" applyAlignment="1">
      <alignment horizontal="center"/>
    </xf>
    <xf numFmtId="9" fontId="32" fillId="5" borderId="0" xfId="0" applyNumberFormat="1" applyFont="1" applyFill="1" applyBorder="1" applyAlignment="1">
      <alignment horizontal="center"/>
    </xf>
    <xf numFmtId="3" fontId="37" fillId="4" borderId="18" xfId="0" applyNumberFormat="1" applyFont="1" applyFill="1" applyBorder="1" applyAlignment="1">
      <alignment horizontal="center"/>
    </xf>
    <xf numFmtId="0" fontId="37" fillId="4" borderId="18" xfId="0" applyNumberFormat="1" applyFont="1" applyFill="1" applyBorder="1" applyAlignment="1">
      <alignment horizontal="center"/>
    </xf>
    <xf numFmtId="0" fontId="37" fillId="4" borderId="19" xfId="0" applyNumberFormat="1" applyFont="1" applyFill="1" applyBorder="1" applyAlignment="1"/>
    <xf numFmtId="3" fontId="54" fillId="5" borderId="21" xfId="0" applyNumberFormat="1" applyFont="1" applyFill="1" applyBorder="1" applyAlignment="1" applyProtection="1">
      <alignment horizontal="center"/>
      <protection locked="0"/>
    </xf>
    <xf numFmtId="0" fontId="54" fillId="5" borderId="21" xfId="0" applyNumberFormat="1" applyFont="1" applyFill="1" applyBorder="1" applyAlignment="1">
      <alignment horizontal="center"/>
    </xf>
    <xf numFmtId="0" fontId="55" fillId="5" borderId="21" xfId="0" applyNumberFormat="1" applyFont="1" applyFill="1" applyBorder="1" applyAlignment="1"/>
    <xf numFmtId="3" fontId="55" fillId="5" borderId="21" xfId="0" applyNumberFormat="1" applyFont="1" applyFill="1" applyBorder="1" applyAlignment="1" applyProtection="1">
      <alignment horizontal="right"/>
      <protection locked="0"/>
    </xf>
    <xf numFmtId="3" fontId="55" fillId="5" borderId="21" xfId="0" applyNumberFormat="1" applyFont="1" applyFill="1" applyBorder="1" applyAlignment="1"/>
    <xf numFmtId="0" fontId="55" fillId="5" borderId="21" xfId="0" applyNumberFormat="1" applyFont="1" applyFill="1" applyBorder="1" applyAlignment="1" applyProtection="1">
      <alignment horizontal="center"/>
      <protection locked="0"/>
    </xf>
    <xf numFmtId="3" fontId="55" fillId="5" borderId="21" xfId="0" applyNumberFormat="1" applyFont="1" applyFill="1" applyBorder="1" applyAlignment="1" applyProtection="1">
      <alignment horizontal="center"/>
      <protection locked="0"/>
    </xf>
    <xf numFmtId="4" fontId="55" fillId="5" borderId="21" xfId="0" applyNumberFormat="1" applyFont="1" applyFill="1" applyBorder="1" applyAlignment="1" applyProtection="1">
      <alignment horizontal="center"/>
      <protection locked="0"/>
    </xf>
    <xf numFmtId="0" fontId="56" fillId="5" borderId="21" xfId="0" applyNumberFormat="1" applyFont="1" applyFill="1" applyBorder="1" applyAlignment="1"/>
    <xf numFmtId="3" fontId="56" fillId="5" borderId="21" xfId="0" applyNumberFormat="1" applyFont="1" applyFill="1" applyBorder="1" applyAlignment="1" applyProtection="1">
      <alignment horizontal="right"/>
      <protection locked="0"/>
    </xf>
    <xf numFmtId="3" fontId="56" fillId="5" borderId="21" xfId="0" applyNumberFormat="1" applyFont="1" applyFill="1" applyBorder="1" applyAlignment="1"/>
    <xf numFmtId="3" fontId="56" fillId="5" borderId="21" xfId="0" applyNumberFormat="1" applyFont="1" applyFill="1" applyBorder="1" applyAlignment="1" applyProtection="1">
      <alignment horizontal="center"/>
      <protection locked="0"/>
    </xf>
    <xf numFmtId="4" fontId="56" fillId="5" borderId="21" xfId="0" applyNumberFormat="1" applyFont="1" applyFill="1" applyBorder="1" applyAlignment="1" applyProtection="1">
      <alignment horizontal="center"/>
      <protection locked="0"/>
    </xf>
    <xf numFmtId="0" fontId="56" fillId="5" borderId="21" xfId="0" applyNumberFormat="1" applyFont="1" applyFill="1" applyBorder="1" applyAlignment="1" applyProtection="1">
      <alignment horizontal="center"/>
      <protection locked="0"/>
    </xf>
    <xf numFmtId="10" fontId="57" fillId="5" borderId="21" xfId="0" applyNumberFormat="1" applyFont="1" applyFill="1" applyBorder="1" applyAlignment="1">
      <alignment horizontal="center"/>
    </xf>
    <xf numFmtId="3" fontId="57" fillId="5" borderId="0" xfId="0" applyNumberFormat="1" applyFont="1" applyFill="1" applyBorder="1" applyAlignment="1">
      <alignment horizontal="center"/>
    </xf>
    <xf numFmtId="3" fontId="57" fillId="5" borderId="21" xfId="0" applyNumberFormat="1" applyFont="1" applyFill="1" applyBorder="1" applyAlignment="1">
      <alignment horizontal="center"/>
    </xf>
    <xf numFmtId="10" fontId="56" fillId="5" borderId="21" xfId="0" applyNumberFormat="1" applyFont="1" applyFill="1" applyBorder="1" applyAlignment="1">
      <alignment horizontal="center"/>
    </xf>
    <xf numFmtId="4" fontId="56" fillId="5" borderId="21" xfId="0" applyNumberFormat="1" applyFont="1" applyFill="1" applyBorder="1" applyAlignment="1">
      <alignment horizontal="center"/>
    </xf>
    <xf numFmtId="0" fontId="57" fillId="5" borderId="21" xfId="0" applyNumberFormat="1" applyFont="1" applyFill="1" applyBorder="1" applyAlignment="1" applyProtection="1">
      <alignment horizontal="center"/>
      <protection locked="0"/>
    </xf>
    <xf numFmtId="3" fontId="57" fillId="5" borderId="21" xfId="0" applyNumberFormat="1" applyFont="1" applyFill="1" applyBorder="1" applyAlignment="1" applyProtection="1">
      <alignment horizontal="center"/>
      <protection locked="0"/>
    </xf>
    <xf numFmtId="4" fontId="57" fillId="5" borderId="21" xfId="0" applyNumberFormat="1" applyFont="1" applyFill="1" applyBorder="1" applyAlignment="1" applyProtection="1">
      <alignment horizontal="center"/>
      <protection locked="0"/>
    </xf>
  </cellXfs>
  <cellStyles count="2">
    <cellStyle name="Hyperlink" xfId="1"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F4F4F4"/>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99"/>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4" Type="http://schemas.openxmlformats.org/officeDocument/2006/relationships/image" Target="file:///C:\WINDOWS\TEMP\~0003946.gif"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file:///C:\WINDOWS\TEMP\~0003946.gif" TargetMode="External"/><Relationship Id="rId2" Type="http://schemas.openxmlformats.org/officeDocument/2006/relationships/image" Target="file:///C:\WINDOWS\TEMP\Symbol.gif" TargetMode="External"/><Relationship Id="rId1" Type="http://schemas.openxmlformats.org/officeDocument/2006/relationships/image" Target="../media/image1.png"/><Relationship Id="rId4"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Symbol.gif" TargetMode="External"/><Relationship Id="rId1" Type="http://schemas.openxmlformats.org/officeDocument/2006/relationships/image" Target="../media/image1.png"/><Relationship Id="rId4" Type="http://schemas.openxmlformats.org/officeDocument/2006/relationships/image" Target="file:///C:\WINDOWS\TEMP\~0003946.gif" TargetMode="External"/></Relationships>
</file>

<file path=xl/drawings/_rels/drawing30.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0.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4.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5.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6.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file:///C:\WINDOWS\TEMP\Symbol.gif" TargetMode="External"/><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drawing1.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45629" name="Picture 1"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108</xdr:row>
      <xdr:rowOff>104775</xdr:rowOff>
    </xdr:from>
    <xdr:to>
      <xdr:col>1</xdr:col>
      <xdr:colOff>0</xdr:colOff>
      <xdr:row>109</xdr:row>
      <xdr:rowOff>142875</xdr:rowOff>
    </xdr:to>
    <xdr:pic>
      <xdr:nvPicPr>
        <xdr:cNvPr id="45630" name="Picture 2"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2222182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158</xdr:row>
      <xdr:rowOff>123825</xdr:rowOff>
    </xdr:from>
    <xdr:to>
      <xdr:col>1</xdr:col>
      <xdr:colOff>0</xdr:colOff>
      <xdr:row>159</xdr:row>
      <xdr:rowOff>161925</xdr:rowOff>
    </xdr:to>
    <xdr:pic>
      <xdr:nvPicPr>
        <xdr:cNvPr id="45631" name="Picture 3"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322516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231</xdr:row>
      <xdr:rowOff>76200</xdr:rowOff>
    </xdr:from>
    <xdr:to>
      <xdr:col>1</xdr:col>
      <xdr:colOff>0</xdr:colOff>
      <xdr:row>232</xdr:row>
      <xdr:rowOff>114300</xdr:rowOff>
    </xdr:to>
    <xdr:pic>
      <xdr:nvPicPr>
        <xdr:cNvPr id="45632" name="Picture 4"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468534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231</xdr:row>
      <xdr:rowOff>47625</xdr:rowOff>
    </xdr:from>
    <xdr:to>
      <xdr:col>21</xdr:col>
      <xdr:colOff>866775</xdr:colOff>
      <xdr:row>232</xdr:row>
      <xdr:rowOff>76200</xdr:rowOff>
    </xdr:to>
    <xdr:pic>
      <xdr:nvPicPr>
        <xdr:cNvPr id="45633" name="Picture 5" descr="C:\WINDOWS\TEMP\~0003946.gif"/>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26041350" y="468249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123825</xdr:colOff>
      <xdr:row>158</xdr:row>
      <xdr:rowOff>66675</xdr:rowOff>
    </xdr:from>
    <xdr:to>
      <xdr:col>21</xdr:col>
      <xdr:colOff>923925</xdr:colOff>
      <xdr:row>159</xdr:row>
      <xdr:rowOff>95250</xdr:rowOff>
    </xdr:to>
    <xdr:pic>
      <xdr:nvPicPr>
        <xdr:cNvPr id="45634" name="Picture 6" descr="C:\WINDOWS\TEMP\~0003946.gif"/>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26098500" y="321945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108</xdr:row>
      <xdr:rowOff>66675</xdr:rowOff>
    </xdr:from>
    <xdr:to>
      <xdr:col>21</xdr:col>
      <xdr:colOff>904875</xdr:colOff>
      <xdr:row>109</xdr:row>
      <xdr:rowOff>95250</xdr:rowOff>
    </xdr:to>
    <xdr:pic>
      <xdr:nvPicPr>
        <xdr:cNvPr id="45635" name="Picture 7" descr="C:\WINDOWS\TEMP\~0003946.gif"/>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26079450" y="221837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133350</xdr:colOff>
      <xdr:row>57</xdr:row>
      <xdr:rowOff>85725</xdr:rowOff>
    </xdr:from>
    <xdr:to>
      <xdr:col>21</xdr:col>
      <xdr:colOff>933450</xdr:colOff>
      <xdr:row>58</xdr:row>
      <xdr:rowOff>114300</xdr:rowOff>
    </xdr:to>
    <xdr:pic>
      <xdr:nvPicPr>
        <xdr:cNvPr id="45636" name="Picture 8" descr="C:\WINDOWS\TEMP\~0003946.gif"/>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26108025" y="115919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54841" name="Picture 1"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108</xdr:row>
      <xdr:rowOff>104775</xdr:rowOff>
    </xdr:from>
    <xdr:to>
      <xdr:col>1</xdr:col>
      <xdr:colOff>0</xdr:colOff>
      <xdr:row>109</xdr:row>
      <xdr:rowOff>142875</xdr:rowOff>
    </xdr:to>
    <xdr:pic>
      <xdr:nvPicPr>
        <xdr:cNvPr id="54842" name="Picture 2"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2222182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159</xdr:row>
      <xdr:rowOff>123825</xdr:rowOff>
    </xdr:from>
    <xdr:to>
      <xdr:col>1</xdr:col>
      <xdr:colOff>0</xdr:colOff>
      <xdr:row>160</xdr:row>
      <xdr:rowOff>161925</xdr:rowOff>
    </xdr:to>
    <xdr:pic>
      <xdr:nvPicPr>
        <xdr:cNvPr id="54843" name="Picture 3"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324516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232</xdr:row>
      <xdr:rowOff>76200</xdr:rowOff>
    </xdr:from>
    <xdr:to>
      <xdr:col>1</xdr:col>
      <xdr:colOff>0</xdr:colOff>
      <xdr:row>233</xdr:row>
      <xdr:rowOff>114300</xdr:rowOff>
    </xdr:to>
    <xdr:pic>
      <xdr:nvPicPr>
        <xdr:cNvPr id="54844" name="Picture 4"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470535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232</xdr:row>
      <xdr:rowOff>47625</xdr:rowOff>
    </xdr:from>
    <xdr:to>
      <xdr:col>21</xdr:col>
      <xdr:colOff>866775</xdr:colOff>
      <xdr:row>233</xdr:row>
      <xdr:rowOff>76200</xdr:rowOff>
    </xdr:to>
    <xdr:pic>
      <xdr:nvPicPr>
        <xdr:cNvPr id="54845" name="Picture 5"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41350" y="47024925"/>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123825</xdr:colOff>
      <xdr:row>159</xdr:row>
      <xdr:rowOff>66675</xdr:rowOff>
    </xdr:from>
    <xdr:to>
      <xdr:col>21</xdr:col>
      <xdr:colOff>923925</xdr:colOff>
      <xdr:row>160</xdr:row>
      <xdr:rowOff>95250</xdr:rowOff>
    </xdr:to>
    <xdr:pic>
      <xdr:nvPicPr>
        <xdr:cNvPr id="54846" name="Picture 6"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98500" y="3239452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108</xdr:row>
      <xdr:rowOff>66675</xdr:rowOff>
    </xdr:from>
    <xdr:to>
      <xdr:col>21</xdr:col>
      <xdr:colOff>904875</xdr:colOff>
      <xdr:row>109</xdr:row>
      <xdr:rowOff>95250</xdr:rowOff>
    </xdr:to>
    <xdr:pic>
      <xdr:nvPicPr>
        <xdr:cNvPr id="54847" name="Picture 7"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79450" y="22183725"/>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54848" name="Picture 8"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55865" name="Picture 1"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108</xdr:row>
      <xdr:rowOff>104775</xdr:rowOff>
    </xdr:from>
    <xdr:to>
      <xdr:col>1</xdr:col>
      <xdr:colOff>0</xdr:colOff>
      <xdr:row>109</xdr:row>
      <xdr:rowOff>142875</xdr:rowOff>
    </xdr:to>
    <xdr:pic>
      <xdr:nvPicPr>
        <xdr:cNvPr id="55866" name="Picture 2"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2222182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159</xdr:row>
      <xdr:rowOff>123825</xdr:rowOff>
    </xdr:from>
    <xdr:to>
      <xdr:col>1</xdr:col>
      <xdr:colOff>0</xdr:colOff>
      <xdr:row>160</xdr:row>
      <xdr:rowOff>161925</xdr:rowOff>
    </xdr:to>
    <xdr:pic>
      <xdr:nvPicPr>
        <xdr:cNvPr id="55867" name="Picture 3"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324516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232</xdr:row>
      <xdr:rowOff>76200</xdr:rowOff>
    </xdr:from>
    <xdr:to>
      <xdr:col>1</xdr:col>
      <xdr:colOff>0</xdr:colOff>
      <xdr:row>233</xdr:row>
      <xdr:rowOff>114300</xdr:rowOff>
    </xdr:to>
    <xdr:pic>
      <xdr:nvPicPr>
        <xdr:cNvPr id="55868" name="Picture 4"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470535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232</xdr:row>
      <xdr:rowOff>47625</xdr:rowOff>
    </xdr:from>
    <xdr:to>
      <xdr:col>21</xdr:col>
      <xdr:colOff>866775</xdr:colOff>
      <xdr:row>233</xdr:row>
      <xdr:rowOff>76200</xdr:rowOff>
    </xdr:to>
    <xdr:pic>
      <xdr:nvPicPr>
        <xdr:cNvPr id="55869" name="Picture 5"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41350" y="47024925"/>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159</xdr:row>
      <xdr:rowOff>57150</xdr:rowOff>
    </xdr:from>
    <xdr:to>
      <xdr:col>21</xdr:col>
      <xdr:colOff>504825</xdr:colOff>
      <xdr:row>160</xdr:row>
      <xdr:rowOff>85725</xdr:rowOff>
    </xdr:to>
    <xdr:pic>
      <xdr:nvPicPr>
        <xdr:cNvPr id="55870" name="Picture 6"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74675" y="32385000"/>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108</xdr:row>
      <xdr:rowOff>66675</xdr:rowOff>
    </xdr:from>
    <xdr:to>
      <xdr:col>21</xdr:col>
      <xdr:colOff>904875</xdr:colOff>
      <xdr:row>109</xdr:row>
      <xdr:rowOff>95250</xdr:rowOff>
    </xdr:to>
    <xdr:pic>
      <xdr:nvPicPr>
        <xdr:cNvPr id="55871" name="Picture 7"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79450" y="22183725"/>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55872" name="Picture 8"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56889" name="Picture 1"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108</xdr:row>
      <xdr:rowOff>104775</xdr:rowOff>
    </xdr:from>
    <xdr:to>
      <xdr:col>1</xdr:col>
      <xdr:colOff>0</xdr:colOff>
      <xdr:row>109</xdr:row>
      <xdr:rowOff>142875</xdr:rowOff>
    </xdr:to>
    <xdr:pic>
      <xdr:nvPicPr>
        <xdr:cNvPr id="56890" name="Picture 2"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2222182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159</xdr:row>
      <xdr:rowOff>123825</xdr:rowOff>
    </xdr:from>
    <xdr:to>
      <xdr:col>1</xdr:col>
      <xdr:colOff>0</xdr:colOff>
      <xdr:row>160</xdr:row>
      <xdr:rowOff>161925</xdr:rowOff>
    </xdr:to>
    <xdr:pic>
      <xdr:nvPicPr>
        <xdr:cNvPr id="56891" name="Picture 3"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324516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232</xdr:row>
      <xdr:rowOff>76200</xdr:rowOff>
    </xdr:from>
    <xdr:to>
      <xdr:col>1</xdr:col>
      <xdr:colOff>0</xdr:colOff>
      <xdr:row>233</xdr:row>
      <xdr:rowOff>114300</xdr:rowOff>
    </xdr:to>
    <xdr:pic>
      <xdr:nvPicPr>
        <xdr:cNvPr id="56892" name="Picture 4"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470535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232</xdr:row>
      <xdr:rowOff>47625</xdr:rowOff>
    </xdr:from>
    <xdr:to>
      <xdr:col>21</xdr:col>
      <xdr:colOff>866775</xdr:colOff>
      <xdr:row>233</xdr:row>
      <xdr:rowOff>76200</xdr:rowOff>
    </xdr:to>
    <xdr:pic>
      <xdr:nvPicPr>
        <xdr:cNvPr id="56893" name="Picture 5"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41350" y="47024925"/>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159</xdr:row>
      <xdr:rowOff>57150</xdr:rowOff>
    </xdr:from>
    <xdr:to>
      <xdr:col>21</xdr:col>
      <xdr:colOff>504825</xdr:colOff>
      <xdr:row>160</xdr:row>
      <xdr:rowOff>85725</xdr:rowOff>
    </xdr:to>
    <xdr:pic>
      <xdr:nvPicPr>
        <xdr:cNvPr id="56894" name="Picture 6"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74675" y="32385000"/>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108</xdr:row>
      <xdr:rowOff>66675</xdr:rowOff>
    </xdr:from>
    <xdr:to>
      <xdr:col>21</xdr:col>
      <xdr:colOff>904875</xdr:colOff>
      <xdr:row>109</xdr:row>
      <xdr:rowOff>95250</xdr:rowOff>
    </xdr:to>
    <xdr:pic>
      <xdr:nvPicPr>
        <xdr:cNvPr id="56895" name="Picture 7"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79450" y="22183725"/>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56896" name="Picture 8"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57913" name="Picture 1"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108</xdr:row>
      <xdr:rowOff>104775</xdr:rowOff>
    </xdr:from>
    <xdr:to>
      <xdr:col>1</xdr:col>
      <xdr:colOff>0</xdr:colOff>
      <xdr:row>109</xdr:row>
      <xdr:rowOff>142875</xdr:rowOff>
    </xdr:to>
    <xdr:pic>
      <xdr:nvPicPr>
        <xdr:cNvPr id="57914" name="Picture 2"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2222182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159</xdr:row>
      <xdr:rowOff>123825</xdr:rowOff>
    </xdr:from>
    <xdr:to>
      <xdr:col>1</xdr:col>
      <xdr:colOff>0</xdr:colOff>
      <xdr:row>160</xdr:row>
      <xdr:rowOff>161925</xdr:rowOff>
    </xdr:to>
    <xdr:pic>
      <xdr:nvPicPr>
        <xdr:cNvPr id="57915" name="Picture 3"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324516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232</xdr:row>
      <xdr:rowOff>76200</xdr:rowOff>
    </xdr:from>
    <xdr:to>
      <xdr:col>1</xdr:col>
      <xdr:colOff>0</xdr:colOff>
      <xdr:row>233</xdr:row>
      <xdr:rowOff>114300</xdr:rowOff>
    </xdr:to>
    <xdr:pic>
      <xdr:nvPicPr>
        <xdr:cNvPr id="57916" name="Picture 4"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470535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232</xdr:row>
      <xdr:rowOff>47625</xdr:rowOff>
    </xdr:from>
    <xdr:to>
      <xdr:col>21</xdr:col>
      <xdr:colOff>866775</xdr:colOff>
      <xdr:row>233</xdr:row>
      <xdr:rowOff>76200</xdr:rowOff>
    </xdr:to>
    <xdr:pic>
      <xdr:nvPicPr>
        <xdr:cNvPr id="57917" name="Picture 5"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41350" y="47024925"/>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159</xdr:row>
      <xdr:rowOff>57150</xdr:rowOff>
    </xdr:from>
    <xdr:to>
      <xdr:col>21</xdr:col>
      <xdr:colOff>504825</xdr:colOff>
      <xdr:row>160</xdr:row>
      <xdr:rowOff>85725</xdr:rowOff>
    </xdr:to>
    <xdr:pic>
      <xdr:nvPicPr>
        <xdr:cNvPr id="57918" name="Picture 6"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74675" y="32385000"/>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108</xdr:row>
      <xdr:rowOff>66675</xdr:rowOff>
    </xdr:from>
    <xdr:to>
      <xdr:col>21</xdr:col>
      <xdr:colOff>904875</xdr:colOff>
      <xdr:row>109</xdr:row>
      <xdr:rowOff>95250</xdr:rowOff>
    </xdr:to>
    <xdr:pic>
      <xdr:nvPicPr>
        <xdr:cNvPr id="57919" name="Picture 7"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79450" y="22183725"/>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57920" name="Picture 8"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58943" name="Picture 1"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108</xdr:row>
      <xdr:rowOff>104775</xdr:rowOff>
    </xdr:from>
    <xdr:to>
      <xdr:col>1</xdr:col>
      <xdr:colOff>0</xdr:colOff>
      <xdr:row>109</xdr:row>
      <xdr:rowOff>142875</xdr:rowOff>
    </xdr:to>
    <xdr:pic>
      <xdr:nvPicPr>
        <xdr:cNvPr id="58944" name="Picture 2"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2222182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159</xdr:row>
      <xdr:rowOff>123825</xdr:rowOff>
    </xdr:from>
    <xdr:to>
      <xdr:col>1</xdr:col>
      <xdr:colOff>0</xdr:colOff>
      <xdr:row>160</xdr:row>
      <xdr:rowOff>161925</xdr:rowOff>
    </xdr:to>
    <xdr:pic>
      <xdr:nvPicPr>
        <xdr:cNvPr id="58945" name="Picture 3"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324516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232</xdr:row>
      <xdr:rowOff>76200</xdr:rowOff>
    </xdr:from>
    <xdr:to>
      <xdr:col>1</xdr:col>
      <xdr:colOff>0</xdr:colOff>
      <xdr:row>233</xdr:row>
      <xdr:rowOff>114300</xdr:rowOff>
    </xdr:to>
    <xdr:pic>
      <xdr:nvPicPr>
        <xdr:cNvPr id="58946" name="Picture 4"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470535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232</xdr:row>
      <xdr:rowOff>47625</xdr:rowOff>
    </xdr:from>
    <xdr:to>
      <xdr:col>21</xdr:col>
      <xdr:colOff>866775</xdr:colOff>
      <xdr:row>233</xdr:row>
      <xdr:rowOff>76200</xdr:rowOff>
    </xdr:to>
    <xdr:pic>
      <xdr:nvPicPr>
        <xdr:cNvPr id="58947" name="Picture 5"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41350" y="47024925"/>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159</xdr:row>
      <xdr:rowOff>57150</xdr:rowOff>
    </xdr:from>
    <xdr:to>
      <xdr:col>21</xdr:col>
      <xdr:colOff>504825</xdr:colOff>
      <xdr:row>160</xdr:row>
      <xdr:rowOff>85725</xdr:rowOff>
    </xdr:to>
    <xdr:pic>
      <xdr:nvPicPr>
        <xdr:cNvPr id="58948" name="Picture 6"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74675" y="32385000"/>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108</xdr:row>
      <xdr:rowOff>66675</xdr:rowOff>
    </xdr:from>
    <xdr:to>
      <xdr:col>21</xdr:col>
      <xdr:colOff>904875</xdr:colOff>
      <xdr:row>109</xdr:row>
      <xdr:rowOff>95250</xdr:rowOff>
    </xdr:to>
    <xdr:pic>
      <xdr:nvPicPr>
        <xdr:cNvPr id="58949" name="Picture 7"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79450" y="22183725"/>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58950" name="Picture 8"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59961" name="Picture 1"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109</xdr:row>
      <xdr:rowOff>104775</xdr:rowOff>
    </xdr:from>
    <xdr:to>
      <xdr:col>1</xdr:col>
      <xdr:colOff>0</xdr:colOff>
      <xdr:row>110</xdr:row>
      <xdr:rowOff>142875</xdr:rowOff>
    </xdr:to>
    <xdr:pic>
      <xdr:nvPicPr>
        <xdr:cNvPr id="59962" name="Picture 2"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224218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160</xdr:row>
      <xdr:rowOff>123825</xdr:rowOff>
    </xdr:from>
    <xdr:to>
      <xdr:col>1</xdr:col>
      <xdr:colOff>0</xdr:colOff>
      <xdr:row>161</xdr:row>
      <xdr:rowOff>161925</xdr:rowOff>
    </xdr:to>
    <xdr:pic>
      <xdr:nvPicPr>
        <xdr:cNvPr id="59963" name="Picture 3"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326517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233</xdr:row>
      <xdr:rowOff>76200</xdr:rowOff>
    </xdr:from>
    <xdr:to>
      <xdr:col>1</xdr:col>
      <xdr:colOff>0</xdr:colOff>
      <xdr:row>234</xdr:row>
      <xdr:rowOff>114300</xdr:rowOff>
    </xdr:to>
    <xdr:pic>
      <xdr:nvPicPr>
        <xdr:cNvPr id="59964" name="Picture 4"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4725352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233</xdr:row>
      <xdr:rowOff>47625</xdr:rowOff>
    </xdr:from>
    <xdr:to>
      <xdr:col>21</xdr:col>
      <xdr:colOff>866775</xdr:colOff>
      <xdr:row>234</xdr:row>
      <xdr:rowOff>76200</xdr:rowOff>
    </xdr:to>
    <xdr:pic>
      <xdr:nvPicPr>
        <xdr:cNvPr id="59965" name="Picture 5"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41350" y="47224950"/>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160</xdr:row>
      <xdr:rowOff>57150</xdr:rowOff>
    </xdr:from>
    <xdr:to>
      <xdr:col>21</xdr:col>
      <xdr:colOff>504825</xdr:colOff>
      <xdr:row>161</xdr:row>
      <xdr:rowOff>85725</xdr:rowOff>
    </xdr:to>
    <xdr:pic>
      <xdr:nvPicPr>
        <xdr:cNvPr id="59966" name="Picture 6"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74675" y="3258502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109</xdr:row>
      <xdr:rowOff>66675</xdr:rowOff>
    </xdr:from>
    <xdr:to>
      <xdr:col>21</xdr:col>
      <xdr:colOff>904875</xdr:colOff>
      <xdr:row>110</xdr:row>
      <xdr:rowOff>95250</xdr:rowOff>
    </xdr:to>
    <xdr:pic>
      <xdr:nvPicPr>
        <xdr:cNvPr id="59967" name="Picture 7"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79450" y="22383750"/>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59968" name="Picture 8"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60985" name="Picture 1"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108</xdr:row>
      <xdr:rowOff>104775</xdr:rowOff>
    </xdr:from>
    <xdr:to>
      <xdr:col>1</xdr:col>
      <xdr:colOff>0</xdr:colOff>
      <xdr:row>109</xdr:row>
      <xdr:rowOff>142875</xdr:rowOff>
    </xdr:to>
    <xdr:pic>
      <xdr:nvPicPr>
        <xdr:cNvPr id="60986" name="Picture 2"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2222182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159</xdr:row>
      <xdr:rowOff>123825</xdr:rowOff>
    </xdr:from>
    <xdr:to>
      <xdr:col>1</xdr:col>
      <xdr:colOff>0</xdr:colOff>
      <xdr:row>160</xdr:row>
      <xdr:rowOff>161925</xdr:rowOff>
    </xdr:to>
    <xdr:pic>
      <xdr:nvPicPr>
        <xdr:cNvPr id="60987" name="Picture 3"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324516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232</xdr:row>
      <xdr:rowOff>76200</xdr:rowOff>
    </xdr:from>
    <xdr:to>
      <xdr:col>1</xdr:col>
      <xdr:colOff>0</xdr:colOff>
      <xdr:row>233</xdr:row>
      <xdr:rowOff>114300</xdr:rowOff>
    </xdr:to>
    <xdr:pic>
      <xdr:nvPicPr>
        <xdr:cNvPr id="60988" name="Picture 4"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470535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232</xdr:row>
      <xdr:rowOff>47625</xdr:rowOff>
    </xdr:from>
    <xdr:to>
      <xdr:col>21</xdr:col>
      <xdr:colOff>866775</xdr:colOff>
      <xdr:row>233</xdr:row>
      <xdr:rowOff>76200</xdr:rowOff>
    </xdr:to>
    <xdr:pic>
      <xdr:nvPicPr>
        <xdr:cNvPr id="60989" name="Picture 5"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41350" y="47024925"/>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159</xdr:row>
      <xdr:rowOff>57150</xdr:rowOff>
    </xdr:from>
    <xdr:to>
      <xdr:col>21</xdr:col>
      <xdr:colOff>504825</xdr:colOff>
      <xdr:row>160</xdr:row>
      <xdr:rowOff>85725</xdr:rowOff>
    </xdr:to>
    <xdr:pic>
      <xdr:nvPicPr>
        <xdr:cNvPr id="60990" name="Picture 6"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74675" y="32385000"/>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108</xdr:row>
      <xdr:rowOff>66675</xdr:rowOff>
    </xdr:from>
    <xdr:to>
      <xdr:col>21</xdr:col>
      <xdr:colOff>904875</xdr:colOff>
      <xdr:row>109</xdr:row>
      <xdr:rowOff>95250</xdr:rowOff>
    </xdr:to>
    <xdr:pic>
      <xdr:nvPicPr>
        <xdr:cNvPr id="60991" name="Picture 7"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79450" y="22183725"/>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60992" name="Picture 8"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62009" name="Picture 1"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108</xdr:row>
      <xdr:rowOff>104775</xdr:rowOff>
    </xdr:from>
    <xdr:to>
      <xdr:col>1</xdr:col>
      <xdr:colOff>0</xdr:colOff>
      <xdr:row>109</xdr:row>
      <xdr:rowOff>142875</xdr:rowOff>
    </xdr:to>
    <xdr:pic>
      <xdr:nvPicPr>
        <xdr:cNvPr id="62010" name="Picture 2"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2222182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159</xdr:row>
      <xdr:rowOff>123825</xdr:rowOff>
    </xdr:from>
    <xdr:to>
      <xdr:col>1</xdr:col>
      <xdr:colOff>0</xdr:colOff>
      <xdr:row>160</xdr:row>
      <xdr:rowOff>161925</xdr:rowOff>
    </xdr:to>
    <xdr:pic>
      <xdr:nvPicPr>
        <xdr:cNvPr id="62011" name="Picture 3"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324516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232</xdr:row>
      <xdr:rowOff>76200</xdr:rowOff>
    </xdr:from>
    <xdr:to>
      <xdr:col>1</xdr:col>
      <xdr:colOff>0</xdr:colOff>
      <xdr:row>233</xdr:row>
      <xdr:rowOff>114300</xdr:rowOff>
    </xdr:to>
    <xdr:pic>
      <xdr:nvPicPr>
        <xdr:cNvPr id="62012" name="Picture 4"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470535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232</xdr:row>
      <xdr:rowOff>47625</xdr:rowOff>
    </xdr:from>
    <xdr:to>
      <xdr:col>21</xdr:col>
      <xdr:colOff>866775</xdr:colOff>
      <xdr:row>233</xdr:row>
      <xdr:rowOff>76200</xdr:rowOff>
    </xdr:to>
    <xdr:pic>
      <xdr:nvPicPr>
        <xdr:cNvPr id="62013" name="Picture 5"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41350" y="47024925"/>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159</xdr:row>
      <xdr:rowOff>57150</xdr:rowOff>
    </xdr:from>
    <xdr:to>
      <xdr:col>21</xdr:col>
      <xdr:colOff>504825</xdr:colOff>
      <xdr:row>160</xdr:row>
      <xdr:rowOff>85725</xdr:rowOff>
    </xdr:to>
    <xdr:pic>
      <xdr:nvPicPr>
        <xdr:cNvPr id="62014" name="Picture 6"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74675" y="32385000"/>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108</xdr:row>
      <xdr:rowOff>66675</xdr:rowOff>
    </xdr:from>
    <xdr:to>
      <xdr:col>21</xdr:col>
      <xdr:colOff>904875</xdr:colOff>
      <xdr:row>109</xdr:row>
      <xdr:rowOff>95250</xdr:rowOff>
    </xdr:to>
    <xdr:pic>
      <xdr:nvPicPr>
        <xdr:cNvPr id="62015" name="Picture 7"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79450" y="22183725"/>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62016" name="Picture 8"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63033" name="Picture 1"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108</xdr:row>
      <xdr:rowOff>104775</xdr:rowOff>
    </xdr:from>
    <xdr:to>
      <xdr:col>1</xdr:col>
      <xdr:colOff>0</xdr:colOff>
      <xdr:row>109</xdr:row>
      <xdr:rowOff>142875</xdr:rowOff>
    </xdr:to>
    <xdr:pic>
      <xdr:nvPicPr>
        <xdr:cNvPr id="63034" name="Picture 2"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2222182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159</xdr:row>
      <xdr:rowOff>123825</xdr:rowOff>
    </xdr:from>
    <xdr:to>
      <xdr:col>1</xdr:col>
      <xdr:colOff>0</xdr:colOff>
      <xdr:row>160</xdr:row>
      <xdr:rowOff>161925</xdr:rowOff>
    </xdr:to>
    <xdr:pic>
      <xdr:nvPicPr>
        <xdr:cNvPr id="63035" name="Picture 3"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324516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232</xdr:row>
      <xdr:rowOff>76200</xdr:rowOff>
    </xdr:from>
    <xdr:to>
      <xdr:col>1</xdr:col>
      <xdr:colOff>0</xdr:colOff>
      <xdr:row>233</xdr:row>
      <xdr:rowOff>114300</xdr:rowOff>
    </xdr:to>
    <xdr:pic>
      <xdr:nvPicPr>
        <xdr:cNvPr id="63036" name="Picture 4"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470535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232</xdr:row>
      <xdr:rowOff>47625</xdr:rowOff>
    </xdr:from>
    <xdr:to>
      <xdr:col>21</xdr:col>
      <xdr:colOff>866775</xdr:colOff>
      <xdr:row>233</xdr:row>
      <xdr:rowOff>76200</xdr:rowOff>
    </xdr:to>
    <xdr:pic>
      <xdr:nvPicPr>
        <xdr:cNvPr id="63037" name="Picture 5"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41350" y="47024925"/>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159</xdr:row>
      <xdr:rowOff>57150</xdr:rowOff>
    </xdr:from>
    <xdr:to>
      <xdr:col>21</xdr:col>
      <xdr:colOff>504825</xdr:colOff>
      <xdr:row>160</xdr:row>
      <xdr:rowOff>85725</xdr:rowOff>
    </xdr:to>
    <xdr:pic>
      <xdr:nvPicPr>
        <xdr:cNvPr id="63038" name="Picture 6"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74675" y="32385000"/>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108</xdr:row>
      <xdr:rowOff>66675</xdr:rowOff>
    </xdr:from>
    <xdr:to>
      <xdr:col>21</xdr:col>
      <xdr:colOff>904875</xdr:colOff>
      <xdr:row>109</xdr:row>
      <xdr:rowOff>95250</xdr:rowOff>
    </xdr:to>
    <xdr:pic>
      <xdr:nvPicPr>
        <xdr:cNvPr id="63039" name="Picture 7"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79450" y="22183725"/>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63040" name="Picture 8"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64057" name="Picture 1"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108</xdr:row>
      <xdr:rowOff>104775</xdr:rowOff>
    </xdr:from>
    <xdr:to>
      <xdr:col>1</xdr:col>
      <xdr:colOff>0</xdr:colOff>
      <xdr:row>109</xdr:row>
      <xdr:rowOff>142875</xdr:rowOff>
    </xdr:to>
    <xdr:pic>
      <xdr:nvPicPr>
        <xdr:cNvPr id="64058" name="Picture 2"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2222182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159</xdr:row>
      <xdr:rowOff>123825</xdr:rowOff>
    </xdr:from>
    <xdr:to>
      <xdr:col>1</xdr:col>
      <xdr:colOff>0</xdr:colOff>
      <xdr:row>160</xdr:row>
      <xdr:rowOff>161925</xdr:rowOff>
    </xdr:to>
    <xdr:pic>
      <xdr:nvPicPr>
        <xdr:cNvPr id="64059" name="Picture 3"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324516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232</xdr:row>
      <xdr:rowOff>76200</xdr:rowOff>
    </xdr:from>
    <xdr:to>
      <xdr:col>1</xdr:col>
      <xdr:colOff>0</xdr:colOff>
      <xdr:row>233</xdr:row>
      <xdr:rowOff>114300</xdr:rowOff>
    </xdr:to>
    <xdr:pic>
      <xdr:nvPicPr>
        <xdr:cNvPr id="64060" name="Picture 4"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470535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232</xdr:row>
      <xdr:rowOff>47625</xdr:rowOff>
    </xdr:from>
    <xdr:to>
      <xdr:col>21</xdr:col>
      <xdr:colOff>866775</xdr:colOff>
      <xdr:row>233</xdr:row>
      <xdr:rowOff>76200</xdr:rowOff>
    </xdr:to>
    <xdr:pic>
      <xdr:nvPicPr>
        <xdr:cNvPr id="64061" name="Picture 5"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41350" y="47024925"/>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159</xdr:row>
      <xdr:rowOff>57150</xdr:rowOff>
    </xdr:from>
    <xdr:to>
      <xdr:col>21</xdr:col>
      <xdr:colOff>504825</xdr:colOff>
      <xdr:row>160</xdr:row>
      <xdr:rowOff>85725</xdr:rowOff>
    </xdr:to>
    <xdr:pic>
      <xdr:nvPicPr>
        <xdr:cNvPr id="64062" name="Picture 6"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74675" y="32385000"/>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108</xdr:row>
      <xdr:rowOff>66675</xdr:rowOff>
    </xdr:from>
    <xdr:to>
      <xdr:col>21</xdr:col>
      <xdr:colOff>904875</xdr:colOff>
      <xdr:row>109</xdr:row>
      <xdr:rowOff>95250</xdr:rowOff>
    </xdr:to>
    <xdr:pic>
      <xdr:nvPicPr>
        <xdr:cNvPr id="64063" name="Picture 7"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79450" y="22183725"/>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64064" name="Picture 8"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46649" name="Picture 1"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108</xdr:row>
      <xdr:rowOff>104775</xdr:rowOff>
    </xdr:from>
    <xdr:to>
      <xdr:col>1</xdr:col>
      <xdr:colOff>0</xdr:colOff>
      <xdr:row>109</xdr:row>
      <xdr:rowOff>142875</xdr:rowOff>
    </xdr:to>
    <xdr:pic>
      <xdr:nvPicPr>
        <xdr:cNvPr id="46650" name="Picture 2"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2222182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158</xdr:row>
      <xdr:rowOff>123825</xdr:rowOff>
    </xdr:from>
    <xdr:to>
      <xdr:col>1</xdr:col>
      <xdr:colOff>0</xdr:colOff>
      <xdr:row>159</xdr:row>
      <xdr:rowOff>161925</xdr:rowOff>
    </xdr:to>
    <xdr:pic>
      <xdr:nvPicPr>
        <xdr:cNvPr id="46651" name="Picture 3" descr="C:\WINDOWS\TEMP\Symbol.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0" y="322516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231</xdr:row>
      <xdr:rowOff>76200</xdr:rowOff>
    </xdr:from>
    <xdr:to>
      <xdr:col>1</xdr:col>
      <xdr:colOff>0</xdr:colOff>
      <xdr:row>232</xdr:row>
      <xdr:rowOff>114300</xdr:rowOff>
    </xdr:to>
    <xdr:pic>
      <xdr:nvPicPr>
        <xdr:cNvPr id="46652" name="Picture 4"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468534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231</xdr:row>
      <xdr:rowOff>47625</xdr:rowOff>
    </xdr:from>
    <xdr:to>
      <xdr:col>21</xdr:col>
      <xdr:colOff>866775</xdr:colOff>
      <xdr:row>232</xdr:row>
      <xdr:rowOff>76200</xdr:rowOff>
    </xdr:to>
    <xdr:pic>
      <xdr:nvPicPr>
        <xdr:cNvPr id="46653" name="Picture 5" descr="C:\WINDOWS\TEMP\~0003946.gif"/>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6041350" y="468249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123825</xdr:colOff>
      <xdr:row>158</xdr:row>
      <xdr:rowOff>66675</xdr:rowOff>
    </xdr:from>
    <xdr:to>
      <xdr:col>21</xdr:col>
      <xdr:colOff>923925</xdr:colOff>
      <xdr:row>159</xdr:row>
      <xdr:rowOff>95250</xdr:rowOff>
    </xdr:to>
    <xdr:pic>
      <xdr:nvPicPr>
        <xdr:cNvPr id="46654" name="Picture 6" descr="C:\WINDOWS\TEMP\~0003946.gif"/>
        <xdr:cNvPicPr>
          <a:picLocks noChangeAspect="1" noChangeArrowheads="1"/>
        </xdr:cNvPicPr>
      </xdr:nvPicPr>
      <xdr:blipFill>
        <a:blip xmlns:r="http://schemas.openxmlformats.org/officeDocument/2006/relationships" r:embed="rId4" r:link="rId3" cstate="print">
          <a:extLst>
            <a:ext uri="{28A0092B-C50C-407E-A947-70E740481C1C}">
              <a14:useLocalDpi xmlns:a14="http://schemas.microsoft.com/office/drawing/2010/main" val="0"/>
            </a:ext>
          </a:extLst>
        </a:blip>
        <a:srcRect/>
        <a:stretch>
          <a:fillRect/>
        </a:stretch>
      </xdr:blipFill>
      <xdr:spPr bwMode="auto">
        <a:xfrm>
          <a:off x="26098500" y="321945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108</xdr:row>
      <xdr:rowOff>66675</xdr:rowOff>
    </xdr:from>
    <xdr:to>
      <xdr:col>21</xdr:col>
      <xdr:colOff>904875</xdr:colOff>
      <xdr:row>109</xdr:row>
      <xdr:rowOff>95250</xdr:rowOff>
    </xdr:to>
    <xdr:pic>
      <xdr:nvPicPr>
        <xdr:cNvPr id="46655" name="Picture 7" descr="C:\WINDOWS\TEMP\~0003946.gif"/>
        <xdr:cNvPicPr>
          <a:picLocks noChangeAspect="1" noChangeArrowheads="1"/>
        </xdr:cNvPicPr>
      </xdr:nvPicPr>
      <xdr:blipFill>
        <a:blip xmlns:r="http://schemas.openxmlformats.org/officeDocument/2006/relationships" r:embed="rId4" r:link="rId3" cstate="print">
          <a:extLst>
            <a:ext uri="{28A0092B-C50C-407E-A947-70E740481C1C}">
              <a14:useLocalDpi xmlns:a14="http://schemas.microsoft.com/office/drawing/2010/main" val="0"/>
            </a:ext>
          </a:extLst>
        </a:blip>
        <a:srcRect/>
        <a:stretch>
          <a:fillRect/>
        </a:stretch>
      </xdr:blipFill>
      <xdr:spPr bwMode="auto">
        <a:xfrm>
          <a:off x="26079450" y="221837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133350</xdr:colOff>
      <xdr:row>57</xdr:row>
      <xdr:rowOff>85725</xdr:rowOff>
    </xdr:from>
    <xdr:to>
      <xdr:col>21</xdr:col>
      <xdr:colOff>933450</xdr:colOff>
      <xdr:row>58</xdr:row>
      <xdr:rowOff>114300</xdr:rowOff>
    </xdr:to>
    <xdr:pic>
      <xdr:nvPicPr>
        <xdr:cNvPr id="46656" name="Picture 8" descr="C:\WINDOWS\TEMP\~0003946.gif"/>
        <xdr:cNvPicPr>
          <a:picLocks noChangeAspect="1" noChangeArrowheads="1"/>
        </xdr:cNvPicPr>
      </xdr:nvPicPr>
      <xdr:blipFill>
        <a:blip xmlns:r="http://schemas.openxmlformats.org/officeDocument/2006/relationships" r:embed="rId4" r:link="rId3" cstate="print">
          <a:extLst>
            <a:ext uri="{28A0092B-C50C-407E-A947-70E740481C1C}">
              <a14:useLocalDpi xmlns:a14="http://schemas.microsoft.com/office/drawing/2010/main" val="0"/>
            </a:ext>
          </a:extLst>
        </a:blip>
        <a:srcRect/>
        <a:stretch>
          <a:fillRect/>
        </a:stretch>
      </xdr:blipFill>
      <xdr:spPr bwMode="auto">
        <a:xfrm>
          <a:off x="26108025" y="115919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65081" name="Picture 1"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107</xdr:row>
      <xdr:rowOff>104775</xdr:rowOff>
    </xdr:from>
    <xdr:to>
      <xdr:col>1</xdr:col>
      <xdr:colOff>0</xdr:colOff>
      <xdr:row>108</xdr:row>
      <xdr:rowOff>142875</xdr:rowOff>
    </xdr:to>
    <xdr:pic>
      <xdr:nvPicPr>
        <xdr:cNvPr id="65082" name="Picture 2"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220218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158</xdr:row>
      <xdr:rowOff>123825</xdr:rowOff>
    </xdr:from>
    <xdr:to>
      <xdr:col>1</xdr:col>
      <xdr:colOff>0</xdr:colOff>
      <xdr:row>159</xdr:row>
      <xdr:rowOff>161925</xdr:rowOff>
    </xdr:to>
    <xdr:pic>
      <xdr:nvPicPr>
        <xdr:cNvPr id="65083" name="Picture 3"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322516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231</xdr:row>
      <xdr:rowOff>76200</xdr:rowOff>
    </xdr:from>
    <xdr:to>
      <xdr:col>1</xdr:col>
      <xdr:colOff>0</xdr:colOff>
      <xdr:row>232</xdr:row>
      <xdr:rowOff>114300</xdr:rowOff>
    </xdr:to>
    <xdr:pic>
      <xdr:nvPicPr>
        <xdr:cNvPr id="65084" name="Picture 4"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468534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231</xdr:row>
      <xdr:rowOff>47625</xdr:rowOff>
    </xdr:from>
    <xdr:to>
      <xdr:col>21</xdr:col>
      <xdr:colOff>866775</xdr:colOff>
      <xdr:row>232</xdr:row>
      <xdr:rowOff>76200</xdr:rowOff>
    </xdr:to>
    <xdr:pic>
      <xdr:nvPicPr>
        <xdr:cNvPr id="65085" name="Picture 5"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41350" y="46824900"/>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158</xdr:row>
      <xdr:rowOff>57150</xdr:rowOff>
    </xdr:from>
    <xdr:to>
      <xdr:col>21</xdr:col>
      <xdr:colOff>504825</xdr:colOff>
      <xdr:row>159</xdr:row>
      <xdr:rowOff>85725</xdr:rowOff>
    </xdr:to>
    <xdr:pic>
      <xdr:nvPicPr>
        <xdr:cNvPr id="65086" name="Picture 6"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74675" y="3218497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107</xdr:row>
      <xdr:rowOff>66675</xdr:rowOff>
    </xdr:from>
    <xdr:to>
      <xdr:col>21</xdr:col>
      <xdr:colOff>904875</xdr:colOff>
      <xdr:row>108</xdr:row>
      <xdr:rowOff>95250</xdr:rowOff>
    </xdr:to>
    <xdr:pic>
      <xdr:nvPicPr>
        <xdr:cNvPr id="65087" name="Picture 7"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79450" y="21983700"/>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65088" name="Picture 8"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66105" name="Picture 1"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107</xdr:row>
      <xdr:rowOff>104775</xdr:rowOff>
    </xdr:from>
    <xdr:to>
      <xdr:col>1</xdr:col>
      <xdr:colOff>0</xdr:colOff>
      <xdr:row>108</xdr:row>
      <xdr:rowOff>142875</xdr:rowOff>
    </xdr:to>
    <xdr:pic>
      <xdr:nvPicPr>
        <xdr:cNvPr id="66106" name="Picture 2"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220218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158</xdr:row>
      <xdr:rowOff>123825</xdr:rowOff>
    </xdr:from>
    <xdr:to>
      <xdr:col>1</xdr:col>
      <xdr:colOff>0</xdr:colOff>
      <xdr:row>159</xdr:row>
      <xdr:rowOff>161925</xdr:rowOff>
    </xdr:to>
    <xdr:pic>
      <xdr:nvPicPr>
        <xdr:cNvPr id="66107" name="Picture 3"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322516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231</xdr:row>
      <xdr:rowOff>76200</xdr:rowOff>
    </xdr:from>
    <xdr:to>
      <xdr:col>1</xdr:col>
      <xdr:colOff>0</xdr:colOff>
      <xdr:row>232</xdr:row>
      <xdr:rowOff>114300</xdr:rowOff>
    </xdr:to>
    <xdr:pic>
      <xdr:nvPicPr>
        <xdr:cNvPr id="66108" name="Picture 4"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468534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231</xdr:row>
      <xdr:rowOff>47625</xdr:rowOff>
    </xdr:from>
    <xdr:to>
      <xdr:col>21</xdr:col>
      <xdr:colOff>866775</xdr:colOff>
      <xdr:row>232</xdr:row>
      <xdr:rowOff>76200</xdr:rowOff>
    </xdr:to>
    <xdr:pic>
      <xdr:nvPicPr>
        <xdr:cNvPr id="66109" name="Picture 5"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41350" y="46824900"/>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158</xdr:row>
      <xdr:rowOff>57150</xdr:rowOff>
    </xdr:from>
    <xdr:to>
      <xdr:col>21</xdr:col>
      <xdr:colOff>504825</xdr:colOff>
      <xdr:row>159</xdr:row>
      <xdr:rowOff>85725</xdr:rowOff>
    </xdr:to>
    <xdr:pic>
      <xdr:nvPicPr>
        <xdr:cNvPr id="66110" name="Picture 6"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74675" y="3218497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107</xdr:row>
      <xdr:rowOff>66675</xdr:rowOff>
    </xdr:from>
    <xdr:to>
      <xdr:col>21</xdr:col>
      <xdr:colOff>904875</xdr:colOff>
      <xdr:row>108</xdr:row>
      <xdr:rowOff>95250</xdr:rowOff>
    </xdr:to>
    <xdr:pic>
      <xdr:nvPicPr>
        <xdr:cNvPr id="66111" name="Picture 7"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79450" y="21983700"/>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66112" name="Picture 8"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67129" name="Picture 1"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107</xdr:row>
      <xdr:rowOff>104775</xdr:rowOff>
    </xdr:from>
    <xdr:to>
      <xdr:col>1</xdr:col>
      <xdr:colOff>0</xdr:colOff>
      <xdr:row>108</xdr:row>
      <xdr:rowOff>142875</xdr:rowOff>
    </xdr:to>
    <xdr:pic>
      <xdr:nvPicPr>
        <xdr:cNvPr id="67130" name="Picture 2"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220218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158</xdr:row>
      <xdr:rowOff>123825</xdr:rowOff>
    </xdr:from>
    <xdr:to>
      <xdr:col>1</xdr:col>
      <xdr:colOff>0</xdr:colOff>
      <xdr:row>159</xdr:row>
      <xdr:rowOff>161925</xdr:rowOff>
    </xdr:to>
    <xdr:pic>
      <xdr:nvPicPr>
        <xdr:cNvPr id="67131" name="Picture 3"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322516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231</xdr:row>
      <xdr:rowOff>76200</xdr:rowOff>
    </xdr:from>
    <xdr:to>
      <xdr:col>1</xdr:col>
      <xdr:colOff>0</xdr:colOff>
      <xdr:row>232</xdr:row>
      <xdr:rowOff>114300</xdr:rowOff>
    </xdr:to>
    <xdr:pic>
      <xdr:nvPicPr>
        <xdr:cNvPr id="67132" name="Picture 4"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468534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231</xdr:row>
      <xdr:rowOff>47625</xdr:rowOff>
    </xdr:from>
    <xdr:to>
      <xdr:col>21</xdr:col>
      <xdr:colOff>866775</xdr:colOff>
      <xdr:row>232</xdr:row>
      <xdr:rowOff>76200</xdr:rowOff>
    </xdr:to>
    <xdr:pic>
      <xdr:nvPicPr>
        <xdr:cNvPr id="67133" name="Picture 5"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41350" y="46824900"/>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158</xdr:row>
      <xdr:rowOff>57150</xdr:rowOff>
    </xdr:from>
    <xdr:to>
      <xdr:col>21</xdr:col>
      <xdr:colOff>504825</xdr:colOff>
      <xdr:row>159</xdr:row>
      <xdr:rowOff>85725</xdr:rowOff>
    </xdr:to>
    <xdr:pic>
      <xdr:nvPicPr>
        <xdr:cNvPr id="67134" name="Picture 6"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74675" y="3218497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107</xdr:row>
      <xdr:rowOff>66675</xdr:rowOff>
    </xdr:from>
    <xdr:to>
      <xdr:col>21</xdr:col>
      <xdr:colOff>904875</xdr:colOff>
      <xdr:row>108</xdr:row>
      <xdr:rowOff>95250</xdr:rowOff>
    </xdr:to>
    <xdr:pic>
      <xdr:nvPicPr>
        <xdr:cNvPr id="67135" name="Picture 7"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79450" y="21983700"/>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67136" name="Picture 8"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68113" name="Picture 1"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107</xdr:row>
      <xdr:rowOff>104775</xdr:rowOff>
    </xdr:from>
    <xdr:to>
      <xdr:col>1</xdr:col>
      <xdr:colOff>0</xdr:colOff>
      <xdr:row>108</xdr:row>
      <xdr:rowOff>142875</xdr:rowOff>
    </xdr:to>
    <xdr:pic>
      <xdr:nvPicPr>
        <xdr:cNvPr id="68114" name="Picture 2"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220218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158</xdr:row>
      <xdr:rowOff>123825</xdr:rowOff>
    </xdr:from>
    <xdr:to>
      <xdr:col>1</xdr:col>
      <xdr:colOff>0</xdr:colOff>
      <xdr:row>159</xdr:row>
      <xdr:rowOff>161925</xdr:rowOff>
    </xdr:to>
    <xdr:pic>
      <xdr:nvPicPr>
        <xdr:cNvPr id="68115" name="Picture 3"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322516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231</xdr:row>
      <xdr:rowOff>76200</xdr:rowOff>
    </xdr:from>
    <xdr:to>
      <xdr:col>1</xdr:col>
      <xdr:colOff>0</xdr:colOff>
      <xdr:row>232</xdr:row>
      <xdr:rowOff>114300</xdr:rowOff>
    </xdr:to>
    <xdr:pic>
      <xdr:nvPicPr>
        <xdr:cNvPr id="68116" name="Picture 4"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468534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231</xdr:row>
      <xdr:rowOff>47625</xdr:rowOff>
    </xdr:from>
    <xdr:to>
      <xdr:col>21</xdr:col>
      <xdr:colOff>866775</xdr:colOff>
      <xdr:row>232</xdr:row>
      <xdr:rowOff>76200</xdr:rowOff>
    </xdr:to>
    <xdr:pic>
      <xdr:nvPicPr>
        <xdr:cNvPr id="68117" name="Picture 5"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41350" y="46824900"/>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158</xdr:row>
      <xdr:rowOff>57150</xdr:rowOff>
    </xdr:from>
    <xdr:to>
      <xdr:col>21</xdr:col>
      <xdr:colOff>504825</xdr:colOff>
      <xdr:row>159</xdr:row>
      <xdr:rowOff>85725</xdr:rowOff>
    </xdr:to>
    <xdr:pic>
      <xdr:nvPicPr>
        <xdr:cNvPr id="68118" name="Picture 6"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74675" y="3218497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107</xdr:row>
      <xdr:rowOff>66675</xdr:rowOff>
    </xdr:from>
    <xdr:to>
      <xdr:col>21</xdr:col>
      <xdr:colOff>904875</xdr:colOff>
      <xdr:row>108</xdr:row>
      <xdr:rowOff>95250</xdr:rowOff>
    </xdr:to>
    <xdr:pic>
      <xdr:nvPicPr>
        <xdr:cNvPr id="68119" name="Picture 7"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79450" y="21983700"/>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68120" name="Picture 8"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69073" name="Picture 1"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107</xdr:row>
      <xdr:rowOff>104775</xdr:rowOff>
    </xdr:from>
    <xdr:to>
      <xdr:col>1</xdr:col>
      <xdr:colOff>0</xdr:colOff>
      <xdr:row>108</xdr:row>
      <xdr:rowOff>142875</xdr:rowOff>
    </xdr:to>
    <xdr:pic>
      <xdr:nvPicPr>
        <xdr:cNvPr id="69074" name="Picture 2"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220218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158</xdr:row>
      <xdr:rowOff>123825</xdr:rowOff>
    </xdr:from>
    <xdr:to>
      <xdr:col>1</xdr:col>
      <xdr:colOff>0</xdr:colOff>
      <xdr:row>159</xdr:row>
      <xdr:rowOff>161925</xdr:rowOff>
    </xdr:to>
    <xdr:pic>
      <xdr:nvPicPr>
        <xdr:cNvPr id="69075" name="Picture 3"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322516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231</xdr:row>
      <xdr:rowOff>76200</xdr:rowOff>
    </xdr:from>
    <xdr:to>
      <xdr:col>1</xdr:col>
      <xdr:colOff>0</xdr:colOff>
      <xdr:row>232</xdr:row>
      <xdr:rowOff>114300</xdr:rowOff>
    </xdr:to>
    <xdr:pic>
      <xdr:nvPicPr>
        <xdr:cNvPr id="69076" name="Picture 4"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468534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231</xdr:row>
      <xdr:rowOff>47625</xdr:rowOff>
    </xdr:from>
    <xdr:to>
      <xdr:col>21</xdr:col>
      <xdr:colOff>866775</xdr:colOff>
      <xdr:row>232</xdr:row>
      <xdr:rowOff>76200</xdr:rowOff>
    </xdr:to>
    <xdr:pic>
      <xdr:nvPicPr>
        <xdr:cNvPr id="69077" name="Picture 5"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41350" y="46824900"/>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158</xdr:row>
      <xdr:rowOff>57150</xdr:rowOff>
    </xdr:from>
    <xdr:to>
      <xdr:col>21</xdr:col>
      <xdr:colOff>504825</xdr:colOff>
      <xdr:row>159</xdr:row>
      <xdr:rowOff>85725</xdr:rowOff>
    </xdr:to>
    <xdr:pic>
      <xdr:nvPicPr>
        <xdr:cNvPr id="69078" name="Picture 6"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74675" y="3218497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107</xdr:row>
      <xdr:rowOff>66675</xdr:rowOff>
    </xdr:from>
    <xdr:to>
      <xdr:col>21</xdr:col>
      <xdr:colOff>904875</xdr:colOff>
      <xdr:row>108</xdr:row>
      <xdr:rowOff>95250</xdr:rowOff>
    </xdr:to>
    <xdr:pic>
      <xdr:nvPicPr>
        <xdr:cNvPr id="69079" name="Picture 7"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79450" y="21983700"/>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69080" name="Picture 8"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71089" name="Picture 1"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107</xdr:row>
      <xdr:rowOff>104775</xdr:rowOff>
    </xdr:from>
    <xdr:to>
      <xdr:col>1</xdr:col>
      <xdr:colOff>0</xdr:colOff>
      <xdr:row>108</xdr:row>
      <xdr:rowOff>142875</xdr:rowOff>
    </xdr:to>
    <xdr:pic>
      <xdr:nvPicPr>
        <xdr:cNvPr id="71090" name="Picture 2"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220218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158</xdr:row>
      <xdr:rowOff>123825</xdr:rowOff>
    </xdr:from>
    <xdr:to>
      <xdr:col>1</xdr:col>
      <xdr:colOff>0</xdr:colOff>
      <xdr:row>159</xdr:row>
      <xdr:rowOff>161925</xdr:rowOff>
    </xdr:to>
    <xdr:pic>
      <xdr:nvPicPr>
        <xdr:cNvPr id="71091" name="Picture 3"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322516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231</xdr:row>
      <xdr:rowOff>76200</xdr:rowOff>
    </xdr:from>
    <xdr:to>
      <xdr:col>1</xdr:col>
      <xdr:colOff>0</xdr:colOff>
      <xdr:row>232</xdr:row>
      <xdr:rowOff>114300</xdr:rowOff>
    </xdr:to>
    <xdr:pic>
      <xdr:nvPicPr>
        <xdr:cNvPr id="71092" name="Picture 4"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468534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231</xdr:row>
      <xdr:rowOff>47625</xdr:rowOff>
    </xdr:from>
    <xdr:to>
      <xdr:col>21</xdr:col>
      <xdr:colOff>866775</xdr:colOff>
      <xdr:row>232</xdr:row>
      <xdr:rowOff>76200</xdr:rowOff>
    </xdr:to>
    <xdr:pic>
      <xdr:nvPicPr>
        <xdr:cNvPr id="71093" name="Picture 5"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41350" y="46824900"/>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158</xdr:row>
      <xdr:rowOff>57150</xdr:rowOff>
    </xdr:from>
    <xdr:to>
      <xdr:col>21</xdr:col>
      <xdr:colOff>504825</xdr:colOff>
      <xdr:row>159</xdr:row>
      <xdr:rowOff>85725</xdr:rowOff>
    </xdr:to>
    <xdr:pic>
      <xdr:nvPicPr>
        <xdr:cNvPr id="71094" name="Picture 6"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74675" y="3218497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107</xdr:row>
      <xdr:rowOff>66675</xdr:rowOff>
    </xdr:from>
    <xdr:to>
      <xdr:col>21</xdr:col>
      <xdr:colOff>904875</xdr:colOff>
      <xdr:row>108</xdr:row>
      <xdr:rowOff>95250</xdr:rowOff>
    </xdr:to>
    <xdr:pic>
      <xdr:nvPicPr>
        <xdr:cNvPr id="71095" name="Picture 7"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79450" y="21983700"/>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71096" name="Picture 8"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72041" name="Picture 1"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107</xdr:row>
      <xdr:rowOff>104775</xdr:rowOff>
    </xdr:from>
    <xdr:to>
      <xdr:col>1</xdr:col>
      <xdr:colOff>0</xdr:colOff>
      <xdr:row>108</xdr:row>
      <xdr:rowOff>142875</xdr:rowOff>
    </xdr:to>
    <xdr:pic>
      <xdr:nvPicPr>
        <xdr:cNvPr id="72042" name="Picture 2"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220218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158</xdr:row>
      <xdr:rowOff>123825</xdr:rowOff>
    </xdr:from>
    <xdr:to>
      <xdr:col>1</xdr:col>
      <xdr:colOff>0</xdr:colOff>
      <xdr:row>159</xdr:row>
      <xdr:rowOff>161925</xdr:rowOff>
    </xdr:to>
    <xdr:pic>
      <xdr:nvPicPr>
        <xdr:cNvPr id="72043" name="Picture 3"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322516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231</xdr:row>
      <xdr:rowOff>76200</xdr:rowOff>
    </xdr:from>
    <xdr:to>
      <xdr:col>1</xdr:col>
      <xdr:colOff>0</xdr:colOff>
      <xdr:row>232</xdr:row>
      <xdr:rowOff>114300</xdr:rowOff>
    </xdr:to>
    <xdr:pic>
      <xdr:nvPicPr>
        <xdr:cNvPr id="72044" name="Picture 4"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468534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231</xdr:row>
      <xdr:rowOff>47625</xdr:rowOff>
    </xdr:from>
    <xdr:to>
      <xdr:col>21</xdr:col>
      <xdr:colOff>866775</xdr:colOff>
      <xdr:row>232</xdr:row>
      <xdr:rowOff>76200</xdr:rowOff>
    </xdr:to>
    <xdr:pic>
      <xdr:nvPicPr>
        <xdr:cNvPr id="72045" name="Picture 5"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41350" y="46824900"/>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158</xdr:row>
      <xdr:rowOff>57150</xdr:rowOff>
    </xdr:from>
    <xdr:to>
      <xdr:col>21</xdr:col>
      <xdr:colOff>504825</xdr:colOff>
      <xdr:row>159</xdr:row>
      <xdr:rowOff>85725</xdr:rowOff>
    </xdr:to>
    <xdr:pic>
      <xdr:nvPicPr>
        <xdr:cNvPr id="72046" name="Picture 6"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74675" y="3218497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107</xdr:row>
      <xdr:rowOff>66675</xdr:rowOff>
    </xdr:from>
    <xdr:to>
      <xdr:col>21</xdr:col>
      <xdr:colOff>904875</xdr:colOff>
      <xdr:row>108</xdr:row>
      <xdr:rowOff>95250</xdr:rowOff>
    </xdr:to>
    <xdr:pic>
      <xdr:nvPicPr>
        <xdr:cNvPr id="72047" name="Picture 7"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79450" y="21983700"/>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72048" name="Picture 8"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73921" name="Picture 1"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107</xdr:row>
      <xdr:rowOff>104775</xdr:rowOff>
    </xdr:from>
    <xdr:to>
      <xdr:col>1</xdr:col>
      <xdr:colOff>0</xdr:colOff>
      <xdr:row>108</xdr:row>
      <xdr:rowOff>142875</xdr:rowOff>
    </xdr:to>
    <xdr:pic>
      <xdr:nvPicPr>
        <xdr:cNvPr id="73922" name="Picture 2"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220218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158</xdr:row>
      <xdr:rowOff>123825</xdr:rowOff>
    </xdr:from>
    <xdr:to>
      <xdr:col>1</xdr:col>
      <xdr:colOff>0</xdr:colOff>
      <xdr:row>159</xdr:row>
      <xdr:rowOff>161925</xdr:rowOff>
    </xdr:to>
    <xdr:pic>
      <xdr:nvPicPr>
        <xdr:cNvPr id="73923" name="Picture 3"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322516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231</xdr:row>
      <xdr:rowOff>76200</xdr:rowOff>
    </xdr:from>
    <xdr:to>
      <xdr:col>1</xdr:col>
      <xdr:colOff>0</xdr:colOff>
      <xdr:row>232</xdr:row>
      <xdr:rowOff>114300</xdr:rowOff>
    </xdr:to>
    <xdr:pic>
      <xdr:nvPicPr>
        <xdr:cNvPr id="73924" name="Picture 4"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468534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231</xdr:row>
      <xdr:rowOff>47625</xdr:rowOff>
    </xdr:from>
    <xdr:to>
      <xdr:col>21</xdr:col>
      <xdr:colOff>866775</xdr:colOff>
      <xdr:row>232</xdr:row>
      <xdr:rowOff>76200</xdr:rowOff>
    </xdr:to>
    <xdr:pic>
      <xdr:nvPicPr>
        <xdr:cNvPr id="73925" name="Picture 5"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41350" y="46824900"/>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158</xdr:row>
      <xdr:rowOff>57150</xdr:rowOff>
    </xdr:from>
    <xdr:to>
      <xdr:col>21</xdr:col>
      <xdr:colOff>504825</xdr:colOff>
      <xdr:row>159</xdr:row>
      <xdr:rowOff>85725</xdr:rowOff>
    </xdr:to>
    <xdr:pic>
      <xdr:nvPicPr>
        <xdr:cNvPr id="73926" name="Picture 6"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74675" y="3218497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107</xdr:row>
      <xdr:rowOff>66675</xdr:rowOff>
    </xdr:from>
    <xdr:to>
      <xdr:col>21</xdr:col>
      <xdr:colOff>904875</xdr:colOff>
      <xdr:row>108</xdr:row>
      <xdr:rowOff>95250</xdr:rowOff>
    </xdr:to>
    <xdr:pic>
      <xdr:nvPicPr>
        <xdr:cNvPr id="73927" name="Picture 7"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79450" y="21983700"/>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73928" name="Picture 8"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75865" name="Picture 1"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107</xdr:row>
      <xdr:rowOff>104775</xdr:rowOff>
    </xdr:from>
    <xdr:to>
      <xdr:col>1</xdr:col>
      <xdr:colOff>0</xdr:colOff>
      <xdr:row>108</xdr:row>
      <xdr:rowOff>142875</xdr:rowOff>
    </xdr:to>
    <xdr:pic>
      <xdr:nvPicPr>
        <xdr:cNvPr id="75866" name="Picture 2"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220218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158</xdr:row>
      <xdr:rowOff>123825</xdr:rowOff>
    </xdr:from>
    <xdr:to>
      <xdr:col>1</xdr:col>
      <xdr:colOff>0</xdr:colOff>
      <xdr:row>159</xdr:row>
      <xdr:rowOff>161925</xdr:rowOff>
    </xdr:to>
    <xdr:pic>
      <xdr:nvPicPr>
        <xdr:cNvPr id="75867" name="Picture 3"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322516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231</xdr:row>
      <xdr:rowOff>76200</xdr:rowOff>
    </xdr:from>
    <xdr:to>
      <xdr:col>1</xdr:col>
      <xdr:colOff>0</xdr:colOff>
      <xdr:row>232</xdr:row>
      <xdr:rowOff>114300</xdr:rowOff>
    </xdr:to>
    <xdr:pic>
      <xdr:nvPicPr>
        <xdr:cNvPr id="75868" name="Picture 4"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468534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231</xdr:row>
      <xdr:rowOff>47625</xdr:rowOff>
    </xdr:from>
    <xdr:to>
      <xdr:col>21</xdr:col>
      <xdr:colOff>866775</xdr:colOff>
      <xdr:row>232</xdr:row>
      <xdr:rowOff>76200</xdr:rowOff>
    </xdr:to>
    <xdr:pic>
      <xdr:nvPicPr>
        <xdr:cNvPr id="75869" name="Picture 5"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41350" y="46824900"/>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158</xdr:row>
      <xdr:rowOff>57150</xdr:rowOff>
    </xdr:from>
    <xdr:to>
      <xdr:col>21</xdr:col>
      <xdr:colOff>504825</xdr:colOff>
      <xdr:row>159</xdr:row>
      <xdr:rowOff>85725</xdr:rowOff>
    </xdr:to>
    <xdr:pic>
      <xdr:nvPicPr>
        <xdr:cNvPr id="75870" name="Picture 6"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74675" y="3218497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107</xdr:row>
      <xdr:rowOff>66675</xdr:rowOff>
    </xdr:from>
    <xdr:to>
      <xdr:col>21</xdr:col>
      <xdr:colOff>904875</xdr:colOff>
      <xdr:row>108</xdr:row>
      <xdr:rowOff>95250</xdr:rowOff>
    </xdr:to>
    <xdr:pic>
      <xdr:nvPicPr>
        <xdr:cNvPr id="75871" name="Picture 7"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79450" y="21983700"/>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75872" name="Picture 8"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42953" name="Picture 1"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107</xdr:row>
      <xdr:rowOff>104775</xdr:rowOff>
    </xdr:from>
    <xdr:to>
      <xdr:col>1</xdr:col>
      <xdr:colOff>0</xdr:colOff>
      <xdr:row>108</xdr:row>
      <xdr:rowOff>142875</xdr:rowOff>
    </xdr:to>
    <xdr:pic>
      <xdr:nvPicPr>
        <xdr:cNvPr id="42954" name="Picture 2"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220218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158</xdr:row>
      <xdr:rowOff>123825</xdr:rowOff>
    </xdr:from>
    <xdr:to>
      <xdr:col>1</xdr:col>
      <xdr:colOff>0</xdr:colOff>
      <xdr:row>159</xdr:row>
      <xdr:rowOff>161925</xdr:rowOff>
    </xdr:to>
    <xdr:pic>
      <xdr:nvPicPr>
        <xdr:cNvPr id="42955" name="Picture 3"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322516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231</xdr:row>
      <xdr:rowOff>76200</xdr:rowOff>
    </xdr:from>
    <xdr:to>
      <xdr:col>1</xdr:col>
      <xdr:colOff>0</xdr:colOff>
      <xdr:row>232</xdr:row>
      <xdr:rowOff>114300</xdr:rowOff>
    </xdr:to>
    <xdr:pic>
      <xdr:nvPicPr>
        <xdr:cNvPr id="42956" name="Picture 4"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468534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231</xdr:row>
      <xdr:rowOff>47625</xdr:rowOff>
    </xdr:from>
    <xdr:to>
      <xdr:col>21</xdr:col>
      <xdr:colOff>866775</xdr:colOff>
      <xdr:row>232</xdr:row>
      <xdr:rowOff>76200</xdr:rowOff>
    </xdr:to>
    <xdr:pic>
      <xdr:nvPicPr>
        <xdr:cNvPr id="42957" name="Picture 5"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41350" y="46824900"/>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158</xdr:row>
      <xdr:rowOff>57150</xdr:rowOff>
    </xdr:from>
    <xdr:to>
      <xdr:col>21</xdr:col>
      <xdr:colOff>504825</xdr:colOff>
      <xdr:row>159</xdr:row>
      <xdr:rowOff>85725</xdr:rowOff>
    </xdr:to>
    <xdr:pic>
      <xdr:nvPicPr>
        <xdr:cNvPr id="42958" name="Picture 6"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74675" y="3218497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107</xdr:row>
      <xdr:rowOff>66675</xdr:rowOff>
    </xdr:from>
    <xdr:to>
      <xdr:col>21</xdr:col>
      <xdr:colOff>904875</xdr:colOff>
      <xdr:row>108</xdr:row>
      <xdr:rowOff>95250</xdr:rowOff>
    </xdr:to>
    <xdr:pic>
      <xdr:nvPicPr>
        <xdr:cNvPr id="42959" name="Picture 7"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79450" y="21983700"/>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42960" name="Picture 8"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47673" name="Picture 1"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108</xdr:row>
      <xdr:rowOff>104775</xdr:rowOff>
    </xdr:from>
    <xdr:to>
      <xdr:col>1</xdr:col>
      <xdr:colOff>0</xdr:colOff>
      <xdr:row>109</xdr:row>
      <xdr:rowOff>142875</xdr:rowOff>
    </xdr:to>
    <xdr:pic>
      <xdr:nvPicPr>
        <xdr:cNvPr id="47674" name="Picture 2" descr="C:\WINDOWS\TEMP\Symbol.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0" y="2222182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158</xdr:row>
      <xdr:rowOff>123825</xdr:rowOff>
    </xdr:from>
    <xdr:to>
      <xdr:col>1</xdr:col>
      <xdr:colOff>0</xdr:colOff>
      <xdr:row>159</xdr:row>
      <xdr:rowOff>161925</xdr:rowOff>
    </xdr:to>
    <xdr:pic>
      <xdr:nvPicPr>
        <xdr:cNvPr id="47675" name="Picture 3" descr="C:\WINDOWS\TEMP\Symbol.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0" y="322516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231</xdr:row>
      <xdr:rowOff>76200</xdr:rowOff>
    </xdr:from>
    <xdr:to>
      <xdr:col>1</xdr:col>
      <xdr:colOff>0</xdr:colOff>
      <xdr:row>232</xdr:row>
      <xdr:rowOff>114300</xdr:rowOff>
    </xdr:to>
    <xdr:pic>
      <xdr:nvPicPr>
        <xdr:cNvPr id="47676" name="Picture 4"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468534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231</xdr:row>
      <xdr:rowOff>47625</xdr:rowOff>
    </xdr:from>
    <xdr:to>
      <xdr:col>21</xdr:col>
      <xdr:colOff>866775</xdr:colOff>
      <xdr:row>232</xdr:row>
      <xdr:rowOff>76200</xdr:rowOff>
    </xdr:to>
    <xdr:pic>
      <xdr:nvPicPr>
        <xdr:cNvPr id="47677" name="Picture 5" descr="C:\WINDOWS\TEMP\~0003946.gif"/>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26041350" y="468249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123825</xdr:colOff>
      <xdr:row>158</xdr:row>
      <xdr:rowOff>66675</xdr:rowOff>
    </xdr:from>
    <xdr:to>
      <xdr:col>21</xdr:col>
      <xdr:colOff>923925</xdr:colOff>
      <xdr:row>159</xdr:row>
      <xdr:rowOff>95250</xdr:rowOff>
    </xdr:to>
    <xdr:pic>
      <xdr:nvPicPr>
        <xdr:cNvPr id="47678" name="Picture 6" descr="C:\WINDOWS\TEMP\~0003946.gif"/>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26098500" y="321945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108</xdr:row>
      <xdr:rowOff>66675</xdr:rowOff>
    </xdr:from>
    <xdr:to>
      <xdr:col>21</xdr:col>
      <xdr:colOff>904875</xdr:colOff>
      <xdr:row>109</xdr:row>
      <xdr:rowOff>95250</xdr:rowOff>
    </xdr:to>
    <xdr:pic>
      <xdr:nvPicPr>
        <xdr:cNvPr id="47679" name="Picture 7" descr="C:\WINDOWS\TEMP\~0003946.gif"/>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26079450" y="221837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133350</xdr:colOff>
      <xdr:row>57</xdr:row>
      <xdr:rowOff>85725</xdr:rowOff>
    </xdr:from>
    <xdr:to>
      <xdr:col>21</xdr:col>
      <xdr:colOff>933450</xdr:colOff>
      <xdr:row>58</xdr:row>
      <xdr:rowOff>114300</xdr:rowOff>
    </xdr:to>
    <xdr:pic>
      <xdr:nvPicPr>
        <xdr:cNvPr id="47680" name="Picture 8" descr="C:\WINDOWS\TEMP\~0003946.gif"/>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26108025" y="115919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43785" name="Picture 1"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107</xdr:row>
      <xdr:rowOff>104775</xdr:rowOff>
    </xdr:from>
    <xdr:to>
      <xdr:col>1</xdr:col>
      <xdr:colOff>0</xdr:colOff>
      <xdr:row>108</xdr:row>
      <xdr:rowOff>142875</xdr:rowOff>
    </xdr:to>
    <xdr:pic>
      <xdr:nvPicPr>
        <xdr:cNvPr id="43786" name="Picture 2"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220218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158</xdr:row>
      <xdr:rowOff>123825</xdr:rowOff>
    </xdr:from>
    <xdr:to>
      <xdr:col>1</xdr:col>
      <xdr:colOff>0</xdr:colOff>
      <xdr:row>159</xdr:row>
      <xdr:rowOff>161925</xdr:rowOff>
    </xdr:to>
    <xdr:pic>
      <xdr:nvPicPr>
        <xdr:cNvPr id="43787" name="Picture 3" descr="C:\WINDOWS\TEMP\Symbol.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0" y="322516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231</xdr:row>
      <xdr:rowOff>76200</xdr:rowOff>
    </xdr:from>
    <xdr:to>
      <xdr:col>1</xdr:col>
      <xdr:colOff>0</xdr:colOff>
      <xdr:row>232</xdr:row>
      <xdr:rowOff>114300</xdr:rowOff>
    </xdr:to>
    <xdr:pic>
      <xdr:nvPicPr>
        <xdr:cNvPr id="43788" name="Picture 4"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468534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231</xdr:row>
      <xdr:rowOff>47625</xdr:rowOff>
    </xdr:from>
    <xdr:to>
      <xdr:col>21</xdr:col>
      <xdr:colOff>866775</xdr:colOff>
      <xdr:row>232</xdr:row>
      <xdr:rowOff>76200</xdr:rowOff>
    </xdr:to>
    <xdr:pic>
      <xdr:nvPicPr>
        <xdr:cNvPr id="43789" name="Picture 5" descr="C:\WINDOWS\TEMP\~0003946.gif"/>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26041350" y="46824900"/>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158</xdr:row>
      <xdr:rowOff>57150</xdr:rowOff>
    </xdr:from>
    <xdr:to>
      <xdr:col>21</xdr:col>
      <xdr:colOff>504825</xdr:colOff>
      <xdr:row>159</xdr:row>
      <xdr:rowOff>85725</xdr:rowOff>
    </xdr:to>
    <xdr:pic>
      <xdr:nvPicPr>
        <xdr:cNvPr id="43790" name="Picture 6" descr="C:\WINDOWS\TEMP\~0003946.gif"/>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5974675" y="3218497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107</xdr:row>
      <xdr:rowOff>66675</xdr:rowOff>
    </xdr:from>
    <xdr:to>
      <xdr:col>21</xdr:col>
      <xdr:colOff>904875</xdr:colOff>
      <xdr:row>108</xdr:row>
      <xdr:rowOff>95250</xdr:rowOff>
    </xdr:to>
    <xdr:pic>
      <xdr:nvPicPr>
        <xdr:cNvPr id="43791" name="Picture 7" descr="C:\WINDOWS\TEMP\~0003946.gif"/>
        <xdr:cNvPicPr>
          <a:picLocks noChangeAspect="1" noChangeArrowheads="1"/>
        </xdr:cNvPicPr>
      </xdr:nvPicPr>
      <xdr:blipFill>
        <a:blip xmlns:r="http://schemas.openxmlformats.org/officeDocument/2006/relationships" r:embed="rId6" r:link="rId4" cstate="print">
          <a:extLst>
            <a:ext uri="{28A0092B-C50C-407E-A947-70E740481C1C}">
              <a14:useLocalDpi xmlns:a14="http://schemas.microsoft.com/office/drawing/2010/main" val="0"/>
            </a:ext>
          </a:extLst>
        </a:blip>
        <a:srcRect/>
        <a:stretch>
          <a:fillRect/>
        </a:stretch>
      </xdr:blipFill>
      <xdr:spPr bwMode="auto">
        <a:xfrm>
          <a:off x="26079450" y="21983700"/>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43792" name="Picture 8" descr="C:\WINDOWS\TEMP\~0003946.gif"/>
        <xdr:cNvPicPr>
          <a:picLocks noChangeAspect="1" noChangeArrowheads="1"/>
        </xdr:cNvPicPr>
      </xdr:nvPicPr>
      <xdr:blipFill>
        <a:blip xmlns:r="http://schemas.openxmlformats.org/officeDocument/2006/relationships" r:embed="rId7" r:link="rId4" cstate="print">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44633" name="Picture 1"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107</xdr:row>
      <xdr:rowOff>104775</xdr:rowOff>
    </xdr:from>
    <xdr:to>
      <xdr:col>1</xdr:col>
      <xdr:colOff>0</xdr:colOff>
      <xdr:row>108</xdr:row>
      <xdr:rowOff>142875</xdr:rowOff>
    </xdr:to>
    <xdr:pic>
      <xdr:nvPicPr>
        <xdr:cNvPr id="44634" name="Picture 2"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220218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158</xdr:row>
      <xdr:rowOff>123825</xdr:rowOff>
    </xdr:from>
    <xdr:to>
      <xdr:col>1</xdr:col>
      <xdr:colOff>0</xdr:colOff>
      <xdr:row>159</xdr:row>
      <xdr:rowOff>161925</xdr:rowOff>
    </xdr:to>
    <xdr:pic>
      <xdr:nvPicPr>
        <xdr:cNvPr id="44635" name="Picture 3"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322516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231</xdr:row>
      <xdr:rowOff>76200</xdr:rowOff>
    </xdr:from>
    <xdr:to>
      <xdr:col>1</xdr:col>
      <xdr:colOff>0</xdr:colOff>
      <xdr:row>232</xdr:row>
      <xdr:rowOff>114300</xdr:rowOff>
    </xdr:to>
    <xdr:pic>
      <xdr:nvPicPr>
        <xdr:cNvPr id="44636" name="Picture 4"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468534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231</xdr:row>
      <xdr:rowOff>47625</xdr:rowOff>
    </xdr:from>
    <xdr:to>
      <xdr:col>21</xdr:col>
      <xdr:colOff>866775</xdr:colOff>
      <xdr:row>232</xdr:row>
      <xdr:rowOff>76200</xdr:rowOff>
    </xdr:to>
    <xdr:pic>
      <xdr:nvPicPr>
        <xdr:cNvPr id="44637" name="Picture 5" descr="C:\WINDOWS\TEMP\~0003946.gif"/>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26041350" y="46824900"/>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158</xdr:row>
      <xdr:rowOff>57150</xdr:rowOff>
    </xdr:from>
    <xdr:to>
      <xdr:col>21</xdr:col>
      <xdr:colOff>504825</xdr:colOff>
      <xdr:row>159</xdr:row>
      <xdr:rowOff>85725</xdr:rowOff>
    </xdr:to>
    <xdr:pic>
      <xdr:nvPicPr>
        <xdr:cNvPr id="44638" name="Picture 6" descr="C:\WINDOWS\TEMP\~0003946.gif"/>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5974675" y="3218497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107</xdr:row>
      <xdr:rowOff>66675</xdr:rowOff>
    </xdr:from>
    <xdr:to>
      <xdr:col>21</xdr:col>
      <xdr:colOff>904875</xdr:colOff>
      <xdr:row>108</xdr:row>
      <xdr:rowOff>95250</xdr:rowOff>
    </xdr:to>
    <xdr:pic>
      <xdr:nvPicPr>
        <xdr:cNvPr id="44639" name="Picture 7" descr="C:\WINDOWS\TEMP\~0003946.gif"/>
        <xdr:cNvPicPr>
          <a:picLocks noChangeAspect="1" noChangeArrowheads="1"/>
        </xdr:cNvPicPr>
      </xdr:nvPicPr>
      <xdr:blipFill>
        <a:blip xmlns:r="http://schemas.openxmlformats.org/officeDocument/2006/relationships" r:embed="rId6" r:link="rId4" cstate="print">
          <a:extLst>
            <a:ext uri="{28A0092B-C50C-407E-A947-70E740481C1C}">
              <a14:useLocalDpi xmlns:a14="http://schemas.microsoft.com/office/drawing/2010/main" val="0"/>
            </a:ext>
          </a:extLst>
        </a:blip>
        <a:srcRect/>
        <a:stretch>
          <a:fillRect/>
        </a:stretch>
      </xdr:blipFill>
      <xdr:spPr bwMode="auto">
        <a:xfrm>
          <a:off x="26079450" y="21983700"/>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44640" name="Picture 8" descr="C:\WINDOWS\TEMP\~0003946.gif"/>
        <xdr:cNvPicPr>
          <a:picLocks noChangeAspect="1" noChangeArrowheads="1"/>
        </xdr:cNvPicPr>
      </xdr:nvPicPr>
      <xdr:blipFill>
        <a:blip xmlns:r="http://schemas.openxmlformats.org/officeDocument/2006/relationships" r:embed="rId7" r:link="rId4" cstate="print">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70097" name="Picture 1"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107</xdr:row>
      <xdr:rowOff>104775</xdr:rowOff>
    </xdr:from>
    <xdr:to>
      <xdr:col>1</xdr:col>
      <xdr:colOff>0</xdr:colOff>
      <xdr:row>108</xdr:row>
      <xdr:rowOff>142875</xdr:rowOff>
    </xdr:to>
    <xdr:pic>
      <xdr:nvPicPr>
        <xdr:cNvPr id="70098" name="Picture 2"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220218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158</xdr:row>
      <xdr:rowOff>123825</xdr:rowOff>
    </xdr:from>
    <xdr:to>
      <xdr:col>1</xdr:col>
      <xdr:colOff>0</xdr:colOff>
      <xdr:row>159</xdr:row>
      <xdr:rowOff>161925</xdr:rowOff>
    </xdr:to>
    <xdr:pic>
      <xdr:nvPicPr>
        <xdr:cNvPr id="70099" name="Picture 3"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322516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231</xdr:row>
      <xdr:rowOff>76200</xdr:rowOff>
    </xdr:from>
    <xdr:to>
      <xdr:col>1</xdr:col>
      <xdr:colOff>0</xdr:colOff>
      <xdr:row>232</xdr:row>
      <xdr:rowOff>114300</xdr:rowOff>
    </xdr:to>
    <xdr:pic>
      <xdr:nvPicPr>
        <xdr:cNvPr id="70100" name="Picture 4"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468534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231</xdr:row>
      <xdr:rowOff>47625</xdr:rowOff>
    </xdr:from>
    <xdr:to>
      <xdr:col>21</xdr:col>
      <xdr:colOff>866775</xdr:colOff>
      <xdr:row>232</xdr:row>
      <xdr:rowOff>76200</xdr:rowOff>
    </xdr:to>
    <xdr:pic>
      <xdr:nvPicPr>
        <xdr:cNvPr id="70101" name="Picture 5" descr="C:\WINDOWS\TEMP\~0003946.gif"/>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26041350" y="46824900"/>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158</xdr:row>
      <xdr:rowOff>57150</xdr:rowOff>
    </xdr:from>
    <xdr:to>
      <xdr:col>21</xdr:col>
      <xdr:colOff>504825</xdr:colOff>
      <xdr:row>159</xdr:row>
      <xdr:rowOff>85725</xdr:rowOff>
    </xdr:to>
    <xdr:pic>
      <xdr:nvPicPr>
        <xdr:cNvPr id="70102" name="Picture 6" descr="C:\WINDOWS\TEMP\~0003946.gif"/>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5974675" y="3218497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107</xdr:row>
      <xdr:rowOff>66675</xdr:rowOff>
    </xdr:from>
    <xdr:to>
      <xdr:col>21</xdr:col>
      <xdr:colOff>904875</xdr:colOff>
      <xdr:row>108</xdr:row>
      <xdr:rowOff>95250</xdr:rowOff>
    </xdr:to>
    <xdr:pic>
      <xdr:nvPicPr>
        <xdr:cNvPr id="70103" name="Picture 7" descr="C:\WINDOWS\TEMP\~0003946.gif"/>
        <xdr:cNvPicPr>
          <a:picLocks noChangeAspect="1" noChangeArrowheads="1"/>
        </xdr:cNvPicPr>
      </xdr:nvPicPr>
      <xdr:blipFill>
        <a:blip xmlns:r="http://schemas.openxmlformats.org/officeDocument/2006/relationships" r:embed="rId6" r:link="rId4" cstate="print">
          <a:extLst>
            <a:ext uri="{28A0092B-C50C-407E-A947-70E740481C1C}">
              <a14:useLocalDpi xmlns:a14="http://schemas.microsoft.com/office/drawing/2010/main" val="0"/>
            </a:ext>
          </a:extLst>
        </a:blip>
        <a:srcRect/>
        <a:stretch>
          <a:fillRect/>
        </a:stretch>
      </xdr:blipFill>
      <xdr:spPr bwMode="auto">
        <a:xfrm>
          <a:off x="26079450" y="21983700"/>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70104" name="Picture 8" descr="C:\WINDOWS\TEMP\~0003946.gif"/>
        <xdr:cNvPicPr>
          <a:picLocks noChangeAspect="1" noChangeArrowheads="1"/>
        </xdr:cNvPicPr>
      </xdr:nvPicPr>
      <xdr:blipFill>
        <a:blip xmlns:r="http://schemas.openxmlformats.org/officeDocument/2006/relationships" r:embed="rId7" r:link="rId4" cstate="print">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73017" name="Picture 1"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107</xdr:row>
      <xdr:rowOff>104775</xdr:rowOff>
    </xdr:from>
    <xdr:to>
      <xdr:col>1</xdr:col>
      <xdr:colOff>0</xdr:colOff>
      <xdr:row>108</xdr:row>
      <xdr:rowOff>142875</xdr:rowOff>
    </xdr:to>
    <xdr:pic>
      <xdr:nvPicPr>
        <xdr:cNvPr id="73018" name="Picture 2"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220218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158</xdr:row>
      <xdr:rowOff>123825</xdr:rowOff>
    </xdr:from>
    <xdr:to>
      <xdr:col>1</xdr:col>
      <xdr:colOff>0</xdr:colOff>
      <xdr:row>159</xdr:row>
      <xdr:rowOff>161925</xdr:rowOff>
    </xdr:to>
    <xdr:pic>
      <xdr:nvPicPr>
        <xdr:cNvPr id="73019" name="Picture 3"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322516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231</xdr:row>
      <xdr:rowOff>76200</xdr:rowOff>
    </xdr:from>
    <xdr:to>
      <xdr:col>1</xdr:col>
      <xdr:colOff>0</xdr:colOff>
      <xdr:row>232</xdr:row>
      <xdr:rowOff>114300</xdr:rowOff>
    </xdr:to>
    <xdr:pic>
      <xdr:nvPicPr>
        <xdr:cNvPr id="73020" name="Picture 4"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468534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231</xdr:row>
      <xdr:rowOff>47625</xdr:rowOff>
    </xdr:from>
    <xdr:to>
      <xdr:col>21</xdr:col>
      <xdr:colOff>866775</xdr:colOff>
      <xdr:row>232</xdr:row>
      <xdr:rowOff>76200</xdr:rowOff>
    </xdr:to>
    <xdr:pic>
      <xdr:nvPicPr>
        <xdr:cNvPr id="73021" name="Picture 5" descr="C:\WINDOWS\TEMP\~0003946.gif"/>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26041350" y="46824900"/>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158</xdr:row>
      <xdr:rowOff>57150</xdr:rowOff>
    </xdr:from>
    <xdr:to>
      <xdr:col>21</xdr:col>
      <xdr:colOff>504825</xdr:colOff>
      <xdr:row>159</xdr:row>
      <xdr:rowOff>85725</xdr:rowOff>
    </xdr:to>
    <xdr:pic>
      <xdr:nvPicPr>
        <xdr:cNvPr id="73022" name="Picture 6" descr="C:\WINDOWS\TEMP\~0003946.gif"/>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5974675" y="3218497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107</xdr:row>
      <xdr:rowOff>66675</xdr:rowOff>
    </xdr:from>
    <xdr:to>
      <xdr:col>21</xdr:col>
      <xdr:colOff>904875</xdr:colOff>
      <xdr:row>108</xdr:row>
      <xdr:rowOff>95250</xdr:rowOff>
    </xdr:to>
    <xdr:pic>
      <xdr:nvPicPr>
        <xdr:cNvPr id="73023" name="Picture 7" descr="C:\WINDOWS\TEMP\~0003946.gif"/>
        <xdr:cNvPicPr>
          <a:picLocks noChangeAspect="1" noChangeArrowheads="1"/>
        </xdr:cNvPicPr>
      </xdr:nvPicPr>
      <xdr:blipFill>
        <a:blip xmlns:r="http://schemas.openxmlformats.org/officeDocument/2006/relationships" r:embed="rId6" r:link="rId4" cstate="print">
          <a:extLst>
            <a:ext uri="{28A0092B-C50C-407E-A947-70E740481C1C}">
              <a14:useLocalDpi xmlns:a14="http://schemas.microsoft.com/office/drawing/2010/main" val="0"/>
            </a:ext>
          </a:extLst>
        </a:blip>
        <a:srcRect/>
        <a:stretch>
          <a:fillRect/>
        </a:stretch>
      </xdr:blipFill>
      <xdr:spPr bwMode="auto">
        <a:xfrm>
          <a:off x="26079450" y="21983700"/>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73024" name="Picture 8" descr="C:\WINDOWS\TEMP\~0003946.gif"/>
        <xdr:cNvPicPr>
          <a:picLocks noChangeAspect="1" noChangeArrowheads="1"/>
        </xdr:cNvPicPr>
      </xdr:nvPicPr>
      <xdr:blipFill>
        <a:blip xmlns:r="http://schemas.openxmlformats.org/officeDocument/2006/relationships" r:embed="rId7" r:link="rId4" cstate="print">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74905" name="Picture 1"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107</xdr:row>
      <xdr:rowOff>104775</xdr:rowOff>
    </xdr:from>
    <xdr:to>
      <xdr:col>1</xdr:col>
      <xdr:colOff>0</xdr:colOff>
      <xdr:row>108</xdr:row>
      <xdr:rowOff>142875</xdr:rowOff>
    </xdr:to>
    <xdr:pic>
      <xdr:nvPicPr>
        <xdr:cNvPr id="74906" name="Picture 2"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220218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158</xdr:row>
      <xdr:rowOff>123825</xdr:rowOff>
    </xdr:from>
    <xdr:to>
      <xdr:col>1</xdr:col>
      <xdr:colOff>0</xdr:colOff>
      <xdr:row>159</xdr:row>
      <xdr:rowOff>161925</xdr:rowOff>
    </xdr:to>
    <xdr:pic>
      <xdr:nvPicPr>
        <xdr:cNvPr id="74907" name="Picture 3"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322516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231</xdr:row>
      <xdr:rowOff>76200</xdr:rowOff>
    </xdr:from>
    <xdr:to>
      <xdr:col>1</xdr:col>
      <xdr:colOff>0</xdr:colOff>
      <xdr:row>232</xdr:row>
      <xdr:rowOff>114300</xdr:rowOff>
    </xdr:to>
    <xdr:pic>
      <xdr:nvPicPr>
        <xdr:cNvPr id="74908" name="Picture 4"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468534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231</xdr:row>
      <xdr:rowOff>47625</xdr:rowOff>
    </xdr:from>
    <xdr:to>
      <xdr:col>21</xdr:col>
      <xdr:colOff>866775</xdr:colOff>
      <xdr:row>232</xdr:row>
      <xdr:rowOff>76200</xdr:rowOff>
    </xdr:to>
    <xdr:pic>
      <xdr:nvPicPr>
        <xdr:cNvPr id="74909" name="Picture 5" descr="C:\WINDOWS\TEMP\~0003946.gif"/>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26041350" y="46824900"/>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158</xdr:row>
      <xdr:rowOff>57150</xdr:rowOff>
    </xdr:from>
    <xdr:to>
      <xdr:col>21</xdr:col>
      <xdr:colOff>504825</xdr:colOff>
      <xdr:row>159</xdr:row>
      <xdr:rowOff>85725</xdr:rowOff>
    </xdr:to>
    <xdr:pic>
      <xdr:nvPicPr>
        <xdr:cNvPr id="74910" name="Picture 6" descr="C:\WINDOWS\TEMP\~0003946.gif"/>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5974675" y="3218497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107</xdr:row>
      <xdr:rowOff>66675</xdr:rowOff>
    </xdr:from>
    <xdr:to>
      <xdr:col>21</xdr:col>
      <xdr:colOff>904875</xdr:colOff>
      <xdr:row>108</xdr:row>
      <xdr:rowOff>95250</xdr:rowOff>
    </xdr:to>
    <xdr:pic>
      <xdr:nvPicPr>
        <xdr:cNvPr id="74911" name="Picture 7" descr="C:\WINDOWS\TEMP\~0003946.gif"/>
        <xdr:cNvPicPr>
          <a:picLocks noChangeAspect="1" noChangeArrowheads="1"/>
        </xdr:cNvPicPr>
      </xdr:nvPicPr>
      <xdr:blipFill>
        <a:blip xmlns:r="http://schemas.openxmlformats.org/officeDocument/2006/relationships" r:embed="rId6" r:link="rId4" cstate="print">
          <a:extLst>
            <a:ext uri="{28A0092B-C50C-407E-A947-70E740481C1C}">
              <a14:useLocalDpi xmlns:a14="http://schemas.microsoft.com/office/drawing/2010/main" val="0"/>
            </a:ext>
          </a:extLst>
        </a:blip>
        <a:srcRect/>
        <a:stretch>
          <a:fillRect/>
        </a:stretch>
      </xdr:blipFill>
      <xdr:spPr bwMode="auto">
        <a:xfrm>
          <a:off x="26079450" y="21983700"/>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74912" name="Picture 8" descr="C:\WINDOWS\TEMP\~0003946.gif"/>
        <xdr:cNvPicPr>
          <a:picLocks noChangeAspect="1" noChangeArrowheads="1"/>
        </xdr:cNvPicPr>
      </xdr:nvPicPr>
      <xdr:blipFill>
        <a:blip xmlns:r="http://schemas.openxmlformats.org/officeDocument/2006/relationships" r:embed="rId7" r:link="rId4" cstate="print">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2" name="Picture 1"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107</xdr:row>
      <xdr:rowOff>104775</xdr:rowOff>
    </xdr:from>
    <xdr:to>
      <xdr:col>1</xdr:col>
      <xdr:colOff>0</xdr:colOff>
      <xdr:row>108</xdr:row>
      <xdr:rowOff>142875</xdr:rowOff>
    </xdr:to>
    <xdr:pic>
      <xdr:nvPicPr>
        <xdr:cNvPr id="3" name="Picture 2"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220218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158</xdr:row>
      <xdr:rowOff>123825</xdr:rowOff>
    </xdr:from>
    <xdr:to>
      <xdr:col>1</xdr:col>
      <xdr:colOff>0</xdr:colOff>
      <xdr:row>159</xdr:row>
      <xdr:rowOff>161925</xdr:rowOff>
    </xdr:to>
    <xdr:pic>
      <xdr:nvPicPr>
        <xdr:cNvPr id="4" name="Picture 3"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322516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231</xdr:row>
      <xdr:rowOff>76200</xdr:rowOff>
    </xdr:from>
    <xdr:to>
      <xdr:col>1</xdr:col>
      <xdr:colOff>0</xdr:colOff>
      <xdr:row>232</xdr:row>
      <xdr:rowOff>114300</xdr:rowOff>
    </xdr:to>
    <xdr:pic>
      <xdr:nvPicPr>
        <xdr:cNvPr id="5" name="Picture 4"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468534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231</xdr:row>
      <xdr:rowOff>47625</xdr:rowOff>
    </xdr:from>
    <xdr:to>
      <xdr:col>21</xdr:col>
      <xdr:colOff>866775</xdr:colOff>
      <xdr:row>232</xdr:row>
      <xdr:rowOff>76200</xdr:rowOff>
    </xdr:to>
    <xdr:pic>
      <xdr:nvPicPr>
        <xdr:cNvPr id="6" name="Picture 5" descr="C:\WINDOWS\TEMP\~0003946.gif"/>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26041350" y="46824900"/>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158</xdr:row>
      <xdr:rowOff>57150</xdr:rowOff>
    </xdr:from>
    <xdr:to>
      <xdr:col>21</xdr:col>
      <xdr:colOff>504825</xdr:colOff>
      <xdr:row>159</xdr:row>
      <xdr:rowOff>85725</xdr:rowOff>
    </xdr:to>
    <xdr:pic>
      <xdr:nvPicPr>
        <xdr:cNvPr id="7" name="Picture 6" descr="C:\WINDOWS\TEMP\~0003946.gif"/>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5974675" y="3218497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107</xdr:row>
      <xdr:rowOff>66675</xdr:rowOff>
    </xdr:from>
    <xdr:to>
      <xdr:col>21</xdr:col>
      <xdr:colOff>904875</xdr:colOff>
      <xdr:row>108</xdr:row>
      <xdr:rowOff>95250</xdr:rowOff>
    </xdr:to>
    <xdr:pic>
      <xdr:nvPicPr>
        <xdr:cNvPr id="8" name="Picture 7" descr="C:\WINDOWS\TEMP\~0003946.gif"/>
        <xdr:cNvPicPr>
          <a:picLocks noChangeAspect="1" noChangeArrowheads="1"/>
        </xdr:cNvPicPr>
      </xdr:nvPicPr>
      <xdr:blipFill>
        <a:blip xmlns:r="http://schemas.openxmlformats.org/officeDocument/2006/relationships" r:embed="rId6" r:link="rId4" cstate="print">
          <a:extLst>
            <a:ext uri="{28A0092B-C50C-407E-A947-70E740481C1C}">
              <a14:useLocalDpi xmlns:a14="http://schemas.microsoft.com/office/drawing/2010/main" val="0"/>
            </a:ext>
          </a:extLst>
        </a:blip>
        <a:srcRect/>
        <a:stretch>
          <a:fillRect/>
        </a:stretch>
      </xdr:blipFill>
      <xdr:spPr bwMode="auto">
        <a:xfrm>
          <a:off x="26079450" y="21983700"/>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9" name="Picture 8" descr="C:\WINDOWS\TEMP\~0003946.gif"/>
        <xdr:cNvPicPr>
          <a:picLocks noChangeAspect="1" noChangeArrowheads="1"/>
        </xdr:cNvPicPr>
      </xdr:nvPicPr>
      <xdr:blipFill>
        <a:blip xmlns:r="http://schemas.openxmlformats.org/officeDocument/2006/relationships" r:embed="rId7" r:link="rId4" cstate="print">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2" name="Picture 1"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107</xdr:row>
      <xdr:rowOff>104775</xdr:rowOff>
    </xdr:from>
    <xdr:to>
      <xdr:col>1</xdr:col>
      <xdr:colOff>0</xdr:colOff>
      <xdr:row>108</xdr:row>
      <xdr:rowOff>142875</xdr:rowOff>
    </xdr:to>
    <xdr:pic>
      <xdr:nvPicPr>
        <xdr:cNvPr id="3" name="Picture 2"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220218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158</xdr:row>
      <xdr:rowOff>123825</xdr:rowOff>
    </xdr:from>
    <xdr:to>
      <xdr:col>1</xdr:col>
      <xdr:colOff>0</xdr:colOff>
      <xdr:row>159</xdr:row>
      <xdr:rowOff>161925</xdr:rowOff>
    </xdr:to>
    <xdr:pic>
      <xdr:nvPicPr>
        <xdr:cNvPr id="4" name="Picture 3"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322516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231</xdr:row>
      <xdr:rowOff>76200</xdr:rowOff>
    </xdr:from>
    <xdr:to>
      <xdr:col>1</xdr:col>
      <xdr:colOff>0</xdr:colOff>
      <xdr:row>232</xdr:row>
      <xdr:rowOff>114300</xdr:rowOff>
    </xdr:to>
    <xdr:pic>
      <xdr:nvPicPr>
        <xdr:cNvPr id="5" name="Picture 4"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468534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231</xdr:row>
      <xdr:rowOff>47625</xdr:rowOff>
    </xdr:from>
    <xdr:to>
      <xdr:col>21</xdr:col>
      <xdr:colOff>866775</xdr:colOff>
      <xdr:row>232</xdr:row>
      <xdr:rowOff>76200</xdr:rowOff>
    </xdr:to>
    <xdr:pic>
      <xdr:nvPicPr>
        <xdr:cNvPr id="6" name="Picture 5" descr="C:\WINDOWS\TEMP\~0003946.gif"/>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26041350" y="46824900"/>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158</xdr:row>
      <xdr:rowOff>57150</xdr:rowOff>
    </xdr:from>
    <xdr:to>
      <xdr:col>21</xdr:col>
      <xdr:colOff>504825</xdr:colOff>
      <xdr:row>159</xdr:row>
      <xdr:rowOff>85725</xdr:rowOff>
    </xdr:to>
    <xdr:pic>
      <xdr:nvPicPr>
        <xdr:cNvPr id="7" name="Picture 6" descr="C:\WINDOWS\TEMP\~0003946.gif"/>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5974675" y="3218497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107</xdr:row>
      <xdr:rowOff>66675</xdr:rowOff>
    </xdr:from>
    <xdr:to>
      <xdr:col>21</xdr:col>
      <xdr:colOff>904875</xdr:colOff>
      <xdr:row>108</xdr:row>
      <xdr:rowOff>95250</xdr:rowOff>
    </xdr:to>
    <xdr:pic>
      <xdr:nvPicPr>
        <xdr:cNvPr id="8" name="Picture 7" descr="C:\WINDOWS\TEMP\~0003946.gif"/>
        <xdr:cNvPicPr>
          <a:picLocks noChangeAspect="1" noChangeArrowheads="1"/>
        </xdr:cNvPicPr>
      </xdr:nvPicPr>
      <xdr:blipFill>
        <a:blip xmlns:r="http://schemas.openxmlformats.org/officeDocument/2006/relationships" r:embed="rId6" r:link="rId4" cstate="print">
          <a:extLst>
            <a:ext uri="{28A0092B-C50C-407E-A947-70E740481C1C}">
              <a14:useLocalDpi xmlns:a14="http://schemas.microsoft.com/office/drawing/2010/main" val="0"/>
            </a:ext>
          </a:extLst>
        </a:blip>
        <a:srcRect/>
        <a:stretch>
          <a:fillRect/>
        </a:stretch>
      </xdr:blipFill>
      <xdr:spPr bwMode="auto">
        <a:xfrm>
          <a:off x="26079450" y="21983700"/>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9" name="Picture 8" descr="C:\WINDOWS\TEMP\~0003946.gif"/>
        <xdr:cNvPicPr>
          <a:picLocks noChangeAspect="1" noChangeArrowheads="1"/>
        </xdr:cNvPicPr>
      </xdr:nvPicPr>
      <xdr:blipFill>
        <a:blip xmlns:r="http://schemas.openxmlformats.org/officeDocument/2006/relationships" r:embed="rId7" r:link="rId4" cstate="print">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2" name="Picture 1"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107</xdr:row>
      <xdr:rowOff>104775</xdr:rowOff>
    </xdr:from>
    <xdr:to>
      <xdr:col>1</xdr:col>
      <xdr:colOff>0</xdr:colOff>
      <xdr:row>108</xdr:row>
      <xdr:rowOff>142875</xdr:rowOff>
    </xdr:to>
    <xdr:pic>
      <xdr:nvPicPr>
        <xdr:cNvPr id="3" name="Picture 2"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220218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158</xdr:row>
      <xdr:rowOff>123825</xdr:rowOff>
    </xdr:from>
    <xdr:to>
      <xdr:col>1</xdr:col>
      <xdr:colOff>0</xdr:colOff>
      <xdr:row>159</xdr:row>
      <xdr:rowOff>161925</xdr:rowOff>
    </xdr:to>
    <xdr:pic>
      <xdr:nvPicPr>
        <xdr:cNvPr id="4" name="Picture 3"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322516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231</xdr:row>
      <xdr:rowOff>76200</xdr:rowOff>
    </xdr:from>
    <xdr:to>
      <xdr:col>1</xdr:col>
      <xdr:colOff>0</xdr:colOff>
      <xdr:row>232</xdr:row>
      <xdr:rowOff>114300</xdr:rowOff>
    </xdr:to>
    <xdr:pic>
      <xdr:nvPicPr>
        <xdr:cNvPr id="5" name="Picture 4"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468534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231</xdr:row>
      <xdr:rowOff>47625</xdr:rowOff>
    </xdr:from>
    <xdr:to>
      <xdr:col>21</xdr:col>
      <xdr:colOff>866775</xdr:colOff>
      <xdr:row>232</xdr:row>
      <xdr:rowOff>76200</xdr:rowOff>
    </xdr:to>
    <xdr:pic>
      <xdr:nvPicPr>
        <xdr:cNvPr id="6" name="Picture 5" descr="C:\WINDOWS\TEMP\~0003946.gif"/>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26041350" y="46824900"/>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158</xdr:row>
      <xdr:rowOff>57150</xdr:rowOff>
    </xdr:from>
    <xdr:to>
      <xdr:col>21</xdr:col>
      <xdr:colOff>504825</xdr:colOff>
      <xdr:row>159</xdr:row>
      <xdr:rowOff>85725</xdr:rowOff>
    </xdr:to>
    <xdr:pic>
      <xdr:nvPicPr>
        <xdr:cNvPr id="7" name="Picture 6" descr="C:\WINDOWS\TEMP\~0003946.gif"/>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5974675" y="3218497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107</xdr:row>
      <xdr:rowOff>66675</xdr:rowOff>
    </xdr:from>
    <xdr:to>
      <xdr:col>21</xdr:col>
      <xdr:colOff>904875</xdr:colOff>
      <xdr:row>108</xdr:row>
      <xdr:rowOff>95250</xdr:rowOff>
    </xdr:to>
    <xdr:pic>
      <xdr:nvPicPr>
        <xdr:cNvPr id="8" name="Picture 7" descr="C:\WINDOWS\TEMP\~0003946.gif"/>
        <xdr:cNvPicPr>
          <a:picLocks noChangeAspect="1" noChangeArrowheads="1"/>
        </xdr:cNvPicPr>
      </xdr:nvPicPr>
      <xdr:blipFill>
        <a:blip xmlns:r="http://schemas.openxmlformats.org/officeDocument/2006/relationships" r:embed="rId6" r:link="rId4" cstate="print">
          <a:extLst>
            <a:ext uri="{28A0092B-C50C-407E-A947-70E740481C1C}">
              <a14:useLocalDpi xmlns:a14="http://schemas.microsoft.com/office/drawing/2010/main" val="0"/>
            </a:ext>
          </a:extLst>
        </a:blip>
        <a:srcRect/>
        <a:stretch>
          <a:fillRect/>
        </a:stretch>
      </xdr:blipFill>
      <xdr:spPr bwMode="auto">
        <a:xfrm>
          <a:off x="26079450" y="21983700"/>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9" name="Picture 8" descr="C:\WINDOWS\TEMP\~0003946.gif"/>
        <xdr:cNvPicPr>
          <a:picLocks noChangeAspect="1" noChangeArrowheads="1"/>
        </xdr:cNvPicPr>
      </xdr:nvPicPr>
      <xdr:blipFill>
        <a:blip xmlns:r="http://schemas.openxmlformats.org/officeDocument/2006/relationships" r:embed="rId7" r:link="rId4" cstate="print">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2" name="Picture 1"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107</xdr:row>
      <xdr:rowOff>104775</xdr:rowOff>
    </xdr:from>
    <xdr:to>
      <xdr:col>1</xdr:col>
      <xdr:colOff>0</xdr:colOff>
      <xdr:row>108</xdr:row>
      <xdr:rowOff>142875</xdr:rowOff>
    </xdr:to>
    <xdr:pic>
      <xdr:nvPicPr>
        <xdr:cNvPr id="3" name="Picture 2"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220218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158</xdr:row>
      <xdr:rowOff>123825</xdr:rowOff>
    </xdr:from>
    <xdr:to>
      <xdr:col>1</xdr:col>
      <xdr:colOff>0</xdr:colOff>
      <xdr:row>159</xdr:row>
      <xdr:rowOff>161925</xdr:rowOff>
    </xdr:to>
    <xdr:pic>
      <xdr:nvPicPr>
        <xdr:cNvPr id="4" name="Picture 3"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322516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231</xdr:row>
      <xdr:rowOff>76200</xdr:rowOff>
    </xdr:from>
    <xdr:to>
      <xdr:col>1</xdr:col>
      <xdr:colOff>0</xdr:colOff>
      <xdr:row>232</xdr:row>
      <xdr:rowOff>114300</xdr:rowOff>
    </xdr:to>
    <xdr:pic>
      <xdr:nvPicPr>
        <xdr:cNvPr id="5" name="Picture 4"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468534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231</xdr:row>
      <xdr:rowOff>47625</xdr:rowOff>
    </xdr:from>
    <xdr:to>
      <xdr:col>21</xdr:col>
      <xdr:colOff>866775</xdr:colOff>
      <xdr:row>232</xdr:row>
      <xdr:rowOff>76200</xdr:rowOff>
    </xdr:to>
    <xdr:pic>
      <xdr:nvPicPr>
        <xdr:cNvPr id="6" name="Picture 5" descr="C:\WINDOWS\TEMP\~0003946.gif"/>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26041350" y="46824900"/>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158</xdr:row>
      <xdr:rowOff>57150</xdr:rowOff>
    </xdr:from>
    <xdr:to>
      <xdr:col>21</xdr:col>
      <xdr:colOff>504825</xdr:colOff>
      <xdr:row>159</xdr:row>
      <xdr:rowOff>85725</xdr:rowOff>
    </xdr:to>
    <xdr:pic>
      <xdr:nvPicPr>
        <xdr:cNvPr id="7" name="Picture 6" descr="C:\WINDOWS\TEMP\~0003946.gif"/>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5974675" y="3218497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107</xdr:row>
      <xdr:rowOff>66675</xdr:rowOff>
    </xdr:from>
    <xdr:to>
      <xdr:col>21</xdr:col>
      <xdr:colOff>904875</xdr:colOff>
      <xdr:row>108</xdr:row>
      <xdr:rowOff>95250</xdr:rowOff>
    </xdr:to>
    <xdr:pic>
      <xdr:nvPicPr>
        <xdr:cNvPr id="8" name="Picture 7" descr="C:\WINDOWS\TEMP\~0003946.gif"/>
        <xdr:cNvPicPr>
          <a:picLocks noChangeAspect="1" noChangeArrowheads="1"/>
        </xdr:cNvPicPr>
      </xdr:nvPicPr>
      <xdr:blipFill>
        <a:blip xmlns:r="http://schemas.openxmlformats.org/officeDocument/2006/relationships" r:embed="rId6" r:link="rId4" cstate="print">
          <a:extLst>
            <a:ext uri="{28A0092B-C50C-407E-A947-70E740481C1C}">
              <a14:useLocalDpi xmlns:a14="http://schemas.microsoft.com/office/drawing/2010/main" val="0"/>
            </a:ext>
          </a:extLst>
        </a:blip>
        <a:srcRect/>
        <a:stretch>
          <a:fillRect/>
        </a:stretch>
      </xdr:blipFill>
      <xdr:spPr bwMode="auto">
        <a:xfrm>
          <a:off x="26079450" y="21983700"/>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9" name="Picture 8" descr="C:\WINDOWS\TEMP\~0003946.gif"/>
        <xdr:cNvPicPr>
          <a:picLocks noChangeAspect="1" noChangeArrowheads="1"/>
        </xdr:cNvPicPr>
      </xdr:nvPicPr>
      <xdr:blipFill>
        <a:blip xmlns:r="http://schemas.openxmlformats.org/officeDocument/2006/relationships" r:embed="rId7" r:link="rId4" cstate="print">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2" name="Picture 1"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107</xdr:row>
      <xdr:rowOff>104775</xdr:rowOff>
    </xdr:from>
    <xdr:to>
      <xdr:col>1</xdr:col>
      <xdr:colOff>0</xdr:colOff>
      <xdr:row>108</xdr:row>
      <xdr:rowOff>142875</xdr:rowOff>
    </xdr:to>
    <xdr:pic>
      <xdr:nvPicPr>
        <xdr:cNvPr id="3" name="Picture 2"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220218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158</xdr:row>
      <xdr:rowOff>123825</xdr:rowOff>
    </xdr:from>
    <xdr:to>
      <xdr:col>1</xdr:col>
      <xdr:colOff>0</xdr:colOff>
      <xdr:row>159</xdr:row>
      <xdr:rowOff>161925</xdr:rowOff>
    </xdr:to>
    <xdr:pic>
      <xdr:nvPicPr>
        <xdr:cNvPr id="4" name="Picture 3"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322516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231</xdr:row>
      <xdr:rowOff>76200</xdr:rowOff>
    </xdr:from>
    <xdr:to>
      <xdr:col>1</xdr:col>
      <xdr:colOff>0</xdr:colOff>
      <xdr:row>232</xdr:row>
      <xdr:rowOff>114300</xdr:rowOff>
    </xdr:to>
    <xdr:pic>
      <xdr:nvPicPr>
        <xdr:cNvPr id="5" name="Picture 4"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468534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231</xdr:row>
      <xdr:rowOff>47625</xdr:rowOff>
    </xdr:from>
    <xdr:to>
      <xdr:col>21</xdr:col>
      <xdr:colOff>866775</xdr:colOff>
      <xdr:row>232</xdr:row>
      <xdr:rowOff>76200</xdr:rowOff>
    </xdr:to>
    <xdr:pic>
      <xdr:nvPicPr>
        <xdr:cNvPr id="6" name="Picture 5" descr="C:\WINDOWS\TEMP\~0003946.gif"/>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26041350" y="46824900"/>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158</xdr:row>
      <xdr:rowOff>57150</xdr:rowOff>
    </xdr:from>
    <xdr:to>
      <xdr:col>21</xdr:col>
      <xdr:colOff>504825</xdr:colOff>
      <xdr:row>159</xdr:row>
      <xdr:rowOff>85725</xdr:rowOff>
    </xdr:to>
    <xdr:pic>
      <xdr:nvPicPr>
        <xdr:cNvPr id="7" name="Picture 6" descr="C:\WINDOWS\TEMP\~0003946.gif"/>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5974675" y="3218497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107</xdr:row>
      <xdr:rowOff>66675</xdr:rowOff>
    </xdr:from>
    <xdr:to>
      <xdr:col>21</xdr:col>
      <xdr:colOff>904875</xdr:colOff>
      <xdr:row>108</xdr:row>
      <xdr:rowOff>95250</xdr:rowOff>
    </xdr:to>
    <xdr:pic>
      <xdr:nvPicPr>
        <xdr:cNvPr id="8" name="Picture 7" descr="C:\WINDOWS\TEMP\~0003946.gif"/>
        <xdr:cNvPicPr>
          <a:picLocks noChangeAspect="1" noChangeArrowheads="1"/>
        </xdr:cNvPicPr>
      </xdr:nvPicPr>
      <xdr:blipFill>
        <a:blip xmlns:r="http://schemas.openxmlformats.org/officeDocument/2006/relationships" r:embed="rId6" r:link="rId4" cstate="print">
          <a:extLst>
            <a:ext uri="{28A0092B-C50C-407E-A947-70E740481C1C}">
              <a14:useLocalDpi xmlns:a14="http://schemas.microsoft.com/office/drawing/2010/main" val="0"/>
            </a:ext>
          </a:extLst>
        </a:blip>
        <a:srcRect/>
        <a:stretch>
          <a:fillRect/>
        </a:stretch>
      </xdr:blipFill>
      <xdr:spPr bwMode="auto">
        <a:xfrm>
          <a:off x="26079450" y="21983700"/>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9" name="Picture 8" descr="C:\WINDOWS\TEMP\~0003946.gif"/>
        <xdr:cNvPicPr>
          <a:picLocks noChangeAspect="1" noChangeArrowheads="1"/>
        </xdr:cNvPicPr>
      </xdr:nvPicPr>
      <xdr:blipFill>
        <a:blip xmlns:r="http://schemas.openxmlformats.org/officeDocument/2006/relationships" r:embed="rId7" r:link="rId4" cstate="print">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48697" name="Picture 1"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108</xdr:row>
      <xdr:rowOff>104775</xdr:rowOff>
    </xdr:from>
    <xdr:to>
      <xdr:col>1</xdr:col>
      <xdr:colOff>0</xdr:colOff>
      <xdr:row>109</xdr:row>
      <xdr:rowOff>142875</xdr:rowOff>
    </xdr:to>
    <xdr:pic>
      <xdr:nvPicPr>
        <xdr:cNvPr id="48698" name="Picture 2"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2222182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158</xdr:row>
      <xdr:rowOff>123825</xdr:rowOff>
    </xdr:from>
    <xdr:to>
      <xdr:col>1</xdr:col>
      <xdr:colOff>0</xdr:colOff>
      <xdr:row>159</xdr:row>
      <xdr:rowOff>161925</xdr:rowOff>
    </xdr:to>
    <xdr:pic>
      <xdr:nvPicPr>
        <xdr:cNvPr id="48699" name="Picture 3"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322516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231</xdr:row>
      <xdr:rowOff>76200</xdr:rowOff>
    </xdr:from>
    <xdr:to>
      <xdr:col>1</xdr:col>
      <xdr:colOff>0</xdr:colOff>
      <xdr:row>232</xdr:row>
      <xdr:rowOff>114300</xdr:rowOff>
    </xdr:to>
    <xdr:pic>
      <xdr:nvPicPr>
        <xdr:cNvPr id="48700" name="Picture 4"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468534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231</xdr:row>
      <xdr:rowOff>47625</xdr:rowOff>
    </xdr:from>
    <xdr:to>
      <xdr:col>21</xdr:col>
      <xdr:colOff>866775</xdr:colOff>
      <xdr:row>232</xdr:row>
      <xdr:rowOff>76200</xdr:rowOff>
    </xdr:to>
    <xdr:pic>
      <xdr:nvPicPr>
        <xdr:cNvPr id="48701" name="Picture 5" descr="C:\WINDOWS\TEMP\~0003946.gif"/>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26041350" y="46824900"/>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123825</xdr:colOff>
      <xdr:row>158</xdr:row>
      <xdr:rowOff>66675</xdr:rowOff>
    </xdr:from>
    <xdr:to>
      <xdr:col>21</xdr:col>
      <xdr:colOff>923925</xdr:colOff>
      <xdr:row>159</xdr:row>
      <xdr:rowOff>95250</xdr:rowOff>
    </xdr:to>
    <xdr:pic>
      <xdr:nvPicPr>
        <xdr:cNvPr id="48702" name="Picture 6" descr="C:\WINDOWS\TEMP\~0003946.gif"/>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6098500" y="32194500"/>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108</xdr:row>
      <xdr:rowOff>66675</xdr:rowOff>
    </xdr:from>
    <xdr:to>
      <xdr:col>21</xdr:col>
      <xdr:colOff>904875</xdr:colOff>
      <xdr:row>109</xdr:row>
      <xdr:rowOff>95250</xdr:rowOff>
    </xdr:to>
    <xdr:pic>
      <xdr:nvPicPr>
        <xdr:cNvPr id="48703" name="Picture 7" descr="C:\WINDOWS\TEMP\~0003946.gif"/>
        <xdr:cNvPicPr>
          <a:picLocks noChangeAspect="1" noChangeArrowheads="1"/>
        </xdr:cNvPicPr>
      </xdr:nvPicPr>
      <xdr:blipFill>
        <a:blip xmlns:r="http://schemas.openxmlformats.org/officeDocument/2006/relationships" r:embed="rId6" r:link="rId4" cstate="print">
          <a:extLst>
            <a:ext uri="{28A0092B-C50C-407E-A947-70E740481C1C}">
              <a14:useLocalDpi xmlns:a14="http://schemas.microsoft.com/office/drawing/2010/main" val="0"/>
            </a:ext>
          </a:extLst>
        </a:blip>
        <a:srcRect/>
        <a:stretch>
          <a:fillRect/>
        </a:stretch>
      </xdr:blipFill>
      <xdr:spPr bwMode="auto">
        <a:xfrm>
          <a:off x="26079450" y="22183725"/>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133350</xdr:colOff>
      <xdr:row>57</xdr:row>
      <xdr:rowOff>85725</xdr:rowOff>
    </xdr:from>
    <xdr:to>
      <xdr:col>21</xdr:col>
      <xdr:colOff>933450</xdr:colOff>
      <xdr:row>58</xdr:row>
      <xdr:rowOff>114300</xdr:rowOff>
    </xdr:to>
    <xdr:pic>
      <xdr:nvPicPr>
        <xdr:cNvPr id="48704" name="Picture 8" descr="C:\WINDOWS\TEMP\~0003946.gif"/>
        <xdr:cNvPicPr>
          <a:picLocks noChangeAspect="1" noChangeArrowheads="1"/>
        </xdr:cNvPicPr>
      </xdr:nvPicPr>
      <xdr:blipFill>
        <a:blip xmlns:r="http://schemas.openxmlformats.org/officeDocument/2006/relationships" r:embed="rId7" r:link="rId4" cstate="print">
          <a:extLst>
            <a:ext uri="{28A0092B-C50C-407E-A947-70E740481C1C}">
              <a14:useLocalDpi xmlns:a14="http://schemas.microsoft.com/office/drawing/2010/main" val="0"/>
            </a:ext>
          </a:extLst>
        </a:blip>
        <a:srcRect/>
        <a:stretch>
          <a:fillRect/>
        </a:stretch>
      </xdr:blipFill>
      <xdr:spPr bwMode="auto">
        <a:xfrm>
          <a:off x="261080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2" name="Picture 1"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107</xdr:row>
      <xdr:rowOff>104775</xdr:rowOff>
    </xdr:from>
    <xdr:to>
      <xdr:col>1</xdr:col>
      <xdr:colOff>0</xdr:colOff>
      <xdr:row>108</xdr:row>
      <xdr:rowOff>142875</xdr:rowOff>
    </xdr:to>
    <xdr:pic>
      <xdr:nvPicPr>
        <xdr:cNvPr id="3" name="Picture 2"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220218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158</xdr:row>
      <xdr:rowOff>123825</xdr:rowOff>
    </xdr:from>
    <xdr:to>
      <xdr:col>1</xdr:col>
      <xdr:colOff>0</xdr:colOff>
      <xdr:row>159</xdr:row>
      <xdr:rowOff>161925</xdr:rowOff>
    </xdr:to>
    <xdr:pic>
      <xdr:nvPicPr>
        <xdr:cNvPr id="4" name="Picture 3"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322516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231</xdr:row>
      <xdr:rowOff>76200</xdr:rowOff>
    </xdr:from>
    <xdr:to>
      <xdr:col>1</xdr:col>
      <xdr:colOff>0</xdr:colOff>
      <xdr:row>232</xdr:row>
      <xdr:rowOff>114300</xdr:rowOff>
    </xdr:to>
    <xdr:pic>
      <xdr:nvPicPr>
        <xdr:cNvPr id="5" name="Picture 4"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468534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231</xdr:row>
      <xdr:rowOff>47625</xdr:rowOff>
    </xdr:from>
    <xdr:to>
      <xdr:col>21</xdr:col>
      <xdr:colOff>866775</xdr:colOff>
      <xdr:row>232</xdr:row>
      <xdr:rowOff>76200</xdr:rowOff>
    </xdr:to>
    <xdr:pic>
      <xdr:nvPicPr>
        <xdr:cNvPr id="6" name="Picture 5" descr="C:\WINDOWS\TEMP\~0003946.gif"/>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26041350" y="46824900"/>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158</xdr:row>
      <xdr:rowOff>57150</xdr:rowOff>
    </xdr:from>
    <xdr:to>
      <xdr:col>21</xdr:col>
      <xdr:colOff>504825</xdr:colOff>
      <xdr:row>159</xdr:row>
      <xdr:rowOff>85725</xdr:rowOff>
    </xdr:to>
    <xdr:pic>
      <xdr:nvPicPr>
        <xdr:cNvPr id="7" name="Picture 6" descr="C:\WINDOWS\TEMP\~0003946.gif"/>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5974675" y="3218497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107</xdr:row>
      <xdr:rowOff>66675</xdr:rowOff>
    </xdr:from>
    <xdr:to>
      <xdr:col>21</xdr:col>
      <xdr:colOff>904875</xdr:colOff>
      <xdr:row>108</xdr:row>
      <xdr:rowOff>95250</xdr:rowOff>
    </xdr:to>
    <xdr:pic>
      <xdr:nvPicPr>
        <xdr:cNvPr id="8" name="Picture 7" descr="C:\WINDOWS\TEMP\~0003946.gif"/>
        <xdr:cNvPicPr>
          <a:picLocks noChangeAspect="1" noChangeArrowheads="1"/>
        </xdr:cNvPicPr>
      </xdr:nvPicPr>
      <xdr:blipFill>
        <a:blip xmlns:r="http://schemas.openxmlformats.org/officeDocument/2006/relationships" r:embed="rId6" r:link="rId4" cstate="print">
          <a:extLst>
            <a:ext uri="{28A0092B-C50C-407E-A947-70E740481C1C}">
              <a14:useLocalDpi xmlns:a14="http://schemas.microsoft.com/office/drawing/2010/main" val="0"/>
            </a:ext>
          </a:extLst>
        </a:blip>
        <a:srcRect/>
        <a:stretch>
          <a:fillRect/>
        </a:stretch>
      </xdr:blipFill>
      <xdr:spPr bwMode="auto">
        <a:xfrm>
          <a:off x="26079450" y="21983700"/>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9" name="Picture 8" descr="C:\WINDOWS\TEMP\~0003946.gif"/>
        <xdr:cNvPicPr>
          <a:picLocks noChangeAspect="1" noChangeArrowheads="1"/>
        </xdr:cNvPicPr>
      </xdr:nvPicPr>
      <xdr:blipFill>
        <a:blip xmlns:r="http://schemas.openxmlformats.org/officeDocument/2006/relationships" r:embed="rId7" r:link="rId4" cstate="print">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2" name="Picture 1"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107</xdr:row>
      <xdr:rowOff>104775</xdr:rowOff>
    </xdr:from>
    <xdr:to>
      <xdr:col>1</xdr:col>
      <xdr:colOff>0</xdr:colOff>
      <xdr:row>108</xdr:row>
      <xdr:rowOff>142875</xdr:rowOff>
    </xdr:to>
    <xdr:pic>
      <xdr:nvPicPr>
        <xdr:cNvPr id="3" name="Picture 2"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220218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158</xdr:row>
      <xdr:rowOff>123825</xdr:rowOff>
    </xdr:from>
    <xdr:to>
      <xdr:col>1</xdr:col>
      <xdr:colOff>0</xdr:colOff>
      <xdr:row>159</xdr:row>
      <xdr:rowOff>161925</xdr:rowOff>
    </xdr:to>
    <xdr:pic>
      <xdr:nvPicPr>
        <xdr:cNvPr id="4" name="Picture 3"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322516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231</xdr:row>
      <xdr:rowOff>76200</xdr:rowOff>
    </xdr:from>
    <xdr:to>
      <xdr:col>1</xdr:col>
      <xdr:colOff>0</xdr:colOff>
      <xdr:row>232</xdr:row>
      <xdr:rowOff>114300</xdr:rowOff>
    </xdr:to>
    <xdr:pic>
      <xdr:nvPicPr>
        <xdr:cNvPr id="5" name="Picture 4"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468534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231</xdr:row>
      <xdr:rowOff>47625</xdr:rowOff>
    </xdr:from>
    <xdr:to>
      <xdr:col>21</xdr:col>
      <xdr:colOff>866775</xdr:colOff>
      <xdr:row>232</xdr:row>
      <xdr:rowOff>76200</xdr:rowOff>
    </xdr:to>
    <xdr:pic>
      <xdr:nvPicPr>
        <xdr:cNvPr id="6" name="Picture 5" descr="C:\WINDOWS\TEMP\~0003946.gif"/>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26041350" y="46824900"/>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158</xdr:row>
      <xdr:rowOff>57150</xdr:rowOff>
    </xdr:from>
    <xdr:to>
      <xdr:col>21</xdr:col>
      <xdr:colOff>504825</xdr:colOff>
      <xdr:row>159</xdr:row>
      <xdr:rowOff>85725</xdr:rowOff>
    </xdr:to>
    <xdr:pic>
      <xdr:nvPicPr>
        <xdr:cNvPr id="7" name="Picture 6" descr="C:\WINDOWS\TEMP\~0003946.gif"/>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5974675" y="3218497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107</xdr:row>
      <xdr:rowOff>66675</xdr:rowOff>
    </xdr:from>
    <xdr:to>
      <xdr:col>21</xdr:col>
      <xdr:colOff>904875</xdr:colOff>
      <xdr:row>108</xdr:row>
      <xdr:rowOff>95250</xdr:rowOff>
    </xdr:to>
    <xdr:pic>
      <xdr:nvPicPr>
        <xdr:cNvPr id="8" name="Picture 7" descr="C:\WINDOWS\TEMP\~0003946.gif"/>
        <xdr:cNvPicPr>
          <a:picLocks noChangeAspect="1" noChangeArrowheads="1"/>
        </xdr:cNvPicPr>
      </xdr:nvPicPr>
      <xdr:blipFill>
        <a:blip xmlns:r="http://schemas.openxmlformats.org/officeDocument/2006/relationships" r:embed="rId6" r:link="rId4" cstate="print">
          <a:extLst>
            <a:ext uri="{28A0092B-C50C-407E-A947-70E740481C1C}">
              <a14:useLocalDpi xmlns:a14="http://schemas.microsoft.com/office/drawing/2010/main" val="0"/>
            </a:ext>
          </a:extLst>
        </a:blip>
        <a:srcRect/>
        <a:stretch>
          <a:fillRect/>
        </a:stretch>
      </xdr:blipFill>
      <xdr:spPr bwMode="auto">
        <a:xfrm>
          <a:off x="26079450" y="21983700"/>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9" name="Picture 8" descr="C:\WINDOWS\TEMP\~0003946.gif"/>
        <xdr:cNvPicPr>
          <a:picLocks noChangeAspect="1" noChangeArrowheads="1"/>
        </xdr:cNvPicPr>
      </xdr:nvPicPr>
      <xdr:blipFill>
        <a:blip xmlns:r="http://schemas.openxmlformats.org/officeDocument/2006/relationships" r:embed="rId7" r:link="rId4" cstate="print">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2" name="Picture 1"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107</xdr:row>
      <xdr:rowOff>104775</xdr:rowOff>
    </xdr:from>
    <xdr:to>
      <xdr:col>1</xdr:col>
      <xdr:colOff>0</xdr:colOff>
      <xdr:row>108</xdr:row>
      <xdr:rowOff>142875</xdr:rowOff>
    </xdr:to>
    <xdr:pic>
      <xdr:nvPicPr>
        <xdr:cNvPr id="3" name="Picture 2"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220218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158</xdr:row>
      <xdr:rowOff>123825</xdr:rowOff>
    </xdr:from>
    <xdr:to>
      <xdr:col>1</xdr:col>
      <xdr:colOff>0</xdr:colOff>
      <xdr:row>159</xdr:row>
      <xdr:rowOff>161925</xdr:rowOff>
    </xdr:to>
    <xdr:pic>
      <xdr:nvPicPr>
        <xdr:cNvPr id="4" name="Picture 3"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322516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231</xdr:row>
      <xdr:rowOff>76200</xdr:rowOff>
    </xdr:from>
    <xdr:to>
      <xdr:col>1</xdr:col>
      <xdr:colOff>0</xdr:colOff>
      <xdr:row>232</xdr:row>
      <xdr:rowOff>114300</xdr:rowOff>
    </xdr:to>
    <xdr:pic>
      <xdr:nvPicPr>
        <xdr:cNvPr id="5" name="Picture 4"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468534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231</xdr:row>
      <xdr:rowOff>47625</xdr:rowOff>
    </xdr:from>
    <xdr:to>
      <xdr:col>21</xdr:col>
      <xdr:colOff>866775</xdr:colOff>
      <xdr:row>232</xdr:row>
      <xdr:rowOff>76200</xdr:rowOff>
    </xdr:to>
    <xdr:pic>
      <xdr:nvPicPr>
        <xdr:cNvPr id="6" name="Picture 5" descr="C:\WINDOWS\TEMP\~0003946.gif"/>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26041350" y="46824900"/>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158</xdr:row>
      <xdr:rowOff>57150</xdr:rowOff>
    </xdr:from>
    <xdr:to>
      <xdr:col>21</xdr:col>
      <xdr:colOff>504825</xdr:colOff>
      <xdr:row>159</xdr:row>
      <xdr:rowOff>85725</xdr:rowOff>
    </xdr:to>
    <xdr:pic>
      <xdr:nvPicPr>
        <xdr:cNvPr id="7" name="Picture 6" descr="C:\WINDOWS\TEMP\~0003946.gif"/>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5974675" y="3218497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107</xdr:row>
      <xdr:rowOff>66675</xdr:rowOff>
    </xdr:from>
    <xdr:to>
      <xdr:col>21</xdr:col>
      <xdr:colOff>904875</xdr:colOff>
      <xdr:row>108</xdr:row>
      <xdr:rowOff>95250</xdr:rowOff>
    </xdr:to>
    <xdr:pic>
      <xdr:nvPicPr>
        <xdr:cNvPr id="8" name="Picture 7" descr="C:\WINDOWS\TEMP\~0003946.gif"/>
        <xdr:cNvPicPr>
          <a:picLocks noChangeAspect="1" noChangeArrowheads="1"/>
        </xdr:cNvPicPr>
      </xdr:nvPicPr>
      <xdr:blipFill>
        <a:blip xmlns:r="http://schemas.openxmlformats.org/officeDocument/2006/relationships" r:embed="rId6" r:link="rId4" cstate="print">
          <a:extLst>
            <a:ext uri="{28A0092B-C50C-407E-A947-70E740481C1C}">
              <a14:useLocalDpi xmlns:a14="http://schemas.microsoft.com/office/drawing/2010/main" val="0"/>
            </a:ext>
          </a:extLst>
        </a:blip>
        <a:srcRect/>
        <a:stretch>
          <a:fillRect/>
        </a:stretch>
      </xdr:blipFill>
      <xdr:spPr bwMode="auto">
        <a:xfrm>
          <a:off x="26079450" y="21983700"/>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9" name="Picture 8" descr="C:\WINDOWS\TEMP\~0003946.gif"/>
        <xdr:cNvPicPr>
          <a:picLocks noChangeAspect="1" noChangeArrowheads="1"/>
        </xdr:cNvPicPr>
      </xdr:nvPicPr>
      <xdr:blipFill>
        <a:blip xmlns:r="http://schemas.openxmlformats.org/officeDocument/2006/relationships" r:embed="rId7" r:link="rId4" cstate="print">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2" name="Picture 1"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107</xdr:row>
      <xdr:rowOff>104775</xdr:rowOff>
    </xdr:from>
    <xdr:to>
      <xdr:col>1</xdr:col>
      <xdr:colOff>0</xdr:colOff>
      <xdr:row>108</xdr:row>
      <xdr:rowOff>142875</xdr:rowOff>
    </xdr:to>
    <xdr:pic>
      <xdr:nvPicPr>
        <xdr:cNvPr id="3" name="Picture 2"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220218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158</xdr:row>
      <xdr:rowOff>123825</xdr:rowOff>
    </xdr:from>
    <xdr:to>
      <xdr:col>1</xdr:col>
      <xdr:colOff>0</xdr:colOff>
      <xdr:row>159</xdr:row>
      <xdr:rowOff>161925</xdr:rowOff>
    </xdr:to>
    <xdr:pic>
      <xdr:nvPicPr>
        <xdr:cNvPr id="4" name="Picture 3"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322516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231</xdr:row>
      <xdr:rowOff>76200</xdr:rowOff>
    </xdr:from>
    <xdr:to>
      <xdr:col>1</xdr:col>
      <xdr:colOff>0</xdr:colOff>
      <xdr:row>232</xdr:row>
      <xdr:rowOff>114300</xdr:rowOff>
    </xdr:to>
    <xdr:pic>
      <xdr:nvPicPr>
        <xdr:cNvPr id="5" name="Picture 4"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468534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231</xdr:row>
      <xdr:rowOff>47625</xdr:rowOff>
    </xdr:from>
    <xdr:to>
      <xdr:col>21</xdr:col>
      <xdr:colOff>866775</xdr:colOff>
      <xdr:row>232</xdr:row>
      <xdr:rowOff>76200</xdr:rowOff>
    </xdr:to>
    <xdr:pic>
      <xdr:nvPicPr>
        <xdr:cNvPr id="6" name="Picture 5" descr="C:\WINDOWS\TEMP\~0003946.gif"/>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26041350" y="46824900"/>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158</xdr:row>
      <xdr:rowOff>57150</xdr:rowOff>
    </xdr:from>
    <xdr:to>
      <xdr:col>21</xdr:col>
      <xdr:colOff>504825</xdr:colOff>
      <xdr:row>159</xdr:row>
      <xdr:rowOff>85725</xdr:rowOff>
    </xdr:to>
    <xdr:pic>
      <xdr:nvPicPr>
        <xdr:cNvPr id="7" name="Picture 6" descr="C:\WINDOWS\TEMP\~0003946.gif"/>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5974675" y="3218497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107</xdr:row>
      <xdr:rowOff>66675</xdr:rowOff>
    </xdr:from>
    <xdr:to>
      <xdr:col>21</xdr:col>
      <xdr:colOff>904875</xdr:colOff>
      <xdr:row>108</xdr:row>
      <xdr:rowOff>95250</xdr:rowOff>
    </xdr:to>
    <xdr:pic>
      <xdr:nvPicPr>
        <xdr:cNvPr id="8" name="Picture 7" descr="C:\WINDOWS\TEMP\~0003946.gif"/>
        <xdr:cNvPicPr>
          <a:picLocks noChangeAspect="1" noChangeArrowheads="1"/>
        </xdr:cNvPicPr>
      </xdr:nvPicPr>
      <xdr:blipFill>
        <a:blip xmlns:r="http://schemas.openxmlformats.org/officeDocument/2006/relationships" r:embed="rId6" r:link="rId4" cstate="print">
          <a:extLst>
            <a:ext uri="{28A0092B-C50C-407E-A947-70E740481C1C}">
              <a14:useLocalDpi xmlns:a14="http://schemas.microsoft.com/office/drawing/2010/main" val="0"/>
            </a:ext>
          </a:extLst>
        </a:blip>
        <a:srcRect/>
        <a:stretch>
          <a:fillRect/>
        </a:stretch>
      </xdr:blipFill>
      <xdr:spPr bwMode="auto">
        <a:xfrm>
          <a:off x="26079450" y="21983700"/>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9" name="Picture 8" descr="C:\WINDOWS\TEMP\~0003946.gif"/>
        <xdr:cNvPicPr>
          <a:picLocks noChangeAspect="1" noChangeArrowheads="1"/>
        </xdr:cNvPicPr>
      </xdr:nvPicPr>
      <xdr:blipFill>
        <a:blip xmlns:r="http://schemas.openxmlformats.org/officeDocument/2006/relationships" r:embed="rId7" r:link="rId4" cstate="print">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2" name="Picture 1"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107</xdr:row>
      <xdr:rowOff>104775</xdr:rowOff>
    </xdr:from>
    <xdr:to>
      <xdr:col>1</xdr:col>
      <xdr:colOff>0</xdr:colOff>
      <xdr:row>108</xdr:row>
      <xdr:rowOff>142875</xdr:rowOff>
    </xdr:to>
    <xdr:pic>
      <xdr:nvPicPr>
        <xdr:cNvPr id="3" name="Picture 2"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220218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158</xdr:row>
      <xdr:rowOff>123825</xdr:rowOff>
    </xdr:from>
    <xdr:to>
      <xdr:col>1</xdr:col>
      <xdr:colOff>0</xdr:colOff>
      <xdr:row>159</xdr:row>
      <xdr:rowOff>161925</xdr:rowOff>
    </xdr:to>
    <xdr:pic>
      <xdr:nvPicPr>
        <xdr:cNvPr id="4" name="Picture 3"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322516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231</xdr:row>
      <xdr:rowOff>76200</xdr:rowOff>
    </xdr:from>
    <xdr:to>
      <xdr:col>1</xdr:col>
      <xdr:colOff>0</xdr:colOff>
      <xdr:row>232</xdr:row>
      <xdr:rowOff>114300</xdr:rowOff>
    </xdr:to>
    <xdr:pic>
      <xdr:nvPicPr>
        <xdr:cNvPr id="5" name="Picture 4"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468534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231</xdr:row>
      <xdr:rowOff>47625</xdr:rowOff>
    </xdr:from>
    <xdr:to>
      <xdr:col>21</xdr:col>
      <xdr:colOff>866775</xdr:colOff>
      <xdr:row>232</xdr:row>
      <xdr:rowOff>76200</xdr:rowOff>
    </xdr:to>
    <xdr:pic>
      <xdr:nvPicPr>
        <xdr:cNvPr id="6" name="Picture 5" descr="C:\WINDOWS\TEMP\~0003946.gif"/>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26041350" y="46824900"/>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158</xdr:row>
      <xdr:rowOff>57150</xdr:rowOff>
    </xdr:from>
    <xdr:to>
      <xdr:col>21</xdr:col>
      <xdr:colOff>504825</xdr:colOff>
      <xdr:row>159</xdr:row>
      <xdr:rowOff>85725</xdr:rowOff>
    </xdr:to>
    <xdr:pic>
      <xdr:nvPicPr>
        <xdr:cNvPr id="7" name="Picture 6" descr="C:\WINDOWS\TEMP\~0003946.gif"/>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5974675" y="3218497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107</xdr:row>
      <xdr:rowOff>66675</xdr:rowOff>
    </xdr:from>
    <xdr:to>
      <xdr:col>21</xdr:col>
      <xdr:colOff>904875</xdr:colOff>
      <xdr:row>108</xdr:row>
      <xdr:rowOff>95250</xdr:rowOff>
    </xdr:to>
    <xdr:pic>
      <xdr:nvPicPr>
        <xdr:cNvPr id="8" name="Picture 7" descr="C:\WINDOWS\TEMP\~0003946.gif"/>
        <xdr:cNvPicPr>
          <a:picLocks noChangeAspect="1" noChangeArrowheads="1"/>
        </xdr:cNvPicPr>
      </xdr:nvPicPr>
      <xdr:blipFill>
        <a:blip xmlns:r="http://schemas.openxmlformats.org/officeDocument/2006/relationships" r:embed="rId6" r:link="rId4" cstate="print">
          <a:extLst>
            <a:ext uri="{28A0092B-C50C-407E-A947-70E740481C1C}">
              <a14:useLocalDpi xmlns:a14="http://schemas.microsoft.com/office/drawing/2010/main" val="0"/>
            </a:ext>
          </a:extLst>
        </a:blip>
        <a:srcRect/>
        <a:stretch>
          <a:fillRect/>
        </a:stretch>
      </xdr:blipFill>
      <xdr:spPr bwMode="auto">
        <a:xfrm>
          <a:off x="26079450" y="21983700"/>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9" name="Picture 8" descr="C:\WINDOWS\TEMP\~0003946.gif"/>
        <xdr:cNvPicPr>
          <a:picLocks noChangeAspect="1" noChangeArrowheads="1"/>
        </xdr:cNvPicPr>
      </xdr:nvPicPr>
      <xdr:blipFill>
        <a:blip xmlns:r="http://schemas.openxmlformats.org/officeDocument/2006/relationships" r:embed="rId7" r:link="rId4" cstate="print">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2" name="Picture 1"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107</xdr:row>
      <xdr:rowOff>104775</xdr:rowOff>
    </xdr:from>
    <xdr:to>
      <xdr:col>1</xdr:col>
      <xdr:colOff>0</xdr:colOff>
      <xdr:row>108</xdr:row>
      <xdr:rowOff>142875</xdr:rowOff>
    </xdr:to>
    <xdr:pic>
      <xdr:nvPicPr>
        <xdr:cNvPr id="3" name="Picture 2"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220218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158</xdr:row>
      <xdr:rowOff>123825</xdr:rowOff>
    </xdr:from>
    <xdr:to>
      <xdr:col>1</xdr:col>
      <xdr:colOff>0</xdr:colOff>
      <xdr:row>159</xdr:row>
      <xdr:rowOff>161925</xdr:rowOff>
    </xdr:to>
    <xdr:pic>
      <xdr:nvPicPr>
        <xdr:cNvPr id="4" name="Picture 3"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322516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231</xdr:row>
      <xdr:rowOff>76200</xdr:rowOff>
    </xdr:from>
    <xdr:to>
      <xdr:col>1</xdr:col>
      <xdr:colOff>0</xdr:colOff>
      <xdr:row>232</xdr:row>
      <xdr:rowOff>114300</xdr:rowOff>
    </xdr:to>
    <xdr:pic>
      <xdr:nvPicPr>
        <xdr:cNvPr id="5" name="Picture 4"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468534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231</xdr:row>
      <xdr:rowOff>47625</xdr:rowOff>
    </xdr:from>
    <xdr:to>
      <xdr:col>21</xdr:col>
      <xdr:colOff>866775</xdr:colOff>
      <xdr:row>232</xdr:row>
      <xdr:rowOff>76200</xdr:rowOff>
    </xdr:to>
    <xdr:pic>
      <xdr:nvPicPr>
        <xdr:cNvPr id="6" name="Picture 5" descr="C:\WINDOWS\TEMP\~0003946.gif"/>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26041350" y="46824900"/>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158</xdr:row>
      <xdr:rowOff>57150</xdr:rowOff>
    </xdr:from>
    <xdr:to>
      <xdr:col>21</xdr:col>
      <xdr:colOff>504825</xdr:colOff>
      <xdr:row>159</xdr:row>
      <xdr:rowOff>85725</xdr:rowOff>
    </xdr:to>
    <xdr:pic>
      <xdr:nvPicPr>
        <xdr:cNvPr id="7" name="Picture 6" descr="C:\WINDOWS\TEMP\~0003946.gif"/>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5974675" y="3218497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107</xdr:row>
      <xdr:rowOff>66675</xdr:rowOff>
    </xdr:from>
    <xdr:to>
      <xdr:col>21</xdr:col>
      <xdr:colOff>904875</xdr:colOff>
      <xdr:row>108</xdr:row>
      <xdr:rowOff>95250</xdr:rowOff>
    </xdr:to>
    <xdr:pic>
      <xdr:nvPicPr>
        <xdr:cNvPr id="8" name="Picture 7" descr="C:\WINDOWS\TEMP\~0003946.gif"/>
        <xdr:cNvPicPr>
          <a:picLocks noChangeAspect="1" noChangeArrowheads="1"/>
        </xdr:cNvPicPr>
      </xdr:nvPicPr>
      <xdr:blipFill>
        <a:blip xmlns:r="http://schemas.openxmlformats.org/officeDocument/2006/relationships" r:embed="rId6" r:link="rId4" cstate="print">
          <a:extLst>
            <a:ext uri="{28A0092B-C50C-407E-A947-70E740481C1C}">
              <a14:useLocalDpi xmlns:a14="http://schemas.microsoft.com/office/drawing/2010/main" val="0"/>
            </a:ext>
          </a:extLst>
        </a:blip>
        <a:srcRect/>
        <a:stretch>
          <a:fillRect/>
        </a:stretch>
      </xdr:blipFill>
      <xdr:spPr bwMode="auto">
        <a:xfrm>
          <a:off x="26079450" y="21983700"/>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9" name="Picture 8" descr="C:\WINDOWS\TEMP\~0003946.gif"/>
        <xdr:cNvPicPr>
          <a:picLocks noChangeAspect="1" noChangeArrowheads="1"/>
        </xdr:cNvPicPr>
      </xdr:nvPicPr>
      <xdr:blipFill>
        <a:blip xmlns:r="http://schemas.openxmlformats.org/officeDocument/2006/relationships" r:embed="rId7" r:link="rId4" cstate="print">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2" name="Picture 1"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108</xdr:row>
      <xdr:rowOff>104775</xdr:rowOff>
    </xdr:from>
    <xdr:to>
      <xdr:col>1</xdr:col>
      <xdr:colOff>0</xdr:colOff>
      <xdr:row>109</xdr:row>
      <xdr:rowOff>142875</xdr:rowOff>
    </xdr:to>
    <xdr:pic>
      <xdr:nvPicPr>
        <xdr:cNvPr id="3" name="Picture 2"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220218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160</xdr:row>
      <xdr:rowOff>123825</xdr:rowOff>
    </xdr:from>
    <xdr:to>
      <xdr:col>1</xdr:col>
      <xdr:colOff>0</xdr:colOff>
      <xdr:row>161</xdr:row>
      <xdr:rowOff>161925</xdr:rowOff>
    </xdr:to>
    <xdr:pic>
      <xdr:nvPicPr>
        <xdr:cNvPr id="4" name="Picture 3"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322516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233</xdr:row>
      <xdr:rowOff>76200</xdr:rowOff>
    </xdr:from>
    <xdr:to>
      <xdr:col>1</xdr:col>
      <xdr:colOff>0</xdr:colOff>
      <xdr:row>234</xdr:row>
      <xdr:rowOff>114300</xdr:rowOff>
    </xdr:to>
    <xdr:pic>
      <xdr:nvPicPr>
        <xdr:cNvPr id="5" name="Picture 4" descr="C:\WINDOWS\TEMP\Symbol.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468534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233</xdr:row>
      <xdr:rowOff>47625</xdr:rowOff>
    </xdr:from>
    <xdr:to>
      <xdr:col>21</xdr:col>
      <xdr:colOff>866775</xdr:colOff>
      <xdr:row>234</xdr:row>
      <xdr:rowOff>76200</xdr:rowOff>
    </xdr:to>
    <xdr:pic>
      <xdr:nvPicPr>
        <xdr:cNvPr id="6" name="Picture 5" descr="C:\WINDOWS\TEMP\~0003946.gif"/>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26041350" y="46824900"/>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160</xdr:row>
      <xdr:rowOff>57150</xdr:rowOff>
    </xdr:from>
    <xdr:to>
      <xdr:col>21</xdr:col>
      <xdr:colOff>504825</xdr:colOff>
      <xdr:row>161</xdr:row>
      <xdr:rowOff>85725</xdr:rowOff>
    </xdr:to>
    <xdr:pic>
      <xdr:nvPicPr>
        <xdr:cNvPr id="7" name="Picture 6" descr="C:\WINDOWS\TEMP\~0003946.gif"/>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5974675" y="3218497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108</xdr:row>
      <xdr:rowOff>66675</xdr:rowOff>
    </xdr:from>
    <xdr:to>
      <xdr:col>21</xdr:col>
      <xdr:colOff>904875</xdr:colOff>
      <xdr:row>109</xdr:row>
      <xdr:rowOff>95250</xdr:rowOff>
    </xdr:to>
    <xdr:pic>
      <xdr:nvPicPr>
        <xdr:cNvPr id="8" name="Picture 7" descr="C:\WINDOWS\TEMP\~0003946.gif"/>
        <xdr:cNvPicPr>
          <a:picLocks noChangeAspect="1" noChangeArrowheads="1"/>
        </xdr:cNvPicPr>
      </xdr:nvPicPr>
      <xdr:blipFill>
        <a:blip xmlns:r="http://schemas.openxmlformats.org/officeDocument/2006/relationships" r:embed="rId6" r:link="rId4" cstate="print">
          <a:extLst>
            <a:ext uri="{28A0092B-C50C-407E-A947-70E740481C1C}">
              <a14:useLocalDpi xmlns:a14="http://schemas.microsoft.com/office/drawing/2010/main" val="0"/>
            </a:ext>
          </a:extLst>
        </a:blip>
        <a:srcRect/>
        <a:stretch>
          <a:fillRect/>
        </a:stretch>
      </xdr:blipFill>
      <xdr:spPr bwMode="auto">
        <a:xfrm>
          <a:off x="26079450" y="21983700"/>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9" name="Picture 8" descr="C:\WINDOWS\TEMP\~0003946.gif"/>
        <xdr:cNvPicPr>
          <a:picLocks noChangeAspect="1" noChangeArrowheads="1"/>
        </xdr:cNvPicPr>
      </xdr:nvPicPr>
      <xdr:blipFill>
        <a:blip xmlns:r="http://schemas.openxmlformats.org/officeDocument/2006/relationships" r:embed="rId7" r:link="rId4" cstate="print">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49721" name="Picture 1"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108</xdr:row>
      <xdr:rowOff>104775</xdr:rowOff>
    </xdr:from>
    <xdr:to>
      <xdr:col>1</xdr:col>
      <xdr:colOff>0</xdr:colOff>
      <xdr:row>109</xdr:row>
      <xdr:rowOff>142875</xdr:rowOff>
    </xdr:to>
    <xdr:pic>
      <xdr:nvPicPr>
        <xdr:cNvPr id="49722" name="Picture 2"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2222182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158</xdr:row>
      <xdr:rowOff>123825</xdr:rowOff>
    </xdr:from>
    <xdr:to>
      <xdr:col>1</xdr:col>
      <xdr:colOff>0</xdr:colOff>
      <xdr:row>159</xdr:row>
      <xdr:rowOff>161925</xdr:rowOff>
    </xdr:to>
    <xdr:pic>
      <xdr:nvPicPr>
        <xdr:cNvPr id="49723" name="Picture 3"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3225165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231</xdr:row>
      <xdr:rowOff>76200</xdr:rowOff>
    </xdr:from>
    <xdr:to>
      <xdr:col>1</xdr:col>
      <xdr:colOff>0</xdr:colOff>
      <xdr:row>232</xdr:row>
      <xdr:rowOff>114300</xdr:rowOff>
    </xdr:to>
    <xdr:pic>
      <xdr:nvPicPr>
        <xdr:cNvPr id="49724" name="Picture 4"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468534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231</xdr:row>
      <xdr:rowOff>47625</xdr:rowOff>
    </xdr:from>
    <xdr:to>
      <xdr:col>21</xdr:col>
      <xdr:colOff>866775</xdr:colOff>
      <xdr:row>232</xdr:row>
      <xdr:rowOff>76200</xdr:rowOff>
    </xdr:to>
    <xdr:pic>
      <xdr:nvPicPr>
        <xdr:cNvPr id="49725" name="Picture 5"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41350" y="46824900"/>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123825</xdr:colOff>
      <xdr:row>158</xdr:row>
      <xdr:rowOff>66675</xdr:rowOff>
    </xdr:from>
    <xdr:to>
      <xdr:col>21</xdr:col>
      <xdr:colOff>923925</xdr:colOff>
      <xdr:row>159</xdr:row>
      <xdr:rowOff>95250</xdr:rowOff>
    </xdr:to>
    <xdr:pic>
      <xdr:nvPicPr>
        <xdr:cNvPr id="49726" name="Picture 6"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98500" y="32194500"/>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108</xdr:row>
      <xdr:rowOff>66675</xdr:rowOff>
    </xdr:from>
    <xdr:to>
      <xdr:col>21</xdr:col>
      <xdr:colOff>904875</xdr:colOff>
      <xdr:row>109</xdr:row>
      <xdr:rowOff>95250</xdr:rowOff>
    </xdr:to>
    <xdr:pic>
      <xdr:nvPicPr>
        <xdr:cNvPr id="49727" name="Picture 7"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79450" y="22183725"/>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133350</xdr:colOff>
      <xdr:row>57</xdr:row>
      <xdr:rowOff>85725</xdr:rowOff>
    </xdr:from>
    <xdr:to>
      <xdr:col>21</xdr:col>
      <xdr:colOff>933450</xdr:colOff>
      <xdr:row>58</xdr:row>
      <xdr:rowOff>114300</xdr:rowOff>
    </xdr:to>
    <xdr:pic>
      <xdr:nvPicPr>
        <xdr:cNvPr id="49728" name="Picture 8"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1080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50745" name="Picture 1"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108</xdr:row>
      <xdr:rowOff>104775</xdr:rowOff>
    </xdr:from>
    <xdr:to>
      <xdr:col>1</xdr:col>
      <xdr:colOff>0</xdr:colOff>
      <xdr:row>109</xdr:row>
      <xdr:rowOff>142875</xdr:rowOff>
    </xdr:to>
    <xdr:pic>
      <xdr:nvPicPr>
        <xdr:cNvPr id="50746" name="Picture 2"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2222182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159</xdr:row>
      <xdr:rowOff>123825</xdr:rowOff>
    </xdr:from>
    <xdr:to>
      <xdr:col>1</xdr:col>
      <xdr:colOff>0</xdr:colOff>
      <xdr:row>160</xdr:row>
      <xdr:rowOff>161925</xdr:rowOff>
    </xdr:to>
    <xdr:pic>
      <xdr:nvPicPr>
        <xdr:cNvPr id="50747" name="Picture 3"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324516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232</xdr:row>
      <xdr:rowOff>76200</xdr:rowOff>
    </xdr:from>
    <xdr:to>
      <xdr:col>1</xdr:col>
      <xdr:colOff>0</xdr:colOff>
      <xdr:row>233</xdr:row>
      <xdr:rowOff>114300</xdr:rowOff>
    </xdr:to>
    <xdr:pic>
      <xdr:nvPicPr>
        <xdr:cNvPr id="50748" name="Picture 4"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470535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232</xdr:row>
      <xdr:rowOff>47625</xdr:rowOff>
    </xdr:from>
    <xdr:to>
      <xdr:col>21</xdr:col>
      <xdr:colOff>866775</xdr:colOff>
      <xdr:row>233</xdr:row>
      <xdr:rowOff>76200</xdr:rowOff>
    </xdr:to>
    <xdr:pic>
      <xdr:nvPicPr>
        <xdr:cNvPr id="50749" name="Picture 5"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41350" y="47024925"/>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123825</xdr:colOff>
      <xdr:row>159</xdr:row>
      <xdr:rowOff>66675</xdr:rowOff>
    </xdr:from>
    <xdr:to>
      <xdr:col>21</xdr:col>
      <xdr:colOff>923925</xdr:colOff>
      <xdr:row>160</xdr:row>
      <xdr:rowOff>95250</xdr:rowOff>
    </xdr:to>
    <xdr:pic>
      <xdr:nvPicPr>
        <xdr:cNvPr id="50750" name="Picture 6"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98500" y="3239452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108</xdr:row>
      <xdr:rowOff>66675</xdr:rowOff>
    </xdr:from>
    <xdr:to>
      <xdr:col>21</xdr:col>
      <xdr:colOff>904875</xdr:colOff>
      <xdr:row>109</xdr:row>
      <xdr:rowOff>95250</xdr:rowOff>
    </xdr:to>
    <xdr:pic>
      <xdr:nvPicPr>
        <xdr:cNvPr id="50751" name="Picture 7"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79450" y="22183725"/>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133350</xdr:colOff>
      <xdr:row>57</xdr:row>
      <xdr:rowOff>85725</xdr:rowOff>
    </xdr:from>
    <xdr:to>
      <xdr:col>21</xdr:col>
      <xdr:colOff>933450</xdr:colOff>
      <xdr:row>58</xdr:row>
      <xdr:rowOff>114300</xdr:rowOff>
    </xdr:to>
    <xdr:pic>
      <xdr:nvPicPr>
        <xdr:cNvPr id="50752" name="Picture 8"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1080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51769" name="Picture 1"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108</xdr:row>
      <xdr:rowOff>104775</xdr:rowOff>
    </xdr:from>
    <xdr:to>
      <xdr:col>1</xdr:col>
      <xdr:colOff>0</xdr:colOff>
      <xdr:row>109</xdr:row>
      <xdr:rowOff>142875</xdr:rowOff>
    </xdr:to>
    <xdr:pic>
      <xdr:nvPicPr>
        <xdr:cNvPr id="51770" name="Picture 2"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2222182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159</xdr:row>
      <xdr:rowOff>123825</xdr:rowOff>
    </xdr:from>
    <xdr:to>
      <xdr:col>1</xdr:col>
      <xdr:colOff>0</xdr:colOff>
      <xdr:row>160</xdr:row>
      <xdr:rowOff>161925</xdr:rowOff>
    </xdr:to>
    <xdr:pic>
      <xdr:nvPicPr>
        <xdr:cNvPr id="51771" name="Picture 3"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324516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232</xdr:row>
      <xdr:rowOff>76200</xdr:rowOff>
    </xdr:from>
    <xdr:to>
      <xdr:col>1</xdr:col>
      <xdr:colOff>0</xdr:colOff>
      <xdr:row>233</xdr:row>
      <xdr:rowOff>114300</xdr:rowOff>
    </xdr:to>
    <xdr:pic>
      <xdr:nvPicPr>
        <xdr:cNvPr id="51772" name="Picture 4"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470535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232</xdr:row>
      <xdr:rowOff>47625</xdr:rowOff>
    </xdr:from>
    <xdr:to>
      <xdr:col>21</xdr:col>
      <xdr:colOff>866775</xdr:colOff>
      <xdr:row>233</xdr:row>
      <xdr:rowOff>76200</xdr:rowOff>
    </xdr:to>
    <xdr:pic>
      <xdr:nvPicPr>
        <xdr:cNvPr id="51773" name="Picture 5"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41350" y="47024925"/>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123825</xdr:colOff>
      <xdr:row>159</xdr:row>
      <xdr:rowOff>66675</xdr:rowOff>
    </xdr:from>
    <xdr:to>
      <xdr:col>21</xdr:col>
      <xdr:colOff>923925</xdr:colOff>
      <xdr:row>160</xdr:row>
      <xdr:rowOff>95250</xdr:rowOff>
    </xdr:to>
    <xdr:pic>
      <xdr:nvPicPr>
        <xdr:cNvPr id="51774" name="Picture 6"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98500" y="3239452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108</xdr:row>
      <xdr:rowOff>66675</xdr:rowOff>
    </xdr:from>
    <xdr:to>
      <xdr:col>21</xdr:col>
      <xdr:colOff>904875</xdr:colOff>
      <xdr:row>109</xdr:row>
      <xdr:rowOff>95250</xdr:rowOff>
    </xdr:to>
    <xdr:pic>
      <xdr:nvPicPr>
        <xdr:cNvPr id="51775" name="Picture 7"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79450" y="22183725"/>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51776" name="Picture 8"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52793" name="Picture 1"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108</xdr:row>
      <xdr:rowOff>104775</xdr:rowOff>
    </xdr:from>
    <xdr:to>
      <xdr:col>1</xdr:col>
      <xdr:colOff>0</xdr:colOff>
      <xdr:row>109</xdr:row>
      <xdr:rowOff>142875</xdr:rowOff>
    </xdr:to>
    <xdr:pic>
      <xdr:nvPicPr>
        <xdr:cNvPr id="52794" name="Picture 2"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2222182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159</xdr:row>
      <xdr:rowOff>123825</xdr:rowOff>
    </xdr:from>
    <xdr:to>
      <xdr:col>1</xdr:col>
      <xdr:colOff>0</xdr:colOff>
      <xdr:row>160</xdr:row>
      <xdr:rowOff>161925</xdr:rowOff>
    </xdr:to>
    <xdr:pic>
      <xdr:nvPicPr>
        <xdr:cNvPr id="52795" name="Picture 3"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324516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232</xdr:row>
      <xdr:rowOff>76200</xdr:rowOff>
    </xdr:from>
    <xdr:to>
      <xdr:col>1</xdr:col>
      <xdr:colOff>0</xdr:colOff>
      <xdr:row>233</xdr:row>
      <xdr:rowOff>114300</xdr:rowOff>
    </xdr:to>
    <xdr:pic>
      <xdr:nvPicPr>
        <xdr:cNvPr id="52796" name="Picture 4"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470535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232</xdr:row>
      <xdr:rowOff>47625</xdr:rowOff>
    </xdr:from>
    <xdr:to>
      <xdr:col>21</xdr:col>
      <xdr:colOff>866775</xdr:colOff>
      <xdr:row>233</xdr:row>
      <xdr:rowOff>76200</xdr:rowOff>
    </xdr:to>
    <xdr:pic>
      <xdr:nvPicPr>
        <xdr:cNvPr id="52797" name="Picture 5"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41350" y="47024925"/>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123825</xdr:colOff>
      <xdr:row>159</xdr:row>
      <xdr:rowOff>66675</xdr:rowOff>
    </xdr:from>
    <xdr:to>
      <xdr:col>21</xdr:col>
      <xdr:colOff>923925</xdr:colOff>
      <xdr:row>160</xdr:row>
      <xdr:rowOff>95250</xdr:rowOff>
    </xdr:to>
    <xdr:pic>
      <xdr:nvPicPr>
        <xdr:cNvPr id="52798" name="Picture 6"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98500" y="3239452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108</xdr:row>
      <xdr:rowOff>66675</xdr:rowOff>
    </xdr:from>
    <xdr:to>
      <xdr:col>21</xdr:col>
      <xdr:colOff>904875</xdr:colOff>
      <xdr:row>109</xdr:row>
      <xdr:rowOff>95250</xdr:rowOff>
    </xdr:to>
    <xdr:pic>
      <xdr:nvPicPr>
        <xdr:cNvPr id="52799" name="Picture 7"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79450" y="22183725"/>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52800" name="Picture 8"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28575</xdr:colOff>
      <xdr:row>57</xdr:row>
      <xdr:rowOff>104775</xdr:rowOff>
    </xdr:from>
    <xdr:to>
      <xdr:col>1</xdr:col>
      <xdr:colOff>28575</xdr:colOff>
      <xdr:row>58</xdr:row>
      <xdr:rowOff>142875</xdr:rowOff>
    </xdr:to>
    <xdr:pic>
      <xdr:nvPicPr>
        <xdr:cNvPr id="53817" name="Picture 1"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116109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108</xdr:row>
      <xdr:rowOff>104775</xdr:rowOff>
    </xdr:from>
    <xdr:to>
      <xdr:col>1</xdr:col>
      <xdr:colOff>0</xdr:colOff>
      <xdr:row>109</xdr:row>
      <xdr:rowOff>142875</xdr:rowOff>
    </xdr:to>
    <xdr:pic>
      <xdr:nvPicPr>
        <xdr:cNvPr id="53818" name="Picture 2"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2222182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159</xdr:row>
      <xdr:rowOff>123825</xdr:rowOff>
    </xdr:from>
    <xdr:to>
      <xdr:col>1</xdr:col>
      <xdr:colOff>0</xdr:colOff>
      <xdr:row>160</xdr:row>
      <xdr:rowOff>161925</xdr:rowOff>
    </xdr:to>
    <xdr:pic>
      <xdr:nvPicPr>
        <xdr:cNvPr id="53819" name="Picture 3"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32451675"/>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232</xdr:row>
      <xdr:rowOff>76200</xdr:rowOff>
    </xdr:from>
    <xdr:to>
      <xdr:col>1</xdr:col>
      <xdr:colOff>0</xdr:colOff>
      <xdr:row>233</xdr:row>
      <xdr:rowOff>114300</xdr:rowOff>
    </xdr:to>
    <xdr:pic>
      <xdr:nvPicPr>
        <xdr:cNvPr id="53820" name="Picture 4" descr="C:\WINDOWS\TEMP\Symbol.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470535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66675</xdr:colOff>
      <xdr:row>232</xdr:row>
      <xdr:rowOff>47625</xdr:rowOff>
    </xdr:from>
    <xdr:to>
      <xdr:col>21</xdr:col>
      <xdr:colOff>866775</xdr:colOff>
      <xdr:row>233</xdr:row>
      <xdr:rowOff>76200</xdr:rowOff>
    </xdr:to>
    <xdr:pic>
      <xdr:nvPicPr>
        <xdr:cNvPr id="53821" name="Picture 5"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41350" y="47024925"/>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123825</xdr:colOff>
      <xdr:row>159</xdr:row>
      <xdr:rowOff>66675</xdr:rowOff>
    </xdr:from>
    <xdr:to>
      <xdr:col>21</xdr:col>
      <xdr:colOff>923925</xdr:colOff>
      <xdr:row>160</xdr:row>
      <xdr:rowOff>95250</xdr:rowOff>
    </xdr:to>
    <xdr:pic>
      <xdr:nvPicPr>
        <xdr:cNvPr id="53822" name="Picture 6"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98500" y="32394525"/>
          <a:ext cx="5048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108</xdr:row>
      <xdr:rowOff>66675</xdr:rowOff>
    </xdr:from>
    <xdr:to>
      <xdr:col>21</xdr:col>
      <xdr:colOff>904875</xdr:colOff>
      <xdr:row>109</xdr:row>
      <xdr:rowOff>95250</xdr:rowOff>
    </xdr:to>
    <xdr:pic>
      <xdr:nvPicPr>
        <xdr:cNvPr id="53823" name="Picture 7"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6079450" y="22183725"/>
          <a:ext cx="523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1323975</xdr:colOff>
      <xdr:row>57</xdr:row>
      <xdr:rowOff>85725</xdr:rowOff>
    </xdr:from>
    <xdr:to>
      <xdr:col>21</xdr:col>
      <xdr:colOff>476250</xdr:colOff>
      <xdr:row>58</xdr:row>
      <xdr:rowOff>114300</xdr:rowOff>
    </xdr:to>
    <xdr:pic>
      <xdr:nvPicPr>
        <xdr:cNvPr id="53824" name="Picture 8" descr="C:\WINDOWS\TEMP\~0003946.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955625" y="11591925"/>
          <a:ext cx="4953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6.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23"/>
  </sheetPr>
  <dimension ref="A1:X234"/>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11.81640625" style="1" customWidth="1"/>
    <col min="23" max="16384" width="9.6328125" style="1"/>
  </cols>
  <sheetData>
    <row r="1" spans="1:23" ht="20.399999999999999">
      <c r="A1" s="2" t="s">
        <v>233</v>
      </c>
      <c r="B1" s="3" t="s">
        <v>123</v>
      </c>
      <c r="C1" s="4"/>
      <c r="D1" s="4"/>
      <c r="E1" s="4"/>
      <c r="F1" s="4"/>
      <c r="G1" s="4"/>
      <c r="H1" s="4"/>
      <c r="I1" s="4"/>
      <c r="J1" s="4"/>
      <c r="K1" s="4"/>
      <c r="L1" s="4"/>
      <c r="M1" s="5"/>
      <c r="N1" s="5"/>
      <c r="O1" s="5"/>
      <c r="P1" s="5"/>
      <c r="Q1" s="5"/>
      <c r="R1" s="5"/>
      <c r="S1" s="5"/>
      <c r="T1" s="5"/>
      <c r="U1" s="5"/>
      <c r="V1" s="5"/>
      <c r="W1" s="6"/>
    </row>
    <row r="2" spans="1:23" ht="15.6">
      <c r="A2" s="7"/>
      <c r="B2" s="8"/>
      <c r="C2" s="8"/>
      <c r="D2" s="8"/>
      <c r="E2" s="8"/>
      <c r="F2" s="8"/>
      <c r="G2" s="8"/>
      <c r="H2" s="8"/>
      <c r="I2" s="8"/>
      <c r="J2" s="8"/>
      <c r="K2" s="8"/>
      <c r="L2" s="8"/>
      <c r="M2" s="9"/>
      <c r="N2" s="9"/>
      <c r="O2" s="9"/>
      <c r="P2" s="9"/>
      <c r="Q2" s="9"/>
      <c r="R2" s="9"/>
      <c r="S2" s="9"/>
      <c r="T2" s="9"/>
      <c r="U2" s="9"/>
      <c r="V2" s="9"/>
      <c r="W2" s="6"/>
    </row>
    <row r="3" spans="1:23" ht="15.6">
      <c r="A3" s="10"/>
      <c r="B3" s="141" t="s">
        <v>125</v>
      </c>
      <c r="C3" s="9"/>
      <c r="D3" s="9"/>
      <c r="E3" s="9"/>
      <c r="F3" s="9"/>
      <c r="G3" s="9"/>
      <c r="H3" s="9"/>
      <c r="I3" s="9"/>
      <c r="J3" s="9"/>
      <c r="K3" s="9"/>
      <c r="L3" s="9"/>
      <c r="M3" s="9"/>
      <c r="N3" s="9"/>
      <c r="O3" s="9"/>
      <c r="P3" s="9"/>
      <c r="Q3" s="9"/>
      <c r="R3" s="9"/>
      <c r="S3" s="9"/>
      <c r="T3" s="9"/>
      <c r="U3" s="9"/>
      <c r="V3" s="9"/>
      <c r="W3" s="6"/>
    </row>
    <row r="4" spans="1:23" ht="15.6">
      <c r="A4" s="7"/>
      <c r="B4" s="8"/>
      <c r="C4" s="8"/>
      <c r="D4" s="8"/>
      <c r="E4" s="8"/>
      <c r="F4" s="8"/>
      <c r="G4" s="8"/>
      <c r="H4" s="8"/>
      <c r="I4" s="8"/>
      <c r="J4" s="8"/>
      <c r="K4" s="8"/>
      <c r="L4" s="8"/>
      <c r="M4" s="9"/>
      <c r="N4" s="9"/>
      <c r="O4" s="9"/>
      <c r="P4" s="9"/>
      <c r="Q4" s="9"/>
      <c r="R4" s="9"/>
      <c r="S4" s="9"/>
      <c r="T4" s="9"/>
      <c r="U4" s="9"/>
      <c r="V4" s="9"/>
      <c r="W4" s="6"/>
    </row>
    <row r="5" spans="1:23" ht="16.2">
      <c r="A5" s="7"/>
      <c r="B5" s="192" t="s">
        <v>0</v>
      </c>
      <c r="C5" s="11"/>
      <c r="D5" s="11"/>
      <c r="E5" s="11"/>
      <c r="F5" s="11"/>
      <c r="G5" s="11"/>
      <c r="H5" s="11"/>
      <c r="I5" s="11"/>
      <c r="J5" s="11"/>
      <c r="K5" s="11"/>
      <c r="L5" s="11"/>
      <c r="M5" s="9"/>
      <c r="N5" s="9"/>
      <c r="O5" s="9"/>
      <c r="P5" s="9"/>
      <c r="Q5" s="9"/>
      <c r="R5" s="9"/>
      <c r="S5" s="9"/>
      <c r="T5" s="9"/>
      <c r="U5" s="9"/>
      <c r="V5" s="9"/>
      <c r="W5" s="6"/>
    </row>
    <row r="6" spans="1:23" ht="16.2">
      <c r="A6" s="7"/>
      <c r="B6" s="192" t="s">
        <v>1</v>
      </c>
      <c r="C6" s="11"/>
      <c r="D6" s="11"/>
      <c r="E6" s="11"/>
      <c r="F6" s="11"/>
      <c r="G6" s="11"/>
      <c r="H6" s="11"/>
      <c r="I6" s="11"/>
      <c r="J6" s="11"/>
      <c r="K6" s="11"/>
      <c r="L6" s="11"/>
      <c r="M6" s="9"/>
      <c r="N6" s="9"/>
      <c r="O6" s="9"/>
      <c r="P6" s="9"/>
      <c r="Q6" s="9"/>
      <c r="R6" s="9"/>
      <c r="S6" s="9"/>
      <c r="T6" s="9"/>
      <c r="U6" s="9"/>
      <c r="V6" s="9"/>
      <c r="W6" s="6"/>
    </row>
    <row r="7" spans="1:23" ht="16.2">
      <c r="A7" s="7"/>
      <c r="B7" s="192" t="s">
        <v>2</v>
      </c>
      <c r="C7" s="11"/>
      <c r="D7" s="11"/>
      <c r="E7" s="11"/>
      <c r="F7" s="11"/>
      <c r="G7" s="11"/>
      <c r="H7" s="11"/>
      <c r="I7" s="11"/>
      <c r="J7" s="11"/>
      <c r="K7" s="11"/>
      <c r="L7" s="11"/>
      <c r="M7" s="9"/>
      <c r="N7" s="9"/>
      <c r="O7" s="9"/>
      <c r="P7" s="9"/>
      <c r="Q7" s="9"/>
      <c r="R7" s="9"/>
      <c r="S7" s="9"/>
      <c r="T7" s="9"/>
      <c r="U7" s="9"/>
      <c r="V7" s="9"/>
      <c r="W7" s="6"/>
    </row>
    <row r="8" spans="1:23" ht="16.2">
      <c r="A8" s="7"/>
      <c r="B8" s="12"/>
      <c r="C8" s="11"/>
      <c r="D8" s="11"/>
      <c r="E8" s="11"/>
      <c r="F8" s="11"/>
      <c r="G8" s="11"/>
      <c r="H8" s="11"/>
      <c r="I8" s="11"/>
      <c r="J8" s="11"/>
      <c r="K8" s="11"/>
      <c r="L8" s="11"/>
      <c r="M8" s="9"/>
      <c r="N8" s="9"/>
      <c r="O8" s="9"/>
      <c r="P8" s="9"/>
      <c r="Q8" s="9"/>
      <c r="R8" s="9"/>
      <c r="S8" s="9"/>
      <c r="T8" s="9"/>
      <c r="U8" s="9"/>
      <c r="V8" s="9"/>
      <c r="W8" s="6"/>
    </row>
    <row r="9" spans="1:23" ht="18">
      <c r="A9" s="7"/>
      <c r="B9" s="178" t="s">
        <v>194</v>
      </c>
      <c r="C9" s="11"/>
      <c r="D9" s="11"/>
      <c r="E9" s="11"/>
      <c r="F9" s="11"/>
      <c r="G9" s="11"/>
      <c r="H9" s="11"/>
      <c r="I9" s="179" t="s">
        <v>195</v>
      </c>
      <c r="J9" s="11"/>
      <c r="K9" s="11"/>
      <c r="L9" s="11"/>
      <c r="M9" s="9"/>
      <c r="N9" s="9"/>
      <c r="O9" s="9"/>
      <c r="P9" s="9"/>
      <c r="Q9" s="9"/>
      <c r="R9" s="9"/>
      <c r="S9" s="9"/>
      <c r="T9" s="9"/>
      <c r="U9" s="9"/>
      <c r="V9" s="9"/>
      <c r="W9" s="6"/>
    </row>
    <row r="10" spans="1:23" ht="16.2">
      <c r="A10" s="7"/>
      <c r="B10" s="11"/>
      <c r="C10" s="11"/>
      <c r="D10" s="11"/>
      <c r="E10" s="11"/>
      <c r="F10" s="11"/>
      <c r="G10" s="11"/>
      <c r="H10" s="11"/>
      <c r="I10" s="11"/>
      <c r="J10" s="11"/>
      <c r="K10" s="11"/>
      <c r="L10" s="11"/>
      <c r="M10" s="13"/>
      <c r="N10" s="13"/>
      <c r="O10" s="9"/>
      <c r="P10" s="9"/>
      <c r="Q10" s="9"/>
      <c r="R10" s="9"/>
      <c r="S10" s="9"/>
      <c r="T10" s="9"/>
      <c r="U10" s="9"/>
      <c r="V10" s="9"/>
      <c r="W10" s="6"/>
    </row>
    <row r="11" spans="1:23" ht="15.6">
      <c r="A11" s="7"/>
      <c r="B11" s="13" t="s">
        <v>3</v>
      </c>
      <c r="C11" s="13"/>
      <c r="D11" s="13"/>
      <c r="E11" s="13"/>
      <c r="F11" s="13"/>
      <c r="G11" s="13"/>
      <c r="H11" s="13"/>
      <c r="I11" s="13"/>
      <c r="J11" s="13"/>
      <c r="K11" s="13"/>
      <c r="L11" s="13"/>
      <c r="M11" s="9"/>
      <c r="N11" s="9"/>
      <c r="O11" s="9"/>
      <c r="P11" s="9"/>
      <c r="Q11" s="9"/>
      <c r="R11" s="9"/>
      <c r="S11" s="9"/>
      <c r="T11" s="9"/>
      <c r="U11" s="9"/>
      <c r="V11" s="9"/>
      <c r="W11" s="6"/>
    </row>
    <row r="12" spans="1:23" ht="16.2" thickBot="1">
      <c r="A12" s="7"/>
      <c r="B12" s="13"/>
      <c r="C12" s="13"/>
      <c r="D12" s="13"/>
      <c r="E12" s="13"/>
      <c r="F12" s="13"/>
      <c r="G12" s="13"/>
      <c r="H12" s="13"/>
      <c r="I12" s="13"/>
      <c r="J12" s="13"/>
      <c r="K12" s="13"/>
      <c r="L12" s="13"/>
      <c r="M12" s="9"/>
      <c r="N12" s="9"/>
      <c r="O12" s="9"/>
      <c r="P12" s="9"/>
      <c r="Q12" s="9"/>
      <c r="R12" s="9"/>
      <c r="S12" s="9"/>
      <c r="T12" s="9"/>
      <c r="U12" s="9"/>
      <c r="V12" s="9"/>
      <c r="W12" s="6"/>
    </row>
    <row r="13" spans="1:23" ht="15.6">
      <c r="A13" s="2"/>
      <c r="B13" s="5"/>
      <c r="C13" s="5"/>
      <c r="D13" s="5"/>
      <c r="E13" s="5"/>
      <c r="F13" s="5"/>
      <c r="G13" s="5"/>
      <c r="H13" s="5"/>
      <c r="I13" s="5"/>
      <c r="J13" s="5"/>
      <c r="K13" s="5"/>
      <c r="L13" s="5"/>
      <c r="M13" s="5"/>
      <c r="N13" s="5"/>
      <c r="O13" s="5"/>
      <c r="P13" s="5"/>
      <c r="Q13" s="5"/>
      <c r="R13" s="5"/>
      <c r="S13" s="5"/>
      <c r="T13" s="5"/>
      <c r="U13" s="5"/>
      <c r="V13" s="5"/>
      <c r="W13" s="6"/>
    </row>
    <row r="14" spans="1:23" ht="15.6">
      <c r="A14" s="7"/>
      <c r="B14" s="14" t="s">
        <v>4</v>
      </c>
      <c r="C14" s="14"/>
      <c r="D14" s="14"/>
      <c r="E14" s="14"/>
      <c r="F14" s="14"/>
      <c r="G14" s="14"/>
      <c r="H14" s="14"/>
      <c r="I14" s="14"/>
      <c r="J14" s="14"/>
      <c r="K14" s="14"/>
      <c r="L14" s="14"/>
      <c r="M14" s="15"/>
      <c r="N14" s="15"/>
      <c r="O14" s="15"/>
      <c r="P14" s="15"/>
      <c r="Q14" s="15"/>
      <c r="R14" s="15"/>
      <c r="S14" s="15"/>
      <c r="T14" s="15"/>
      <c r="U14" s="16" t="s">
        <v>126</v>
      </c>
      <c r="V14" s="9"/>
      <c r="W14" s="6"/>
    </row>
    <row r="15" spans="1:23" ht="15.6">
      <c r="A15" s="7"/>
      <c r="B15" s="14" t="s">
        <v>5</v>
      </c>
      <c r="C15" s="14"/>
      <c r="D15" s="14"/>
      <c r="E15" s="14"/>
      <c r="F15" s="14"/>
      <c r="G15" s="14"/>
      <c r="H15" s="14"/>
      <c r="I15" s="14"/>
      <c r="J15" s="14"/>
      <c r="K15" s="14"/>
      <c r="L15" s="14"/>
      <c r="M15" s="17" t="s">
        <v>93</v>
      </c>
      <c r="N15" s="18">
        <v>0.1492</v>
      </c>
      <c r="O15" s="17" t="s">
        <v>99</v>
      </c>
      <c r="P15" s="18">
        <v>5.4399999999999997E-2</v>
      </c>
      <c r="Q15" s="17" t="s">
        <v>102</v>
      </c>
      <c r="R15" s="18">
        <v>0.48899999999999999</v>
      </c>
      <c r="S15" s="17" t="s">
        <v>108</v>
      </c>
      <c r="T15" s="18">
        <v>0.30740000000000001</v>
      </c>
      <c r="U15" s="16"/>
      <c r="V15" s="15"/>
      <c r="W15" s="6"/>
    </row>
    <row r="16" spans="1:23" ht="15.6">
      <c r="A16" s="7"/>
      <c r="B16" s="14" t="s">
        <v>6</v>
      </c>
      <c r="C16" s="14"/>
      <c r="D16" s="14"/>
      <c r="E16" s="14"/>
      <c r="F16" s="14"/>
      <c r="G16" s="14"/>
      <c r="H16" s="14"/>
      <c r="I16" s="14"/>
      <c r="J16" s="14"/>
      <c r="K16" s="14"/>
      <c r="L16" s="14"/>
      <c r="M16" s="17" t="s">
        <v>93</v>
      </c>
      <c r="N16" s="18">
        <f>+N198/S221</f>
        <v>0.12634444444444445</v>
      </c>
      <c r="O16" s="17" t="s">
        <v>99</v>
      </c>
      <c r="P16" s="18">
        <f>+S198/S221</f>
        <v>5.8731111111111109E-2</v>
      </c>
      <c r="Q16" s="17" t="s">
        <v>102</v>
      </c>
      <c r="R16" s="18">
        <f>+N211/S221</f>
        <v>0.43394666666666665</v>
      </c>
      <c r="S16" s="17" t="s">
        <v>108</v>
      </c>
      <c r="T16" s="18">
        <f>+S211/S221</f>
        <v>0.2851711111111111</v>
      </c>
      <c r="U16" s="16"/>
      <c r="V16" s="15"/>
      <c r="W16" s="6"/>
    </row>
    <row r="17" spans="1:23" ht="15.6">
      <c r="A17" s="7"/>
      <c r="B17" s="14" t="s">
        <v>7</v>
      </c>
      <c r="C17" s="14"/>
      <c r="D17" s="14"/>
      <c r="E17" s="14"/>
      <c r="F17" s="14"/>
      <c r="G17" s="14"/>
      <c r="H17" s="14"/>
      <c r="I17" s="14"/>
      <c r="J17" s="14"/>
      <c r="K17" s="14"/>
      <c r="L17" s="14"/>
      <c r="M17" s="15"/>
      <c r="N17" s="15"/>
      <c r="O17" s="15"/>
      <c r="P17" s="15"/>
      <c r="Q17" s="15"/>
      <c r="R17" s="15"/>
      <c r="S17" s="15"/>
      <c r="T17" s="15"/>
      <c r="U17" s="19">
        <v>38491</v>
      </c>
      <c r="V17" s="9"/>
      <c r="W17" s="6"/>
    </row>
    <row r="18" spans="1:23" ht="15.6">
      <c r="A18" s="7"/>
      <c r="B18" s="14" t="s">
        <v>8</v>
      </c>
      <c r="C18" s="14"/>
      <c r="D18" s="14"/>
      <c r="E18" s="14"/>
      <c r="F18" s="14"/>
      <c r="G18" s="14"/>
      <c r="H18" s="14"/>
      <c r="I18" s="14"/>
      <c r="J18" s="14"/>
      <c r="K18" s="14"/>
      <c r="L18" s="14"/>
      <c r="M18" s="15"/>
      <c r="N18" s="15"/>
      <c r="O18" s="15"/>
      <c r="P18" s="15"/>
      <c r="Q18" s="15"/>
      <c r="R18" s="15"/>
      <c r="S18" s="15"/>
      <c r="T18" s="15"/>
      <c r="U18" s="19">
        <v>38651</v>
      </c>
      <c r="V18" s="9"/>
      <c r="W18" s="6"/>
    </row>
    <row r="19" spans="1:23" ht="15.6">
      <c r="A19" s="7"/>
      <c r="B19" s="9"/>
      <c r="C19" s="9"/>
      <c r="D19" s="9"/>
      <c r="E19" s="9"/>
      <c r="F19" s="9"/>
      <c r="G19" s="9"/>
      <c r="H19" s="9"/>
      <c r="I19" s="9"/>
      <c r="J19" s="9"/>
      <c r="K19" s="9"/>
      <c r="L19" s="9"/>
      <c r="M19" s="9"/>
      <c r="N19" s="9"/>
      <c r="O19" s="9"/>
      <c r="P19" s="9"/>
      <c r="Q19" s="9"/>
      <c r="R19" s="9"/>
      <c r="S19" s="9"/>
      <c r="T19" s="9"/>
      <c r="U19" s="20"/>
      <c r="V19" s="9"/>
      <c r="W19" s="6"/>
    </row>
    <row r="20" spans="1:23" ht="15.6">
      <c r="A20" s="7"/>
      <c r="B20" s="21" t="s">
        <v>9</v>
      </c>
      <c r="C20" s="9"/>
      <c r="D20" s="9"/>
      <c r="E20" s="9"/>
      <c r="F20" s="9"/>
      <c r="G20" s="9"/>
      <c r="H20" s="9"/>
      <c r="I20" s="9"/>
      <c r="J20" s="9"/>
      <c r="K20" s="9"/>
      <c r="L20" s="9"/>
      <c r="M20" s="9"/>
      <c r="N20" s="9"/>
      <c r="O20" s="9"/>
      <c r="P20" s="9"/>
      <c r="Q20" s="9"/>
      <c r="R20" s="9"/>
      <c r="S20" s="20"/>
      <c r="T20" s="9"/>
      <c r="U20" s="12"/>
      <c r="V20" s="9"/>
      <c r="W20" s="6"/>
    </row>
    <row r="21" spans="1:23" ht="15.6">
      <c r="A21" s="7"/>
      <c r="B21" s="9"/>
      <c r="C21" s="9"/>
      <c r="D21" s="9"/>
      <c r="E21" s="9"/>
      <c r="F21" s="9"/>
      <c r="G21" s="9"/>
      <c r="H21" s="9"/>
      <c r="I21" s="9"/>
      <c r="J21" s="9"/>
      <c r="K21" s="9"/>
      <c r="L21" s="9"/>
      <c r="M21" s="9"/>
      <c r="N21" s="9"/>
      <c r="O21" s="9"/>
      <c r="P21" s="9"/>
      <c r="Q21" s="9"/>
      <c r="R21" s="9"/>
      <c r="S21" s="9"/>
      <c r="T21" s="9"/>
      <c r="U21" s="22"/>
      <c r="V21" s="9"/>
      <c r="W21" s="6"/>
    </row>
    <row r="22" spans="1:23" ht="15.6">
      <c r="A22" s="7"/>
      <c r="B22" s="9"/>
      <c r="C22" s="142" t="s">
        <v>130</v>
      </c>
      <c r="D22" s="142"/>
      <c r="E22" s="142" t="s">
        <v>131</v>
      </c>
      <c r="F22" s="142"/>
      <c r="G22" s="142" t="s">
        <v>132</v>
      </c>
      <c r="H22" s="142"/>
      <c r="I22" s="142" t="s">
        <v>133</v>
      </c>
      <c r="J22" s="142"/>
      <c r="K22" s="142" t="s">
        <v>134</v>
      </c>
      <c r="L22" s="142"/>
      <c r="M22" s="144" t="s">
        <v>135</v>
      </c>
      <c r="N22" s="144"/>
      <c r="O22" s="144" t="s">
        <v>136</v>
      </c>
      <c r="P22" s="144"/>
      <c r="Q22" s="144" t="s">
        <v>137</v>
      </c>
      <c r="R22" s="23"/>
      <c r="S22" s="24"/>
      <c r="T22" s="12"/>
      <c r="U22" s="12"/>
      <c r="V22" s="9"/>
      <c r="W22" s="6"/>
    </row>
    <row r="23" spans="1:23" ht="15.6">
      <c r="A23" s="25"/>
      <c r="B23" s="26" t="s">
        <v>10</v>
      </c>
      <c r="C23" s="157" t="s">
        <v>96</v>
      </c>
      <c r="D23" s="157"/>
      <c r="E23" s="157" t="s">
        <v>96</v>
      </c>
      <c r="F23" s="157"/>
      <c r="G23" s="157" t="s">
        <v>138</v>
      </c>
      <c r="H23" s="157"/>
      <c r="I23" s="157" t="s">
        <v>138</v>
      </c>
      <c r="J23" s="157"/>
      <c r="K23" s="157" t="s">
        <v>104</v>
      </c>
      <c r="L23" s="143"/>
      <c r="M23" s="28" t="s">
        <v>104</v>
      </c>
      <c r="N23" s="28"/>
      <c r="O23" s="28" t="s">
        <v>109</v>
      </c>
      <c r="P23" s="28"/>
      <c r="Q23" s="28" t="s">
        <v>109</v>
      </c>
      <c r="R23" s="28"/>
      <c r="S23" s="28"/>
      <c r="T23" s="29"/>
      <c r="U23" s="29"/>
      <c r="V23" s="26"/>
      <c r="W23" s="6"/>
    </row>
    <row r="24" spans="1:23" ht="15.6">
      <c r="A24" s="25"/>
      <c r="B24" s="26" t="s">
        <v>11</v>
      </c>
      <c r="C24" s="157" t="s">
        <v>97</v>
      </c>
      <c r="D24" s="157"/>
      <c r="E24" s="157" t="s">
        <v>97</v>
      </c>
      <c r="F24" s="157"/>
      <c r="G24" s="157" t="s">
        <v>139</v>
      </c>
      <c r="H24" s="157"/>
      <c r="I24" s="157" t="s">
        <v>139</v>
      </c>
      <c r="J24" s="157"/>
      <c r="K24" s="157" t="s">
        <v>105</v>
      </c>
      <c r="L24" s="27"/>
      <c r="M24" s="28" t="s">
        <v>105</v>
      </c>
      <c r="N24" s="28"/>
      <c r="O24" s="28" t="s">
        <v>110</v>
      </c>
      <c r="P24" s="28"/>
      <c r="Q24" s="28" t="s">
        <v>110</v>
      </c>
      <c r="R24" s="28"/>
      <c r="S24" s="28"/>
      <c r="T24" s="29"/>
      <c r="U24" s="29"/>
      <c r="V24" s="26"/>
      <c r="W24" s="6"/>
    </row>
    <row r="25" spans="1:23" ht="15.6">
      <c r="A25" s="25"/>
      <c r="B25" s="30" t="s">
        <v>12</v>
      </c>
      <c r="C25" s="110" t="s">
        <v>96</v>
      </c>
      <c r="D25" s="110"/>
      <c r="E25" s="110" t="s">
        <v>96</v>
      </c>
      <c r="F25" s="110"/>
      <c r="G25" s="110" t="s">
        <v>138</v>
      </c>
      <c r="H25" s="110"/>
      <c r="I25" s="110" t="s">
        <v>138</v>
      </c>
      <c r="J25" s="30"/>
      <c r="K25" s="110" t="s">
        <v>104</v>
      </c>
      <c r="L25" s="30"/>
      <c r="M25" s="31" t="s">
        <v>104</v>
      </c>
      <c r="N25" s="28"/>
      <c r="O25" s="31" t="s">
        <v>109</v>
      </c>
      <c r="P25" s="28"/>
      <c r="Q25" s="31" t="s">
        <v>109</v>
      </c>
      <c r="R25" s="31"/>
      <c r="S25" s="31"/>
      <c r="T25" s="32"/>
      <c r="U25" s="29"/>
      <c r="V25" s="26"/>
      <c r="W25" s="6"/>
    </row>
    <row r="26" spans="1:23" ht="15.6">
      <c r="A26" s="25"/>
      <c r="B26" s="30" t="s">
        <v>13</v>
      </c>
      <c r="C26" s="110" t="s">
        <v>97</v>
      </c>
      <c r="D26" s="110"/>
      <c r="E26" s="110" t="s">
        <v>97</v>
      </c>
      <c r="F26" s="110"/>
      <c r="G26" s="110" t="s">
        <v>139</v>
      </c>
      <c r="H26" s="110"/>
      <c r="I26" s="110" t="s">
        <v>139</v>
      </c>
      <c r="J26" s="30"/>
      <c r="K26" s="110" t="s">
        <v>105</v>
      </c>
      <c r="L26" s="30"/>
      <c r="M26" s="31" t="s">
        <v>105</v>
      </c>
      <c r="N26" s="28"/>
      <c r="O26" s="31" t="s">
        <v>110</v>
      </c>
      <c r="P26" s="28"/>
      <c r="Q26" s="31" t="s">
        <v>110</v>
      </c>
      <c r="R26" s="31"/>
      <c r="S26" s="31"/>
      <c r="T26" s="32"/>
      <c r="U26" s="29"/>
      <c r="V26" s="26"/>
      <c r="W26" s="6"/>
    </row>
    <row r="27" spans="1:23" ht="15.6">
      <c r="A27" s="25"/>
      <c r="B27" s="26" t="s">
        <v>14</v>
      </c>
      <c r="C27" s="33" t="s">
        <v>140</v>
      </c>
      <c r="D27" s="26"/>
      <c r="E27" s="33" t="s">
        <v>141</v>
      </c>
      <c r="F27" s="26"/>
      <c r="G27" s="33" t="s">
        <v>142</v>
      </c>
      <c r="H27" s="26"/>
      <c r="I27" s="33" t="s">
        <v>258</v>
      </c>
      <c r="J27" s="26"/>
      <c r="K27" s="33" t="s">
        <v>143</v>
      </c>
      <c r="L27" s="26"/>
      <c r="M27" s="26" t="s">
        <v>144</v>
      </c>
      <c r="N27" s="28"/>
      <c r="O27" s="26" t="s">
        <v>145</v>
      </c>
      <c r="P27" s="28"/>
      <c r="Q27" s="26" t="s">
        <v>146</v>
      </c>
      <c r="R27" s="28"/>
      <c r="S27" s="33"/>
      <c r="T27" s="29"/>
      <c r="U27" s="29"/>
      <c r="V27" s="26"/>
      <c r="W27" s="6"/>
    </row>
    <row r="28" spans="1:23" ht="15.6">
      <c r="A28" s="25"/>
      <c r="B28" s="26" t="s">
        <v>147</v>
      </c>
      <c r="C28" s="168">
        <v>146000</v>
      </c>
      <c r="D28" s="33"/>
      <c r="E28" s="165">
        <v>259500</v>
      </c>
      <c r="F28" s="33"/>
      <c r="G28" s="168">
        <v>16000</v>
      </c>
      <c r="H28" s="33"/>
      <c r="I28" s="165">
        <v>35500</v>
      </c>
      <c r="J28" s="26"/>
      <c r="K28" s="168">
        <v>18000</v>
      </c>
      <c r="L28" s="26"/>
      <c r="M28" s="165">
        <v>33000</v>
      </c>
      <c r="N28" s="35"/>
      <c r="O28" s="34">
        <v>24500</v>
      </c>
      <c r="P28" s="34"/>
      <c r="Q28" s="165">
        <v>30000</v>
      </c>
      <c r="R28" s="34"/>
      <c r="S28" s="34"/>
      <c r="T28" s="36"/>
      <c r="U28" s="34"/>
      <c r="V28" s="37"/>
      <c r="W28" s="6"/>
    </row>
    <row r="29" spans="1:23" ht="15.6">
      <c r="A29" s="25"/>
      <c r="B29" s="26" t="s">
        <v>15</v>
      </c>
      <c r="C29" s="168">
        <v>0</v>
      </c>
      <c r="D29" s="169"/>
      <c r="E29" s="165">
        <v>0</v>
      </c>
      <c r="F29" s="169"/>
      <c r="G29" s="168">
        <v>0</v>
      </c>
      <c r="H29" s="169"/>
      <c r="I29" s="165">
        <v>0</v>
      </c>
      <c r="J29" s="38"/>
      <c r="K29" s="168">
        <v>0</v>
      </c>
      <c r="L29" s="38"/>
      <c r="M29" s="165">
        <v>0</v>
      </c>
      <c r="N29" s="35"/>
      <c r="O29" s="34">
        <v>24500</v>
      </c>
      <c r="P29" s="34"/>
      <c r="Q29" s="165">
        <v>30000</v>
      </c>
      <c r="R29" s="39"/>
      <c r="S29" s="34"/>
      <c r="T29" s="36"/>
      <c r="U29" s="34"/>
      <c r="V29" s="37"/>
      <c r="W29" s="6"/>
    </row>
    <row r="30" spans="1:23" ht="15.6">
      <c r="A30" s="40"/>
      <c r="B30" s="30" t="s">
        <v>148</v>
      </c>
      <c r="C30" s="162">
        <v>146000</v>
      </c>
      <c r="D30" s="170"/>
      <c r="E30" s="171">
        <v>259500</v>
      </c>
      <c r="F30" s="170"/>
      <c r="G30" s="162">
        <v>16000</v>
      </c>
      <c r="H30" s="170"/>
      <c r="I30" s="171">
        <v>35500</v>
      </c>
      <c r="J30" s="159"/>
      <c r="K30" s="162">
        <v>18000</v>
      </c>
      <c r="L30" s="41"/>
      <c r="M30" s="166">
        <v>33000</v>
      </c>
      <c r="N30" s="43"/>
      <c r="O30" s="42">
        <v>24500</v>
      </c>
      <c r="P30" s="42"/>
      <c r="Q30" s="166">
        <v>30000</v>
      </c>
      <c r="R30" s="42"/>
      <c r="S30" s="42"/>
      <c r="T30" s="44"/>
      <c r="U30" s="42"/>
      <c r="V30" s="26"/>
      <c r="W30" s="6"/>
    </row>
    <row r="31" spans="1:23" ht="15.6">
      <c r="A31" s="40"/>
      <c r="B31" s="158" t="s">
        <v>260</v>
      </c>
      <c r="C31" s="172">
        <v>146000</v>
      </c>
      <c r="D31" s="173"/>
      <c r="E31" s="172">
        <v>178000</v>
      </c>
      <c r="F31" s="172"/>
      <c r="G31" s="172">
        <v>16000</v>
      </c>
      <c r="H31" s="172"/>
      <c r="I31" s="172">
        <v>24500</v>
      </c>
      <c r="J31" s="161"/>
      <c r="K31" s="172">
        <v>18000</v>
      </c>
      <c r="L31" s="161"/>
      <c r="M31" s="167">
        <v>22500</v>
      </c>
      <c r="N31" s="164"/>
      <c r="O31" s="167">
        <v>24500</v>
      </c>
      <c r="P31" s="163"/>
      <c r="Q31" s="167">
        <v>20500</v>
      </c>
      <c r="R31" s="42"/>
      <c r="S31" s="42"/>
      <c r="T31" s="44"/>
      <c r="U31" s="34">
        <f>+Q31+O31+M31+K31+I31+G31+E31+C31</f>
        <v>450000</v>
      </c>
      <c r="V31" s="26"/>
      <c r="W31" s="6"/>
    </row>
    <row r="32" spans="1:23" ht="15.6">
      <c r="A32" s="40"/>
      <c r="B32" s="158" t="s">
        <v>261</v>
      </c>
      <c r="C32" s="172">
        <v>0</v>
      </c>
      <c r="D32" s="173"/>
      <c r="E32" s="172">
        <v>0</v>
      </c>
      <c r="F32" s="172"/>
      <c r="G32" s="172">
        <v>0</v>
      </c>
      <c r="H32" s="172"/>
      <c r="I32" s="172">
        <v>0</v>
      </c>
      <c r="J32" s="161"/>
      <c r="K32" s="172">
        <v>0</v>
      </c>
      <c r="L32" s="161"/>
      <c r="M32" s="167">
        <v>0</v>
      </c>
      <c r="N32" s="164"/>
      <c r="O32" s="167">
        <v>0</v>
      </c>
      <c r="P32" s="163"/>
      <c r="Q32" s="167">
        <v>0</v>
      </c>
      <c r="R32" s="42"/>
      <c r="S32" s="42"/>
      <c r="T32" s="44"/>
      <c r="U32" s="34">
        <f>+Q32+O32+M32+K32+I32+G32+E32+C32</f>
        <v>0</v>
      </c>
      <c r="V32" s="26"/>
      <c r="W32" s="6"/>
    </row>
    <row r="33" spans="1:23" ht="15.6">
      <c r="A33" s="40"/>
      <c r="B33" s="30" t="s">
        <v>262</v>
      </c>
      <c r="C33" s="162">
        <v>146000</v>
      </c>
      <c r="D33" s="162"/>
      <c r="E33" s="162">
        <v>178000</v>
      </c>
      <c r="F33" s="162"/>
      <c r="G33" s="162">
        <v>16000</v>
      </c>
      <c r="H33" s="162"/>
      <c r="I33" s="162">
        <v>24500</v>
      </c>
      <c r="J33" s="160"/>
      <c r="K33" s="162">
        <v>18000</v>
      </c>
      <c r="L33" s="160"/>
      <c r="M33" s="162">
        <v>22500</v>
      </c>
      <c r="N33" s="160"/>
      <c r="O33" s="162">
        <v>24500</v>
      </c>
      <c r="P33" s="162"/>
      <c r="Q33" s="162">
        <v>20500</v>
      </c>
      <c r="R33" s="42"/>
      <c r="S33" s="42"/>
      <c r="T33" s="44"/>
      <c r="U33" s="42">
        <f>+Q33+O33+M33+K33+I33+G33+E33+C33</f>
        <v>450000</v>
      </c>
      <c r="V33" s="26"/>
      <c r="W33" s="6"/>
    </row>
    <row r="34" spans="1:23" ht="15.6">
      <c r="A34" s="40"/>
      <c r="B34" s="174" t="s">
        <v>149</v>
      </c>
      <c r="C34" s="175">
        <v>1</v>
      </c>
      <c r="D34" s="175"/>
      <c r="E34" s="175">
        <v>1</v>
      </c>
      <c r="F34" s="175"/>
      <c r="G34" s="175">
        <v>1</v>
      </c>
      <c r="H34" s="175"/>
      <c r="I34" s="175">
        <v>1</v>
      </c>
      <c r="J34" s="175"/>
      <c r="K34" s="175">
        <v>1</v>
      </c>
      <c r="L34" s="175"/>
      <c r="M34" s="175">
        <v>1</v>
      </c>
      <c r="N34" s="175"/>
      <c r="O34" s="175">
        <v>1</v>
      </c>
      <c r="P34" s="175"/>
      <c r="Q34" s="175">
        <v>1</v>
      </c>
      <c r="R34" s="176"/>
      <c r="S34" s="42"/>
      <c r="T34" s="44"/>
      <c r="U34" s="42"/>
      <c r="V34" s="26"/>
      <c r="W34" s="6"/>
    </row>
    <row r="35" spans="1:23" ht="15.6">
      <c r="A35" s="40"/>
      <c r="B35" s="174" t="s">
        <v>150</v>
      </c>
      <c r="C35" s="175">
        <v>0</v>
      </c>
      <c r="D35" s="175"/>
      <c r="E35" s="175">
        <v>0</v>
      </c>
      <c r="F35" s="175"/>
      <c r="G35" s="175">
        <v>0</v>
      </c>
      <c r="H35" s="175"/>
      <c r="I35" s="175">
        <v>0</v>
      </c>
      <c r="J35" s="175"/>
      <c r="K35" s="175">
        <v>0</v>
      </c>
      <c r="L35" s="175"/>
      <c r="M35" s="175">
        <v>0</v>
      </c>
      <c r="N35" s="175"/>
      <c r="O35" s="175">
        <v>0</v>
      </c>
      <c r="P35" s="175"/>
      <c r="Q35" s="175">
        <v>0</v>
      </c>
      <c r="R35" s="176"/>
      <c r="S35" s="42"/>
      <c r="T35" s="44"/>
      <c r="U35" s="42"/>
      <c r="V35" s="26"/>
      <c r="W35" s="6"/>
    </row>
    <row r="36" spans="1:23" ht="15.6">
      <c r="A36" s="25"/>
      <c r="B36" s="26" t="s">
        <v>153</v>
      </c>
      <c r="C36" s="157" t="s">
        <v>157</v>
      </c>
      <c r="D36" s="157"/>
      <c r="E36" s="157" t="s">
        <v>157</v>
      </c>
      <c r="F36" s="157"/>
      <c r="G36" s="157" t="s">
        <v>158</v>
      </c>
      <c r="H36" s="157"/>
      <c r="I36" s="157" t="s">
        <v>158</v>
      </c>
      <c r="J36" s="157"/>
      <c r="K36" s="157" t="s">
        <v>159</v>
      </c>
      <c r="L36" s="184"/>
      <c r="M36" s="157" t="s">
        <v>160</v>
      </c>
      <c r="N36" s="158"/>
      <c r="O36" s="157" t="s">
        <v>161</v>
      </c>
      <c r="P36" s="157"/>
      <c r="Q36" s="157" t="s">
        <v>162</v>
      </c>
      <c r="R36" s="157"/>
      <c r="S36" s="157"/>
      <c r="T36" s="158"/>
      <c r="U36" s="29"/>
      <c r="V36" s="26"/>
      <c r="W36" s="6"/>
    </row>
    <row r="37" spans="1:23" ht="15.6">
      <c r="A37" s="25"/>
      <c r="B37" s="26" t="s">
        <v>151</v>
      </c>
      <c r="C37" s="185">
        <v>5.0895000000000003E-2</v>
      </c>
      <c r="D37" s="185"/>
      <c r="E37" s="185">
        <v>2.3630000000000002E-2</v>
      </c>
      <c r="F37" s="185"/>
      <c r="G37" s="185">
        <v>5.1995E-2</v>
      </c>
      <c r="H37" s="185"/>
      <c r="I37" s="185">
        <v>2.4729999999999999E-2</v>
      </c>
      <c r="J37" s="185"/>
      <c r="K37" s="185">
        <v>5.4695000000000001E-2</v>
      </c>
      <c r="L37" s="185"/>
      <c r="M37" s="185">
        <v>2.7130000000000001E-2</v>
      </c>
      <c r="N37" s="185"/>
      <c r="O37" s="185">
        <v>5.8194999999999997E-2</v>
      </c>
      <c r="P37" s="185"/>
      <c r="Q37" s="185">
        <v>3.0429999999999999E-2</v>
      </c>
      <c r="R37" s="186"/>
      <c r="S37" s="185"/>
      <c r="T37" s="158"/>
      <c r="U37" s="33"/>
      <c r="V37" s="26"/>
      <c r="W37" s="6"/>
    </row>
    <row r="38" spans="1:23" ht="15.6">
      <c r="A38" s="25"/>
      <c r="B38" s="26" t="s">
        <v>152</v>
      </c>
      <c r="C38" s="185">
        <v>0</v>
      </c>
      <c r="D38" s="185"/>
      <c r="E38" s="185">
        <v>0</v>
      </c>
      <c r="F38" s="185"/>
      <c r="G38" s="185">
        <v>0</v>
      </c>
      <c r="H38" s="185"/>
      <c r="I38" s="185">
        <v>0</v>
      </c>
      <c r="J38" s="185"/>
      <c r="K38" s="185">
        <v>0</v>
      </c>
      <c r="L38" s="185"/>
      <c r="M38" s="185">
        <v>0</v>
      </c>
      <c r="N38" s="185"/>
      <c r="O38" s="185">
        <v>0</v>
      </c>
      <c r="P38" s="185"/>
      <c r="Q38" s="185">
        <v>0</v>
      </c>
      <c r="R38" s="186"/>
      <c r="S38" s="185"/>
      <c r="T38" s="158"/>
      <c r="U38" s="29"/>
      <c r="V38" s="26"/>
      <c r="W38" s="6"/>
    </row>
    <row r="39" spans="1:23" ht="15.6">
      <c r="A39" s="25"/>
      <c r="B39" s="26" t="s">
        <v>263</v>
      </c>
      <c r="C39" s="157" t="s">
        <v>157</v>
      </c>
      <c r="D39" s="185"/>
      <c r="E39" s="185" t="s">
        <v>198</v>
      </c>
      <c r="F39" s="185"/>
      <c r="G39" s="157" t="s">
        <v>158</v>
      </c>
      <c r="H39" s="185"/>
      <c r="I39" s="185" t="s">
        <v>225</v>
      </c>
      <c r="J39" s="185"/>
      <c r="K39" s="157" t="s">
        <v>159</v>
      </c>
      <c r="L39" s="185"/>
      <c r="M39" s="185" t="s">
        <v>199</v>
      </c>
      <c r="N39" s="185"/>
      <c r="O39" s="157" t="s">
        <v>161</v>
      </c>
      <c r="P39" s="185"/>
      <c r="Q39" s="185" t="s">
        <v>200</v>
      </c>
      <c r="R39" s="186"/>
      <c r="S39" s="185"/>
      <c r="T39" s="158"/>
      <c r="U39" s="29"/>
      <c r="V39" s="26"/>
      <c r="W39" s="6"/>
    </row>
    <row r="40" spans="1:23" ht="15.6">
      <c r="A40" s="25"/>
      <c r="B40" s="26" t="s">
        <v>264</v>
      </c>
      <c r="C40" s="185">
        <f>+C37</f>
        <v>5.0895000000000003E-2</v>
      </c>
      <c r="D40" s="185"/>
      <c r="E40" s="185">
        <v>5.1182999999999999E-2</v>
      </c>
      <c r="F40" s="185"/>
      <c r="G40" s="185">
        <f>+G37</f>
        <v>5.1995E-2</v>
      </c>
      <c r="H40" s="185"/>
      <c r="I40" s="185">
        <v>5.2361499999999998E-2</v>
      </c>
      <c r="J40" s="185"/>
      <c r="K40" s="185">
        <f>+K37</f>
        <v>5.4695000000000001E-2</v>
      </c>
      <c r="L40" s="184"/>
      <c r="M40" s="185">
        <v>5.4975200000000002E-2</v>
      </c>
      <c r="N40" s="184"/>
      <c r="O40" s="185">
        <f>+O37</f>
        <v>5.8194999999999997E-2</v>
      </c>
      <c r="P40" s="185"/>
      <c r="Q40" s="185">
        <v>5.8608199999999999E-2</v>
      </c>
      <c r="R40" s="186"/>
      <c r="S40" s="185"/>
      <c r="T40" s="158"/>
      <c r="U40" s="45">
        <f>SUMPRODUCT(C40:Q40,C31:Q31)/U31</f>
        <v>5.2232707444444436E-2</v>
      </c>
      <c r="V40" s="26"/>
      <c r="W40" s="6"/>
    </row>
    <row r="41" spans="1:23" ht="15.6">
      <c r="A41" s="25"/>
      <c r="B41" s="26" t="s">
        <v>265</v>
      </c>
      <c r="C41" s="185">
        <v>0</v>
      </c>
      <c r="D41" s="185"/>
      <c r="E41" s="185">
        <v>0</v>
      </c>
      <c r="F41" s="185"/>
      <c r="G41" s="185">
        <v>0</v>
      </c>
      <c r="H41" s="185"/>
      <c r="I41" s="185">
        <v>0</v>
      </c>
      <c r="J41" s="185"/>
      <c r="K41" s="185">
        <v>0</v>
      </c>
      <c r="L41" s="184"/>
      <c r="M41" s="185">
        <v>0</v>
      </c>
      <c r="N41" s="184"/>
      <c r="O41" s="185">
        <v>0</v>
      </c>
      <c r="P41" s="185"/>
      <c r="Q41" s="185">
        <v>0</v>
      </c>
      <c r="R41" s="186"/>
      <c r="S41" s="185"/>
      <c r="T41" s="158"/>
      <c r="U41" s="29"/>
      <c r="V41" s="26"/>
      <c r="W41" s="6"/>
    </row>
    <row r="42" spans="1:23" ht="15.6">
      <c r="A42" s="25"/>
      <c r="B42" s="26" t="s">
        <v>17</v>
      </c>
      <c r="C42" s="187">
        <v>39918</v>
      </c>
      <c r="D42" s="187"/>
      <c r="E42" s="187">
        <v>39918</v>
      </c>
      <c r="F42" s="187"/>
      <c r="G42" s="187">
        <v>39918</v>
      </c>
      <c r="H42" s="187"/>
      <c r="I42" s="187">
        <v>39918</v>
      </c>
      <c r="J42" s="187"/>
      <c r="K42" s="187">
        <v>39918</v>
      </c>
      <c r="L42" s="187"/>
      <c r="M42" s="187">
        <v>39918</v>
      </c>
      <c r="N42" s="187"/>
      <c r="O42" s="187">
        <v>39918</v>
      </c>
      <c r="P42" s="187"/>
      <c r="Q42" s="187">
        <v>39918</v>
      </c>
      <c r="R42" s="157"/>
      <c r="S42" s="157"/>
      <c r="T42" s="158"/>
      <c r="U42" s="29"/>
      <c r="V42" s="26"/>
      <c r="W42" s="6"/>
    </row>
    <row r="43" spans="1:23" ht="15.6">
      <c r="A43" s="25"/>
      <c r="B43" s="26" t="s">
        <v>18</v>
      </c>
      <c r="C43" s="46">
        <v>40283</v>
      </c>
      <c r="D43" s="51"/>
      <c r="E43" s="46">
        <v>40283</v>
      </c>
      <c r="F43" s="51"/>
      <c r="G43" s="46">
        <v>40283</v>
      </c>
      <c r="H43" s="51"/>
      <c r="I43" s="46">
        <v>40283</v>
      </c>
      <c r="J43" s="51"/>
      <c r="K43" s="46">
        <v>40283</v>
      </c>
      <c r="L43" s="51"/>
      <c r="M43" s="46">
        <v>40283</v>
      </c>
      <c r="N43" s="51"/>
      <c r="O43" s="46">
        <v>40283</v>
      </c>
      <c r="P43" s="46"/>
      <c r="Q43" s="46">
        <v>40283</v>
      </c>
      <c r="R43" s="33"/>
      <c r="S43" s="33"/>
      <c r="T43" s="29"/>
      <c r="U43" s="29"/>
      <c r="V43" s="26"/>
      <c r="W43" s="6"/>
    </row>
    <row r="44" spans="1:23" ht="15.6">
      <c r="A44" s="25"/>
      <c r="B44" s="26" t="s">
        <v>154</v>
      </c>
      <c r="C44" s="33" t="s">
        <v>163</v>
      </c>
      <c r="D44" s="33"/>
      <c r="E44" s="33" t="s">
        <v>163</v>
      </c>
      <c r="F44" s="33"/>
      <c r="G44" s="33" t="s">
        <v>164</v>
      </c>
      <c r="H44" s="33"/>
      <c r="I44" s="33" t="s">
        <v>164</v>
      </c>
      <c r="J44" s="33"/>
      <c r="K44" s="33" t="s">
        <v>106</v>
      </c>
      <c r="L44" s="33"/>
      <c r="M44" s="33" t="s">
        <v>165</v>
      </c>
      <c r="N44" s="33"/>
      <c r="O44" s="33" t="s">
        <v>166</v>
      </c>
      <c r="P44" s="33"/>
      <c r="Q44" s="33" t="s">
        <v>167</v>
      </c>
      <c r="R44" s="33"/>
      <c r="S44" s="33"/>
      <c r="T44" s="29"/>
      <c r="U44" s="29"/>
      <c r="V44" s="26"/>
      <c r="W44" s="6"/>
    </row>
    <row r="45" spans="1:23" ht="15.6">
      <c r="A45" s="25"/>
      <c r="B45" s="26" t="s">
        <v>266</v>
      </c>
      <c r="C45" s="33" t="s">
        <v>163</v>
      </c>
      <c r="D45" s="26"/>
      <c r="E45" s="33" t="s">
        <v>228</v>
      </c>
      <c r="F45" s="26"/>
      <c r="G45" s="33" t="s">
        <v>164</v>
      </c>
      <c r="H45" s="26"/>
      <c r="I45" s="33" t="s">
        <v>226</v>
      </c>
      <c r="J45" s="26"/>
      <c r="K45" s="33" t="s">
        <v>106</v>
      </c>
      <c r="L45" s="26"/>
      <c r="M45" s="33" t="s">
        <v>227</v>
      </c>
      <c r="N45" s="26"/>
      <c r="O45" s="33" t="s">
        <v>166</v>
      </c>
      <c r="P45" s="33"/>
      <c r="Q45" s="33" t="s">
        <v>229</v>
      </c>
      <c r="R45" s="33"/>
      <c r="S45" s="33"/>
      <c r="T45" s="29"/>
      <c r="U45" s="29"/>
      <c r="V45" s="26"/>
      <c r="W45" s="6"/>
    </row>
    <row r="46" spans="1:23" ht="15.6">
      <c r="A46" s="25"/>
      <c r="B46" s="26"/>
      <c r="C46" s="26"/>
      <c r="D46" s="26"/>
      <c r="E46" s="26"/>
      <c r="F46" s="26"/>
      <c r="G46" s="26"/>
      <c r="H46" s="26"/>
      <c r="I46" s="26"/>
      <c r="J46" s="26"/>
      <c r="K46" s="26"/>
      <c r="L46" s="26"/>
      <c r="M46" s="47"/>
      <c r="N46" s="47"/>
      <c r="O46" s="26"/>
      <c r="P46" s="47"/>
      <c r="Q46" s="47"/>
      <c r="R46" s="47"/>
      <c r="S46" s="47"/>
      <c r="T46" s="47"/>
      <c r="U46" s="47"/>
      <c r="V46" s="26"/>
      <c r="W46" s="6"/>
    </row>
    <row r="47" spans="1:23" ht="15.6">
      <c r="A47" s="25"/>
      <c r="B47" s="26" t="s">
        <v>201</v>
      </c>
      <c r="C47" s="26"/>
      <c r="D47" s="26"/>
      <c r="E47" s="26"/>
      <c r="F47" s="26"/>
      <c r="G47" s="26"/>
      <c r="H47" s="26"/>
      <c r="I47" s="26"/>
      <c r="J47" s="26"/>
      <c r="K47" s="26"/>
      <c r="L47" s="26"/>
      <c r="M47" s="26"/>
      <c r="N47" s="26"/>
      <c r="O47" s="26"/>
      <c r="P47" s="26"/>
      <c r="Q47" s="26"/>
      <c r="R47" s="26"/>
      <c r="S47" s="26"/>
      <c r="T47" s="26"/>
      <c r="U47" s="45">
        <f>SUM(G31:Q31)/(C31+E31)</f>
        <v>0.3888888888888889</v>
      </c>
      <c r="V47" s="26"/>
      <c r="W47" s="6"/>
    </row>
    <row r="48" spans="1:23" ht="15.6">
      <c r="A48" s="25"/>
      <c r="B48" s="26" t="s">
        <v>202</v>
      </c>
      <c r="C48" s="26"/>
      <c r="D48" s="26"/>
      <c r="E48" s="26"/>
      <c r="F48" s="26"/>
      <c r="G48" s="26"/>
      <c r="H48" s="26"/>
      <c r="I48" s="26"/>
      <c r="J48" s="26"/>
      <c r="K48" s="26"/>
      <c r="L48" s="26"/>
      <c r="M48" s="26"/>
      <c r="N48" s="26"/>
      <c r="O48" s="26"/>
      <c r="P48" s="26"/>
      <c r="Q48" s="26"/>
      <c r="R48" s="26"/>
      <c r="S48" s="26"/>
      <c r="T48" s="26"/>
      <c r="U48" s="45">
        <f>SUM(F33:Q33)/(C33+E33)</f>
        <v>0.3888888888888889</v>
      </c>
      <c r="V48" s="26"/>
      <c r="W48" s="6"/>
    </row>
    <row r="49" spans="1:23" ht="15.6">
      <c r="A49" s="25"/>
      <c r="B49" s="26" t="s">
        <v>203</v>
      </c>
      <c r="C49" s="26"/>
      <c r="D49" s="26"/>
      <c r="E49" s="26"/>
      <c r="F49" s="26"/>
      <c r="G49" s="26"/>
      <c r="H49" s="26"/>
      <c r="I49" s="26"/>
      <c r="J49" s="26"/>
      <c r="K49" s="26"/>
      <c r="L49" s="26"/>
      <c r="M49" s="26"/>
      <c r="N49" s="26"/>
      <c r="O49" s="26"/>
      <c r="P49" s="26"/>
      <c r="Q49" s="26"/>
      <c r="R49" s="26"/>
      <c r="S49" s="33" t="s">
        <v>95</v>
      </c>
      <c r="T49" s="33" t="s">
        <v>117</v>
      </c>
      <c r="U49" s="34">
        <v>99000</v>
      </c>
      <c r="V49" s="26"/>
      <c r="W49" s="6"/>
    </row>
    <row r="50" spans="1:23" ht="15.6">
      <c r="A50" s="25"/>
      <c r="B50" s="26"/>
      <c r="C50" s="26"/>
      <c r="D50" s="26"/>
      <c r="E50" s="26"/>
      <c r="F50" s="26"/>
      <c r="G50" s="26"/>
      <c r="H50" s="26"/>
      <c r="I50" s="26"/>
      <c r="J50" s="26"/>
      <c r="K50" s="26"/>
      <c r="L50" s="26"/>
      <c r="M50" s="26"/>
      <c r="N50" s="26"/>
      <c r="O50" s="26"/>
      <c r="P50" s="26"/>
      <c r="Q50" s="26"/>
      <c r="R50" s="26"/>
      <c r="S50" s="26" t="s">
        <v>213</v>
      </c>
      <c r="T50" s="26"/>
      <c r="U50" s="48"/>
      <c r="V50" s="26"/>
      <c r="W50" s="6"/>
    </row>
    <row r="51" spans="1:23" ht="15.6">
      <c r="A51" s="25"/>
      <c r="B51" s="26" t="s">
        <v>19</v>
      </c>
      <c r="C51" s="26"/>
      <c r="D51" s="26"/>
      <c r="E51" s="26"/>
      <c r="F51" s="26"/>
      <c r="G51" s="26"/>
      <c r="H51" s="26"/>
      <c r="I51" s="26"/>
      <c r="J51" s="26"/>
      <c r="K51" s="26"/>
      <c r="L51" s="26"/>
      <c r="M51" s="26"/>
      <c r="N51" s="26"/>
      <c r="O51" s="26"/>
      <c r="P51" s="26"/>
      <c r="Q51" s="26"/>
      <c r="R51" s="26"/>
      <c r="S51" s="33"/>
      <c r="T51" s="33"/>
      <c r="U51" s="33" t="s">
        <v>118</v>
      </c>
      <c r="V51" s="26"/>
      <c r="W51" s="6"/>
    </row>
    <row r="52" spans="1:23" ht="15.6">
      <c r="A52" s="40"/>
      <c r="B52" s="30" t="s">
        <v>20</v>
      </c>
      <c r="C52" s="30"/>
      <c r="D52" s="30"/>
      <c r="E52" s="30"/>
      <c r="F52" s="30"/>
      <c r="G52" s="30"/>
      <c r="H52" s="30"/>
      <c r="I52" s="30"/>
      <c r="J52" s="30"/>
      <c r="K52" s="30"/>
      <c r="L52" s="30"/>
      <c r="M52" s="30"/>
      <c r="N52" s="30"/>
      <c r="O52" s="30"/>
      <c r="P52" s="30"/>
      <c r="Q52" s="30"/>
      <c r="R52" s="30"/>
      <c r="S52" s="49"/>
      <c r="T52" s="49"/>
      <c r="U52" s="50">
        <v>38642</v>
      </c>
      <c r="V52" s="30"/>
      <c r="W52" s="6"/>
    </row>
    <row r="53" spans="1:23" ht="15.6">
      <c r="A53" s="25"/>
      <c r="B53" s="26" t="s">
        <v>155</v>
      </c>
      <c r="C53" s="26"/>
      <c r="D53" s="26"/>
      <c r="E53" s="26"/>
      <c r="F53" s="26"/>
      <c r="G53" s="26"/>
      <c r="H53" s="26"/>
      <c r="I53" s="26"/>
      <c r="J53" s="26"/>
      <c r="K53" s="26"/>
      <c r="L53" s="26"/>
      <c r="M53" s="26"/>
      <c r="N53" s="26"/>
      <c r="O53" s="26"/>
      <c r="P53" s="26"/>
      <c r="Q53" s="29"/>
      <c r="R53" s="51"/>
      <c r="S53" s="52"/>
      <c r="T53" s="53"/>
      <c r="U53" s="52"/>
      <c r="V53" s="26"/>
      <c r="W53" s="6"/>
    </row>
    <row r="54" spans="1:23" ht="15.6">
      <c r="A54" s="25"/>
      <c r="B54" s="26" t="s">
        <v>156</v>
      </c>
      <c r="C54" s="26"/>
      <c r="D54" s="26"/>
      <c r="E54" s="26"/>
      <c r="F54" s="26"/>
      <c r="G54" s="26"/>
      <c r="H54" s="26"/>
      <c r="I54" s="26"/>
      <c r="J54" s="26"/>
      <c r="K54" s="26"/>
      <c r="L54" s="26"/>
      <c r="M54" s="26"/>
      <c r="N54" s="26"/>
      <c r="O54" s="26"/>
      <c r="P54" s="26"/>
      <c r="Q54" s="29"/>
      <c r="R54" s="26">
        <f>U54-S54+1</f>
        <v>151</v>
      </c>
      <c r="S54" s="52">
        <v>38491</v>
      </c>
      <c r="T54" s="53"/>
      <c r="U54" s="52">
        <v>38641</v>
      </c>
      <c r="V54" s="26"/>
      <c r="W54" s="6"/>
    </row>
    <row r="55" spans="1:23" ht="15.6">
      <c r="A55" s="25"/>
      <c r="B55" s="26" t="s">
        <v>21</v>
      </c>
      <c r="C55" s="26"/>
      <c r="D55" s="26"/>
      <c r="E55" s="26"/>
      <c r="F55" s="26"/>
      <c r="G55" s="26"/>
      <c r="H55" s="26"/>
      <c r="I55" s="26"/>
      <c r="J55" s="26"/>
      <c r="K55" s="26"/>
      <c r="L55" s="26"/>
      <c r="M55" s="26"/>
      <c r="N55" s="26"/>
      <c r="O55" s="26"/>
      <c r="P55" s="26"/>
      <c r="Q55" s="26"/>
      <c r="R55" s="26"/>
      <c r="S55" s="52"/>
      <c r="T55" s="53"/>
      <c r="U55" s="52" t="s">
        <v>119</v>
      </c>
      <c r="V55" s="26"/>
      <c r="W55" s="6"/>
    </row>
    <row r="56" spans="1:23" ht="15.6">
      <c r="A56" s="25"/>
      <c r="B56" s="26" t="s">
        <v>22</v>
      </c>
      <c r="C56" s="26"/>
      <c r="D56" s="26"/>
      <c r="E56" s="26"/>
      <c r="F56" s="26"/>
      <c r="G56" s="26"/>
      <c r="H56" s="26"/>
      <c r="I56" s="26"/>
      <c r="J56" s="26"/>
      <c r="K56" s="26"/>
      <c r="L56" s="26"/>
      <c r="M56" s="26"/>
      <c r="N56" s="26"/>
      <c r="O56" s="26"/>
      <c r="P56" s="26"/>
      <c r="Q56" s="26"/>
      <c r="R56" s="26"/>
      <c r="S56" s="52"/>
      <c r="T56" s="53"/>
      <c r="U56" s="52">
        <v>38628</v>
      </c>
      <c r="V56" s="26"/>
      <c r="W56" s="6"/>
    </row>
    <row r="57" spans="1:23" ht="15.6">
      <c r="A57" s="25"/>
      <c r="B57" s="26"/>
      <c r="C57" s="26"/>
      <c r="D57" s="26"/>
      <c r="E57" s="26"/>
      <c r="F57" s="26"/>
      <c r="G57" s="26"/>
      <c r="H57" s="26"/>
      <c r="I57" s="26"/>
      <c r="J57" s="26"/>
      <c r="K57" s="26"/>
      <c r="L57" s="26"/>
      <c r="M57" s="26"/>
      <c r="N57" s="26"/>
      <c r="O57" s="26"/>
      <c r="P57" s="26"/>
      <c r="Q57" s="26"/>
      <c r="R57" s="26"/>
      <c r="S57" s="26"/>
      <c r="T57" s="26"/>
      <c r="U57" s="54"/>
      <c r="V57" s="26"/>
      <c r="W57" s="6"/>
    </row>
    <row r="58" spans="1:23" ht="15.6">
      <c r="A58" s="7"/>
      <c r="B58" s="9"/>
      <c r="C58" s="9"/>
      <c r="D58" s="9"/>
      <c r="E58" s="9"/>
      <c r="F58" s="9"/>
      <c r="G58" s="9"/>
      <c r="H58" s="9"/>
      <c r="I58" s="9"/>
      <c r="J58" s="9"/>
      <c r="K58" s="9"/>
      <c r="L58" s="9"/>
      <c r="M58" s="9"/>
      <c r="N58" s="9"/>
      <c r="O58" s="9"/>
      <c r="P58" s="9"/>
      <c r="Q58" s="9"/>
      <c r="R58" s="9"/>
      <c r="S58" s="9"/>
      <c r="T58" s="9"/>
      <c r="U58" s="55"/>
      <c r="V58" s="9"/>
      <c r="W58" s="6"/>
    </row>
    <row r="59" spans="1:23" ht="16.2" thickBot="1">
      <c r="A59" s="130"/>
      <c r="B59" s="131" t="s">
        <v>124</v>
      </c>
      <c r="C59" s="132"/>
      <c r="D59" s="132"/>
      <c r="E59" s="132"/>
      <c r="F59" s="132"/>
      <c r="G59" s="132"/>
      <c r="H59" s="132"/>
      <c r="I59" s="132"/>
      <c r="J59" s="132"/>
      <c r="K59" s="132"/>
      <c r="L59" s="132"/>
      <c r="M59" s="132"/>
      <c r="N59" s="132"/>
      <c r="O59" s="132"/>
      <c r="P59" s="132"/>
      <c r="Q59" s="132"/>
      <c r="R59" s="132"/>
      <c r="S59" s="132"/>
      <c r="T59" s="132"/>
      <c r="U59" s="133"/>
      <c r="V59" s="134"/>
      <c r="W59" s="6"/>
    </row>
    <row r="60" spans="1:23" ht="15.6">
      <c r="A60" s="2"/>
      <c r="B60" s="5"/>
      <c r="C60" s="5"/>
      <c r="D60" s="5"/>
      <c r="E60" s="5"/>
      <c r="F60" s="5"/>
      <c r="G60" s="5"/>
      <c r="H60" s="5"/>
      <c r="I60" s="5"/>
      <c r="J60" s="5"/>
      <c r="K60" s="5"/>
      <c r="L60" s="5"/>
      <c r="M60" s="5"/>
      <c r="N60" s="5"/>
      <c r="O60" s="5"/>
      <c r="P60" s="5"/>
      <c r="Q60" s="5"/>
      <c r="R60" s="5"/>
      <c r="S60" s="5"/>
      <c r="T60" s="5"/>
      <c r="U60" s="56"/>
      <c r="V60" s="5"/>
      <c r="W60" s="6"/>
    </row>
    <row r="61" spans="1:23" ht="15.6">
      <c r="A61" s="7"/>
      <c r="B61" s="57" t="s">
        <v>23</v>
      </c>
      <c r="C61" s="13"/>
      <c r="D61" s="13"/>
      <c r="E61" s="13"/>
      <c r="F61" s="13"/>
      <c r="G61" s="13"/>
      <c r="H61" s="13"/>
      <c r="I61" s="13"/>
      <c r="J61" s="13"/>
      <c r="K61" s="13"/>
      <c r="L61" s="13"/>
      <c r="M61" s="9"/>
      <c r="N61" s="9"/>
      <c r="O61" s="9"/>
      <c r="P61" s="9"/>
      <c r="Q61" s="9"/>
      <c r="R61" s="9"/>
      <c r="S61" s="9"/>
      <c r="T61" s="9"/>
      <c r="U61" s="58"/>
      <c r="V61" s="9"/>
      <c r="W61" s="6"/>
    </row>
    <row r="62" spans="1:23" ht="15.6">
      <c r="A62" s="7"/>
      <c r="B62" s="13"/>
      <c r="C62" s="13"/>
      <c r="D62" s="13"/>
      <c r="E62" s="13"/>
      <c r="F62" s="13"/>
      <c r="G62" s="13"/>
      <c r="H62" s="13"/>
      <c r="I62" s="13"/>
      <c r="J62" s="13"/>
      <c r="K62" s="13"/>
      <c r="L62" s="13"/>
      <c r="M62" s="9"/>
      <c r="N62" s="9"/>
      <c r="O62" s="9"/>
      <c r="P62" s="9"/>
      <c r="Q62" s="9"/>
      <c r="R62" s="9"/>
      <c r="S62" s="9"/>
      <c r="T62" s="9"/>
      <c r="U62" s="58"/>
      <c r="V62" s="9"/>
      <c r="W62" s="6"/>
    </row>
    <row r="63" spans="1:23" s="151" customFormat="1" ht="46.8">
      <c r="A63" s="145"/>
      <c r="B63" s="146"/>
      <c r="C63" s="147"/>
      <c r="D63" s="147"/>
      <c r="E63" s="147"/>
      <c r="F63" s="147"/>
      <c r="G63" s="147"/>
      <c r="H63" s="147"/>
      <c r="I63" s="147"/>
      <c r="J63" s="147"/>
      <c r="K63" s="147" t="s">
        <v>197</v>
      </c>
      <c r="L63" s="147"/>
      <c r="M63" s="147" t="s">
        <v>98</v>
      </c>
      <c r="N63" s="147"/>
      <c r="O63" s="147" t="s">
        <v>107</v>
      </c>
      <c r="P63" s="147"/>
      <c r="Q63" s="147" t="s">
        <v>111</v>
      </c>
      <c r="R63" s="147"/>
      <c r="S63" s="147" t="s">
        <v>113</v>
      </c>
      <c r="T63" s="147"/>
      <c r="U63" s="148" t="s">
        <v>120</v>
      </c>
      <c r="V63" s="149"/>
      <c r="W63" s="150"/>
    </row>
    <row r="64" spans="1:23" ht="15.6">
      <c r="A64" s="25"/>
      <c r="B64" s="26" t="s">
        <v>24</v>
      </c>
      <c r="C64" s="59"/>
      <c r="D64" s="59"/>
      <c r="E64" s="59"/>
      <c r="F64" s="59"/>
      <c r="G64" s="59"/>
      <c r="H64" s="59"/>
      <c r="I64" s="59"/>
      <c r="J64" s="59"/>
      <c r="K64" s="59">
        <f>265+63566+3306</f>
        <v>67137</v>
      </c>
      <c r="L64" s="59"/>
      <c r="M64" s="59">
        <v>0</v>
      </c>
      <c r="N64" s="59"/>
      <c r="O64" s="59">
        <f>33+27-1+3377+3274+22+449+215+746-2+52</f>
        <v>8192</v>
      </c>
      <c r="P64" s="59"/>
      <c r="Q64" s="59">
        <v>0</v>
      </c>
      <c r="R64" s="59"/>
      <c r="S64" s="59">
        <v>0</v>
      </c>
      <c r="T64" s="59"/>
      <c r="U64" s="60">
        <f>+K64-O64+Q64-S64</f>
        <v>58945</v>
      </c>
      <c r="V64" s="26"/>
      <c r="W64" s="6"/>
    </row>
    <row r="65" spans="1:24" ht="15.6">
      <c r="A65" s="25"/>
      <c r="B65" s="26" t="s">
        <v>25</v>
      </c>
      <c r="C65" s="59"/>
      <c r="D65" s="59"/>
      <c r="E65" s="59"/>
      <c r="F65" s="59"/>
      <c r="G65" s="59"/>
      <c r="H65" s="59"/>
      <c r="I65" s="59"/>
      <c r="J65" s="59"/>
      <c r="K65" s="59"/>
      <c r="L65" s="59"/>
      <c r="M65" s="59"/>
      <c r="N65" s="59"/>
      <c r="O65" s="59"/>
      <c r="P65" s="59"/>
      <c r="Q65" s="59">
        <v>0</v>
      </c>
      <c r="R65" s="59"/>
      <c r="S65" s="59">
        <v>0</v>
      </c>
      <c r="T65" s="59"/>
      <c r="U65" s="60">
        <f>M65-O65</f>
        <v>0</v>
      </c>
      <c r="V65" s="26"/>
      <c r="W65" s="6"/>
    </row>
    <row r="66" spans="1:24" ht="15.6">
      <c r="A66" s="25"/>
      <c r="B66" s="26"/>
      <c r="C66" s="59"/>
      <c r="D66" s="59"/>
      <c r="E66" s="59"/>
      <c r="F66" s="59"/>
      <c r="G66" s="59"/>
      <c r="H66" s="59"/>
      <c r="I66" s="59"/>
      <c r="J66" s="59"/>
      <c r="K66" s="59"/>
      <c r="L66" s="59"/>
      <c r="M66" s="59"/>
      <c r="N66" s="59"/>
      <c r="O66" s="59"/>
      <c r="P66" s="59"/>
      <c r="Q66" s="59"/>
      <c r="R66" s="59"/>
      <c r="S66" s="59"/>
      <c r="T66" s="59"/>
      <c r="U66" s="60"/>
      <c r="V66" s="26"/>
      <c r="W66" s="6"/>
    </row>
    <row r="67" spans="1:24" ht="15.6">
      <c r="A67" s="25"/>
      <c r="B67" s="26" t="s">
        <v>26</v>
      </c>
      <c r="C67" s="59"/>
      <c r="D67" s="59"/>
      <c r="E67" s="59"/>
      <c r="F67" s="59"/>
      <c r="G67" s="59"/>
      <c r="H67" s="59"/>
      <c r="I67" s="59"/>
      <c r="J67" s="59"/>
      <c r="K67" s="59">
        <v>24470</v>
      </c>
      <c r="L67" s="59"/>
      <c r="M67" s="59">
        <v>0</v>
      </c>
      <c r="N67" s="59"/>
      <c r="O67" s="59">
        <f>11525+16+567</f>
        <v>12108</v>
      </c>
      <c r="P67" s="59"/>
      <c r="Q67" s="59">
        <v>14155</v>
      </c>
      <c r="R67" s="59"/>
      <c r="S67" s="59">
        <f>SUM(S64:S66)</f>
        <v>0</v>
      </c>
      <c r="T67" s="59"/>
      <c r="U67" s="60">
        <f>+K67-O67+Q67-S67</f>
        <v>26517</v>
      </c>
      <c r="V67" s="26"/>
      <c r="W67" s="6"/>
    </row>
    <row r="68" spans="1:24" ht="15.6">
      <c r="A68" s="25"/>
      <c r="B68" s="26" t="s">
        <v>25</v>
      </c>
      <c r="C68" s="59"/>
      <c r="D68" s="59"/>
      <c r="E68" s="59"/>
      <c r="F68" s="59"/>
      <c r="G68" s="59"/>
      <c r="H68" s="59"/>
      <c r="I68" s="59"/>
      <c r="J68" s="59"/>
      <c r="K68" s="59"/>
      <c r="L68" s="59"/>
      <c r="M68" s="59"/>
      <c r="N68" s="59"/>
      <c r="O68" s="59"/>
      <c r="P68" s="59"/>
      <c r="Q68" s="59">
        <v>0</v>
      </c>
      <c r="R68" s="59"/>
      <c r="S68" s="59">
        <v>0</v>
      </c>
      <c r="T68" s="59"/>
      <c r="U68" s="61"/>
      <c r="V68" s="26"/>
      <c r="W68" s="6"/>
    </row>
    <row r="69" spans="1:24" ht="15.6">
      <c r="A69" s="25"/>
      <c r="B69" s="62"/>
      <c r="C69" s="59"/>
      <c r="D69" s="59"/>
      <c r="E69" s="59"/>
      <c r="F69" s="59"/>
      <c r="G69" s="59"/>
      <c r="H69" s="59"/>
      <c r="I69" s="59"/>
      <c r="J69" s="59"/>
      <c r="K69" s="59"/>
      <c r="L69" s="59"/>
      <c r="M69" s="59"/>
      <c r="N69" s="59"/>
      <c r="O69" s="63"/>
      <c r="P69" s="59"/>
      <c r="Q69" s="59"/>
      <c r="R69" s="59"/>
      <c r="S69" s="59"/>
      <c r="T69" s="59"/>
      <c r="U69" s="61"/>
      <c r="V69" s="26"/>
      <c r="W69" s="6"/>
    </row>
    <row r="70" spans="1:24" ht="15.6">
      <c r="A70" s="25"/>
      <c r="B70" s="26" t="s">
        <v>27</v>
      </c>
      <c r="C70" s="59"/>
      <c r="D70" s="59"/>
      <c r="E70" s="59"/>
      <c r="F70" s="59"/>
      <c r="G70" s="59"/>
      <c r="H70" s="59"/>
      <c r="I70" s="59"/>
      <c r="J70" s="59"/>
      <c r="K70" s="59">
        <v>220072</v>
      </c>
      <c r="L70" s="59"/>
      <c r="M70" s="59">
        <v>0</v>
      </c>
      <c r="N70" s="59"/>
      <c r="O70" s="59">
        <f>39318+3576+593+286+255</f>
        <v>44028</v>
      </c>
      <c r="P70" s="59"/>
      <c r="Q70" s="59">
        <f>19052+366</f>
        <v>19418</v>
      </c>
      <c r="R70" s="59"/>
      <c r="S70" s="59">
        <v>0</v>
      </c>
      <c r="T70" s="59"/>
      <c r="U70" s="60">
        <f>+K70-O70+Q70-S70</f>
        <v>195462</v>
      </c>
      <c r="V70" s="26"/>
      <c r="W70" s="6"/>
    </row>
    <row r="71" spans="1:24" ht="15.6">
      <c r="A71" s="25"/>
      <c r="B71" s="26" t="s">
        <v>25</v>
      </c>
      <c r="C71" s="59"/>
      <c r="D71" s="59"/>
      <c r="E71" s="59"/>
      <c r="F71" s="59"/>
      <c r="G71" s="59"/>
      <c r="H71" s="59"/>
      <c r="I71" s="59"/>
      <c r="J71" s="59"/>
      <c r="K71" s="59"/>
      <c r="L71" s="59"/>
      <c r="M71" s="59"/>
      <c r="N71" s="59"/>
      <c r="O71" s="59"/>
      <c r="P71" s="59"/>
      <c r="Q71" s="59">
        <v>0</v>
      </c>
      <c r="R71" s="59"/>
      <c r="S71" s="59">
        <v>0</v>
      </c>
      <c r="T71" s="59"/>
      <c r="U71" s="60">
        <f>M71-O71+Q71-S71</f>
        <v>0</v>
      </c>
      <c r="V71" s="26"/>
      <c r="W71" s="6"/>
    </row>
    <row r="72" spans="1:24" ht="15.6">
      <c r="A72" s="25"/>
      <c r="B72" s="26"/>
      <c r="C72" s="59"/>
      <c r="D72" s="59"/>
      <c r="E72" s="59"/>
      <c r="F72" s="59"/>
      <c r="G72" s="59"/>
      <c r="H72" s="59"/>
      <c r="I72" s="59"/>
      <c r="J72" s="59"/>
      <c r="K72" s="59"/>
      <c r="L72" s="59"/>
      <c r="M72" s="59"/>
      <c r="N72" s="59"/>
      <c r="O72" s="59"/>
      <c r="P72" s="59"/>
      <c r="Q72" s="59"/>
      <c r="R72" s="59"/>
      <c r="S72" s="59"/>
      <c r="T72" s="59"/>
      <c r="U72" s="60"/>
      <c r="V72" s="26"/>
      <c r="W72" s="6"/>
    </row>
    <row r="73" spans="1:24" ht="15.6">
      <c r="A73" s="25"/>
      <c r="B73" s="26" t="s">
        <v>28</v>
      </c>
      <c r="C73" s="59"/>
      <c r="D73" s="59"/>
      <c r="E73" s="59"/>
      <c r="F73" s="59"/>
      <c r="G73" s="59"/>
      <c r="H73" s="59"/>
      <c r="I73" s="59"/>
      <c r="J73" s="59"/>
      <c r="K73" s="59">
        <v>138321</v>
      </c>
      <c r="L73" s="59"/>
      <c r="M73" s="59">
        <v>0</v>
      </c>
      <c r="N73" s="59"/>
      <c r="O73" s="59">
        <f>16014+16988+264+1378+1</f>
        <v>34645</v>
      </c>
      <c r="P73" s="59"/>
      <c r="Q73" s="59">
        <v>24911</v>
      </c>
      <c r="R73" s="59"/>
      <c r="S73" s="59">
        <v>0</v>
      </c>
      <c r="T73" s="59"/>
      <c r="U73" s="60">
        <f>+K73-O73+Q73-S73</f>
        <v>128587</v>
      </c>
      <c r="V73" s="26"/>
      <c r="W73" s="6"/>
    </row>
    <row r="74" spans="1:24" ht="15.6">
      <c r="A74" s="25"/>
      <c r="B74" s="26" t="s">
        <v>25</v>
      </c>
      <c r="C74" s="59"/>
      <c r="D74" s="59"/>
      <c r="E74" s="59"/>
      <c r="F74" s="59"/>
      <c r="G74" s="59"/>
      <c r="H74" s="59"/>
      <c r="I74" s="59"/>
      <c r="J74" s="59"/>
      <c r="K74" s="59"/>
      <c r="L74" s="59"/>
      <c r="M74" s="59"/>
      <c r="N74" s="59"/>
      <c r="O74" s="59"/>
      <c r="P74" s="59"/>
      <c r="Q74" s="59">
        <v>0</v>
      </c>
      <c r="R74" s="59"/>
      <c r="S74" s="59">
        <v>0</v>
      </c>
      <c r="T74" s="59"/>
      <c r="U74" s="60"/>
      <c r="V74" s="26"/>
      <c r="W74" s="6"/>
    </row>
    <row r="75" spans="1:24" ht="15.6">
      <c r="A75" s="25"/>
      <c r="B75" s="59"/>
      <c r="C75" s="59"/>
      <c r="D75" s="59"/>
      <c r="E75" s="59"/>
      <c r="F75" s="59"/>
      <c r="G75" s="59"/>
      <c r="H75" s="59"/>
      <c r="I75" s="59"/>
      <c r="J75" s="59"/>
      <c r="K75" s="59"/>
      <c r="L75" s="59"/>
      <c r="M75" s="59"/>
      <c r="N75" s="59"/>
      <c r="O75" s="59"/>
      <c r="P75" s="59"/>
      <c r="Q75" s="59"/>
      <c r="R75" s="59"/>
      <c r="S75" s="59"/>
      <c r="T75" s="59"/>
      <c r="U75" s="60"/>
      <c r="V75" s="26"/>
      <c r="W75" s="6"/>
    </row>
    <row r="76" spans="1:24" ht="15.6">
      <c r="A76" s="25"/>
      <c r="B76" s="26" t="s">
        <v>29</v>
      </c>
      <c r="C76" s="59"/>
      <c r="D76" s="59"/>
      <c r="E76" s="59"/>
      <c r="F76" s="59"/>
      <c r="G76" s="59"/>
      <c r="H76" s="59"/>
      <c r="I76" s="59"/>
      <c r="J76" s="59"/>
      <c r="K76" s="59">
        <f>SUM(K64:K73)</f>
        <v>450000</v>
      </c>
      <c r="L76" s="59"/>
      <c r="M76" s="59">
        <f>SUM(M64:M73)</f>
        <v>0</v>
      </c>
      <c r="N76" s="59"/>
      <c r="O76" s="59">
        <f>SUM(O64:O74)</f>
        <v>98973</v>
      </c>
      <c r="P76" s="59"/>
      <c r="Q76" s="59">
        <f>SUM(Q64:Q74)</f>
        <v>58484</v>
      </c>
      <c r="R76" s="59"/>
      <c r="S76" s="59">
        <f>SUM(S71:S75)</f>
        <v>0</v>
      </c>
      <c r="T76" s="59"/>
      <c r="U76" s="59">
        <f>SUM(U64:U74)</f>
        <v>409511</v>
      </c>
      <c r="V76" s="26"/>
      <c r="W76" s="6"/>
      <c r="X76" s="182"/>
    </row>
    <row r="77" spans="1:24" ht="15.6">
      <c r="A77" s="25"/>
      <c r="B77" s="26"/>
      <c r="C77" s="59"/>
      <c r="D77" s="59"/>
      <c r="E77" s="59"/>
      <c r="F77" s="59"/>
      <c r="G77" s="59"/>
      <c r="H77" s="59"/>
      <c r="I77" s="59"/>
      <c r="J77" s="59"/>
      <c r="K77" s="59"/>
      <c r="L77" s="59"/>
      <c r="M77" s="59"/>
      <c r="N77" s="59"/>
      <c r="O77" s="59"/>
      <c r="P77" s="59"/>
      <c r="Q77" s="59"/>
      <c r="R77" s="59"/>
      <c r="S77" s="59"/>
      <c r="T77" s="59"/>
      <c r="U77" s="61"/>
      <c r="V77" s="26"/>
      <c r="W77" s="6"/>
    </row>
    <row r="78" spans="1:24" ht="15.6">
      <c r="A78" s="25"/>
      <c r="B78" s="26" t="s">
        <v>214</v>
      </c>
      <c r="C78" s="59"/>
      <c r="D78" s="59"/>
      <c r="E78" s="59"/>
      <c r="F78" s="59"/>
      <c r="G78" s="59"/>
      <c r="H78" s="59"/>
      <c r="I78" s="59"/>
      <c r="J78" s="59"/>
      <c r="K78" s="59">
        <v>0</v>
      </c>
      <c r="L78" s="59"/>
      <c r="M78" s="59">
        <v>0</v>
      </c>
      <c r="N78" s="59"/>
      <c r="O78" s="59">
        <v>2624</v>
      </c>
      <c r="P78" s="59"/>
      <c r="Q78" s="59"/>
      <c r="R78" s="59"/>
      <c r="S78" s="59"/>
      <c r="T78" s="59"/>
      <c r="U78" s="60">
        <f>+M78-O78</f>
        <v>-2624</v>
      </c>
      <c r="V78" s="26"/>
      <c r="W78" s="6"/>
    </row>
    <row r="79" spans="1:24" ht="15.6">
      <c r="A79" s="25"/>
      <c r="B79" s="26" t="s">
        <v>30</v>
      </c>
      <c r="C79" s="59"/>
      <c r="D79" s="59"/>
      <c r="E79" s="59"/>
      <c r="F79" s="59"/>
      <c r="G79" s="59"/>
      <c r="H79" s="59"/>
      <c r="I79" s="59"/>
      <c r="J79" s="59"/>
      <c r="K79" s="59">
        <v>0</v>
      </c>
      <c r="L79" s="59"/>
      <c r="M79" s="59">
        <v>0</v>
      </c>
      <c r="N79" s="59"/>
      <c r="O79" s="59">
        <f>SUM(O76:O78)</f>
        <v>101597</v>
      </c>
      <c r="P79" s="59"/>
      <c r="Q79" s="59">
        <f>-Q76</f>
        <v>-58484</v>
      </c>
      <c r="R79" s="59"/>
      <c r="S79" s="59"/>
      <c r="T79" s="59"/>
      <c r="U79" s="61">
        <f>+M79+O79+Q79</f>
        <v>43113</v>
      </c>
      <c r="V79" s="26"/>
      <c r="W79" s="6"/>
      <c r="X79" s="182"/>
    </row>
    <row r="80" spans="1:24" ht="15.6">
      <c r="A80" s="25"/>
      <c r="B80" s="26" t="s">
        <v>31</v>
      </c>
      <c r="C80" s="59"/>
      <c r="D80" s="59"/>
      <c r="E80" s="59"/>
      <c r="F80" s="59"/>
      <c r="G80" s="59"/>
      <c r="H80" s="59"/>
      <c r="I80" s="59"/>
      <c r="J80" s="59"/>
      <c r="K80" s="59">
        <v>0</v>
      </c>
      <c r="L80" s="59"/>
      <c r="M80" s="59">
        <v>0</v>
      </c>
      <c r="N80" s="59"/>
      <c r="O80" s="59"/>
      <c r="P80" s="59"/>
      <c r="Q80" s="59">
        <v>0</v>
      </c>
      <c r="R80" s="59"/>
      <c r="S80" s="59"/>
      <c r="T80" s="59"/>
      <c r="U80" s="61">
        <f>Q80+M80</f>
        <v>0</v>
      </c>
      <c r="V80" s="26"/>
      <c r="W80" s="6"/>
    </row>
    <row r="81" spans="1:24" ht="15.6">
      <c r="A81" s="25"/>
      <c r="B81" s="26" t="s">
        <v>16</v>
      </c>
      <c r="C81" s="61"/>
      <c r="D81" s="61"/>
      <c r="E81" s="61"/>
      <c r="F81" s="61"/>
      <c r="G81" s="61"/>
      <c r="H81" s="61"/>
      <c r="I81" s="61"/>
      <c r="J81" s="61"/>
      <c r="K81" s="61">
        <f>SUM(K76:K80)</f>
        <v>450000</v>
      </c>
      <c r="L81" s="61"/>
      <c r="M81" s="61">
        <f>SUM(M76:M80)</f>
        <v>0</v>
      </c>
      <c r="N81" s="59"/>
      <c r="O81" s="59">
        <f>O79-O80</f>
        <v>101597</v>
      </c>
      <c r="P81" s="59"/>
      <c r="Q81" s="59"/>
      <c r="R81" s="59"/>
      <c r="S81" s="59"/>
      <c r="T81" s="59"/>
      <c r="U81" s="61">
        <f>SUM(U76:U80)</f>
        <v>450000</v>
      </c>
      <c r="V81" s="26"/>
      <c r="W81" s="6"/>
    </row>
    <row r="82" spans="1:24" ht="15.6">
      <c r="A82" s="25"/>
      <c r="B82" s="59"/>
      <c r="C82" s="26"/>
      <c r="D82" s="26"/>
      <c r="E82" s="26"/>
      <c r="F82" s="26"/>
      <c r="G82" s="26"/>
      <c r="H82" s="26"/>
      <c r="I82" s="26"/>
      <c r="J82" s="26"/>
      <c r="K82" s="26"/>
      <c r="L82" s="26"/>
      <c r="M82" s="26"/>
      <c r="N82" s="26"/>
      <c r="O82" s="26"/>
      <c r="P82" s="26"/>
      <c r="Q82" s="26"/>
      <c r="R82" s="26"/>
      <c r="S82" s="33"/>
      <c r="T82" s="26"/>
      <c r="U82" s="33"/>
      <c r="V82" s="26"/>
      <c r="W82" s="6"/>
    </row>
    <row r="83" spans="1:24" ht="15.6">
      <c r="A83" s="7"/>
      <c r="B83" s="57" t="s">
        <v>32</v>
      </c>
      <c r="C83" s="14"/>
      <c r="D83" s="14"/>
      <c r="E83" s="14"/>
      <c r="F83" s="14"/>
      <c r="G83" s="14"/>
      <c r="H83" s="14"/>
      <c r="I83" s="14"/>
      <c r="J83" s="14"/>
      <c r="K83" s="14"/>
      <c r="L83" s="14"/>
      <c r="M83" s="14"/>
      <c r="N83" s="14"/>
      <c r="O83" s="14"/>
      <c r="P83" s="14"/>
      <c r="Q83" s="14"/>
      <c r="R83" s="17"/>
      <c r="S83" s="17"/>
      <c r="T83" s="17"/>
      <c r="U83" s="17" t="s">
        <v>121</v>
      </c>
      <c r="V83" s="14"/>
      <c r="W83" s="6"/>
    </row>
    <row r="84" spans="1:24" ht="15.6">
      <c r="A84" s="25"/>
      <c r="B84" s="26" t="s">
        <v>33</v>
      </c>
      <c r="C84" s="26"/>
      <c r="D84" s="26"/>
      <c r="E84" s="26"/>
      <c r="F84" s="26"/>
      <c r="G84" s="26"/>
      <c r="H84" s="26"/>
      <c r="I84" s="26"/>
      <c r="J84" s="26"/>
      <c r="K84" s="26"/>
      <c r="L84" s="26"/>
      <c r="M84" s="26"/>
      <c r="N84" s="26"/>
      <c r="O84" s="59"/>
      <c r="P84" s="26"/>
      <c r="Q84" s="26"/>
      <c r="R84" s="26"/>
      <c r="S84" s="59"/>
      <c r="T84" s="26"/>
      <c r="U84" s="60">
        <v>97600</v>
      </c>
      <c r="V84" s="26"/>
      <c r="W84" s="6"/>
    </row>
    <row r="85" spans="1:24" ht="15.6">
      <c r="A85" s="25"/>
      <c r="B85" s="26" t="s">
        <v>34</v>
      </c>
      <c r="C85" s="47"/>
      <c r="D85" s="47"/>
      <c r="E85" s="47"/>
      <c r="F85" s="47"/>
      <c r="G85" s="47"/>
      <c r="H85" s="47"/>
      <c r="I85" s="47"/>
      <c r="J85" s="47"/>
      <c r="K85" s="47"/>
      <c r="L85" s="47"/>
      <c r="M85" s="51"/>
      <c r="N85" s="26"/>
      <c r="O85" s="26"/>
      <c r="P85" s="26"/>
      <c r="Q85" s="26"/>
      <c r="R85" s="26"/>
      <c r="S85" s="59"/>
      <c r="T85" s="26"/>
      <c r="U85" s="60">
        <f>2092+300+132+3-136</f>
        <v>2391</v>
      </c>
      <c r="V85" s="26"/>
      <c r="W85" s="6"/>
    </row>
    <row r="86" spans="1:24" ht="15.6">
      <c r="A86" s="25"/>
      <c r="B86" s="26" t="s">
        <v>230</v>
      </c>
      <c r="C86" s="26"/>
      <c r="D86" s="26"/>
      <c r="E86" s="26"/>
      <c r="F86" s="26"/>
      <c r="G86" s="26"/>
      <c r="H86" s="26"/>
      <c r="I86" s="26"/>
      <c r="J86" s="26"/>
      <c r="K86" s="26"/>
      <c r="L86" s="26"/>
      <c r="M86" s="26"/>
      <c r="N86" s="26"/>
      <c r="O86" s="26"/>
      <c r="P86" s="26"/>
      <c r="Q86" s="26"/>
      <c r="R86" s="26"/>
      <c r="S86" s="59"/>
      <c r="T86" s="26"/>
      <c r="U86" s="60">
        <v>0</v>
      </c>
      <c r="V86" s="26"/>
      <c r="W86" s="6"/>
      <c r="X86" s="64"/>
    </row>
    <row r="87" spans="1:24" ht="15.6">
      <c r="A87" s="25"/>
      <c r="B87" s="26" t="s">
        <v>231</v>
      </c>
      <c r="C87" s="26"/>
      <c r="D87" s="26"/>
      <c r="E87" s="26"/>
      <c r="F87" s="26"/>
      <c r="G87" s="26"/>
      <c r="H87" s="26"/>
      <c r="I87" s="26"/>
      <c r="J87" s="26"/>
      <c r="K87" s="26"/>
      <c r="L87" s="26"/>
      <c r="M87" s="26"/>
      <c r="N87" s="26"/>
      <c r="O87" s="26"/>
      <c r="P87" s="26"/>
      <c r="Q87" s="26"/>
      <c r="R87" s="26"/>
      <c r="S87" s="59"/>
      <c r="T87" s="26"/>
      <c r="U87" s="60">
        <v>0</v>
      </c>
      <c r="V87" s="26"/>
      <c r="W87" s="6"/>
      <c r="X87" s="64"/>
    </row>
    <row r="88" spans="1:24" ht="15.6">
      <c r="A88" s="25"/>
      <c r="B88" s="26" t="s">
        <v>35</v>
      </c>
      <c r="C88" s="26"/>
      <c r="D88" s="26"/>
      <c r="E88" s="26"/>
      <c r="F88" s="26"/>
      <c r="G88" s="26"/>
      <c r="H88" s="26"/>
      <c r="I88" s="26"/>
      <c r="J88" s="26"/>
      <c r="K88" s="26"/>
      <c r="L88" s="26"/>
      <c r="M88" s="26"/>
      <c r="N88" s="26"/>
      <c r="O88" s="26"/>
      <c r="P88" s="26"/>
      <c r="Q88" s="26"/>
      <c r="R88" s="26"/>
      <c r="S88" s="59"/>
      <c r="T88" s="26"/>
      <c r="U88" s="60">
        <f>SUM(U84:U87)</f>
        <v>99991</v>
      </c>
      <c r="V88" s="26"/>
      <c r="W88" s="6"/>
      <c r="X88" s="64"/>
    </row>
    <row r="89" spans="1:24" ht="15.6">
      <c r="A89" s="25"/>
      <c r="B89" s="26"/>
      <c r="C89" s="26"/>
      <c r="D89" s="26"/>
      <c r="E89" s="26"/>
      <c r="F89" s="26"/>
      <c r="G89" s="26"/>
      <c r="H89" s="26"/>
      <c r="I89" s="26"/>
      <c r="J89" s="26"/>
      <c r="K89" s="26"/>
      <c r="L89" s="26"/>
      <c r="M89" s="26"/>
      <c r="N89" s="26"/>
      <c r="O89" s="26"/>
      <c r="P89" s="26"/>
      <c r="Q89" s="26"/>
      <c r="R89" s="26"/>
      <c r="S89" s="59"/>
      <c r="T89" s="26"/>
      <c r="U89" s="61"/>
      <c r="V89" s="26"/>
      <c r="W89" s="6"/>
    </row>
    <row r="90" spans="1:24" ht="15.6">
      <c r="A90" s="25"/>
      <c r="B90" s="152" t="s">
        <v>36</v>
      </c>
      <c r="C90" s="65"/>
      <c r="D90" s="65"/>
      <c r="E90" s="65"/>
      <c r="F90" s="65"/>
      <c r="G90" s="65"/>
      <c r="H90" s="65"/>
      <c r="I90" s="65"/>
      <c r="J90" s="65"/>
      <c r="K90" s="65"/>
      <c r="L90" s="65"/>
      <c r="M90" s="26"/>
      <c r="N90" s="26"/>
      <c r="O90" s="26"/>
      <c r="P90" s="26"/>
      <c r="Q90" s="26"/>
      <c r="R90" s="26"/>
      <c r="S90" s="59"/>
      <c r="T90" s="26"/>
      <c r="U90" s="60"/>
      <c r="V90" s="26"/>
      <c r="W90" s="6"/>
      <c r="X90" s="64"/>
    </row>
    <row r="91" spans="1:24" ht="15.6">
      <c r="A91" s="25">
        <v>1</v>
      </c>
      <c r="B91" s="26" t="s">
        <v>37</v>
      </c>
      <c r="C91" s="26"/>
      <c r="D91" s="26"/>
      <c r="E91" s="26"/>
      <c r="F91" s="26"/>
      <c r="G91" s="26"/>
      <c r="H91" s="26"/>
      <c r="I91" s="26"/>
      <c r="J91" s="26"/>
      <c r="K91" s="26"/>
      <c r="L91" s="26"/>
      <c r="M91" s="26"/>
      <c r="N91" s="26"/>
      <c r="O91" s="26"/>
      <c r="P91" s="26"/>
      <c r="Q91" s="26"/>
      <c r="R91" s="26"/>
      <c r="S91" s="26"/>
      <c r="T91" s="26"/>
      <c r="U91" s="60">
        <v>-3</v>
      </c>
      <c r="V91" s="26"/>
      <c r="W91" s="6"/>
    </row>
    <row r="92" spans="1:24" ht="15.6">
      <c r="A92" s="25">
        <f>A91+1</f>
        <v>2</v>
      </c>
      <c r="B92" s="26" t="s">
        <v>168</v>
      </c>
      <c r="C92" s="26"/>
      <c r="D92" s="26"/>
      <c r="E92" s="26"/>
      <c r="F92" s="26"/>
      <c r="G92" s="26"/>
      <c r="H92" s="26"/>
      <c r="I92" s="26"/>
      <c r="J92" s="26"/>
      <c r="K92" s="26"/>
      <c r="L92" s="26"/>
      <c r="M92" s="26"/>
      <c r="N92" s="26"/>
      <c r="O92" s="26"/>
      <c r="P92" s="26"/>
      <c r="Q92" s="26"/>
      <c r="R92" s="26"/>
      <c r="S92" s="26"/>
      <c r="T92" s="26"/>
      <c r="U92" s="60">
        <f>-666-257</f>
        <v>-923</v>
      </c>
      <c r="V92" s="26"/>
      <c r="W92" s="6"/>
      <c r="X92" s="64"/>
    </row>
    <row r="93" spans="1:24" ht="15.6">
      <c r="A93" s="25">
        <v>3</v>
      </c>
      <c r="B93" s="26" t="s">
        <v>38</v>
      </c>
      <c r="C93" s="26"/>
      <c r="D93" s="26"/>
      <c r="E93" s="26"/>
      <c r="F93" s="26"/>
      <c r="G93" s="26"/>
      <c r="H93" s="26"/>
      <c r="I93" s="26"/>
      <c r="J93" s="26"/>
      <c r="K93" s="26"/>
      <c r="L93" s="26"/>
      <c r="M93" s="26"/>
      <c r="N93" s="26"/>
      <c r="O93" s="26"/>
      <c r="P93" s="26"/>
      <c r="Q93" s="26"/>
      <c r="R93" s="26"/>
      <c r="S93" s="26"/>
      <c r="T93" s="26"/>
      <c r="U93" s="60">
        <v>-1041</v>
      </c>
      <c r="V93" s="26"/>
      <c r="W93" s="6"/>
      <c r="X93" s="64"/>
    </row>
    <row r="94" spans="1:24" ht="15.6">
      <c r="A94" s="177" t="s">
        <v>190</v>
      </c>
      <c r="B94" s="26" t="s">
        <v>169</v>
      </c>
      <c r="C94" s="26"/>
      <c r="D94" s="26"/>
      <c r="E94" s="26"/>
      <c r="F94" s="26"/>
      <c r="G94" s="26"/>
      <c r="H94" s="26"/>
      <c r="I94" s="26"/>
      <c r="J94" s="26"/>
      <c r="K94" s="26"/>
      <c r="L94" s="26"/>
      <c r="M94" s="26"/>
      <c r="N94" s="26"/>
      <c r="O94" s="26"/>
      <c r="P94" s="26"/>
      <c r="Q94" s="26"/>
      <c r="R94" s="26"/>
      <c r="S94" s="26"/>
      <c r="T94" s="26"/>
      <c r="U94" s="60">
        <v>-3074</v>
      </c>
      <c r="V94" s="26"/>
      <c r="W94" s="6"/>
      <c r="X94" s="64"/>
    </row>
    <row r="95" spans="1:24" ht="15.6">
      <c r="A95" s="177" t="s">
        <v>191</v>
      </c>
      <c r="B95" s="26" t="s">
        <v>170</v>
      </c>
      <c r="C95" s="26"/>
      <c r="D95" s="26"/>
      <c r="E95" s="26"/>
      <c r="F95" s="26"/>
      <c r="G95" s="26"/>
      <c r="H95" s="26"/>
      <c r="I95" s="26"/>
      <c r="J95" s="26"/>
      <c r="K95" s="26"/>
      <c r="L95" s="26"/>
      <c r="M95" s="26"/>
      <c r="N95" s="26"/>
      <c r="O95" s="26"/>
      <c r="P95" s="26"/>
      <c r="Q95" s="26"/>
      <c r="R95" s="26"/>
      <c r="S95" s="26"/>
      <c r="T95" s="26"/>
      <c r="U95" s="60">
        <v>-3769</v>
      </c>
      <c r="V95" s="26"/>
      <c r="W95" s="6"/>
    </row>
    <row r="96" spans="1:24" ht="15.6">
      <c r="A96" s="25">
        <v>5</v>
      </c>
      <c r="B96" s="26" t="s">
        <v>171</v>
      </c>
      <c r="C96" s="26"/>
      <c r="D96" s="26"/>
      <c r="E96" s="26"/>
      <c r="F96" s="26"/>
      <c r="G96" s="26"/>
      <c r="H96" s="26"/>
      <c r="I96" s="26"/>
      <c r="J96" s="26"/>
      <c r="K96" s="26"/>
      <c r="L96" s="26"/>
      <c r="M96" s="26"/>
      <c r="N96" s="26"/>
      <c r="O96" s="26"/>
      <c r="P96" s="26"/>
      <c r="Q96" s="26"/>
      <c r="R96" s="26"/>
      <c r="S96" s="26"/>
      <c r="T96" s="26"/>
      <c r="U96" s="60">
        <v>-13</v>
      </c>
      <c r="V96" s="26"/>
      <c r="W96" s="6"/>
    </row>
    <row r="97" spans="1:24" ht="15.6">
      <c r="A97" s="177" t="s">
        <v>174</v>
      </c>
      <c r="B97" s="26" t="s">
        <v>172</v>
      </c>
      <c r="C97" s="26"/>
      <c r="D97" s="26"/>
      <c r="E97" s="26"/>
      <c r="F97" s="26"/>
      <c r="G97" s="26"/>
      <c r="H97" s="26"/>
      <c r="I97" s="26"/>
      <c r="J97" s="26"/>
      <c r="K97" s="26"/>
      <c r="L97" s="26"/>
      <c r="M97" s="26"/>
      <c r="N97" s="26"/>
      <c r="O97" s="26"/>
      <c r="P97" s="26"/>
      <c r="Q97" s="26"/>
      <c r="R97" s="26"/>
      <c r="S97" s="26"/>
      <c r="T97" s="26"/>
      <c r="U97" s="60">
        <v>-344</v>
      </c>
      <c r="V97" s="26"/>
      <c r="W97" s="6"/>
    </row>
    <row r="98" spans="1:24" ht="15.6">
      <c r="A98" s="177" t="s">
        <v>176</v>
      </c>
      <c r="B98" s="26" t="s">
        <v>173</v>
      </c>
      <c r="C98" s="26"/>
      <c r="D98" s="26"/>
      <c r="E98" s="26"/>
      <c r="F98" s="26"/>
      <c r="G98" s="26"/>
      <c r="H98" s="26"/>
      <c r="I98" s="26"/>
      <c r="J98" s="26"/>
      <c r="K98" s="26"/>
      <c r="L98" s="26"/>
      <c r="M98" s="26"/>
      <c r="N98" s="26"/>
      <c r="O98" s="26"/>
      <c r="P98" s="26"/>
      <c r="Q98" s="26"/>
      <c r="R98" s="26"/>
      <c r="S98" s="26"/>
      <c r="T98" s="26"/>
      <c r="U98" s="60">
        <v>-531</v>
      </c>
      <c r="V98" s="26"/>
      <c r="W98" s="6"/>
    </row>
    <row r="99" spans="1:24" ht="15.6">
      <c r="A99" s="177" t="s">
        <v>178</v>
      </c>
      <c r="B99" s="26" t="s">
        <v>175</v>
      </c>
      <c r="C99" s="26"/>
      <c r="D99" s="26"/>
      <c r="E99" s="26"/>
      <c r="F99" s="26"/>
      <c r="G99" s="26"/>
      <c r="H99" s="26"/>
      <c r="I99" s="26"/>
      <c r="J99" s="26"/>
      <c r="K99" s="26"/>
      <c r="L99" s="26"/>
      <c r="M99" s="26"/>
      <c r="N99" s="26"/>
      <c r="O99" s="26"/>
      <c r="P99" s="26"/>
      <c r="Q99" s="26"/>
      <c r="R99" s="26"/>
      <c r="S99" s="26"/>
      <c r="T99" s="26"/>
      <c r="U99" s="60">
        <v>-407</v>
      </c>
      <c r="V99" s="26"/>
      <c r="W99" s="6"/>
    </row>
    <row r="100" spans="1:24" ht="15.6">
      <c r="A100" s="177" t="s">
        <v>180</v>
      </c>
      <c r="B100" s="26" t="s">
        <v>177</v>
      </c>
      <c r="C100" s="26"/>
      <c r="D100" s="26"/>
      <c r="E100" s="26"/>
      <c r="F100" s="26"/>
      <c r="G100" s="26"/>
      <c r="H100" s="26"/>
      <c r="I100" s="26"/>
      <c r="J100" s="26"/>
      <c r="K100" s="26"/>
      <c r="L100" s="26"/>
      <c r="M100" s="26"/>
      <c r="N100" s="26"/>
      <c r="O100" s="26"/>
      <c r="P100" s="26"/>
      <c r="Q100" s="26"/>
      <c r="R100" s="26"/>
      <c r="S100" s="26"/>
      <c r="T100" s="26"/>
      <c r="U100" s="60">
        <v>-512</v>
      </c>
      <c r="V100" s="26"/>
      <c r="W100" s="6"/>
    </row>
    <row r="101" spans="1:24" ht="15.6">
      <c r="A101" s="177" t="s">
        <v>192</v>
      </c>
      <c r="B101" s="26" t="s">
        <v>179</v>
      </c>
      <c r="C101" s="26"/>
      <c r="D101" s="26"/>
      <c r="E101" s="26"/>
      <c r="F101" s="26"/>
      <c r="G101" s="26"/>
      <c r="H101" s="26"/>
      <c r="I101" s="26"/>
      <c r="J101" s="26"/>
      <c r="K101" s="26"/>
      <c r="L101" s="26"/>
      <c r="M101" s="26"/>
      <c r="N101" s="26"/>
      <c r="O101" s="26"/>
      <c r="P101" s="26"/>
      <c r="Q101" s="26"/>
      <c r="R101" s="26"/>
      <c r="S101" s="26"/>
      <c r="T101" s="26"/>
      <c r="U101" s="60">
        <v>-589</v>
      </c>
      <c r="V101" s="26"/>
      <c r="W101" s="6"/>
    </row>
    <row r="102" spans="1:24" ht="15.6">
      <c r="A102" s="177" t="s">
        <v>193</v>
      </c>
      <c r="B102" s="26" t="s">
        <v>181</v>
      </c>
      <c r="C102" s="26"/>
      <c r="D102" s="26"/>
      <c r="E102" s="26"/>
      <c r="F102" s="26"/>
      <c r="G102" s="26"/>
      <c r="H102" s="26"/>
      <c r="I102" s="26"/>
      <c r="J102" s="26"/>
      <c r="K102" s="26"/>
      <c r="L102" s="26"/>
      <c r="M102" s="26"/>
      <c r="N102" s="26"/>
      <c r="O102" s="26"/>
      <c r="P102" s="26"/>
      <c r="Q102" s="26"/>
      <c r="R102" s="26"/>
      <c r="S102" s="26"/>
      <c r="T102" s="26"/>
      <c r="U102" s="60">
        <v>-497</v>
      </c>
      <c r="V102" s="26"/>
      <c r="W102" s="6"/>
    </row>
    <row r="103" spans="1:24" ht="15.6">
      <c r="A103" s="25">
        <v>9</v>
      </c>
      <c r="B103" s="26" t="s">
        <v>182</v>
      </c>
      <c r="C103" s="26"/>
      <c r="D103" s="26"/>
      <c r="E103" s="26"/>
      <c r="F103" s="26"/>
      <c r="G103" s="26"/>
      <c r="H103" s="26"/>
      <c r="I103" s="26"/>
      <c r="J103" s="26"/>
      <c r="K103" s="26"/>
      <c r="L103" s="26"/>
      <c r="M103" s="26"/>
      <c r="N103" s="26"/>
      <c r="O103" s="26"/>
      <c r="P103" s="26"/>
      <c r="Q103" s="26"/>
      <c r="R103" s="26"/>
      <c r="S103" s="26"/>
      <c r="T103" s="26"/>
      <c r="U103" s="60">
        <f>+S219-U31</f>
        <v>-43113</v>
      </c>
      <c r="V103" s="26"/>
      <c r="W103" s="6"/>
      <c r="X103" s="182"/>
    </row>
    <row r="104" spans="1:24" ht="15.6">
      <c r="A104" s="25">
        <v>10</v>
      </c>
      <c r="B104" s="26" t="s">
        <v>39</v>
      </c>
      <c r="C104" s="26"/>
      <c r="D104" s="26"/>
      <c r="E104" s="26"/>
      <c r="F104" s="26"/>
      <c r="G104" s="26"/>
      <c r="H104" s="26"/>
      <c r="I104" s="26"/>
      <c r="J104" s="26"/>
      <c r="K104" s="26"/>
      <c r="L104" s="26"/>
      <c r="M104" s="26"/>
      <c r="N104" s="26"/>
      <c r="O104" s="26"/>
      <c r="P104" s="26"/>
      <c r="Q104" s="26"/>
      <c r="R104" s="26"/>
      <c r="S104" s="26"/>
      <c r="T104" s="26"/>
      <c r="U104" s="60">
        <v>-40500</v>
      </c>
      <c r="V104" s="26"/>
      <c r="W104" s="6"/>
      <c r="X104" s="64"/>
    </row>
    <row r="105" spans="1:24" ht="15.6">
      <c r="A105" s="25">
        <v>11</v>
      </c>
      <c r="B105" s="26" t="s">
        <v>183</v>
      </c>
      <c r="C105" s="26"/>
      <c r="D105" s="26"/>
      <c r="E105" s="26"/>
      <c r="F105" s="26"/>
      <c r="G105" s="26"/>
      <c r="H105" s="26"/>
      <c r="I105" s="26"/>
      <c r="J105" s="26"/>
      <c r="K105" s="26"/>
      <c r="L105" s="26"/>
      <c r="M105" s="26"/>
      <c r="N105" s="26"/>
      <c r="O105" s="26"/>
      <c r="P105" s="26"/>
      <c r="Q105" s="26"/>
      <c r="R105" s="26"/>
      <c r="S105" s="26"/>
      <c r="T105" s="26"/>
      <c r="U105" s="60">
        <v>0</v>
      </c>
      <c r="V105" s="26"/>
      <c r="W105" s="6"/>
      <c r="X105" s="64"/>
    </row>
    <row r="106" spans="1:24" ht="15.6">
      <c r="A106" s="25">
        <v>12</v>
      </c>
      <c r="B106" s="26" t="s">
        <v>184</v>
      </c>
      <c r="C106" s="26"/>
      <c r="D106" s="26"/>
      <c r="E106" s="26"/>
      <c r="F106" s="26"/>
      <c r="G106" s="26"/>
      <c r="H106" s="26"/>
      <c r="I106" s="26"/>
      <c r="J106" s="26"/>
      <c r="K106" s="26"/>
      <c r="L106" s="26"/>
      <c r="M106" s="26"/>
      <c r="N106" s="26"/>
      <c r="O106" s="26"/>
      <c r="P106" s="26"/>
      <c r="Q106" s="26"/>
      <c r="R106" s="26"/>
      <c r="S106" s="26"/>
      <c r="T106" s="26"/>
      <c r="U106" s="60">
        <v>-749</v>
      </c>
      <c r="V106" s="26"/>
      <c r="W106" s="6"/>
      <c r="X106" s="182"/>
    </row>
    <row r="107" spans="1:24" ht="15.6">
      <c r="A107" s="25">
        <v>13</v>
      </c>
      <c r="B107" s="26" t="s">
        <v>40</v>
      </c>
      <c r="C107" s="26"/>
      <c r="D107" s="26"/>
      <c r="E107" s="26"/>
      <c r="F107" s="26"/>
      <c r="G107" s="26"/>
      <c r="H107" s="26"/>
      <c r="I107" s="26"/>
      <c r="J107" s="26"/>
      <c r="K107" s="26"/>
      <c r="L107" s="26"/>
      <c r="M107" s="26"/>
      <c r="N107" s="26"/>
      <c r="O107" s="26"/>
      <c r="P107" s="26"/>
      <c r="Q107" s="26"/>
      <c r="R107" s="26"/>
      <c r="S107" s="26"/>
      <c r="T107" s="26"/>
      <c r="U107" s="60">
        <f>-SUM(U88:U106)</f>
        <v>-3926</v>
      </c>
      <c r="V107" s="26"/>
      <c r="W107" s="6"/>
      <c r="X107" s="182"/>
    </row>
    <row r="108" spans="1:24" ht="15.6">
      <c r="A108" s="25"/>
      <c r="B108" s="29"/>
      <c r="C108" s="26"/>
      <c r="D108" s="26"/>
      <c r="E108" s="26"/>
      <c r="F108" s="26"/>
      <c r="G108" s="26"/>
      <c r="H108" s="26"/>
      <c r="I108" s="26"/>
      <c r="J108" s="26"/>
      <c r="K108" s="26"/>
      <c r="L108" s="26"/>
      <c r="M108" s="26"/>
      <c r="N108" s="26"/>
      <c r="O108" s="26"/>
      <c r="P108" s="26"/>
      <c r="Q108" s="26"/>
      <c r="R108" s="26"/>
      <c r="S108" s="59"/>
      <c r="T108" s="59"/>
      <c r="U108" s="59"/>
      <c r="V108" s="26"/>
      <c r="W108" s="6"/>
    </row>
    <row r="109" spans="1:24" ht="15.6">
      <c r="A109" s="7"/>
      <c r="B109" s="12"/>
      <c r="C109" s="9"/>
      <c r="D109" s="9"/>
      <c r="E109" s="9"/>
      <c r="F109" s="9"/>
      <c r="G109" s="9"/>
      <c r="H109" s="9"/>
      <c r="I109" s="9"/>
      <c r="J109" s="9"/>
      <c r="K109" s="9"/>
      <c r="L109" s="9"/>
      <c r="M109" s="9"/>
      <c r="N109" s="9"/>
      <c r="O109" s="9"/>
      <c r="P109" s="9"/>
      <c r="Q109" s="9"/>
      <c r="R109" s="9"/>
      <c r="S109" s="66"/>
      <c r="T109" s="66"/>
      <c r="U109" s="66"/>
      <c r="V109" s="9"/>
      <c r="W109" s="6"/>
    </row>
    <row r="110" spans="1:24" ht="16.2" thickBot="1">
      <c r="A110" s="130"/>
      <c r="B110" s="131" t="str">
        <f>+B59</f>
        <v>PPAF3 INVESTOR REPORT QUARTER ENDING SEPTEMBER 2005</v>
      </c>
      <c r="C110" s="132"/>
      <c r="D110" s="132"/>
      <c r="E110" s="132"/>
      <c r="F110" s="132"/>
      <c r="G110" s="132"/>
      <c r="H110" s="132"/>
      <c r="I110" s="132"/>
      <c r="J110" s="132"/>
      <c r="K110" s="132"/>
      <c r="L110" s="132"/>
      <c r="M110" s="132"/>
      <c r="N110" s="132"/>
      <c r="O110" s="132"/>
      <c r="P110" s="132"/>
      <c r="Q110" s="132"/>
      <c r="R110" s="132"/>
      <c r="S110" s="135"/>
      <c r="T110" s="135"/>
      <c r="U110" s="135"/>
      <c r="V110" s="134"/>
      <c r="W110" s="6"/>
    </row>
    <row r="111" spans="1:24" ht="15.6">
      <c r="A111" s="2"/>
      <c r="B111" s="5"/>
      <c r="C111" s="5"/>
      <c r="D111" s="5"/>
      <c r="E111" s="5"/>
      <c r="F111" s="5"/>
      <c r="G111" s="5"/>
      <c r="H111" s="5"/>
      <c r="I111" s="5"/>
      <c r="J111" s="5"/>
      <c r="K111" s="5"/>
      <c r="L111" s="5"/>
      <c r="M111" s="5"/>
      <c r="N111" s="5"/>
      <c r="O111" s="5"/>
      <c r="P111" s="5"/>
      <c r="Q111" s="5"/>
      <c r="R111" s="5"/>
      <c r="S111" s="67"/>
      <c r="T111" s="67"/>
      <c r="U111" s="67"/>
      <c r="V111" s="5"/>
      <c r="W111" s="6"/>
    </row>
    <row r="112" spans="1:24" ht="15.6">
      <c r="A112" s="68"/>
      <c r="B112" s="69" t="s">
        <v>41</v>
      </c>
      <c r="C112" s="70"/>
      <c r="D112" s="70"/>
      <c r="E112" s="70"/>
      <c r="F112" s="70"/>
      <c r="G112" s="70"/>
      <c r="H112" s="70"/>
      <c r="I112" s="70"/>
      <c r="J112" s="70"/>
      <c r="K112" s="70"/>
      <c r="L112" s="70"/>
      <c r="M112" s="70"/>
      <c r="N112" s="70"/>
      <c r="O112" s="70"/>
      <c r="P112" s="70"/>
      <c r="Q112" s="70"/>
      <c r="R112" s="70"/>
      <c r="S112" s="70"/>
      <c r="T112" s="70"/>
      <c r="U112" s="71"/>
      <c r="V112" s="72"/>
      <c r="W112" s="6"/>
    </row>
    <row r="113" spans="1:23" ht="15.6">
      <c r="A113" s="68"/>
      <c r="B113" s="70"/>
      <c r="C113" s="70"/>
      <c r="D113" s="70"/>
      <c r="E113" s="70"/>
      <c r="F113" s="70"/>
      <c r="G113" s="70"/>
      <c r="H113" s="70"/>
      <c r="I113" s="70"/>
      <c r="J113" s="70"/>
      <c r="K113" s="70"/>
      <c r="L113" s="70"/>
      <c r="M113" s="70"/>
      <c r="N113" s="70"/>
      <c r="O113" s="70"/>
      <c r="P113" s="70"/>
      <c r="Q113" s="70"/>
      <c r="R113" s="70"/>
      <c r="S113" s="70"/>
      <c r="T113" s="70"/>
      <c r="U113" s="71"/>
      <c r="V113" s="70"/>
      <c r="W113" s="6"/>
    </row>
    <row r="114" spans="1:23" ht="15.6">
      <c r="A114" s="7"/>
      <c r="B114" s="153" t="s">
        <v>42</v>
      </c>
      <c r="C114" s="13"/>
      <c r="D114" s="13"/>
      <c r="E114" s="13"/>
      <c r="F114" s="13"/>
      <c r="G114" s="13"/>
      <c r="H114" s="13"/>
      <c r="I114" s="13"/>
      <c r="J114" s="13"/>
      <c r="K114" s="13"/>
      <c r="L114" s="13"/>
      <c r="M114" s="9"/>
      <c r="N114" s="9"/>
      <c r="O114" s="9"/>
      <c r="P114" s="9"/>
      <c r="Q114" s="9"/>
      <c r="R114" s="9"/>
      <c r="S114" s="9"/>
      <c r="T114" s="9"/>
      <c r="U114" s="58"/>
      <c r="V114" s="9"/>
      <c r="W114" s="6"/>
    </row>
    <row r="115" spans="1:23" ht="15.6">
      <c r="A115" s="25"/>
      <c r="B115" s="26" t="s">
        <v>43</v>
      </c>
      <c r="C115" s="26"/>
      <c r="D115" s="26"/>
      <c r="E115" s="26"/>
      <c r="F115" s="26"/>
      <c r="G115" s="26"/>
      <c r="H115" s="26"/>
      <c r="I115" s="26"/>
      <c r="J115" s="26"/>
      <c r="K115" s="26"/>
      <c r="L115" s="26"/>
      <c r="M115" s="26"/>
      <c r="N115" s="26"/>
      <c r="O115" s="26"/>
      <c r="P115" s="26"/>
      <c r="Q115" s="26"/>
      <c r="R115" s="26"/>
      <c r="S115" s="26"/>
      <c r="T115" s="26"/>
      <c r="U115" s="60">
        <v>40500</v>
      </c>
      <c r="V115" s="26"/>
      <c r="W115" s="6"/>
    </row>
    <row r="116" spans="1:23" ht="15.6">
      <c r="A116" s="25"/>
      <c r="B116" s="26" t="s">
        <v>208</v>
      </c>
      <c r="C116" s="26"/>
      <c r="D116" s="26"/>
      <c r="E116" s="26"/>
      <c r="F116" s="26"/>
      <c r="G116" s="26"/>
      <c r="H116" s="26"/>
      <c r="I116" s="26"/>
      <c r="J116" s="26"/>
      <c r="K116" s="26"/>
      <c r="L116" s="26"/>
      <c r="M116" s="26"/>
      <c r="N116" s="26"/>
      <c r="O116" s="26"/>
      <c r="P116" s="26"/>
      <c r="Q116" s="26"/>
      <c r="R116" s="26"/>
      <c r="S116" s="26"/>
      <c r="T116" s="26"/>
      <c r="U116" s="60">
        <v>0</v>
      </c>
      <c r="V116" s="26"/>
      <c r="W116" s="6"/>
    </row>
    <row r="117" spans="1:23" ht="15.6">
      <c r="A117" s="25"/>
      <c r="B117" s="26" t="s">
        <v>44</v>
      </c>
      <c r="C117" s="26"/>
      <c r="D117" s="26"/>
      <c r="E117" s="26"/>
      <c r="F117" s="26"/>
      <c r="G117" s="26"/>
      <c r="H117" s="26"/>
      <c r="I117" s="26"/>
      <c r="J117" s="26"/>
      <c r="K117" s="26"/>
      <c r="L117" s="26"/>
      <c r="M117" s="26"/>
      <c r="N117" s="26"/>
      <c r="O117" s="26"/>
      <c r="P117" s="26"/>
      <c r="Q117" s="26"/>
      <c r="R117" s="26"/>
      <c r="S117" s="26"/>
      <c r="T117" s="26"/>
      <c r="U117" s="60">
        <v>0</v>
      </c>
      <c r="V117" s="26"/>
      <c r="W117" s="6"/>
    </row>
    <row r="118" spans="1:23" ht="15.6">
      <c r="A118" s="25"/>
      <c r="B118" s="26" t="s">
        <v>209</v>
      </c>
      <c r="C118" s="26"/>
      <c r="D118" s="26"/>
      <c r="E118" s="26"/>
      <c r="F118" s="26"/>
      <c r="G118" s="26"/>
      <c r="H118" s="26"/>
      <c r="I118" s="26"/>
      <c r="J118" s="26"/>
      <c r="K118" s="26"/>
      <c r="L118" s="26"/>
      <c r="M118" s="26"/>
      <c r="N118" s="26"/>
      <c r="O118" s="26"/>
      <c r="P118" s="26"/>
      <c r="Q118" s="26"/>
      <c r="R118" s="26"/>
      <c r="S118" s="26"/>
      <c r="T118" s="26"/>
      <c r="U118" s="60">
        <v>0</v>
      </c>
      <c r="V118" s="26"/>
      <c r="W118" s="6"/>
    </row>
    <row r="119" spans="1:23" ht="15.6">
      <c r="A119" s="25"/>
      <c r="B119" s="26" t="s">
        <v>210</v>
      </c>
      <c r="C119" s="26"/>
      <c r="D119" s="26"/>
      <c r="E119" s="26"/>
      <c r="F119" s="26"/>
      <c r="G119" s="26"/>
      <c r="H119" s="26"/>
      <c r="I119" s="26"/>
      <c r="J119" s="26"/>
      <c r="K119" s="26"/>
      <c r="L119" s="26"/>
      <c r="M119" s="26"/>
      <c r="N119" s="26"/>
      <c r="O119" s="26"/>
      <c r="P119" s="26"/>
      <c r="Q119" s="26"/>
      <c r="R119" s="26"/>
      <c r="S119" s="26"/>
      <c r="T119" s="26"/>
      <c r="U119" s="60">
        <v>0</v>
      </c>
      <c r="V119" s="26"/>
      <c r="W119" s="6"/>
    </row>
    <row r="120" spans="1:23" ht="15.6">
      <c r="A120" s="25"/>
      <c r="B120" s="26" t="s">
        <v>211</v>
      </c>
      <c r="C120" s="26"/>
      <c r="D120" s="26"/>
      <c r="E120" s="26"/>
      <c r="F120" s="26"/>
      <c r="G120" s="26"/>
      <c r="H120" s="26"/>
      <c r="I120" s="26"/>
      <c r="J120" s="26"/>
      <c r="K120" s="26"/>
      <c r="L120" s="26"/>
      <c r="M120" s="26"/>
      <c r="N120" s="26"/>
      <c r="O120" s="26"/>
      <c r="P120" s="26"/>
      <c r="Q120" s="26"/>
      <c r="R120" s="26"/>
      <c r="S120" s="26"/>
      <c r="T120" s="26"/>
      <c r="U120" s="60">
        <v>0</v>
      </c>
      <c r="V120" s="26"/>
      <c r="W120" s="6"/>
    </row>
    <row r="121" spans="1:23" ht="15.6">
      <c r="A121" s="25"/>
      <c r="B121" s="26" t="s">
        <v>212</v>
      </c>
      <c r="C121" s="26"/>
      <c r="D121" s="26"/>
      <c r="E121" s="26"/>
      <c r="F121" s="26"/>
      <c r="G121" s="26"/>
      <c r="H121" s="26"/>
      <c r="I121" s="26"/>
      <c r="J121" s="26"/>
      <c r="K121" s="26"/>
      <c r="L121" s="26"/>
      <c r="M121" s="26"/>
      <c r="N121" s="26"/>
      <c r="O121" s="26"/>
      <c r="P121" s="26"/>
      <c r="Q121" s="26"/>
      <c r="R121" s="26"/>
      <c r="S121" s="26"/>
      <c r="T121" s="26"/>
      <c r="U121" s="60">
        <v>0</v>
      </c>
      <c r="V121" s="26"/>
      <c r="W121" s="6"/>
    </row>
    <row r="122" spans="1:23" ht="15.6">
      <c r="A122" s="25"/>
      <c r="B122" s="26" t="s">
        <v>45</v>
      </c>
      <c r="C122" s="26"/>
      <c r="D122" s="26"/>
      <c r="E122" s="26"/>
      <c r="F122" s="26"/>
      <c r="G122" s="26"/>
      <c r="H122" s="26"/>
      <c r="I122" s="26"/>
      <c r="J122" s="26"/>
      <c r="K122" s="26"/>
      <c r="L122" s="26"/>
      <c r="M122" s="26"/>
      <c r="N122" s="26"/>
      <c r="O122" s="26"/>
      <c r="P122" s="26"/>
      <c r="Q122" s="26"/>
      <c r="R122" s="26"/>
      <c r="S122" s="26"/>
      <c r="T122" s="26"/>
      <c r="U122" s="60">
        <f>+U115-U116-U117-U118-U119-U120-U121</f>
        <v>40500</v>
      </c>
      <c r="V122" s="26"/>
      <c r="W122" s="6"/>
    </row>
    <row r="123" spans="1:23" ht="15.6">
      <c r="A123" s="25"/>
      <c r="B123" s="26"/>
      <c r="C123" s="26"/>
      <c r="D123" s="26"/>
      <c r="E123" s="26"/>
      <c r="F123" s="26"/>
      <c r="G123" s="26"/>
      <c r="H123" s="26"/>
      <c r="I123" s="26"/>
      <c r="J123" s="26"/>
      <c r="K123" s="26"/>
      <c r="L123" s="26"/>
      <c r="M123" s="26"/>
      <c r="N123" s="26"/>
      <c r="O123" s="26"/>
      <c r="P123" s="26"/>
      <c r="Q123" s="26"/>
      <c r="R123" s="26"/>
      <c r="S123" s="26"/>
      <c r="T123" s="26"/>
      <c r="U123" s="73"/>
      <c r="V123" s="26"/>
      <c r="W123" s="6"/>
    </row>
    <row r="124" spans="1:23" ht="15.6">
      <c r="A124" s="7"/>
      <c r="B124" s="153" t="s">
        <v>46</v>
      </c>
      <c r="C124" s="13"/>
      <c r="D124" s="13"/>
      <c r="E124" s="13"/>
      <c r="F124" s="13"/>
      <c r="G124" s="13"/>
      <c r="H124" s="13"/>
      <c r="I124" s="13"/>
      <c r="J124" s="13"/>
      <c r="K124" s="13"/>
      <c r="L124" s="13"/>
      <c r="M124" s="9"/>
      <c r="N124" s="9"/>
      <c r="O124" s="9"/>
      <c r="P124" s="74"/>
      <c r="Q124" s="9"/>
      <c r="R124" s="9"/>
      <c r="S124" s="9"/>
      <c r="T124" s="9"/>
      <c r="U124" s="75"/>
      <c r="V124" s="9"/>
      <c r="W124" s="6"/>
    </row>
    <row r="125" spans="1:23" ht="15.6">
      <c r="A125" s="7"/>
      <c r="B125" s="13"/>
      <c r="C125" s="17" t="s">
        <v>185</v>
      </c>
      <c r="D125" s="17"/>
      <c r="E125" s="17" t="s">
        <v>99</v>
      </c>
      <c r="F125" s="17"/>
      <c r="G125" s="17" t="s">
        <v>102</v>
      </c>
      <c r="H125" s="17"/>
      <c r="I125" s="17" t="s">
        <v>108</v>
      </c>
      <c r="J125" s="17"/>
      <c r="K125" s="17"/>
      <c r="L125" s="17"/>
      <c r="M125" s="17"/>
      <c r="N125" s="17"/>
      <c r="O125" s="17"/>
      <c r="P125" s="74"/>
      <c r="Q125" s="74"/>
      <c r="R125" s="9"/>
      <c r="S125" s="9"/>
      <c r="T125" s="9"/>
      <c r="U125" s="75"/>
      <c r="V125" s="9"/>
      <c r="W125" s="6"/>
    </row>
    <row r="126" spans="1:23" ht="15.6">
      <c r="A126" s="25"/>
      <c r="B126" s="26" t="s">
        <v>122</v>
      </c>
      <c r="C126" s="26">
        <f>19+1896+175</f>
        <v>2090</v>
      </c>
      <c r="D126" s="26"/>
      <c r="E126" s="26">
        <v>88</v>
      </c>
      <c r="F126" s="26"/>
      <c r="G126" s="26">
        <v>186</v>
      </c>
      <c r="H126" s="26"/>
      <c r="I126" s="26">
        <v>260</v>
      </c>
      <c r="J126" s="26"/>
      <c r="K126" s="26"/>
      <c r="L126" s="26"/>
      <c r="M126" s="26"/>
      <c r="N126" s="26"/>
      <c r="O126" s="26"/>
      <c r="P126" s="76"/>
      <c r="Q126" s="76"/>
      <c r="R126" s="26"/>
      <c r="S126" s="26"/>
      <c r="T126" s="26"/>
      <c r="U126" s="60">
        <f>SUM(C126:I126)</f>
        <v>2624</v>
      </c>
      <c r="V126" s="26"/>
      <c r="W126" s="6"/>
    </row>
    <row r="127" spans="1:23" ht="15.6">
      <c r="A127" s="25"/>
      <c r="B127" s="26" t="s">
        <v>47</v>
      </c>
      <c r="C127" s="26">
        <f>-1+22+449-2+52+1</f>
        <v>521</v>
      </c>
      <c r="D127" s="26"/>
      <c r="E127" s="26">
        <f>16+567</f>
        <v>583</v>
      </c>
      <c r="F127" s="26"/>
      <c r="G127" s="26">
        <f>286+255</f>
        <v>541</v>
      </c>
      <c r="H127" s="26"/>
      <c r="I127" s="26">
        <f>264+1378</f>
        <v>1642</v>
      </c>
      <c r="J127" s="26"/>
      <c r="K127" s="26"/>
      <c r="L127" s="26"/>
      <c r="M127" s="26"/>
      <c r="N127" s="26"/>
      <c r="O127" s="26"/>
      <c r="P127" s="76"/>
      <c r="Q127" s="76"/>
      <c r="R127" s="26"/>
      <c r="S127" s="26"/>
      <c r="T127" s="26"/>
      <c r="U127" s="60">
        <f>SUM(C127:I127)</f>
        <v>3287</v>
      </c>
      <c r="V127" s="26"/>
      <c r="W127" s="6"/>
    </row>
    <row r="128" spans="1:23" ht="15.6">
      <c r="A128" s="25"/>
      <c r="B128" s="26" t="s">
        <v>48</v>
      </c>
      <c r="C128" s="26"/>
      <c r="D128" s="26"/>
      <c r="E128" s="26"/>
      <c r="F128" s="26"/>
      <c r="G128" s="26"/>
      <c r="H128" s="26"/>
      <c r="I128" s="26"/>
      <c r="J128" s="26"/>
      <c r="K128" s="26"/>
      <c r="L128" s="26"/>
      <c r="M128" s="26"/>
      <c r="N128" s="26"/>
      <c r="O128" s="26"/>
      <c r="P128" s="26"/>
      <c r="Q128" s="26"/>
      <c r="R128" s="26"/>
      <c r="S128" s="26"/>
      <c r="T128" s="26"/>
      <c r="U128" s="60">
        <f>SUM(U126:U127)</f>
        <v>5911</v>
      </c>
      <c r="V128" s="26"/>
      <c r="W128" s="6"/>
    </row>
    <row r="129" spans="1:24" ht="15.6">
      <c r="A129" s="7"/>
      <c r="B129" s="153" t="s">
        <v>49</v>
      </c>
      <c r="C129" s="13"/>
      <c r="D129" s="13"/>
      <c r="E129" s="13"/>
      <c r="F129" s="13"/>
      <c r="G129" s="13"/>
      <c r="H129" s="13"/>
      <c r="I129" s="13"/>
      <c r="J129" s="13"/>
      <c r="K129" s="13"/>
      <c r="L129" s="13"/>
      <c r="M129" s="9"/>
      <c r="N129" s="9"/>
      <c r="O129" s="9"/>
      <c r="P129" s="9"/>
      <c r="Q129" s="9"/>
      <c r="R129" s="9"/>
      <c r="S129" s="9"/>
      <c r="T129" s="9"/>
      <c r="U129" s="58"/>
      <c r="V129" s="9"/>
      <c r="W129" s="6"/>
    </row>
    <row r="130" spans="1:24" ht="15.6">
      <c r="A130" s="25"/>
      <c r="B130" s="26" t="s">
        <v>50</v>
      </c>
      <c r="C130" s="77"/>
      <c r="D130" s="77"/>
      <c r="E130" s="77"/>
      <c r="F130" s="77"/>
      <c r="G130" s="77"/>
      <c r="H130" s="77"/>
      <c r="I130" s="77"/>
      <c r="J130" s="77"/>
      <c r="K130" s="77"/>
      <c r="L130" s="77"/>
      <c r="M130" s="26"/>
      <c r="N130" s="26"/>
      <c r="O130" s="26"/>
      <c r="P130" s="26"/>
      <c r="Q130" s="26"/>
      <c r="R130" s="26"/>
      <c r="S130" s="26"/>
      <c r="T130" s="26"/>
      <c r="U130" s="60">
        <f>U76+U78</f>
        <v>406887</v>
      </c>
      <c r="V130" s="26"/>
      <c r="W130" s="6"/>
      <c r="X130" s="182"/>
    </row>
    <row r="131" spans="1:24" ht="15.6">
      <c r="A131" s="25"/>
      <c r="B131" s="26" t="s">
        <v>51</v>
      </c>
      <c r="C131" s="77"/>
      <c r="D131" s="77"/>
      <c r="E131" s="77"/>
      <c r="F131" s="77"/>
      <c r="G131" s="77"/>
      <c r="H131" s="77"/>
      <c r="I131" s="77"/>
      <c r="J131" s="77"/>
      <c r="K131" s="77"/>
      <c r="L131" s="77"/>
      <c r="M131" s="26"/>
      <c r="N131" s="26"/>
      <c r="O131" s="26"/>
      <c r="P131" s="26"/>
      <c r="Q131" s="26"/>
      <c r="R131" s="26"/>
      <c r="S131" s="26"/>
      <c r="T131" s="26"/>
      <c r="U131" s="60">
        <f>U79</f>
        <v>43113</v>
      </c>
      <c r="V131" s="26"/>
      <c r="W131" s="6"/>
    </row>
    <row r="132" spans="1:24" ht="15.6">
      <c r="A132" s="25"/>
      <c r="B132" s="26" t="s">
        <v>52</v>
      </c>
      <c r="C132" s="77"/>
      <c r="D132" s="77"/>
      <c r="E132" s="77"/>
      <c r="F132" s="77"/>
      <c r="G132" s="77"/>
      <c r="H132" s="77"/>
      <c r="I132" s="77"/>
      <c r="J132" s="77"/>
      <c r="K132" s="77"/>
      <c r="L132" s="77"/>
      <c r="M132" s="26"/>
      <c r="N132" s="26"/>
      <c r="O132" s="26"/>
      <c r="P132" s="26"/>
      <c r="Q132" s="26"/>
      <c r="R132" s="26"/>
      <c r="S132" s="26"/>
      <c r="T132" s="26"/>
      <c r="U132" s="60">
        <f>+U130+U131</f>
        <v>450000</v>
      </c>
      <c r="V132" s="26"/>
      <c r="W132" s="6"/>
    </row>
    <row r="133" spans="1:24" ht="15.6">
      <c r="A133" s="25"/>
      <c r="B133" s="26" t="s">
        <v>53</v>
      </c>
      <c r="C133" s="77"/>
      <c r="D133" s="77"/>
      <c r="E133" s="77"/>
      <c r="F133" s="77"/>
      <c r="G133" s="77"/>
      <c r="H133" s="77"/>
      <c r="I133" s="77"/>
      <c r="J133" s="77"/>
      <c r="K133" s="77"/>
      <c r="L133" s="77"/>
      <c r="M133" s="26"/>
      <c r="N133" s="26"/>
      <c r="O133" s="26"/>
      <c r="P133" s="26"/>
      <c r="Q133" s="26"/>
      <c r="R133" s="26"/>
      <c r="S133" s="26"/>
      <c r="T133" s="26"/>
      <c r="U133" s="60">
        <f>U81</f>
        <v>450000</v>
      </c>
      <c r="V133" s="26"/>
      <c r="W133" s="6"/>
      <c r="X133" s="64"/>
    </row>
    <row r="134" spans="1:24" ht="15.6">
      <c r="A134" s="25"/>
      <c r="B134" s="26"/>
      <c r="C134" s="26"/>
      <c r="D134" s="26"/>
      <c r="E134" s="26"/>
      <c r="F134" s="26"/>
      <c r="G134" s="26"/>
      <c r="H134" s="26"/>
      <c r="I134" s="26"/>
      <c r="J134" s="26"/>
      <c r="K134" s="26"/>
      <c r="L134" s="26"/>
      <c r="M134" s="26"/>
      <c r="N134" s="26"/>
      <c r="O134" s="26"/>
      <c r="P134" s="26"/>
      <c r="Q134" s="26"/>
      <c r="R134" s="26"/>
      <c r="S134" s="26"/>
      <c r="T134" s="26"/>
      <c r="U134" s="78"/>
      <c r="V134" s="26"/>
      <c r="W134" s="6"/>
    </row>
    <row r="135" spans="1:24" ht="15.6">
      <c r="A135" s="7"/>
      <c r="B135" s="153" t="s">
        <v>54</v>
      </c>
      <c r="C135" s="141"/>
      <c r="D135" s="141"/>
      <c r="E135" s="141"/>
      <c r="F135" s="141"/>
      <c r="G135" s="141"/>
      <c r="H135" s="141"/>
      <c r="I135" s="141"/>
      <c r="J135" s="141"/>
      <c r="K135" s="141"/>
      <c r="L135" s="141"/>
      <c r="M135" s="141"/>
      <c r="N135" s="141"/>
      <c r="O135" s="141"/>
      <c r="P135" s="141"/>
      <c r="Q135" s="142" t="s">
        <v>112</v>
      </c>
      <c r="R135" s="154"/>
      <c r="S135" s="142" t="s">
        <v>114</v>
      </c>
      <c r="T135" s="141"/>
      <c r="U135" s="155" t="s">
        <v>90</v>
      </c>
      <c r="V135" s="9"/>
      <c r="W135" s="6"/>
    </row>
    <row r="136" spans="1:24" ht="15.6">
      <c r="A136" s="25"/>
      <c r="B136" s="26" t="s">
        <v>55</v>
      </c>
      <c r="C136" s="26"/>
      <c r="D136" s="26"/>
      <c r="E136" s="26"/>
      <c r="F136" s="26"/>
      <c r="G136" s="26"/>
      <c r="H136" s="26"/>
      <c r="I136" s="26"/>
      <c r="J136" s="26"/>
      <c r="K136" s="26"/>
      <c r="L136" s="26"/>
      <c r="M136" s="26"/>
      <c r="N136" s="26"/>
      <c r="O136" s="26"/>
      <c r="P136" s="26"/>
      <c r="Q136" s="60">
        <v>0</v>
      </c>
      <c r="R136" s="26"/>
      <c r="S136" s="79" t="s">
        <v>115</v>
      </c>
      <c r="T136" s="26"/>
      <c r="U136" s="60">
        <f>Q136</f>
        <v>0</v>
      </c>
      <c r="V136" s="26"/>
      <c r="W136" s="6"/>
    </row>
    <row r="137" spans="1:24" ht="15.6">
      <c r="A137" s="25"/>
      <c r="B137" s="26" t="s">
        <v>56</v>
      </c>
      <c r="C137" s="26"/>
      <c r="D137" s="26"/>
      <c r="E137" s="26"/>
      <c r="F137" s="26"/>
      <c r="G137" s="26"/>
      <c r="H137" s="26"/>
      <c r="I137" s="26"/>
      <c r="J137" s="26"/>
      <c r="K137" s="26"/>
      <c r="L137" s="26"/>
      <c r="M137" s="26"/>
      <c r="N137" s="26"/>
      <c r="O137" s="26"/>
      <c r="P137" s="26"/>
      <c r="Q137" s="60">
        <v>0</v>
      </c>
      <c r="R137" s="26"/>
      <c r="S137" s="79" t="s">
        <v>115</v>
      </c>
      <c r="T137" s="26"/>
      <c r="U137" s="60">
        <f>Q137</f>
        <v>0</v>
      </c>
      <c r="V137" s="26"/>
      <c r="W137" s="6"/>
    </row>
    <row r="138" spans="1:24" ht="15.6">
      <c r="A138" s="25"/>
      <c r="B138" s="26" t="s">
        <v>57</v>
      </c>
      <c r="C138" s="26"/>
      <c r="D138" s="26"/>
      <c r="E138" s="26"/>
      <c r="F138" s="26"/>
      <c r="G138" s="26"/>
      <c r="H138" s="26"/>
      <c r="I138" s="26"/>
      <c r="J138" s="26"/>
      <c r="K138" s="26"/>
      <c r="L138" s="26"/>
      <c r="M138" s="26"/>
      <c r="N138" s="26"/>
      <c r="O138" s="26"/>
      <c r="P138" s="26"/>
      <c r="Q138" s="60">
        <v>366</v>
      </c>
      <c r="R138" s="26"/>
      <c r="S138" s="79" t="s">
        <v>115</v>
      </c>
      <c r="T138" s="26"/>
      <c r="U138" s="60">
        <f>Q138</f>
        <v>366</v>
      </c>
      <c r="V138" s="26"/>
      <c r="W138" s="6"/>
    </row>
    <row r="139" spans="1:24" ht="15.6">
      <c r="A139" s="25"/>
      <c r="B139" s="26" t="s">
        <v>58</v>
      </c>
      <c r="C139" s="26"/>
      <c r="D139" s="26"/>
      <c r="E139" s="26"/>
      <c r="F139" s="26"/>
      <c r="G139" s="26"/>
      <c r="H139" s="26"/>
      <c r="I139" s="26"/>
      <c r="J139" s="26"/>
      <c r="K139" s="26"/>
      <c r="L139" s="26"/>
      <c r="M139" s="26"/>
      <c r="N139" s="26"/>
      <c r="O139" s="26"/>
      <c r="P139" s="26"/>
      <c r="Q139" s="60">
        <f>SUM(Q137:Q138)</f>
        <v>366</v>
      </c>
      <c r="R139" s="26"/>
      <c r="S139" s="79" t="s">
        <v>115</v>
      </c>
      <c r="T139" s="26"/>
      <c r="U139" s="60">
        <f>Q139</f>
        <v>366</v>
      </c>
      <c r="V139" s="26"/>
      <c r="W139" s="6"/>
    </row>
    <row r="140" spans="1:24" ht="15.6">
      <c r="A140" s="25"/>
      <c r="B140" s="26" t="s">
        <v>215</v>
      </c>
      <c r="C140" s="26"/>
      <c r="D140" s="26"/>
      <c r="E140" s="26"/>
      <c r="F140" s="26"/>
      <c r="G140" s="26"/>
      <c r="H140" s="26"/>
      <c r="I140" s="26"/>
      <c r="J140" s="26"/>
      <c r="K140" s="26"/>
      <c r="L140" s="26"/>
      <c r="M140" s="26"/>
      <c r="N140" s="26"/>
      <c r="O140" s="26"/>
      <c r="P140" s="26"/>
      <c r="Q140" s="60"/>
      <c r="R140" s="26"/>
      <c r="S140" s="79"/>
      <c r="T140" s="26"/>
      <c r="U140" s="60"/>
      <c r="V140" s="26"/>
      <c r="W140" s="6"/>
    </row>
    <row r="141" spans="1:24" ht="15.6">
      <c r="A141" s="25"/>
      <c r="B141" s="26"/>
      <c r="C141" s="26"/>
      <c r="D141" s="26"/>
      <c r="E141" s="26"/>
      <c r="F141" s="26"/>
      <c r="G141" s="26"/>
      <c r="H141" s="26"/>
      <c r="I141" s="26"/>
      <c r="J141" s="26"/>
      <c r="K141" s="26"/>
      <c r="L141" s="26"/>
      <c r="M141" s="26"/>
      <c r="N141" s="26"/>
      <c r="O141" s="26"/>
      <c r="P141" s="26"/>
      <c r="Q141" s="26"/>
      <c r="R141" s="26"/>
      <c r="S141" s="26"/>
      <c r="T141" s="26"/>
      <c r="U141" s="26"/>
      <c r="V141" s="26"/>
      <c r="W141" s="6"/>
    </row>
    <row r="142" spans="1:24" ht="15.6">
      <c r="A142" s="25"/>
      <c r="B142" s="29"/>
      <c r="C142" s="29"/>
      <c r="D142" s="29"/>
      <c r="E142" s="29"/>
      <c r="F142" s="29"/>
      <c r="G142" s="29"/>
      <c r="H142" s="29"/>
      <c r="I142" s="29"/>
      <c r="J142" s="29"/>
      <c r="K142" s="29"/>
      <c r="L142" s="29"/>
      <c r="M142" s="29"/>
      <c r="N142" s="29"/>
      <c r="O142" s="29"/>
      <c r="P142" s="29"/>
      <c r="Q142" s="29"/>
      <c r="R142" s="29"/>
      <c r="S142" s="29"/>
      <c r="T142" s="29"/>
      <c r="U142" s="29"/>
      <c r="V142" s="29"/>
      <c r="W142" s="6"/>
    </row>
    <row r="143" spans="1:24" ht="15.6">
      <c r="A143" s="80"/>
      <c r="B143" s="57" t="s">
        <v>59</v>
      </c>
      <c r="C143" s="81"/>
      <c r="D143" s="81"/>
      <c r="E143" s="81"/>
      <c r="F143" s="81"/>
      <c r="G143" s="81"/>
      <c r="H143" s="81"/>
      <c r="I143" s="81"/>
      <c r="J143" s="81"/>
      <c r="K143" s="81"/>
      <c r="L143" s="81"/>
      <c r="M143" s="81"/>
      <c r="N143" s="81"/>
      <c r="O143" s="81"/>
      <c r="P143" s="19"/>
      <c r="Q143" s="19"/>
      <c r="R143" s="19"/>
      <c r="S143" s="19">
        <v>38625</v>
      </c>
      <c r="T143" s="15"/>
      <c r="U143" s="15"/>
      <c r="V143" s="9"/>
      <c r="W143" s="6"/>
    </row>
    <row r="144" spans="1:24" ht="15.6">
      <c r="A144" s="82"/>
      <c r="B144" s="83" t="s">
        <v>60</v>
      </c>
      <c r="C144" s="84"/>
      <c r="D144" s="84"/>
      <c r="E144" s="84"/>
      <c r="F144" s="84"/>
      <c r="G144" s="84"/>
      <c r="H144" s="84"/>
      <c r="I144" s="84"/>
      <c r="J144" s="84"/>
      <c r="K144" s="84"/>
      <c r="L144" s="84"/>
      <c r="M144" s="84"/>
      <c r="N144" s="84"/>
      <c r="O144" s="84"/>
      <c r="P144" s="85"/>
      <c r="Q144" s="85"/>
      <c r="R144" s="85"/>
      <c r="S144" s="86">
        <v>0.10630000000000001</v>
      </c>
      <c r="T144" s="26"/>
      <c r="U144" s="26"/>
      <c r="V144" s="26"/>
      <c r="W144" s="6"/>
    </row>
    <row r="145" spans="1:23" ht="15.6">
      <c r="A145" s="82"/>
      <c r="B145" s="83" t="s">
        <v>61</v>
      </c>
      <c r="C145" s="84"/>
      <c r="D145" s="84"/>
      <c r="E145" s="84"/>
      <c r="F145" s="84"/>
      <c r="G145" s="84"/>
      <c r="H145" s="84"/>
      <c r="I145" s="84"/>
      <c r="J145" s="84"/>
      <c r="K145" s="84"/>
      <c r="L145" s="84"/>
      <c r="M145" s="84"/>
      <c r="N145" s="84"/>
      <c r="O145" s="84"/>
      <c r="P145" s="85"/>
      <c r="Q145" s="85"/>
      <c r="R145" s="85"/>
      <c r="S145" s="86">
        <f>+U40</f>
        <v>5.2232707444444436E-2</v>
      </c>
      <c r="T145" s="86"/>
      <c r="U145" s="26"/>
      <c r="V145" s="26"/>
      <c r="W145" s="6"/>
    </row>
    <row r="146" spans="1:23" ht="15.6">
      <c r="A146" s="82"/>
      <c r="B146" s="83" t="s">
        <v>62</v>
      </c>
      <c r="C146" s="84"/>
      <c r="D146" s="84"/>
      <c r="E146" s="84"/>
      <c r="F146" s="84"/>
      <c r="G146" s="84"/>
      <c r="H146" s="84"/>
      <c r="I146" s="84"/>
      <c r="J146" s="84"/>
      <c r="K146" s="84"/>
      <c r="L146" s="84"/>
      <c r="M146" s="84"/>
      <c r="N146" s="84"/>
      <c r="O146" s="84"/>
      <c r="P146" s="85"/>
      <c r="Q146" s="85"/>
      <c r="R146" s="85"/>
      <c r="S146" s="86">
        <f>S144-S145</f>
        <v>5.406729255555557E-2</v>
      </c>
      <c r="T146" s="26"/>
      <c r="U146" s="26"/>
      <c r="V146" s="26"/>
      <c r="W146" s="6"/>
    </row>
    <row r="147" spans="1:23" ht="15.6">
      <c r="A147" s="82"/>
      <c r="B147" s="83" t="s">
        <v>63</v>
      </c>
      <c r="C147" s="84"/>
      <c r="D147" s="84"/>
      <c r="E147" s="84"/>
      <c r="F147" s="84"/>
      <c r="G147" s="84"/>
      <c r="H147" s="84"/>
      <c r="I147" s="84"/>
      <c r="J147" s="84"/>
      <c r="K147" s="84"/>
      <c r="L147" s="84"/>
      <c r="M147" s="84"/>
      <c r="N147" s="84"/>
      <c r="O147" s="84"/>
      <c r="P147" s="85"/>
      <c r="Q147" s="85"/>
      <c r="R147" s="85"/>
      <c r="S147" s="86">
        <v>0.10630000000000001</v>
      </c>
      <c r="T147" s="26"/>
      <c r="U147" s="26"/>
      <c r="V147" s="26"/>
      <c r="W147" s="6"/>
    </row>
    <row r="148" spans="1:23" ht="15.6">
      <c r="A148" s="82"/>
      <c r="B148" s="83" t="s">
        <v>64</v>
      </c>
      <c r="C148" s="84"/>
      <c r="D148" s="84"/>
      <c r="E148" s="84"/>
      <c r="F148" s="84"/>
      <c r="G148" s="84"/>
      <c r="H148" s="84"/>
      <c r="I148" s="84"/>
      <c r="J148" s="84"/>
      <c r="K148" s="84"/>
      <c r="L148" s="84"/>
      <c r="M148" s="84"/>
      <c r="N148" s="84"/>
      <c r="O148" s="84"/>
      <c r="P148" s="85"/>
      <c r="Q148" s="85"/>
      <c r="R148" s="85"/>
      <c r="S148" s="86">
        <f>+U40</f>
        <v>5.2232707444444436E-2</v>
      </c>
      <c r="T148" s="26"/>
      <c r="U148" s="26"/>
      <c r="V148" s="26"/>
      <c r="W148" s="6"/>
    </row>
    <row r="149" spans="1:23" ht="15.6">
      <c r="A149" s="82"/>
      <c r="B149" s="83" t="s">
        <v>65</v>
      </c>
      <c r="C149" s="84"/>
      <c r="D149" s="84"/>
      <c r="E149" s="84"/>
      <c r="F149" s="84"/>
      <c r="G149" s="84"/>
      <c r="H149" s="84"/>
      <c r="I149" s="84"/>
      <c r="J149" s="84"/>
      <c r="K149" s="84"/>
      <c r="L149" s="84"/>
      <c r="M149" s="84"/>
      <c r="N149" s="84"/>
      <c r="O149" s="84"/>
      <c r="P149" s="85"/>
      <c r="Q149" s="85"/>
      <c r="R149" s="85"/>
      <c r="S149" s="86">
        <f>S147-S148</f>
        <v>5.406729255555557E-2</v>
      </c>
      <c r="T149" s="26"/>
      <c r="U149" s="26"/>
      <c r="V149" s="26"/>
      <c r="W149" s="6"/>
    </row>
    <row r="150" spans="1:23" ht="15.6">
      <c r="A150" s="82"/>
      <c r="B150" s="83" t="s">
        <v>204</v>
      </c>
      <c r="C150" s="84"/>
      <c r="D150" s="84"/>
      <c r="E150" s="84"/>
      <c r="F150" s="84"/>
      <c r="G150" s="84"/>
      <c r="H150" s="84"/>
      <c r="I150" s="84"/>
      <c r="J150" s="84"/>
      <c r="K150" s="84"/>
      <c r="L150" s="84"/>
      <c r="M150" s="84"/>
      <c r="N150" s="84"/>
      <c r="O150" s="84"/>
      <c r="P150" s="85"/>
      <c r="Q150" s="85"/>
      <c r="R150" s="85"/>
      <c r="S150" s="183">
        <v>49780</v>
      </c>
      <c r="T150" s="26"/>
      <c r="U150" s="26"/>
      <c r="V150" s="26"/>
      <c r="W150" s="6"/>
    </row>
    <row r="151" spans="1:23" ht="15.6">
      <c r="A151" s="82"/>
      <c r="B151" s="83" t="s">
        <v>205</v>
      </c>
      <c r="C151" s="84"/>
      <c r="D151" s="84"/>
      <c r="E151" s="84"/>
      <c r="F151" s="84"/>
      <c r="G151" s="84"/>
      <c r="H151" s="84"/>
      <c r="I151" s="84"/>
      <c r="J151" s="84"/>
      <c r="K151" s="84"/>
      <c r="L151" s="84"/>
      <c r="M151" s="84"/>
      <c r="N151" s="84"/>
      <c r="O151" s="84"/>
      <c r="P151" s="85"/>
      <c r="Q151" s="85"/>
      <c r="R151" s="85"/>
      <c r="S151" s="183">
        <v>49780</v>
      </c>
      <c r="T151" s="26"/>
      <c r="U151" s="26"/>
      <c r="V151" s="26"/>
      <c r="W151" s="6"/>
    </row>
    <row r="152" spans="1:23" ht="15.6">
      <c r="A152" s="82"/>
      <c r="B152" s="83" t="s">
        <v>206</v>
      </c>
      <c r="C152" s="84"/>
      <c r="D152" s="84"/>
      <c r="E152" s="84"/>
      <c r="F152" s="84"/>
      <c r="G152" s="84"/>
      <c r="H152" s="84"/>
      <c r="I152" s="84"/>
      <c r="J152" s="84"/>
      <c r="K152" s="84"/>
      <c r="L152" s="84"/>
      <c r="M152" s="84"/>
      <c r="N152" s="84"/>
      <c r="O152" s="84"/>
      <c r="P152" s="85"/>
      <c r="Q152" s="85"/>
      <c r="R152" s="85"/>
      <c r="S152" s="183">
        <v>49780</v>
      </c>
      <c r="T152" s="26"/>
      <c r="U152" s="26"/>
      <c r="V152" s="26"/>
      <c r="W152" s="6"/>
    </row>
    <row r="153" spans="1:23" ht="15.6">
      <c r="A153" s="82"/>
      <c r="B153" s="83" t="s">
        <v>207</v>
      </c>
      <c r="C153" s="84"/>
      <c r="D153" s="84"/>
      <c r="E153" s="84"/>
      <c r="F153" s="84"/>
      <c r="G153" s="84"/>
      <c r="H153" s="84"/>
      <c r="I153" s="84"/>
      <c r="J153" s="84"/>
      <c r="K153" s="84"/>
      <c r="L153" s="84"/>
      <c r="M153" s="84"/>
      <c r="N153" s="84"/>
      <c r="O153" s="84"/>
      <c r="P153" s="85"/>
      <c r="Q153" s="85"/>
      <c r="R153" s="85"/>
      <c r="S153" s="183">
        <v>49780</v>
      </c>
      <c r="T153" s="26"/>
      <c r="U153" s="26"/>
      <c r="V153" s="26"/>
      <c r="W153" s="6"/>
    </row>
    <row r="154" spans="1:23" ht="15.6">
      <c r="A154" s="82"/>
      <c r="B154" s="83" t="s">
        <v>221</v>
      </c>
      <c r="C154" s="84"/>
      <c r="D154" s="84"/>
      <c r="E154" s="84"/>
      <c r="F154" s="84"/>
      <c r="G154" s="84"/>
      <c r="H154" s="84"/>
      <c r="I154" s="84"/>
      <c r="J154" s="84"/>
      <c r="K154" s="84"/>
      <c r="L154" s="84"/>
      <c r="M154" s="84"/>
      <c r="N154" s="84"/>
      <c r="O154" s="84"/>
      <c r="P154" s="85"/>
      <c r="Q154" s="85"/>
      <c r="R154" s="85"/>
      <c r="S154" s="87">
        <v>111.34</v>
      </c>
      <c r="T154" s="26"/>
      <c r="U154" s="26"/>
      <c r="V154" s="26"/>
      <c r="W154" s="6"/>
    </row>
    <row r="155" spans="1:23" ht="15.6">
      <c r="A155" s="82"/>
      <c r="B155" s="83" t="s">
        <v>222</v>
      </c>
      <c r="C155" s="84"/>
      <c r="D155" s="84"/>
      <c r="E155" s="84"/>
      <c r="F155" s="84"/>
      <c r="G155" s="84"/>
      <c r="H155" s="84"/>
      <c r="I155" s="84"/>
      <c r="J155" s="84"/>
      <c r="K155" s="84"/>
      <c r="L155" s="84"/>
      <c r="M155" s="84"/>
      <c r="N155" s="84"/>
      <c r="O155" s="84"/>
      <c r="P155" s="85"/>
      <c r="Q155" s="85"/>
      <c r="R155" s="85"/>
      <c r="S155" s="87">
        <v>111.31</v>
      </c>
      <c r="T155" s="26"/>
      <c r="U155" s="26"/>
      <c r="V155" s="26"/>
      <c r="W155" s="6"/>
    </row>
    <row r="156" spans="1:23" ht="15.6">
      <c r="A156" s="82" t="s">
        <v>223</v>
      </c>
      <c r="B156" s="83" t="s">
        <v>66</v>
      </c>
      <c r="C156" s="84"/>
      <c r="D156" s="84"/>
      <c r="E156" s="84"/>
      <c r="F156" s="84"/>
      <c r="G156" s="84"/>
      <c r="H156" s="84"/>
      <c r="I156" s="84"/>
      <c r="J156" s="84"/>
      <c r="K156" s="84"/>
      <c r="L156" s="84"/>
      <c r="M156" s="84"/>
      <c r="N156" s="84"/>
      <c r="O156" s="84"/>
      <c r="P156" s="85"/>
      <c r="Q156" s="85"/>
      <c r="R156" s="85"/>
      <c r="S156" s="86">
        <v>0.1883</v>
      </c>
      <c r="T156" s="26"/>
      <c r="U156" s="26"/>
      <c r="V156" s="26"/>
      <c r="W156" s="6"/>
    </row>
    <row r="157" spans="1:23" ht="15.6">
      <c r="A157" s="82"/>
      <c r="B157" s="83" t="s">
        <v>67</v>
      </c>
      <c r="C157" s="84"/>
      <c r="D157" s="84"/>
      <c r="E157" s="84"/>
      <c r="F157" s="84"/>
      <c r="G157" s="84"/>
      <c r="H157" s="84"/>
      <c r="I157" s="84"/>
      <c r="J157" s="84"/>
      <c r="K157" s="84"/>
      <c r="L157" s="84"/>
      <c r="M157" s="84"/>
      <c r="N157" s="84"/>
      <c r="O157" s="84"/>
      <c r="P157" s="85"/>
      <c r="Q157" s="85"/>
      <c r="R157" s="85"/>
      <c r="S157" s="86">
        <v>0.39700000000000002</v>
      </c>
      <c r="T157" s="26"/>
      <c r="U157" s="26"/>
      <c r="V157" s="26"/>
      <c r="W157" s="6"/>
    </row>
    <row r="158" spans="1:23" ht="15.6">
      <c r="A158" s="82"/>
      <c r="B158" s="83"/>
      <c r="C158" s="83"/>
      <c r="D158" s="83"/>
      <c r="E158" s="83"/>
      <c r="F158" s="83"/>
      <c r="G158" s="83"/>
      <c r="H158" s="83"/>
      <c r="I158" s="83"/>
      <c r="J158" s="83"/>
      <c r="K158" s="83"/>
      <c r="L158" s="83"/>
      <c r="M158" s="83"/>
      <c r="N158" s="83"/>
      <c r="O158" s="83"/>
      <c r="P158" s="26"/>
      <c r="Q158" s="26"/>
      <c r="R158" s="33"/>
      <c r="S158" s="88"/>
      <c r="T158" s="26"/>
      <c r="U158" s="89"/>
      <c r="V158" s="26"/>
      <c r="W158" s="6"/>
    </row>
    <row r="159" spans="1:23" ht="15.6">
      <c r="A159" s="80"/>
      <c r="B159" s="90"/>
      <c r="C159" s="90"/>
      <c r="D159" s="90"/>
      <c r="E159" s="90"/>
      <c r="F159" s="90"/>
      <c r="G159" s="90"/>
      <c r="H159" s="90"/>
      <c r="I159" s="90"/>
      <c r="J159" s="90"/>
      <c r="K159" s="90"/>
      <c r="L159" s="90"/>
      <c r="M159" s="90"/>
      <c r="N159" s="90"/>
      <c r="O159" s="90"/>
      <c r="P159" s="9"/>
      <c r="Q159" s="9"/>
      <c r="R159" s="20"/>
      <c r="S159" s="91"/>
      <c r="T159" s="9"/>
      <c r="U159" s="92"/>
      <c r="V159" s="9"/>
      <c r="W159" s="6"/>
    </row>
    <row r="160" spans="1:23" ht="16.2" thickBot="1">
      <c r="A160" s="136"/>
      <c r="B160" s="131" t="str">
        <f>+B110</f>
        <v>PPAF3 INVESTOR REPORT QUARTER ENDING SEPTEMBER 2005</v>
      </c>
      <c r="C160" s="137"/>
      <c r="D160" s="137"/>
      <c r="E160" s="137"/>
      <c r="F160" s="137"/>
      <c r="G160" s="137"/>
      <c r="H160" s="137"/>
      <c r="I160" s="137"/>
      <c r="J160" s="137"/>
      <c r="K160" s="137"/>
      <c r="L160" s="137"/>
      <c r="M160" s="137"/>
      <c r="N160" s="137"/>
      <c r="O160" s="137"/>
      <c r="P160" s="132"/>
      <c r="Q160" s="132"/>
      <c r="R160" s="138"/>
      <c r="S160" s="139"/>
      <c r="T160" s="132"/>
      <c r="U160" s="140"/>
      <c r="V160" s="134"/>
      <c r="W160" s="6"/>
    </row>
    <row r="161" spans="1:23" ht="15.6">
      <c r="A161" s="93"/>
      <c r="B161" s="94" t="s">
        <v>68</v>
      </c>
      <c r="C161" s="95"/>
      <c r="D161" s="95"/>
      <c r="E161" s="95"/>
      <c r="F161" s="95"/>
      <c r="G161" s="95"/>
      <c r="H161" s="95"/>
      <c r="I161" s="95"/>
      <c r="J161" s="95"/>
      <c r="K161" s="95"/>
      <c r="L161" s="95"/>
      <c r="M161" s="96"/>
      <c r="N161" s="95"/>
      <c r="O161" s="96"/>
      <c r="P161" s="95"/>
      <c r="Q161" s="96"/>
      <c r="R161" s="95" t="s">
        <v>94</v>
      </c>
      <c r="S161" s="96" t="s">
        <v>116</v>
      </c>
      <c r="T161" s="97"/>
      <c r="U161" s="97"/>
      <c r="V161" s="5"/>
      <c r="W161" s="6"/>
    </row>
    <row r="162" spans="1:23" ht="15.6">
      <c r="A162" s="98"/>
      <c r="B162" s="83" t="s">
        <v>216</v>
      </c>
      <c r="C162" s="61"/>
      <c r="D162" s="61"/>
      <c r="E162" s="61"/>
      <c r="F162" s="61"/>
      <c r="G162" s="61"/>
      <c r="H162" s="61"/>
      <c r="I162" s="61"/>
      <c r="J162" s="61"/>
      <c r="K162" s="61"/>
      <c r="L162" s="61"/>
      <c r="M162" s="61"/>
      <c r="N162" s="61"/>
      <c r="O162" s="26"/>
      <c r="P162" s="26"/>
      <c r="Q162" s="26"/>
      <c r="R162" s="59">
        <v>508</v>
      </c>
      <c r="S162" s="60">
        <v>14044</v>
      </c>
      <c r="T162" s="60"/>
      <c r="U162" s="89"/>
      <c r="V162" s="99"/>
      <c r="W162" s="6"/>
    </row>
    <row r="163" spans="1:23" ht="15.6">
      <c r="A163" s="98"/>
      <c r="B163" s="83" t="s">
        <v>217</v>
      </c>
      <c r="C163" s="61"/>
      <c r="D163" s="61"/>
      <c r="E163" s="61"/>
      <c r="F163" s="61"/>
      <c r="G163" s="61"/>
      <c r="H163" s="61"/>
      <c r="I163" s="61"/>
      <c r="J163" s="61"/>
      <c r="K163" s="61"/>
      <c r="L163" s="61"/>
      <c r="M163" s="61"/>
      <c r="N163" s="61"/>
      <c r="O163" s="26"/>
      <c r="P163" s="26"/>
      <c r="Q163" s="26"/>
      <c r="R163" s="26">
        <v>130</v>
      </c>
      <c r="S163" s="60">
        <v>978</v>
      </c>
      <c r="T163" s="60"/>
      <c r="U163" s="89"/>
      <c r="V163" s="99"/>
      <c r="W163" s="6"/>
    </row>
    <row r="164" spans="1:23" ht="15.6">
      <c r="A164" s="98"/>
      <c r="B164" s="83" t="s">
        <v>218</v>
      </c>
      <c r="C164" s="61"/>
      <c r="D164" s="61"/>
      <c r="E164" s="61"/>
      <c r="F164" s="61"/>
      <c r="G164" s="61"/>
      <c r="H164" s="61"/>
      <c r="I164" s="61"/>
      <c r="J164" s="61"/>
      <c r="K164" s="61"/>
      <c r="L164" s="61"/>
      <c r="M164" s="61"/>
      <c r="N164" s="61"/>
      <c r="O164" s="26"/>
      <c r="P164" s="26"/>
      <c r="Q164" s="26"/>
      <c r="R164" s="26">
        <v>441</v>
      </c>
      <c r="S164" s="60">
        <v>359</v>
      </c>
      <c r="T164" s="60"/>
      <c r="U164" s="89"/>
      <c r="V164" s="99"/>
      <c r="W164" s="6"/>
    </row>
    <row r="165" spans="1:23" ht="15.6">
      <c r="A165" s="98"/>
      <c r="B165" s="83" t="s">
        <v>219</v>
      </c>
      <c r="C165" s="61"/>
      <c r="D165" s="61"/>
      <c r="E165" s="61"/>
      <c r="F165" s="61"/>
      <c r="G165" s="61"/>
      <c r="H165" s="61"/>
      <c r="I165" s="61"/>
      <c r="J165" s="61"/>
      <c r="K165" s="61"/>
      <c r="L165" s="61"/>
      <c r="M165" s="61"/>
      <c r="N165" s="61"/>
      <c r="O165" s="26"/>
      <c r="P165" s="26"/>
      <c r="Q165" s="26"/>
      <c r="R165" s="26">
        <v>923</v>
      </c>
      <c r="S165" s="60">
        <v>5862</v>
      </c>
      <c r="T165" s="60"/>
      <c r="U165" s="89"/>
      <c r="V165" s="99"/>
      <c r="W165" s="6"/>
    </row>
    <row r="166" spans="1:23" ht="15.6">
      <c r="A166" s="98"/>
      <c r="B166" s="83" t="s">
        <v>90</v>
      </c>
      <c r="C166" s="61"/>
      <c r="D166" s="61"/>
      <c r="E166" s="61"/>
      <c r="F166" s="61"/>
      <c r="G166" s="61"/>
      <c r="H166" s="61"/>
      <c r="I166" s="61"/>
      <c r="J166" s="61"/>
      <c r="K166" s="61"/>
      <c r="L166" s="61"/>
      <c r="M166" s="61"/>
      <c r="N166" s="61"/>
      <c r="O166" s="26"/>
      <c r="P166" s="26"/>
      <c r="Q166" s="26"/>
      <c r="R166" s="26">
        <f>SUM(R162:R165)</f>
        <v>2002</v>
      </c>
      <c r="S166" s="60">
        <f>SUM(S162:S165)</f>
        <v>21243</v>
      </c>
      <c r="T166" s="60"/>
      <c r="U166" s="89"/>
      <c r="V166" s="99"/>
      <c r="W166" s="6"/>
    </row>
    <row r="167" spans="1:23" ht="15.6">
      <c r="A167" s="98"/>
      <c r="B167" s="83"/>
      <c r="C167" s="61"/>
      <c r="D167" s="61"/>
      <c r="E167" s="61"/>
      <c r="F167" s="61"/>
      <c r="G167" s="61"/>
      <c r="H167" s="61"/>
      <c r="I167" s="61"/>
      <c r="J167" s="61"/>
      <c r="K167" s="61"/>
      <c r="L167" s="61"/>
      <c r="M167" s="61"/>
      <c r="N167" s="61"/>
      <c r="O167" s="26"/>
      <c r="P167" s="26"/>
      <c r="Q167" s="26"/>
      <c r="R167" s="26"/>
      <c r="S167" s="60"/>
      <c r="T167" s="60"/>
      <c r="U167" s="89"/>
      <c r="V167" s="99"/>
      <c r="W167" s="6"/>
    </row>
    <row r="168" spans="1:23" ht="15.6">
      <c r="A168" s="98"/>
      <c r="B168" s="83" t="s">
        <v>220</v>
      </c>
      <c r="C168" s="61"/>
      <c r="D168" s="61"/>
      <c r="E168" s="61"/>
      <c r="F168" s="61"/>
      <c r="G168" s="61"/>
      <c r="H168" s="61"/>
      <c r="I168" s="61"/>
      <c r="J168" s="61"/>
      <c r="K168" s="61"/>
      <c r="L168" s="61"/>
      <c r="M168" s="61"/>
      <c r="N168" s="61"/>
      <c r="O168" s="26"/>
      <c r="P168" s="26"/>
      <c r="Q168" s="26"/>
      <c r="R168" s="26">
        <v>13</v>
      </c>
      <c r="S168" s="60">
        <v>107</v>
      </c>
      <c r="T168" s="60"/>
      <c r="U168" s="89"/>
      <c r="V168" s="99"/>
      <c r="W168" s="6"/>
    </row>
    <row r="169" spans="1:23" ht="15.6">
      <c r="A169" s="98"/>
      <c r="B169" s="83" t="s">
        <v>224</v>
      </c>
      <c r="C169" s="61"/>
      <c r="D169" s="61"/>
      <c r="E169" s="61"/>
      <c r="F169" s="61"/>
      <c r="G169" s="61"/>
      <c r="H169" s="61"/>
      <c r="I169" s="61"/>
      <c r="J169" s="61"/>
      <c r="K169" s="61"/>
      <c r="L169" s="61"/>
      <c r="M169" s="61"/>
      <c r="N169" s="61"/>
      <c r="O169" s="26"/>
      <c r="P169" s="26"/>
      <c r="Q169" s="26"/>
      <c r="R169" s="26">
        <v>23</v>
      </c>
      <c r="S169" s="60">
        <v>832</v>
      </c>
      <c r="T169" s="60"/>
      <c r="U169" s="89"/>
      <c r="V169" s="99"/>
      <c r="W169" s="6"/>
    </row>
    <row r="170" spans="1:23" ht="15.6">
      <c r="A170" s="98"/>
      <c r="B170" s="156" t="s">
        <v>69</v>
      </c>
      <c r="C170" s="61"/>
      <c r="D170" s="61"/>
      <c r="E170" s="61"/>
      <c r="F170" s="61"/>
      <c r="G170" s="61"/>
      <c r="H170" s="61"/>
      <c r="I170" s="61"/>
      <c r="J170" s="61"/>
      <c r="K170" s="61"/>
      <c r="L170" s="61"/>
      <c r="M170" s="61"/>
      <c r="N170" s="61"/>
      <c r="O170" s="26"/>
      <c r="P170" s="26"/>
      <c r="Q170" s="26"/>
      <c r="R170" s="26"/>
      <c r="S170" s="100">
        <v>0</v>
      </c>
      <c r="T170" s="26"/>
      <c r="U170" s="89"/>
      <c r="V170" s="99"/>
      <c r="W170" s="6"/>
    </row>
    <row r="171" spans="1:23" ht="15.6">
      <c r="A171" s="98"/>
      <c r="B171" s="156" t="s">
        <v>70</v>
      </c>
      <c r="C171" s="61"/>
      <c r="D171" s="61"/>
      <c r="E171" s="61"/>
      <c r="F171" s="61"/>
      <c r="G171" s="61"/>
      <c r="H171" s="61"/>
      <c r="I171" s="61"/>
      <c r="J171" s="61"/>
      <c r="K171" s="61"/>
      <c r="L171" s="61"/>
      <c r="M171" s="61"/>
      <c r="N171" s="61"/>
      <c r="O171" s="26"/>
      <c r="P171" s="26"/>
      <c r="Q171" s="26"/>
      <c r="R171" s="26"/>
      <c r="S171" s="60">
        <f>Q76</f>
        <v>58484</v>
      </c>
      <c r="T171" s="26"/>
      <c r="U171" s="89"/>
      <c r="V171" s="99"/>
      <c r="W171" s="6"/>
    </row>
    <row r="172" spans="1:23" ht="15.6">
      <c r="A172" s="101"/>
      <c r="B172" s="156" t="s">
        <v>71</v>
      </c>
      <c r="C172" s="61"/>
      <c r="D172" s="61"/>
      <c r="E172" s="61"/>
      <c r="F172" s="61"/>
      <c r="G172" s="61"/>
      <c r="H172" s="61"/>
      <c r="I172" s="61"/>
      <c r="J172" s="61"/>
      <c r="K172" s="61"/>
      <c r="L172" s="61"/>
      <c r="M172" s="83"/>
      <c r="N172" s="83"/>
      <c r="O172" s="83"/>
      <c r="P172" s="26"/>
      <c r="Q172" s="26"/>
      <c r="R172" s="26"/>
      <c r="S172" s="102"/>
      <c r="T172" s="26"/>
      <c r="U172" s="89"/>
      <c r="V172" s="103"/>
      <c r="W172" s="6"/>
    </row>
    <row r="173" spans="1:23" ht="15.6">
      <c r="A173" s="98"/>
      <c r="B173" s="83" t="s">
        <v>72</v>
      </c>
      <c r="C173" s="61"/>
      <c r="D173" s="61"/>
      <c r="E173" s="61"/>
      <c r="F173" s="61"/>
      <c r="G173" s="61"/>
      <c r="H173" s="61"/>
      <c r="I173" s="61"/>
      <c r="J173" s="61"/>
      <c r="K173" s="61"/>
      <c r="L173" s="61"/>
      <c r="M173" s="61"/>
      <c r="N173" s="61"/>
      <c r="O173" s="61"/>
      <c r="P173" s="26"/>
      <c r="Q173" s="26"/>
      <c r="R173" s="26"/>
      <c r="S173" s="60">
        <f>U128</f>
        <v>5911</v>
      </c>
      <c r="T173" s="26"/>
      <c r="U173" s="89"/>
      <c r="V173" s="103"/>
      <c r="W173" s="6"/>
    </row>
    <row r="174" spans="1:23" ht="15.6">
      <c r="A174" s="98"/>
      <c r="B174" s="83" t="s">
        <v>73</v>
      </c>
      <c r="C174" s="61"/>
      <c r="D174" s="61"/>
      <c r="E174" s="61"/>
      <c r="F174" s="61"/>
      <c r="G174" s="61"/>
      <c r="H174" s="61"/>
      <c r="I174" s="61"/>
      <c r="J174" s="61"/>
      <c r="K174" s="61"/>
      <c r="L174" s="61"/>
      <c r="M174" s="61"/>
      <c r="N174" s="61"/>
      <c r="O174" s="61"/>
      <c r="P174" s="26"/>
      <c r="Q174" s="26"/>
      <c r="R174" s="26"/>
      <c r="S174" s="60">
        <f>U128</f>
        <v>5911</v>
      </c>
      <c r="T174" s="26"/>
      <c r="U174" s="89"/>
      <c r="V174" s="103"/>
      <c r="W174" s="6"/>
    </row>
    <row r="175" spans="1:23" ht="15.6">
      <c r="A175" s="98"/>
      <c r="B175" s="83" t="s">
        <v>74</v>
      </c>
      <c r="C175" s="61"/>
      <c r="D175" s="61"/>
      <c r="E175" s="61"/>
      <c r="F175" s="61"/>
      <c r="G175" s="61"/>
      <c r="H175" s="61"/>
      <c r="I175" s="61"/>
      <c r="J175" s="61"/>
      <c r="K175" s="61"/>
      <c r="L175" s="61"/>
      <c r="M175" s="61"/>
      <c r="N175" s="61"/>
      <c r="O175" s="61"/>
      <c r="P175" s="26"/>
      <c r="Q175" s="26"/>
      <c r="R175" s="26"/>
      <c r="S175" s="60"/>
      <c r="T175" s="26"/>
      <c r="U175" s="89"/>
      <c r="V175" s="103"/>
      <c r="W175" s="6"/>
    </row>
    <row r="176" spans="1:23" ht="15.6">
      <c r="A176" s="98"/>
      <c r="B176" s="83"/>
      <c r="C176" s="61"/>
      <c r="D176" s="61"/>
      <c r="E176" s="61"/>
      <c r="F176" s="61"/>
      <c r="G176" s="61"/>
      <c r="H176" s="61"/>
      <c r="I176" s="61"/>
      <c r="J176" s="61"/>
      <c r="K176" s="61"/>
      <c r="L176" s="61"/>
      <c r="M176" s="61"/>
      <c r="N176" s="61"/>
      <c r="O176" s="61"/>
      <c r="P176" s="26"/>
      <c r="Q176" s="26"/>
      <c r="R176" s="26"/>
      <c r="S176" s="60"/>
      <c r="T176" s="26"/>
      <c r="U176" s="89"/>
      <c r="V176" s="103"/>
      <c r="W176" s="6"/>
    </row>
    <row r="177" spans="1:23" ht="15.6">
      <c r="A177" s="101"/>
      <c r="B177" s="156" t="s">
        <v>259</v>
      </c>
      <c r="C177" s="61"/>
      <c r="D177" s="61"/>
      <c r="E177" s="61"/>
      <c r="F177" s="61"/>
      <c r="G177" s="61"/>
      <c r="H177" s="61"/>
      <c r="I177" s="61"/>
      <c r="J177" s="61"/>
      <c r="K177" s="61"/>
      <c r="L177" s="61"/>
      <c r="M177" s="83"/>
      <c r="N177" s="83"/>
      <c r="O177" s="83"/>
      <c r="P177" s="26"/>
      <c r="Q177" s="26"/>
      <c r="R177" s="26"/>
      <c r="S177" s="79"/>
      <c r="T177" s="26"/>
      <c r="U177" s="89"/>
      <c r="V177" s="103"/>
      <c r="W177" s="6"/>
    </row>
    <row r="178" spans="1:23" ht="15.6">
      <c r="A178" s="101"/>
      <c r="B178" s="83" t="s">
        <v>254</v>
      </c>
      <c r="C178" s="61"/>
      <c r="D178" s="61"/>
      <c r="E178" s="61"/>
      <c r="F178" s="61"/>
      <c r="G178" s="61"/>
      <c r="H178" s="61"/>
      <c r="I178" s="61"/>
      <c r="J178" s="61"/>
      <c r="K178" s="61"/>
      <c r="L178" s="61"/>
      <c r="M178" s="83"/>
      <c r="N178" s="83"/>
      <c r="O178" s="83"/>
      <c r="P178" s="26"/>
      <c r="Q178" s="26"/>
      <c r="R178" s="26"/>
      <c r="S178" s="79">
        <v>0</v>
      </c>
      <c r="T178" s="26"/>
      <c r="U178" s="89"/>
      <c r="V178" s="103"/>
      <c r="W178" s="6"/>
    </row>
    <row r="179" spans="1:23" ht="15.6">
      <c r="A179" s="98"/>
      <c r="B179" s="83" t="s">
        <v>75</v>
      </c>
      <c r="C179" s="61"/>
      <c r="D179" s="61"/>
      <c r="E179" s="61"/>
      <c r="F179" s="61"/>
      <c r="G179" s="61"/>
      <c r="H179" s="61"/>
      <c r="I179" s="61"/>
      <c r="J179" s="61"/>
      <c r="K179" s="61"/>
      <c r="L179" s="61"/>
      <c r="M179" s="104"/>
      <c r="N179" s="104"/>
      <c r="O179" s="105"/>
      <c r="P179" s="26"/>
      <c r="Q179" s="26"/>
      <c r="R179" s="26"/>
      <c r="S179" s="79">
        <v>0</v>
      </c>
      <c r="T179" s="26"/>
      <c r="U179" s="89"/>
      <c r="V179" s="103"/>
      <c r="W179" s="6"/>
    </row>
    <row r="180" spans="1:23" ht="15.6">
      <c r="A180" s="98"/>
      <c r="B180" s="83" t="s">
        <v>76</v>
      </c>
      <c r="C180" s="61"/>
      <c r="D180" s="61"/>
      <c r="E180" s="61"/>
      <c r="F180" s="61"/>
      <c r="G180" s="61"/>
      <c r="H180" s="61"/>
      <c r="I180" s="61"/>
      <c r="J180" s="61"/>
      <c r="K180" s="61"/>
      <c r="L180" s="61"/>
      <c r="M180" s="104"/>
      <c r="N180" s="104"/>
      <c r="O180" s="105"/>
      <c r="P180" s="26"/>
      <c r="Q180" s="26"/>
      <c r="R180" s="26"/>
      <c r="S180" s="79">
        <v>0</v>
      </c>
      <c r="T180" s="26"/>
      <c r="U180" s="89"/>
      <c r="V180" s="103"/>
      <c r="W180" s="6"/>
    </row>
    <row r="181" spans="1:23" ht="15.6">
      <c r="A181" s="98"/>
      <c r="B181" s="83"/>
      <c r="C181" s="61"/>
      <c r="D181" s="61"/>
      <c r="E181" s="61"/>
      <c r="F181" s="61"/>
      <c r="G181" s="61"/>
      <c r="H181" s="61"/>
      <c r="I181" s="61"/>
      <c r="J181" s="61"/>
      <c r="K181" s="61"/>
      <c r="L181" s="61"/>
      <c r="M181" s="106"/>
      <c r="N181" s="104"/>
      <c r="O181" s="105"/>
      <c r="P181" s="26"/>
      <c r="Q181" s="26"/>
      <c r="R181" s="26"/>
      <c r="S181" s="79"/>
      <c r="T181" s="26"/>
      <c r="U181" s="89"/>
      <c r="V181" s="103"/>
      <c r="W181" s="6"/>
    </row>
    <row r="182" spans="1:23" ht="15.6">
      <c r="A182" s="98"/>
      <c r="B182" s="156" t="s">
        <v>77</v>
      </c>
      <c r="C182" s="61"/>
      <c r="D182" s="61"/>
      <c r="E182" s="61"/>
      <c r="F182" s="61"/>
      <c r="G182" s="61"/>
      <c r="H182" s="61"/>
      <c r="I182" s="61"/>
      <c r="J182" s="61"/>
      <c r="K182" s="61"/>
      <c r="L182" s="61"/>
      <c r="M182" s="61"/>
      <c r="N182" s="106"/>
      <c r="O182" s="104"/>
      <c r="P182" s="105"/>
      <c r="Q182" s="26"/>
      <c r="R182" s="33"/>
      <c r="S182" s="33"/>
      <c r="T182" s="107"/>
      <c r="U182" s="33"/>
      <c r="V182" s="89"/>
      <c r="W182" s="6"/>
    </row>
    <row r="183" spans="1:23" ht="15.6">
      <c r="A183" s="98"/>
      <c r="B183" s="83" t="s">
        <v>78</v>
      </c>
      <c r="C183" s="61"/>
      <c r="D183" s="61"/>
      <c r="E183" s="61"/>
      <c r="F183" s="61"/>
      <c r="G183" s="61"/>
      <c r="H183" s="61"/>
      <c r="I183" s="61"/>
      <c r="J183" s="61"/>
      <c r="K183" s="61"/>
      <c r="L183" s="61"/>
      <c r="M183" s="61"/>
      <c r="N183" s="106"/>
      <c r="O183" s="104"/>
      <c r="P183" s="105"/>
      <c r="Q183" s="26"/>
      <c r="R183" s="33"/>
      <c r="S183" s="108">
        <v>430</v>
      </c>
      <c r="T183" s="108"/>
      <c r="U183" s="33"/>
      <c r="V183" s="89"/>
      <c r="W183" s="6"/>
    </row>
    <row r="184" spans="1:23" ht="15.6">
      <c r="A184" s="98"/>
      <c r="B184" s="83" t="s">
        <v>75</v>
      </c>
      <c r="C184" s="61"/>
      <c r="D184" s="61"/>
      <c r="E184" s="61"/>
      <c r="F184" s="61"/>
      <c r="G184" s="61"/>
      <c r="H184" s="61"/>
      <c r="I184" s="61"/>
      <c r="J184" s="61"/>
      <c r="K184" s="61"/>
      <c r="L184" s="61"/>
      <c r="M184" s="61"/>
      <c r="N184" s="106"/>
      <c r="O184" s="104"/>
      <c r="P184" s="105"/>
      <c r="Q184" s="26"/>
      <c r="R184" s="33"/>
      <c r="S184" s="108">
        <v>2.2000000000000002</v>
      </c>
      <c r="T184" s="108"/>
      <c r="U184" s="33"/>
      <c r="V184" s="89"/>
      <c r="W184" s="6"/>
    </row>
    <row r="185" spans="1:23" ht="15.6">
      <c r="A185" s="98"/>
      <c r="B185" s="83" t="s">
        <v>79</v>
      </c>
      <c r="C185" s="61"/>
      <c r="D185" s="61"/>
      <c r="E185" s="61"/>
      <c r="F185" s="61"/>
      <c r="G185" s="61"/>
      <c r="H185" s="61"/>
      <c r="I185" s="61"/>
      <c r="J185" s="61"/>
      <c r="K185" s="61"/>
      <c r="L185" s="61"/>
      <c r="M185" s="61"/>
      <c r="N185" s="106"/>
      <c r="O185" s="104"/>
      <c r="P185" s="105"/>
      <c r="Q185" s="26"/>
      <c r="R185" s="33"/>
      <c r="S185" s="108">
        <v>37.119999999999997</v>
      </c>
      <c r="T185" s="108"/>
      <c r="U185" s="33"/>
      <c r="V185" s="89"/>
      <c r="W185" s="6"/>
    </row>
    <row r="186" spans="1:23" ht="15.6">
      <c r="A186" s="98"/>
      <c r="B186" s="83"/>
      <c r="C186" s="61"/>
      <c r="D186" s="61"/>
      <c r="E186" s="61"/>
      <c r="F186" s="61"/>
      <c r="G186" s="61"/>
      <c r="H186" s="61"/>
      <c r="I186" s="61"/>
      <c r="J186" s="61"/>
      <c r="K186" s="61"/>
      <c r="L186" s="61"/>
      <c r="M186" s="106"/>
      <c r="N186" s="104"/>
      <c r="O186" s="105"/>
      <c r="P186" s="26"/>
      <c r="Q186" s="26"/>
      <c r="R186" s="26"/>
      <c r="S186" s="79"/>
      <c r="T186" s="26"/>
      <c r="U186" s="89"/>
      <c r="V186" s="103"/>
      <c r="W186" s="6"/>
    </row>
    <row r="187" spans="1:23" ht="17.399999999999999">
      <c r="A187" s="98"/>
      <c r="B187" s="180" t="s">
        <v>196</v>
      </c>
      <c r="C187" s="61"/>
      <c r="D187" s="61"/>
      <c r="E187" s="61"/>
      <c r="F187" s="61"/>
      <c r="G187" s="61"/>
      <c r="H187" s="61"/>
      <c r="I187" s="61"/>
      <c r="J187" s="61"/>
      <c r="K187" s="181" t="s">
        <v>195</v>
      </c>
      <c r="L187" s="61"/>
      <c r="M187" s="106"/>
      <c r="N187" s="104"/>
      <c r="O187" s="105"/>
      <c r="P187" s="26"/>
      <c r="Q187" s="26"/>
      <c r="R187" s="26"/>
      <c r="S187" s="79"/>
      <c r="T187" s="26"/>
      <c r="U187" s="89"/>
      <c r="V187" s="103"/>
      <c r="W187" s="6"/>
    </row>
    <row r="188" spans="1:23" ht="15.6">
      <c r="A188" s="25"/>
      <c r="B188" s="109" t="s">
        <v>80</v>
      </c>
      <c r="C188" s="110"/>
      <c r="D188" s="110"/>
      <c r="E188" s="110"/>
      <c r="F188" s="110"/>
      <c r="G188" s="110"/>
      <c r="H188" s="110"/>
      <c r="I188" s="110"/>
      <c r="J188" s="110"/>
      <c r="K188" s="110"/>
      <c r="L188" s="110"/>
      <c r="M188" s="111"/>
      <c r="N188" s="110"/>
      <c r="O188" s="111"/>
      <c r="P188" s="110"/>
      <c r="Q188" s="111"/>
      <c r="R188" s="110"/>
      <c r="S188" s="111"/>
      <c r="T188" s="110"/>
      <c r="U188" s="112"/>
      <c r="V188" s="103"/>
      <c r="W188" s="6"/>
    </row>
    <row r="189" spans="1:23" ht="15.6">
      <c r="A189" s="25"/>
      <c r="B189" s="30"/>
      <c r="C189" s="76"/>
      <c r="D189" s="76"/>
      <c r="E189" s="76"/>
      <c r="F189" s="76"/>
      <c r="G189" s="76"/>
      <c r="H189" s="76"/>
      <c r="I189" s="76"/>
      <c r="J189" s="76"/>
      <c r="K189" s="76"/>
      <c r="L189" s="76"/>
      <c r="M189" s="109" t="s">
        <v>100</v>
      </c>
      <c r="N189" s="110"/>
      <c r="O189" s="111"/>
      <c r="P189" s="110"/>
      <c r="Q189" s="109" t="s">
        <v>26</v>
      </c>
      <c r="R189" s="110"/>
      <c r="S189" s="111"/>
      <c r="T189" s="110"/>
      <c r="U189" s="112"/>
      <c r="V189" s="103"/>
      <c r="W189" s="6"/>
    </row>
    <row r="190" spans="1:23" ht="15.6">
      <c r="A190" s="25"/>
      <c r="B190" s="76"/>
      <c r="C190" s="111"/>
      <c r="D190" s="111"/>
      <c r="E190" s="111"/>
      <c r="F190" s="111"/>
      <c r="G190" s="111"/>
      <c r="H190" s="111"/>
      <c r="I190" s="111"/>
      <c r="J190" s="111"/>
      <c r="K190" s="111"/>
      <c r="L190" s="111" t="s">
        <v>94</v>
      </c>
      <c r="M190" s="110" t="s">
        <v>101</v>
      </c>
      <c r="N190" s="111" t="s">
        <v>103</v>
      </c>
      <c r="O190" s="110" t="s">
        <v>101</v>
      </c>
      <c r="P190" s="110"/>
      <c r="Q190" s="111" t="s">
        <v>94</v>
      </c>
      <c r="R190" s="110" t="s">
        <v>101</v>
      </c>
      <c r="S190" s="111" t="s">
        <v>103</v>
      </c>
      <c r="T190" s="110" t="s">
        <v>101</v>
      </c>
      <c r="U190" s="112"/>
      <c r="V190" s="103"/>
      <c r="W190" s="6"/>
    </row>
    <row r="191" spans="1:23" ht="15.6">
      <c r="A191" s="25"/>
      <c r="B191" s="61" t="s">
        <v>81</v>
      </c>
      <c r="C191" s="113"/>
      <c r="D191" s="113"/>
      <c r="E191" s="113"/>
      <c r="F191" s="113"/>
      <c r="G191" s="113"/>
      <c r="H191" s="113"/>
      <c r="I191" s="113"/>
      <c r="J191" s="113"/>
      <c r="K191" s="113"/>
      <c r="L191" s="113">
        <v>9930</v>
      </c>
      <c r="M191" s="86">
        <f t="shared" ref="M191:M197" si="0">+L191/$L$198</f>
        <v>0.85360612051921259</v>
      </c>
      <c r="N191" s="113">
        <v>46487</v>
      </c>
      <c r="O191" s="86">
        <f t="shared" ref="O191:O197" si="1">N191/$N$198</f>
        <v>0.81764136839328116</v>
      </c>
      <c r="P191" s="110"/>
      <c r="Q191" s="113">
        <v>29219</v>
      </c>
      <c r="R191" s="86">
        <f t="shared" ref="R191:R197" si="2">+Q191/$Q$198</f>
        <v>0.95334268654768506</v>
      </c>
      <c r="S191" s="113">
        <v>25418</v>
      </c>
      <c r="T191" s="86">
        <f t="shared" ref="T191:T197" si="3">+S191/$S$198</f>
        <v>0.96174656627189825</v>
      </c>
      <c r="U191" s="112"/>
      <c r="V191" s="103"/>
      <c r="W191" s="6"/>
    </row>
    <row r="192" spans="1:23" ht="15.6">
      <c r="A192" s="25"/>
      <c r="B192" s="61" t="s">
        <v>82</v>
      </c>
      <c r="C192" s="113"/>
      <c r="D192" s="113"/>
      <c r="E192" s="113"/>
      <c r="F192" s="113"/>
      <c r="G192" s="113"/>
      <c r="H192" s="113"/>
      <c r="I192" s="113"/>
      <c r="J192" s="113"/>
      <c r="K192" s="113"/>
      <c r="L192" s="113">
        <v>229</v>
      </c>
      <c r="M192" s="86">
        <f t="shared" si="0"/>
        <v>1.968537780452162E-2</v>
      </c>
      <c r="N192" s="113">
        <v>1268</v>
      </c>
      <c r="O192" s="86">
        <f t="shared" si="1"/>
        <v>2.2302348078445167E-2</v>
      </c>
      <c r="P192" s="110"/>
      <c r="Q192" s="113">
        <v>176</v>
      </c>
      <c r="R192" s="86">
        <f t="shared" si="2"/>
        <v>5.7424385787464517E-3</v>
      </c>
      <c r="S192" s="113">
        <v>108</v>
      </c>
      <c r="T192" s="86">
        <f t="shared" si="3"/>
        <v>4.0864202202126453E-3</v>
      </c>
      <c r="U192" s="112"/>
      <c r="V192" s="103"/>
      <c r="W192" s="6"/>
    </row>
    <row r="193" spans="1:24" ht="15.6">
      <c r="A193" s="25"/>
      <c r="B193" s="61" t="s">
        <v>83</v>
      </c>
      <c r="C193" s="113"/>
      <c r="D193" s="113"/>
      <c r="E193" s="113"/>
      <c r="F193" s="113"/>
      <c r="G193" s="113"/>
      <c r="H193" s="113"/>
      <c r="I193" s="113"/>
      <c r="J193" s="113"/>
      <c r="K193" s="113"/>
      <c r="L193" s="113">
        <v>168</v>
      </c>
      <c r="M193" s="86">
        <f t="shared" si="0"/>
        <v>1.4441674546548612E-2</v>
      </c>
      <c r="N193" s="113">
        <v>1012</v>
      </c>
      <c r="O193" s="86">
        <f t="shared" si="1"/>
        <v>1.7799665816550875E-2</v>
      </c>
      <c r="P193" s="110"/>
      <c r="Q193" s="113">
        <v>185</v>
      </c>
      <c r="R193" s="86">
        <f t="shared" si="2"/>
        <v>6.0360860060687136E-3</v>
      </c>
      <c r="S193" s="113">
        <v>103</v>
      </c>
      <c r="T193" s="86">
        <f t="shared" si="3"/>
        <v>3.8972340989065044E-3</v>
      </c>
      <c r="U193" s="112"/>
      <c r="V193" s="103"/>
      <c r="W193" s="6"/>
    </row>
    <row r="194" spans="1:24" ht="15.6">
      <c r="A194" s="25"/>
      <c r="B194" s="61" t="s">
        <v>186</v>
      </c>
      <c r="C194" s="113"/>
      <c r="D194" s="113"/>
      <c r="E194" s="113"/>
      <c r="F194" s="113"/>
      <c r="G194" s="113"/>
      <c r="H194" s="113"/>
      <c r="I194" s="113"/>
      <c r="J194" s="113"/>
      <c r="K194" s="113"/>
      <c r="L194" s="113">
        <v>146</v>
      </c>
      <c r="M194" s="86">
        <f t="shared" si="0"/>
        <v>1.2550502879738674E-2</v>
      </c>
      <c r="N194" s="113">
        <v>838</v>
      </c>
      <c r="O194" s="86">
        <f t="shared" si="1"/>
        <v>1.4739248966669598E-2</v>
      </c>
      <c r="P194" s="110"/>
      <c r="Q194" s="113">
        <v>188</v>
      </c>
      <c r="R194" s="86">
        <f t="shared" si="2"/>
        <v>6.133968481842801E-3</v>
      </c>
      <c r="S194" s="113">
        <v>104</v>
      </c>
      <c r="T194" s="86">
        <f t="shared" si="3"/>
        <v>3.9350713231677322E-3</v>
      </c>
      <c r="U194" s="112"/>
      <c r="V194" s="103"/>
      <c r="W194" s="6"/>
    </row>
    <row r="195" spans="1:24" ht="15.6">
      <c r="A195" s="25"/>
      <c r="B195" s="61" t="s">
        <v>187</v>
      </c>
      <c r="C195" s="113"/>
      <c r="D195" s="113"/>
      <c r="E195" s="113"/>
      <c r="F195" s="113"/>
      <c r="G195" s="113"/>
      <c r="H195" s="113"/>
      <c r="I195" s="113"/>
      <c r="J195" s="113"/>
      <c r="K195" s="113"/>
      <c r="L195" s="113">
        <v>156</v>
      </c>
      <c r="M195" s="86">
        <f t="shared" si="0"/>
        <v>1.3410126364652282E-2</v>
      </c>
      <c r="N195" s="113">
        <v>964</v>
      </c>
      <c r="O195" s="86">
        <f t="shared" si="1"/>
        <v>1.6955412892445697E-2</v>
      </c>
      <c r="P195" s="110"/>
      <c r="Q195" s="113">
        <v>219</v>
      </c>
      <c r="R195" s="86">
        <f t="shared" si="2"/>
        <v>7.1454207315083691E-3</v>
      </c>
      <c r="S195" s="113">
        <v>140</v>
      </c>
      <c r="T195" s="86">
        <f t="shared" si="3"/>
        <v>5.2972113965719476E-3</v>
      </c>
      <c r="U195" s="112"/>
      <c r="V195" s="103"/>
      <c r="W195" s="6"/>
    </row>
    <row r="196" spans="1:24" ht="15.6">
      <c r="A196" s="25"/>
      <c r="B196" s="61" t="s">
        <v>188</v>
      </c>
      <c r="C196" s="113"/>
      <c r="D196" s="113"/>
      <c r="E196" s="113"/>
      <c r="F196" s="113"/>
      <c r="G196" s="113"/>
      <c r="H196" s="113"/>
      <c r="I196" s="113"/>
      <c r="J196" s="113"/>
      <c r="K196" s="113"/>
      <c r="L196" s="113">
        <v>168</v>
      </c>
      <c r="M196" s="86">
        <f t="shared" si="0"/>
        <v>1.4441674546548612E-2</v>
      </c>
      <c r="N196" s="113">
        <v>960</v>
      </c>
      <c r="O196" s="86">
        <f t="shared" si="1"/>
        <v>1.6885058482103598E-2</v>
      </c>
      <c r="P196" s="110"/>
      <c r="Q196" s="113">
        <v>238</v>
      </c>
      <c r="R196" s="86">
        <f t="shared" si="2"/>
        <v>7.7653430780775879E-3</v>
      </c>
      <c r="S196" s="113">
        <v>203</v>
      </c>
      <c r="T196" s="86">
        <f t="shared" si="3"/>
        <v>7.6809565250293239E-3</v>
      </c>
      <c r="U196" s="112"/>
      <c r="V196" s="103"/>
      <c r="W196" s="6"/>
    </row>
    <row r="197" spans="1:24" ht="15.6">
      <c r="A197" s="25"/>
      <c r="B197" s="61" t="s">
        <v>189</v>
      </c>
      <c r="C197" s="113"/>
      <c r="D197" s="113"/>
      <c r="E197" s="113"/>
      <c r="F197" s="113"/>
      <c r="G197" s="113"/>
      <c r="H197" s="113"/>
      <c r="I197" s="113"/>
      <c r="J197" s="113"/>
      <c r="K197" s="113"/>
      <c r="L197" s="113">
        <v>836</v>
      </c>
      <c r="M197" s="86">
        <f t="shared" si="0"/>
        <v>7.1864523338777617E-2</v>
      </c>
      <c r="N197" s="113">
        <v>5326</v>
      </c>
      <c r="O197" s="86">
        <f t="shared" si="1"/>
        <v>9.3676897370503914E-2</v>
      </c>
      <c r="P197" s="110"/>
      <c r="Q197" s="113">
        <v>424</v>
      </c>
      <c r="R197" s="86">
        <f t="shared" si="2"/>
        <v>1.3834056576070997E-2</v>
      </c>
      <c r="S197" s="113">
        <v>353</v>
      </c>
      <c r="T197" s="86">
        <f t="shared" si="3"/>
        <v>1.3356540164213553E-2</v>
      </c>
      <c r="U197" s="112"/>
      <c r="V197" s="103"/>
      <c r="W197" s="6"/>
    </row>
    <row r="198" spans="1:24" ht="15.6">
      <c r="A198" s="25"/>
      <c r="B198" s="61" t="s">
        <v>84</v>
      </c>
      <c r="C198" s="113"/>
      <c r="D198" s="113"/>
      <c r="E198" s="113"/>
      <c r="F198" s="113"/>
      <c r="G198" s="113"/>
      <c r="H198" s="113"/>
      <c r="I198" s="113"/>
      <c r="J198" s="113"/>
      <c r="K198" s="113"/>
      <c r="L198" s="113">
        <f>SUM(L191:L197)</f>
        <v>11633</v>
      </c>
      <c r="M198" s="86">
        <f>SUM(M191:M197)</f>
        <v>1.0000000000000002</v>
      </c>
      <c r="N198" s="113">
        <f>SUM(N191:N197)</f>
        <v>56855</v>
      </c>
      <c r="O198" s="86">
        <f>SUM(O191:O197)</f>
        <v>1</v>
      </c>
      <c r="P198" s="110"/>
      <c r="Q198" s="113">
        <f>SUM(Q191:Q197)</f>
        <v>30649</v>
      </c>
      <c r="R198" s="86">
        <f>SUM(R191:R197)</f>
        <v>1</v>
      </c>
      <c r="S198" s="113">
        <f>SUM(S191:S197)</f>
        <v>26429</v>
      </c>
      <c r="T198" s="86">
        <f>SUM(T191:T197)</f>
        <v>0.99999999999999989</v>
      </c>
      <c r="U198" s="112"/>
      <c r="V198" s="103"/>
      <c r="W198" s="6"/>
      <c r="X198" s="64"/>
    </row>
    <row r="199" spans="1:24" ht="15.6">
      <c r="A199" s="25"/>
      <c r="B199" s="61" t="s">
        <v>85</v>
      </c>
      <c r="C199" s="113"/>
      <c r="D199" s="113"/>
      <c r="E199" s="113"/>
      <c r="F199" s="113"/>
      <c r="G199" s="113"/>
      <c r="H199" s="113"/>
      <c r="I199" s="113"/>
      <c r="J199" s="113"/>
      <c r="K199" s="113"/>
      <c r="L199" s="113">
        <v>284</v>
      </c>
      <c r="M199" s="114"/>
      <c r="N199" s="113">
        <v>2089</v>
      </c>
      <c r="O199" s="114"/>
      <c r="P199" s="110"/>
      <c r="Q199" s="113">
        <v>54</v>
      </c>
      <c r="R199" s="114"/>
      <c r="S199" s="113">
        <v>88</v>
      </c>
      <c r="T199" s="114"/>
      <c r="U199" s="112"/>
      <c r="V199" s="103"/>
      <c r="W199" s="6"/>
      <c r="X199" s="64"/>
    </row>
    <row r="200" spans="1:24" ht="15.6">
      <c r="A200" s="25"/>
      <c r="B200" s="61" t="s">
        <v>86</v>
      </c>
      <c r="C200" s="113"/>
      <c r="D200" s="113"/>
      <c r="E200" s="113"/>
      <c r="F200" s="113"/>
      <c r="G200" s="113"/>
      <c r="H200" s="113"/>
      <c r="I200" s="113"/>
      <c r="J200" s="113"/>
      <c r="K200" s="113"/>
      <c r="L200" s="113">
        <f>SUM(L198:L199)</f>
        <v>11917</v>
      </c>
      <c r="M200" s="76"/>
      <c r="N200" s="113">
        <f>SUM(N198:N199)</f>
        <v>58944</v>
      </c>
      <c r="O200" s="115"/>
      <c r="P200" s="76"/>
      <c r="Q200" s="113">
        <f>SUM(Q198:Q199)</f>
        <v>30703</v>
      </c>
      <c r="R200" s="76"/>
      <c r="S200" s="113">
        <f>SUM(S198:S199)</f>
        <v>26517</v>
      </c>
      <c r="T200" s="76"/>
      <c r="U200" s="76"/>
      <c r="V200" s="103"/>
      <c r="W200" s="6"/>
      <c r="X200" s="64"/>
    </row>
    <row r="201" spans="1:24" ht="15.6">
      <c r="A201" s="25"/>
      <c r="B201" s="61"/>
      <c r="C201" s="113"/>
      <c r="D201" s="113"/>
      <c r="E201" s="113"/>
      <c r="F201" s="113"/>
      <c r="G201" s="113"/>
      <c r="H201" s="113"/>
      <c r="I201" s="113"/>
      <c r="J201" s="113"/>
      <c r="K201" s="113"/>
      <c r="L201" s="113"/>
      <c r="M201" s="115"/>
      <c r="N201" s="113"/>
      <c r="O201" s="115"/>
      <c r="P201" s="110"/>
      <c r="Q201" s="113"/>
      <c r="R201" s="115"/>
      <c r="S201" s="113"/>
      <c r="T201" s="115"/>
      <c r="U201" s="112"/>
      <c r="V201" s="103"/>
      <c r="W201" s="6"/>
    </row>
    <row r="202" spans="1:24" ht="15.6">
      <c r="A202" s="25"/>
      <c r="B202" s="61"/>
      <c r="C202" s="110"/>
      <c r="D202" s="110"/>
      <c r="E202" s="110"/>
      <c r="F202" s="110"/>
      <c r="G202" s="110"/>
      <c r="H202" s="110"/>
      <c r="I202" s="110"/>
      <c r="J202" s="110"/>
      <c r="K202" s="110"/>
      <c r="L202" s="110"/>
      <c r="M202" s="109" t="s">
        <v>27</v>
      </c>
      <c r="N202" s="110"/>
      <c r="O202" s="111"/>
      <c r="P202" s="110"/>
      <c r="Q202" s="109" t="s">
        <v>28</v>
      </c>
      <c r="R202" s="110"/>
      <c r="S202" s="111"/>
      <c r="T202" s="110"/>
      <c r="U202" s="112"/>
      <c r="V202" s="103"/>
      <c r="W202" s="6"/>
    </row>
    <row r="203" spans="1:24" ht="15.6">
      <c r="A203" s="25"/>
      <c r="B203" s="76"/>
      <c r="C203" s="111"/>
      <c r="D203" s="111"/>
      <c r="E203" s="111"/>
      <c r="F203" s="111"/>
      <c r="G203" s="111"/>
      <c r="H203" s="111"/>
      <c r="I203" s="111"/>
      <c r="J203" s="111"/>
      <c r="K203" s="111"/>
      <c r="L203" s="111" t="s">
        <v>94</v>
      </c>
      <c r="M203" s="110" t="s">
        <v>101</v>
      </c>
      <c r="N203" s="111" t="s">
        <v>103</v>
      </c>
      <c r="O203" s="110" t="s">
        <v>101</v>
      </c>
      <c r="P203" s="110"/>
      <c r="Q203" s="111" t="s">
        <v>94</v>
      </c>
      <c r="R203" s="110" t="s">
        <v>101</v>
      </c>
      <c r="S203" s="111" t="s">
        <v>103</v>
      </c>
      <c r="T203" s="110" t="s">
        <v>101</v>
      </c>
      <c r="U203" s="112"/>
      <c r="V203" s="103"/>
      <c r="W203" s="6"/>
    </row>
    <row r="204" spans="1:24" ht="15.6">
      <c r="A204" s="25"/>
      <c r="B204" s="61" t="s">
        <v>81</v>
      </c>
      <c r="C204" s="113"/>
      <c r="D204" s="113"/>
      <c r="E204" s="113"/>
      <c r="F204" s="113"/>
      <c r="G204" s="113"/>
      <c r="H204" s="113"/>
      <c r="I204" s="113"/>
      <c r="J204" s="113"/>
      <c r="K204" s="113"/>
      <c r="L204" s="113">
        <v>7439</v>
      </c>
      <c r="M204" s="86">
        <f t="shared" ref="M204:M210" si="4">+L204/$L$211</f>
        <v>0.93607650685793387</v>
      </c>
      <c r="N204" s="113">
        <v>181232</v>
      </c>
      <c r="O204" s="86">
        <f t="shared" ref="O204:O210" si="5">+N204/$N$211</f>
        <v>0.92808127982957456</v>
      </c>
      <c r="P204" s="110"/>
      <c r="Q204" s="113">
        <v>19007</v>
      </c>
      <c r="R204" s="86">
        <f t="shared" ref="R204:R210" si="6">Q204/$Q$211</f>
        <v>0.98507385332987818</v>
      </c>
      <c r="S204" s="113">
        <v>126178</v>
      </c>
      <c r="T204" s="86">
        <f t="shared" ref="T204:T210" si="7">+S204/$S$211</f>
        <v>0.9832537190147046</v>
      </c>
      <c r="U204" s="112"/>
      <c r="V204" s="103"/>
      <c r="W204" s="6"/>
    </row>
    <row r="205" spans="1:24" ht="15.6">
      <c r="A205" s="25"/>
      <c r="B205" s="61" t="s">
        <v>82</v>
      </c>
      <c r="C205" s="113"/>
      <c r="D205" s="113"/>
      <c r="E205" s="113"/>
      <c r="F205" s="113"/>
      <c r="G205" s="113"/>
      <c r="H205" s="113"/>
      <c r="I205" s="113"/>
      <c r="J205" s="113"/>
      <c r="K205" s="113"/>
      <c r="L205" s="113">
        <v>183</v>
      </c>
      <c r="M205" s="86">
        <f t="shared" si="4"/>
        <v>2.3027557568893922E-2</v>
      </c>
      <c r="N205" s="113">
        <v>4930</v>
      </c>
      <c r="O205" s="86">
        <f t="shared" si="5"/>
        <v>2.5246318031913805E-2</v>
      </c>
      <c r="P205" s="110"/>
      <c r="Q205" s="113">
        <v>111</v>
      </c>
      <c r="R205" s="86">
        <f t="shared" si="6"/>
        <v>5.7527856957761076E-3</v>
      </c>
      <c r="S205" s="113">
        <v>772</v>
      </c>
      <c r="T205" s="86">
        <f t="shared" si="7"/>
        <v>6.0158813032331468E-3</v>
      </c>
      <c r="U205" s="112"/>
      <c r="V205" s="103"/>
      <c r="W205" s="6"/>
    </row>
    <row r="206" spans="1:24" ht="15.6">
      <c r="A206" s="25"/>
      <c r="B206" s="61" t="s">
        <v>83</v>
      </c>
      <c r="C206" s="113"/>
      <c r="D206" s="113"/>
      <c r="E206" s="113"/>
      <c r="F206" s="113"/>
      <c r="G206" s="113"/>
      <c r="H206" s="113"/>
      <c r="I206" s="113"/>
      <c r="J206" s="113"/>
      <c r="K206" s="113"/>
      <c r="L206" s="113">
        <v>93</v>
      </c>
      <c r="M206" s="86">
        <f t="shared" si="4"/>
        <v>1.1702529256323141E-2</v>
      </c>
      <c r="N206" s="113">
        <v>2496</v>
      </c>
      <c r="O206" s="86">
        <f t="shared" si="5"/>
        <v>1.2781908683094697E-2</v>
      </c>
      <c r="P206" s="110"/>
      <c r="Q206" s="113">
        <v>47</v>
      </c>
      <c r="R206" s="86">
        <f t="shared" si="6"/>
        <v>2.4358642135268206E-3</v>
      </c>
      <c r="S206" s="113">
        <v>300</v>
      </c>
      <c r="T206" s="86">
        <f t="shared" si="7"/>
        <v>2.33777770851029E-3</v>
      </c>
      <c r="U206" s="112"/>
      <c r="V206" s="103"/>
      <c r="W206" s="6"/>
    </row>
    <row r="207" spans="1:24" ht="15.6">
      <c r="A207" s="25"/>
      <c r="B207" s="61" t="s">
        <v>186</v>
      </c>
      <c r="C207" s="113"/>
      <c r="D207" s="113"/>
      <c r="E207" s="113"/>
      <c r="F207" s="113"/>
      <c r="G207" s="113"/>
      <c r="H207" s="113"/>
      <c r="I207" s="113"/>
      <c r="J207" s="113"/>
      <c r="K207" s="113"/>
      <c r="L207" s="113">
        <v>53</v>
      </c>
      <c r="M207" s="86">
        <f t="shared" si="4"/>
        <v>6.669183339625016E-3</v>
      </c>
      <c r="N207" s="113">
        <v>1462</v>
      </c>
      <c r="O207" s="86">
        <f t="shared" si="5"/>
        <v>7.4868391404985767E-3</v>
      </c>
      <c r="P207" s="110"/>
      <c r="Q207" s="113">
        <v>20</v>
      </c>
      <c r="R207" s="86">
        <f t="shared" si="6"/>
        <v>1.0365379632029023E-3</v>
      </c>
      <c r="S207" s="113">
        <v>155</v>
      </c>
      <c r="T207" s="86">
        <f t="shared" si="7"/>
        <v>1.2078518160636498E-3</v>
      </c>
      <c r="U207" s="112"/>
      <c r="V207" s="103"/>
      <c r="W207" s="6"/>
    </row>
    <row r="208" spans="1:24" ht="15.6">
      <c r="A208" s="25"/>
      <c r="B208" s="61" t="s">
        <v>187</v>
      </c>
      <c r="C208" s="113"/>
      <c r="D208" s="113"/>
      <c r="E208" s="113"/>
      <c r="F208" s="113"/>
      <c r="G208" s="113"/>
      <c r="H208" s="113"/>
      <c r="I208" s="113"/>
      <c r="J208" s="113"/>
      <c r="K208" s="113"/>
      <c r="L208" s="113">
        <v>52</v>
      </c>
      <c r="M208" s="86">
        <f t="shared" si="4"/>
        <v>6.5433496917075623E-3</v>
      </c>
      <c r="N208" s="113">
        <v>1346</v>
      </c>
      <c r="O208" s="86">
        <f t="shared" si="5"/>
        <v>6.8928081279829578E-3</v>
      </c>
      <c r="P208" s="110"/>
      <c r="Q208" s="113">
        <v>21</v>
      </c>
      <c r="R208" s="86">
        <f t="shared" si="6"/>
        <v>1.0883648613630474E-3</v>
      </c>
      <c r="S208" s="113">
        <v>135</v>
      </c>
      <c r="T208" s="86">
        <f t="shared" si="7"/>
        <v>1.0519999688296305E-3</v>
      </c>
      <c r="U208" s="112"/>
      <c r="V208" s="103"/>
      <c r="W208" s="6"/>
    </row>
    <row r="209" spans="1:24" ht="15.6">
      <c r="A209" s="25"/>
      <c r="B209" s="61" t="s">
        <v>188</v>
      </c>
      <c r="C209" s="113"/>
      <c r="D209" s="113"/>
      <c r="E209" s="113"/>
      <c r="F209" s="113"/>
      <c r="G209" s="113"/>
      <c r="H209" s="113"/>
      <c r="I209" s="113"/>
      <c r="J209" s="113"/>
      <c r="K209" s="113"/>
      <c r="L209" s="113">
        <v>36</v>
      </c>
      <c r="M209" s="86">
        <f t="shared" si="4"/>
        <v>4.5300113250283129E-3</v>
      </c>
      <c r="N209" s="113">
        <v>1124</v>
      </c>
      <c r="O209" s="86">
        <f t="shared" si="5"/>
        <v>5.7559556729961693E-3</v>
      </c>
      <c r="P209" s="110"/>
      <c r="Q209" s="113">
        <v>21</v>
      </c>
      <c r="R209" s="86">
        <f t="shared" si="6"/>
        <v>1.0883648613630474E-3</v>
      </c>
      <c r="S209" s="113">
        <v>141</v>
      </c>
      <c r="T209" s="86">
        <f t="shared" si="7"/>
        <v>1.0987555229998365E-3</v>
      </c>
      <c r="U209" s="112"/>
      <c r="V209" s="103"/>
      <c r="W209" s="6"/>
    </row>
    <row r="210" spans="1:24" ht="15.6">
      <c r="A210" s="25"/>
      <c r="B210" s="61" t="s">
        <v>189</v>
      </c>
      <c r="C210" s="113"/>
      <c r="D210" s="113"/>
      <c r="E210" s="113"/>
      <c r="F210" s="113"/>
      <c r="G210" s="113"/>
      <c r="H210" s="113"/>
      <c r="I210" s="113"/>
      <c r="J210" s="113"/>
      <c r="K210" s="113"/>
      <c r="L210" s="113">
        <v>91</v>
      </c>
      <c r="M210" s="86">
        <f t="shared" si="4"/>
        <v>1.1450861960488234E-2</v>
      </c>
      <c r="N210" s="113">
        <v>2686</v>
      </c>
      <c r="O210" s="86">
        <f t="shared" si="5"/>
        <v>1.3754890513939244E-2</v>
      </c>
      <c r="P210" s="110"/>
      <c r="Q210" s="113">
        <v>68</v>
      </c>
      <c r="R210" s="86">
        <f t="shared" si="6"/>
        <v>3.524229074889868E-3</v>
      </c>
      <c r="S210" s="113">
        <v>646</v>
      </c>
      <c r="T210" s="86">
        <f t="shared" si="7"/>
        <v>5.0340146656588248E-3</v>
      </c>
      <c r="U210" s="112"/>
      <c r="V210" s="103"/>
      <c r="W210" s="6"/>
    </row>
    <row r="211" spans="1:24" ht="15.6">
      <c r="A211" s="25"/>
      <c r="B211" s="61" t="str">
        <f>B198</f>
        <v>Total Performing  Assets</v>
      </c>
      <c r="C211" s="113"/>
      <c r="D211" s="113"/>
      <c r="E211" s="113"/>
      <c r="F211" s="113"/>
      <c r="G211" s="113"/>
      <c r="H211" s="113"/>
      <c r="I211" s="113"/>
      <c r="J211" s="113"/>
      <c r="K211" s="113"/>
      <c r="L211" s="113">
        <f>SUM(L204:L210)</f>
        <v>7947</v>
      </c>
      <c r="M211" s="86">
        <f>SUM(M204:M210)</f>
        <v>1</v>
      </c>
      <c r="N211" s="113">
        <f>SUM(N204:N210)</f>
        <v>195276</v>
      </c>
      <c r="O211" s="86">
        <f>SUM(O204:O210)</f>
        <v>1</v>
      </c>
      <c r="P211" s="110"/>
      <c r="Q211" s="113">
        <f>SUM(Q204:Q210)</f>
        <v>19295</v>
      </c>
      <c r="R211" s="86">
        <f>SUM(R204:R210)</f>
        <v>1</v>
      </c>
      <c r="S211" s="113">
        <f>SUM(S204:S210)</f>
        <v>128327</v>
      </c>
      <c r="T211" s="86">
        <f>SUM(T204:T210)</f>
        <v>1</v>
      </c>
      <c r="U211" s="112"/>
      <c r="V211" s="103"/>
      <c r="W211" s="6"/>
    </row>
    <row r="212" spans="1:24" ht="15.6">
      <c r="A212" s="25"/>
      <c r="B212" s="61" t="s">
        <v>85</v>
      </c>
      <c r="C212" s="113"/>
      <c r="D212" s="113"/>
      <c r="E212" s="113"/>
      <c r="F212" s="113"/>
      <c r="G212" s="113"/>
      <c r="H212" s="113"/>
      <c r="I212" s="113"/>
      <c r="J212" s="113"/>
      <c r="K212" s="113"/>
      <c r="L212" s="113">
        <v>9</v>
      </c>
      <c r="M212" s="116"/>
      <c r="N212" s="113">
        <v>186</v>
      </c>
      <c r="O212" s="114"/>
      <c r="P212" s="110"/>
      <c r="Q212" s="113">
        <v>32</v>
      </c>
      <c r="R212" s="116"/>
      <c r="S212" s="113">
        <v>260</v>
      </c>
      <c r="T212" s="116"/>
      <c r="U212" s="112"/>
      <c r="V212" s="103"/>
      <c r="W212" s="6"/>
    </row>
    <row r="213" spans="1:24" ht="15.6">
      <c r="A213" s="25"/>
      <c r="B213" s="61" t="s">
        <v>86</v>
      </c>
      <c r="C213" s="113"/>
      <c r="D213" s="113"/>
      <c r="E213" s="113"/>
      <c r="F213" s="113"/>
      <c r="G213" s="113"/>
      <c r="H213" s="113"/>
      <c r="I213" s="113"/>
      <c r="J213" s="113"/>
      <c r="K213" s="113"/>
      <c r="L213" s="113">
        <f>SUM(L211:L212)</f>
        <v>7956</v>
      </c>
      <c r="M213" s="76"/>
      <c r="N213" s="113">
        <f>SUM(N211:N212)</f>
        <v>195462</v>
      </c>
      <c r="O213" s="86"/>
      <c r="P213" s="76"/>
      <c r="Q213" s="113">
        <f>SUM(Q211:Q212)</f>
        <v>19327</v>
      </c>
      <c r="R213" s="76"/>
      <c r="S213" s="113">
        <f>SUM(S211:S212)</f>
        <v>128587</v>
      </c>
      <c r="T213" s="76"/>
      <c r="U213" s="76"/>
      <c r="V213" s="129"/>
    </row>
    <row r="214" spans="1:24" ht="15.6">
      <c r="A214" s="25"/>
      <c r="B214" s="61"/>
      <c r="C214" s="110"/>
      <c r="D214" s="110"/>
      <c r="E214" s="110"/>
      <c r="F214" s="110"/>
      <c r="G214" s="110"/>
      <c r="H214" s="110"/>
      <c r="I214" s="110"/>
      <c r="J214" s="110"/>
      <c r="K214" s="110"/>
      <c r="L214" s="110"/>
      <c r="M214" s="111"/>
      <c r="N214" s="110"/>
      <c r="O214" s="111"/>
      <c r="P214" s="110"/>
      <c r="Q214" s="117"/>
      <c r="R214" s="110"/>
      <c r="S214" s="113"/>
      <c r="T214" s="110"/>
      <c r="U214" s="112"/>
      <c r="V214" s="103"/>
      <c r="W214" s="6"/>
    </row>
    <row r="215" spans="1:24" ht="15.6">
      <c r="A215" s="25"/>
      <c r="B215" s="61" t="s">
        <v>86</v>
      </c>
      <c r="C215" s="110"/>
      <c r="D215" s="110"/>
      <c r="E215" s="110"/>
      <c r="F215" s="110"/>
      <c r="G215" s="110"/>
      <c r="H215" s="110"/>
      <c r="I215" s="110"/>
      <c r="J215" s="110"/>
      <c r="K215" s="110"/>
      <c r="L215" s="110"/>
      <c r="M215" s="111"/>
      <c r="N215" s="110"/>
      <c r="O215" s="111"/>
      <c r="P215" s="110"/>
      <c r="Q215" s="117"/>
      <c r="R215" s="116"/>
      <c r="S215" s="113">
        <f>N200+S200+N213+S213</f>
        <v>409510</v>
      </c>
      <c r="T215" s="115"/>
      <c r="U215" s="112"/>
      <c r="V215" s="103"/>
      <c r="W215" s="6"/>
    </row>
    <row r="216" spans="1:24" ht="15.6">
      <c r="A216" s="25"/>
      <c r="B216" s="61"/>
      <c r="C216" s="110"/>
      <c r="D216" s="110"/>
      <c r="E216" s="110"/>
      <c r="F216" s="110"/>
      <c r="G216" s="110"/>
      <c r="H216" s="110"/>
      <c r="I216" s="110"/>
      <c r="J216" s="110"/>
      <c r="K216" s="110"/>
      <c r="L216" s="110"/>
      <c r="M216" s="111"/>
      <c r="N216" s="110"/>
      <c r="O216" s="111"/>
      <c r="P216" s="110"/>
      <c r="Q216" s="111"/>
      <c r="R216" s="110"/>
      <c r="S216" s="113"/>
      <c r="T216" s="116"/>
      <c r="U216" s="112"/>
      <c r="V216" s="103"/>
      <c r="W216" s="6"/>
    </row>
    <row r="217" spans="1:24" ht="15.6">
      <c r="A217" s="25"/>
      <c r="B217" s="118" t="s">
        <v>87</v>
      </c>
      <c r="C217" s="110"/>
      <c r="D217" s="110"/>
      <c r="E217" s="110"/>
      <c r="F217" s="110"/>
      <c r="G217" s="110"/>
      <c r="H217" s="110"/>
      <c r="I217" s="110"/>
      <c r="J217" s="110"/>
      <c r="K217" s="110"/>
      <c r="L217" s="110"/>
      <c r="M217" s="111"/>
      <c r="N217" s="110"/>
      <c r="O217" s="111"/>
      <c r="P217" s="110"/>
      <c r="Q217" s="111"/>
      <c r="R217" s="110"/>
      <c r="S217" s="113"/>
      <c r="T217" s="110"/>
      <c r="U217" s="112"/>
      <c r="V217" s="103"/>
      <c r="W217" s="6"/>
    </row>
    <row r="218" spans="1:24" ht="15.6">
      <c r="A218" s="25"/>
      <c r="B218" s="61"/>
      <c r="C218" s="110"/>
      <c r="D218" s="110"/>
      <c r="E218" s="110"/>
      <c r="F218" s="110"/>
      <c r="G218" s="110"/>
      <c r="H218" s="110"/>
      <c r="I218" s="110"/>
      <c r="J218" s="110"/>
      <c r="K218" s="110"/>
      <c r="L218" s="110"/>
      <c r="M218" s="111"/>
      <c r="N218" s="110"/>
      <c r="O218" s="111"/>
      <c r="P218" s="110"/>
      <c r="Q218" s="111"/>
      <c r="R218" s="110"/>
      <c r="S218" s="113"/>
      <c r="T218" s="110"/>
      <c r="U218" s="112"/>
      <c r="V218" s="103"/>
      <c r="W218" s="6"/>
    </row>
    <row r="219" spans="1:24" ht="15.6">
      <c r="A219" s="25"/>
      <c r="B219" s="61" t="s">
        <v>88</v>
      </c>
      <c r="C219" s="110"/>
      <c r="D219" s="110"/>
      <c r="E219" s="110"/>
      <c r="F219" s="110"/>
      <c r="G219" s="110"/>
      <c r="H219" s="110"/>
      <c r="I219" s="110"/>
      <c r="J219" s="110"/>
      <c r="K219" s="110"/>
      <c r="L219" s="110"/>
      <c r="M219" s="111"/>
      <c r="N219" s="110"/>
      <c r="O219" s="111"/>
      <c r="P219" s="110"/>
      <c r="Q219" s="111"/>
      <c r="R219" s="110"/>
      <c r="S219" s="113">
        <f>+N198+S198+N211+S211</f>
        <v>406887</v>
      </c>
      <c r="T219" s="110"/>
      <c r="U219" s="112"/>
      <c r="V219" s="103"/>
      <c r="W219" s="6"/>
      <c r="X219" s="182"/>
    </row>
    <row r="220" spans="1:24" ht="15.6">
      <c r="A220" s="25"/>
      <c r="B220" s="61" t="s">
        <v>89</v>
      </c>
      <c r="C220" s="110"/>
      <c r="D220" s="110"/>
      <c r="E220" s="110"/>
      <c r="F220" s="110"/>
      <c r="G220" s="110"/>
      <c r="H220" s="110"/>
      <c r="I220" s="110"/>
      <c r="J220" s="110"/>
      <c r="K220" s="110"/>
      <c r="L220" s="110"/>
      <c r="M220" s="111"/>
      <c r="N220" s="110"/>
      <c r="O220" s="111"/>
      <c r="P220" s="110"/>
      <c r="Q220" s="111"/>
      <c r="R220" s="110"/>
      <c r="S220" s="113">
        <f>-U103</f>
        <v>43113</v>
      </c>
      <c r="T220" s="110"/>
      <c r="U220" s="112"/>
      <c r="V220" s="103"/>
      <c r="W220" s="119"/>
    </row>
    <row r="221" spans="1:24" ht="15.6">
      <c r="A221" s="25"/>
      <c r="B221" s="61" t="s">
        <v>90</v>
      </c>
      <c r="C221" s="110"/>
      <c r="D221" s="110"/>
      <c r="E221" s="110"/>
      <c r="F221" s="110"/>
      <c r="G221" s="110"/>
      <c r="H221" s="110"/>
      <c r="I221" s="110"/>
      <c r="J221" s="110"/>
      <c r="K221" s="110"/>
      <c r="L221" s="110"/>
      <c r="M221" s="111"/>
      <c r="N221" s="110"/>
      <c r="O221" s="111"/>
      <c r="P221" s="110"/>
      <c r="Q221" s="111"/>
      <c r="R221" s="110"/>
      <c r="S221" s="113">
        <f>SUM(S219:S220)</f>
        <v>450000</v>
      </c>
      <c r="T221" s="110"/>
      <c r="U221" s="112"/>
      <c r="V221" s="103"/>
      <c r="W221" s="6"/>
    </row>
    <row r="222" spans="1:24" ht="15.6">
      <c r="A222" s="25"/>
      <c r="B222" s="61"/>
      <c r="C222" s="110"/>
      <c r="D222" s="110"/>
      <c r="E222" s="110"/>
      <c r="F222" s="110"/>
      <c r="G222" s="110"/>
      <c r="H222" s="110"/>
      <c r="I222" s="110"/>
      <c r="J222" s="110"/>
      <c r="K222" s="110"/>
      <c r="L222" s="110"/>
      <c r="M222" s="111"/>
      <c r="N222" s="110"/>
      <c r="O222" s="111"/>
      <c r="P222" s="110"/>
      <c r="Q222" s="111"/>
      <c r="R222" s="110"/>
      <c r="S222" s="113"/>
      <c r="T222" s="110"/>
      <c r="U222" s="112"/>
      <c r="V222" s="103"/>
      <c r="W222" s="6"/>
    </row>
    <row r="223" spans="1:24" ht="15.6">
      <c r="A223" s="25"/>
      <c r="B223" s="61" t="s">
        <v>91</v>
      </c>
      <c r="C223" s="110"/>
      <c r="D223" s="110"/>
      <c r="E223" s="110"/>
      <c r="F223" s="110"/>
      <c r="G223" s="110"/>
      <c r="H223" s="110"/>
      <c r="I223" s="110"/>
      <c r="J223" s="110"/>
      <c r="K223" s="110"/>
      <c r="L223" s="110"/>
      <c r="M223" s="111"/>
      <c r="N223" s="110"/>
      <c r="O223" s="111"/>
      <c r="P223" s="110"/>
      <c r="Q223" s="111"/>
      <c r="R223" s="110"/>
      <c r="S223" s="113">
        <f>U33</f>
        <v>450000</v>
      </c>
      <c r="T223" s="110"/>
      <c r="U223" s="112"/>
      <c r="V223" s="103"/>
      <c r="W223" s="6"/>
    </row>
    <row r="224" spans="1:24" ht="15.6">
      <c r="A224" s="25"/>
      <c r="B224" s="61"/>
      <c r="C224" s="110"/>
      <c r="D224" s="110"/>
      <c r="E224" s="110"/>
      <c r="F224" s="110"/>
      <c r="G224" s="110"/>
      <c r="H224" s="110"/>
      <c r="I224" s="110"/>
      <c r="J224" s="110"/>
      <c r="K224" s="110"/>
      <c r="L224" s="110"/>
      <c r="M224" s="111"/>
      <c r="N224" s="110"/>
      <c r="O224" s="111"/>
      <c r="P224" s="110"/>
      <c r="Q224" s="111"/>
      <c r="R224" s="110"/>
      <c r="S224" s="113"/>
      <c r="T224" s="110"/>
      <c r="U224" s="112"/>
      <c r="V224" s="103"/>
      <c r="W224" s="6"/>
    </row>
    <row r="225" spans="1:23" ht="15.6">
      <c r="A225" s="25"/>
      <c r="B225" s="61" t="s">
        <v>92</v>
      </c>
      <c r="C225" s="110"/>
      <c r="D225" s="110"/>
      <c r="E225" s="110"/>
      <c r="F225" s="110"/>
      <c r="G225" s="110"/>
      <c r="H225" s="110"/>
      <c r="I225" s="110"/>
      <c r="J225" s="110"/>
      <c r="K225" s="110"/>
      <c r="L225" s="110"/>
      <c r="M225" s="111"/>
      <c r="N225" s="110"/>
      <c r="O225" s="111"/>
      <c r="P225" s="110"/>
      <c r="Q225" s="111"/>
      <c r="R225" s="110"/>
      <c r="S225" s="113">
        <f>S221/S223</f>
        <v>1</v>
      </c>
      <c r="T225" s="110"/>
      <c r="U225" s="112"/>
      <c r="V225" s="103"/>
      <c r="W225" s="6"/>
    </row>
    <row r="226" spans="1:23" ht="15.6">
      <c r="A226" s="25"/>
      <c r="B226" s="26"/>
      <c r="C226" s="26"/>
      <c r="D226" s="26"/>
      <c r="E226" s="26"/>
      <c r="F226" s="26"/>
      <c r="G226" s="26"/>
      <c r="H226" s="26"/>
      <c r="I226" s="26"/>
      <c r="J226" s="26"/>
      <c r="K226" s="26"/>
      <c r="L226" s="26"/>
      <c r="M226" s="33"/>
      <c r="N226" s="26"/>
      <c r="O226" s="26"/>
      <c r="P226" s="26"/>
      <c r="Q226" s="59"/>
      <c r="R226" s="120"/>
      <c r="S226" s="60"/>
      <c r="T226" s="120"/>
      <c r="U226" s="89"/>
      <c r="V226" s="26"/>
      <c r="W226" s="6"/>
    </row>
    <row r="227" spans="1:23" ht="15.6">
      <c r="A227" s="121"/>
      <c r="B227" s="30" t="s">
        <v>127</v>
      </c>
      <c r="C227" s="122"/>
      <c r="D227" s="122"/>
      <c r="E227" s="122"/>
      <c r="F227" s="122"/>
      <c r="G227" s="122"/>
      <c r="H227" s="122"/>
      <c r="I227" s="122"/>
      <c r="J227" s="122"/>
      <c r="K227" s="122"/>
      <c r="L227" s="122"/>
      <c r="M227" s="110"/>
      <c r="N227" s="112"/>
      <c r="O227" s="30"/>
      <c r="P227" s="123"/>
      <c r="Q227" s="123"/>
      <c r="R227" s="123"/>
      <c r="S227" s="124"/>
      <c r="T227" s="29"/>
      <c r="U227" s="29"/>
      <c r="V227" s="29"/>
      <c r="W227" s="6"/>
    </row>
    <row r="228" spans="1:23" ht="15.6">
      <c r="A228" s="125"/>
      <c r="B228" s="13" t="s">
        <v>128</v>
      </c>
      <c r="C228" s="126"/>
      <c r="D228" s="126"/>
      <c r="E228" s="126"/>
      <c r="F228" s="126"/>
      <c r="G228" s="126"/>
      <c r="H228" s="126"/>
      <c r="I228" s="126"/>
      <c r="J228" s="126"/>
      <c r="K228" s="126"/>
      <c r="L228" s="126"/>
      <c r="M228" s="127"/>
      <c r="N228" s="13"/>
      <c r="O228" s="13"/>
      <c r="P228" s="126"/>
      <c r="Q228" s="126"/>
      <c r="R228" s="12"/>
      <c r="S228" s="12"/>
      <c r="T228" s="12"/>
      <c r="U228" s="12"/>
      <c r="V228" s="12"/>
      <c r="W228" s="6"/>
    </row>
    <row r="229" spans="1:23" ht="15.6">
      <c r="A229" s="125"/>
      <c r="B229" s="13" t="s">
        <v>246</v>
      </c>
      <c r="C229" s="126"/>
      <c r="D229" s="126"/>
      <c r="E229" s="126"/>
      <c r="F229" s="126"/>
      <c r="G229" s="126"/>
      <c r="H229" s="126"/>
      <c r="I229" s="126"/>
      <c r="J229" s="126"/>
      <c r="K229" s="126"/>
      <c r="L229" s="126"/>
      <c r="M229" s="127"/>
      <c r="N229" s="13"/>
      <c r="O229" s="13"/>
      <c r="P229" s="126"/>
      <c r="Q229" s="126"/>
      <c r="R229" s="12"/>
      <c r="S229" s="12"/>
      <c r="T229" s="12"/>
      <c r="U229" s="12"/>
      <c r="V229" s="12"/>
      <c r="W229" s="6"/>
    </row>
    <row r="230" spans="1:23" ht="15.6">
      <c r="A230" s="125"/>
      <c r="B230" s="13" t="s">
        <v>129</v>
      </c>
      <c r="C230" s="126"/>
      <c r="D230" s="126"/>
      <c r="E230" s="126"/>
      <c r="F230" s="126"/>
      <c r="G230" s="126"/>
      <c r="H230" s="126"/>
      <c r="I230" s="126"/>
      <c r="J230" s="126"/>
      <c r="K230" s="126"/>
      <c r="L230" s="126"/>
      <c r="M230" s="127"/>
      <c r="N230" s="13"/>
      <c r="O230" s="13"/>
      <c r="P230" s="126"/>
      <c r="Q230" s="126"/>
      <c r="R230" s="12"/>
      <c r="S230" s="12"/>
      <c r="T230" s="12"/>
      <c r="U230" s="12"/>
      <c r="V230" s="12"/>
      <c r="W230" s="6"/>
    </row>
    <row r="231" spans="1:23" ht="15.6">
      <c r="A231" s="125"/>
      <c r="B231" s="13"/>
      <c r="C231" s="126"/>
      <c r="D231" s="126"/>
      <c r="E231" s="126"/>
      <c r="F231" s="126"/>
      <c r="G231" s="126"/>
      <c r="H231" s="126"/>
      <c r="I231" s="126"/>
      <c r="J231" s="126"/>
      <c r="K231" s="126"/>
      <c r="L231" s="126"/>
      <c r="M231" s="127"/>
      <c r="N231" s="13"/>
      <c r="O231" s="13"/>
      <c r="P231" s="126"/>
      <c r="Q231" s="126"/>
      <c r="R231" s="12"/>
      <c r="S231" s="12"/>
      <c r="T231" s="12"/>
      <c r="U231" s="12"/>
      <c r="V231" s="12"/>
      <c r="W231" s="6"/>
    </row>
    <row r="232" spans="1:23" ht="15.6">
      <c r="A232" s="125"/>
      <c r="B232" s="13"/>
      <c r="C232" s="126"/>
      <c r="D232" s="126"/>
      <c r="E232" s="126"/>
      <c r="F232" s="126"/>
      <c r="G232" s="126"/>
      <c r="H232" s="126"/>
      <c r="I232" s="126"/>
      <c r="J232" s="126"/>
      <c r="K232" s="126"/>
      <c r="L232" s="126"/>
      <c r="M232" s="127"/>
      <c r="N232" s="13"/>
      <c r="O232" s="13"/>
      <c r="P232" s="126"/>
      <c r="Q232" s="126"/>
      <c r="R232" s="12"/>
      <c r="S232" s="12"/>
      <c r="T232" s="12"/>
      <c r="U232" s="12"/>
      <c r="V232" s="12"/>
      <c r="W232" s="6"/>
    </row>
    <row r="233" spans="1:23" ht="16.2" thickBot="1">
      <c r="A233" s="125"/>
      <c r="B233" s="13" t="str">
        <f>+B160</f>
        <v>PPAF3 INVESTOR REPORT QUARTER ENDING SEPTEMBER 2005</v>
      </c>
      <c r="C233" s="126"/>
      <c r="D233" s="126"/>
      <c r="E233" s="126"/>
      <c r="F233" s="126"/>
      <c r="G233" s="126"/>
      <c r="H233" s="126"/>
      <c r="I233" s="126"/>
      <c r="J233" s="126"/>
      <c r="K233" s="126"/>
      <c r="L233" s="126"/>
      <c r="M233" s="127"/>
      <c r="N233" s="13"/>
      <c r="O233" s="13"/>
      <c r="P233" s="126"/>
      <c r="Q233" s="126"/>
      <c r="R233" s="12"/>
      <c r="S233" s="12"/>
      <c r="T233" s="12"/>
      <c r="U233" s="12"/>
      <c r="V233" s="12"/>
      <c r="W233" s="6"/>
    </row>
    <row r="234" spans="1:2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row>
  </sheetData>
  <phoneticPr fontId="0" type="noConversion"/>
  <hyperlinks>
    <hyperlink ref="I9" r:id="rId1"/>
    <hyperlink ref="K187" r:id="rId2"/>
  </hyperlinks>
  <printOptions horizontalCentered="1" verticalCentered="1"/>
  <pageMargins left="0.23622047244094491" right="0.43307086614173229" top="0.23622047244094491" bottom="0.74803149606299213" header="0" footer="0"/>
  <pageSetup scale="34" orientation="landscape" r:id="rId3"/>
  <headerFooter alignWithMargins="0"/>
  <rowBreaks count="4" manualBreakCount="4">
    <brk id="59" max="16383" man="1"/>
    <brk id="110" max="16383" man="1"/>
    <brk id="160" max="13" man="1"/>
    <brk id="239" man="1"/>
  </rowBreaks>
  <colBreaks count="1" manualBreakCount="1">
    <brk id="23" max="1048575" man="1"/>
  </col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18"/>
  </sheetPr>
  <dimension ref="A1:Y235"/>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 t="s">
        <v>223</v>
      </c>
      <c r="B1" s="3" t="s">
        <v>123</v>
      </c>
      <c r="C1" s="4"/>
      <c r="D1" s="4"/>
      <c r="E1" s="4"/>
      <c r="F1" s="4"/>
      <c r="G1" s="4"/>
      <c r="H1" s="4"/>
      <c r="I1" s="4"/>
      <c r="J1" s="4"/>
      <c r="K1" s="4"/>
      <c r="L1" s="4"/>
      <c r="M1" s="5"/>
      <c r="N1" s="5"/>
      <c r="O1" s="5"/>
      <c r="P1" s="5"/>
      <c r="Q1" s="5"/>
      <c r="R1" s="5"/>
      <c r="S1" s="5"/>
      <c r="T1" s="5"/>
      <c r="U1" s="5"/>
      <c r="V1" s="193"/>
      <c r="W1" s="6"/>
    </row>
    <row r="2" spans="1:23" ht="15.6">
      <c r="A2" s="7"/>
      <c r="B2" s="8"/>
      <c r="C2" s="8"/>
      <c r="D2" s="8"/>
      <c r="E2" s="8"/>
      <c r="F2" s="8"/>
      <c r="G2" s="8"/>
      <c r="H2" s="8"/>
      <c r="I2" s="8"/>
      <c r="J2" s="8"/>
      <c r="K2" s="8"/>
      <c r="L2" s="8"/>
      <c r="M2" s="9"/>
      <c r="N2" s="9"/>
      <c r="O2" s="9"/>
      <c r="P2" s="9"/>
      <c r="Q2" s="9"/>
      <c r="R2" s="9"/>
      <c r="S2" s="9"/>
      <c r="T2" s="9"/>
      <c r="U2" s="9"/>
      <c r="V2" s="194"/>
      <c r="W2" s="6"/>
    </row>
    <row r="3" spans="1:23" ht="15.6">
      <c r="A3" s="10"/>
      <c r="B3" s="141" t="s">
        <v>125</v>
      </c>
      <c r="C3" s="9"/>
      <c r="D3" s="9"/>
      <c r="E3" s="9"/>
      <c r="F3" s="9"/>
      <c r="G3" s="9"/>
      <c r="H3" s="9"/>
      <c r="I3" s="9"/>
      <c r="J3" s="9"/>
      <c r="K3" s="9"/>
      <c r="L3" s="9"/>
      <c r="M3" s="9"/>
      <c r="N3" s="9"/>
      <c r="O3" s="9"/>
      <c r="P3" s="9"/>
      <c r="Q3" s="9"/>
      <c r="R3" s="9"/>
      <c r="S3" s="9"/>
      <c r="T3" s="9"/>
      <c r="U3" s="9"/>
      <c r="V3" s="194"/>
      <c r="W3" s="6"/>
    </row>
    <row r="4" spans="1:23" ht="15.6">
      <c r="A4" s="7"/>
      <c r="B4" s="8"/>
      <c r="C4" s="8"/>
      <c r="D4" s="8"/>
      <c r="E4" s="8"/>
      <c r="F4" s="8"/>
      <c r="G4" s="8"/>
      <c r="H4" s="8"/>
      <c r="I4" s="8"/>
      <c r="J4" s="8"/>
      <c r="K4" s="8"/>
      <c r="L4" s="8"/>
      <c r="M4" s="9"/>
      <c r="N4" s="9"/>
      <c r="O4" s="9"/>
      <c r="P4" s="9"/>
      <c r="Q4" s="9"/>
      <c r="R4" s="9"/>
      <c r="S4" s="9"/>
      <c r="T4" s="9"/>
      <c r="U4" s="9"/>
      <c r="V4" s="194"/>
      <c r="W4" s="6"/>
    </row>
    <row r="5" spans="1:23" ht="16.2">
      <c r="A5" s="7"/>
      <c r="B5" s="192" t="s">
        <v>0</v>
      </c>
      <c r="C5" s="11"/>
      <c r="D5" s="11"/>
      <c r="E5" s="11"/>
      <c r="F5" s="11"/>
      <c r="G5" s="11"/>
      <c r="H5" s="11"/>
      <c r="I5" s="11"/>
      <c r="J5" s="11"/>
      <c r="K5" s="11"/>
      <c r="L5" s="11"/>
      <c r="M5" s="9"/>
      <c r="N5" s="9"/>
      <c r="O5" s="9"/>
      <c r="P5" s="9"/>
      <c r="Q5" s="9"/>
      <c r="R5" s="9"/>
      <c r="S5" s="9"/>
      <c r="T5" s="9"/>
      <c r="U5" s="9"/>
      <c r="V5" s="194"/>
      <c r="W5" s="6"/>
    </row>
    <row r="6" spans="1:23" ht="16.2">
      <c r="A6" s="7"/>
      <c r="B6" s="192" t="s">
        <v>1</v>
      </c>
      <c r="C6" s="11"/>
      <c r="D6" s="11"/>
      <c r="E6" s="11"/>
      <c r="F6" s="11"/>
      <c r="G6" s="11"/>
      <c r="H6" s="11"/>
      <c r="I6" s="11"/>
      <c r="J6" s="11"/>
      <c r="K6" s="11"/>
      <c r="L6" s="11"/>
      <c r="M6" s="9"/>
      <c r="N6" s="9"/>
      <c r="O6" s="9"/>
      <c r="P6" s="9"/>
      <c r="Q6" s="9"/>
      <c r="R6" s="9"/>
      <c r="S6" s="9"/>
      <c r="T6" s="9"/>
      <c r="U6" s="9"/>
      <c r="V6" s="194"/>
      <c r="W6" s="6"/>
    </row>
    <row r="7" spans="1:23" ht="16.2">
      <c r="A7" s="7"/>
      <c r="B7" s="192" t="s">
        <v>2</v>
      </c>
      <c r="C7" s="11"/>
      <c r="D7" s="11"/>
      <c r="E7" s="11"/>
      <c r="F7" s="11"/>
      <c r="G7" s="11"/>
      <c r="H7" s="11"/>
      <c r="I7" s="11"/>
      <c r="J7" s="11"/>
      <c r="K7" s="11"/>
      <c r="L7" s="11"/>
      <c r="M7" s="9"/>
      <c r="N7" s="9"/>
      <c r="O7" s="9"/>
      <c r="P7" s="9"/>
      <c r="Q7" s="9"/>
      <c r="R7" s="9"/>
      <c r="S7" s="9"/>
      <c r="T7" s="9"/>
      <c r="U7" s="9"/>
      <c r="V7" s="194"/>
      <c r="W7" s="6"/>
    </row>
    <row r="8" spans="1:23" ht="16.2">
      <c r="A8" s="7"/>
      <c r="B8" s="12"/>
      <c r="C8" s="11"/>
      <c r="D8" s="11"/>
      <c r="E8" s="11"/>
      <c r="F8" s="11"/>
      <c r="G8" s="11"/>
      <c r="H8" s="11"/>
      <c r="I8" s="11"/>
      <c r="J8" s="11"/>
      <c r="K8" s="11"/>
      <c r="L8" s="11"/>
      <c r="M8" s="9"/>
      <c r="N8" s="9"/>
      <c r="O8" s="9"/>
      <c r="P8" s="9"/>
      <c r="Q8" s="9"/>
      <c r="R8" s="9"/>
      <c r="S8" s="9"/>
      <c r="T8" s="9"/>
      <c r="U8" s="9"/>
      <c r="V8" s="194"/>
      <c r="W8" s="6"/>
    </row>
    <row r="9" spans="1:23" ht="18">
      <c r="A9" s="7"/>
      <c r="B9" s="178" t="s">
        <v>194</v>
      </c>
      <c r="C9" s="11"/>
      <c r="D9" s="11"/>
      <c r="E9" s="11"/>
      <c r="F9" s="11"/>
      <c r="G9" s="11"/>
      <c r="H9" s="11"/>
      <c r="I9" s="179" t="s">
        <v>195</v>
      </c>
      <c r="J9" s="11"/>
      <c r="K9" s="11"/>
      <c r="L9" s="11"/>
      <c r="M9" s="9"/>
      <c r="N9" s="9"/>
      <c r="O9" s="9"/>
      <c r="P9" s="9"/>
      <c r="Q9" s="9"/>
      <c r="R9" s="9"/>
      <c r="S9" s="9"/>
      <c r="T9" s="9"/>
      <c r="U9" s="9"/>
      <c r="V9" s="194"/>
      <c r="W9" s="6"/>
    </row>
    <row r="10" spans="1:23" ht="16.2">
      <c r="A10" s="7"/>
      <c r="B10" s="11"/>
      <c r="C10" s="11"/>
      <c r="D10" s="11"/>
      <c r="E10" s="11"/>
      <c r="F10" s="11"/>
      <c r="G10" s="11"/>
      <c r="H10" s="11"/>
      <c r="I10" s="11"/>
      <c r="J10" s="11"/>
      <c r="K10" s="11"/>
      <c r="L10" s="11"/>
      <c r="M10" s="13"/>
      <c r="N10" s="13"/>
      <c r="O10" s="9"/>
      <c r="P10" s="9"/>
      <c r="Q10" s="9"/>
      <c r="R10" s="9"/>
      <c r="S10" s="9"/>
      <c r="T10" s="9"/>
      <c r="U10" s="9"/>
      <c r="V10" s="194"/>
      <c r="W10" s="6"/>
    </row>
    <row r="11" spans="1:23" ht="15.6">
      <c r="A11" s="7"/>
      <c r="B11" s="13" t="s">
        <v>3</v>
      </c>
      <c r="C11" s="13"/>
      <c r="D11" s="13"/>
      <c r="E11" s="13"/>
      <c r="F11" s="13"/>
      <c r="G11" s="13"/>
      <c r="H11" s="13"/>
      <c r="I11" s="13"/>
      <c r="J11" s="13"/>
      <c r="K11" s="13"/>
      <c r="L11" s="13"/>
      <c r="M11" s="9"/>
      <c r="N11" s="9"/>
      <c r="O11" s="9"/>
      <c r="P11" s="9"/>
      <c r="Q11" s="9"/>
      <c r="R11" s="9"/>
      <c r="S11" s="9"/>
      <c r="T11" s="9"/>
      <c r="U11" s="9"/>
      <c r="V11" s="194"/>
      <c r="W11" s="6"/>
    </row>
    <row r="12" spans="1:23" ht="16.2" thickBot="1">
      <c r="A12" s="7"/>
      <c r="B12" s="13"/>
      <c r="C12" s="13"/>
      <c r="D12" s="13"/>
      <c r="E12" s="13"/>
      <c r="F12" s="13"/>
      <c r="G12" s="13"/>
      <c r="H12" s="13"/>
      <c r="I12" s="13"/>
      <c r="J12" s="13"/>
      <c r="K12" s="13"/>
      <c r="L12" s="13"/>
      <c r="M12" s="9"/>
      <c r="N12" s="9"/>
      <c r="O12" s="9"/>
      <c r="P12" s="9"/>
      <c r="Q12" s="9"/>
      <c r="R12" s="9"/>
      <c r="S12" s="9"/>
      <c r="T12" s="9"/>
      <c r="U12" s="9"/>
      <c r="V12" s="194"/>
      <c r="W12" s="6"/>
    </row>
    <row r="13" spans="1:23" ht="15.6">
      <c r="A13" s="2"/>
      <c r="B13" s="5"/>
      <c r="C13" s="5"/>
      <c r="D13" s="5"/>
      <c r="E13" s="5"/>
      <c r="F13" s="5"/>
      <c r="G13" s="5"/>
      <c r="H13" s="5"/>
      <c r="I13" s="5"/>
      <c r="J13" s="5"/>
      <c r="K13" s="5"/>
      <c r="L13" s="5"/>
      <c r="M13" s="5"/>
      <c r="N13" s="5"/>
      <c r="O13" s="5"/>
      <c r="P13" s="5"/>
      <c r="Q13" s="5"/>
      <c r="R13" s="5"/>
      <c r="S13" s="5"/>
      <c r="T13" s="5"/>
      <c r="U13" s="5"/>
      <c r="V13" s="193"/>
      <c r="W13" s="6"/>
    </row>
    <row r="14" spans="1:23" ht="15.6">
      <c r="A14" s="7"/>
      <c r="B14" s="14" t="s">
        <v>4</v>
      </c>
      <c r="C14" s="14"/>
      <c r="D14" s="14"/>
      <c r="E14" s="14"/>
      <c r="F14" s="14"/>
      <c r="G14" s="14"/>
      <c r="H14" s="14"/>
      <c r="I14" s="14"/>
      <c r="J14" s="14"/>
      <c r="K14" s="14"/>
      <c r="L14" s="14"/>
      <c r="M14" s="15"/>
      <c r="N14" s="15"/>
      <c r="O14" s="15"/>
      <c r="P14" s="15"/>
      <c r="Q14" s="15"/>
      <c r="R14" s="15"/>
      <c r="S14" s="15"/>
      <c r="T14" s="15"/>
      <c r="U14" s="16" t="s">
        <v>126</v>
      </c>
      <c r="V14" s="194"/>
      <c r="W14" s="6"/>
    </row>
    <row r="15" spans="1:23" ht="15.6">
      <c r="A15" s="7"/>
      <c r="B15" s="14" t="s">
        <v>5</v>
      </c>
      <c r="C15" s="14"/>
      <c r="D15" s="14"/>
      <c r="E15" s="14"/>
      <c r="F15" s="14"/>
      <c r="G15" s="14"/>
      <c r="H15" s="14"/>
      <c r="I15" s="14"/>
      <c r="J15" s="14"/>
      <c r="K15" s="14"/>
      <c r="L15" s="14"/>
      <c r="M15" s="17" t="s">
        <v>93</v>
      </c>
      <c r="N15" s="18">
        <v>0.1492</v>
      </c>
      <c r="O15" s="17" t="s">
        <v>99</v>
      </c>
      <c r="P15" s="18">
        <v>5.4399999999999997E-2</v>
      </c>
      <c r="Q15" s="17" t="s">
        <v>102</v>
      </c>
      <c r="R15" s="18">
        <v>0.48899999999999999</v>
      </c>
      <c r="S15" s="17" t="s">
        <v>108</v>
      </c>
      <c r="T15" s="18">
        <v>0.30740000000000001</v>
      </c>
      <c r="U15" s="16"/>
      <c r="V15" s="195"/>
      <c r="W15" s="6"/>
    </row>
    <row r="16" spans="1:23" ht="15.6">
      <c r="A16" s="7"/>
      <c r="B16" s="14" t="s">
        <v>6</v>
      </c>
      <c r="C16" s="14"/>
      <c r="D16" s="14"/>
      <c r="E16" s="14"/>
      <c r="F16" s="14"/>
      <c r="G16" s="14"/>
      <c r="H16" s="14"/>
      <c r="I16" s="14"/>
      <c r="J16" s="14"/>
      <c r="K16" s="14"/>
      <c r="L16" s="14"/>
      <c r="M16" s="17" t="s">
        <v>93</v>
      </c>
      <c r="N16" s="18">
        <f>+N199/S222</f>
        <v>6.3495555555555555E-2</v>
      </c>
      <c r="O16" s="17" t="s">
        <v>99</v>
      </c>
      <c r="P16" s="18">
        <f>+S199/S222</f>
        <v>9.1517777777777781E-2</v>
      </c>
      <c r="Q16" s="17" t="s">
        <v>102</v>
      </c>
      <c r="R16" s="18">
        <f>+N212/S222</f>
        <v>0.40049555555555555</v>
      </c>
      <c r="S16" s="17" t="s">
        <v>108</v>
      </c>
      <c r="T16" s="18">
        <f>+S212/S222</f>
        <v>0.26562666666666668</v>
      </c>
      <c r="U16" s="16"/>
      <c r="V16" s="195"/>
      <c r="W16" s="6"/>
    </row>
    <row r="17" spans="1:23" ht="15.6">
      <c r="A17" s="7"/>
      <c r="B17" s="14" t="s">
        <v>7</v>
      </c>
      <c r="C17" s="14"/>
      <c r="D17" s="14"/>
      <c r="E17" s="14"/>
      <c r="F17" s="14"/>
      <c r="G17" s="14"/>
      <c r="H17" s="14"/>
      <c r="I17" s="14"/>
      <c r="J17" s="14"/>
      <c r="K17" s="14"/>
      <c r="L17" s="14"/>
      <c r="M17" s="15"/>
      <c r="N17" s="15"/>
      <c r="O17" s="15"/>
      <c r="P17" s="15"/>
      <c r="Q17" s="15"/>
      <c r="R17" s="15"/>
      <c r="S17" s="15"/>
      <c r="T17" s="15"/>
      <c r="U17" s="19">
        <v>38491</v>
      </c>
      <c r="V17" s="194"/>
      <c r="W17" s="6"/>
    </row>
    <row r="18" spans="1:23" ht="15.6">
      <c r="A18" s="7"/>
      <c r="B18" s="14" t="s">
        <v>8</v>
      </c>
      <c r="C18" s="14"/>
      <c r="D18" s="14"/>
      <c r="E18" s="14"/>
      <c r="F18" s="14"/>
      <c r="G18" s="14"/>
      <c r="H18" s="14"/>
      <c r="I18" s="14"/>
      <c r="J18" s="14"/>
      <c r="K18" s="14"/>
      <c r="L18" s="14"/>
      <c r="M18" s="15"/>
      <c r="N18" s="15"/>
      <c r="O18" s="15"/>
      <c r="P18" s="15"/>
      <c r="Q18" s="15"/>
      <c r="R18" s="15"/>
      <c r="S18" s="15"/>
      <c r="T18" s="15"/>
      <c r="U18" s="19">
        <v>39469</v>
      </c>
      <c r="V18" s="194"/>
      <c r="W18" s="6"/>
    </row>
    <row r="19" spans="1:23" ht="15.6">
      <c r="A19" s="7"/>
      <c r="B19" s="9"/>
      <c r="C19" s="9"/>
      <c r="D19" s="9"/>
      <c r="E19" s="9"/>
      <c r="F19" s="9"/>
      <c r="G19" s="9"/>
      <c r="H19" s="9"/>
      <c r="I19" s="9"/>
      <c r="J19" s="9"/>
      <c r="K19" s="9"/>
      <c r="L19" s="9"/>
      <c r="M19" s="9"/>
      <c r="N19" s="9"/>
      <c r="O19" s="9"/>
      <c r="P19" s="9"/>
      <c r="Q19" s="9"/>
      <c r="R19" s="9"/>
      <c r="S19" s="9"/>
      <c r="T19" s="9"/>
      <c r="U19" s="20"/>
      <c r="V19" s="194"/>
      <c r="W19" s="6"/>
    </row>
    <row r="20" spans="1:23" ht="15.6">
      <c r="A20" s="7"/>
      <c r="B20" s="21" t="s">
        <v>9</v>
      </c>
      <c r="C20" s="9"/>
      <c r="D20" s="9"/>
      <c r="E20" s="9"/>
      <c r="F20" s="9"/>
      <c r="G20" s="9"/>
      <c r="H20" s="9"/>
      <c r="I20" s="9"/>
      <c r="J20" s="9"/>
      <c r="K20" s="9"/>
      <c r="L20" s="9"/>
      <c r="M20" s="9"/>
      <c r="N20" s="9"/>
      <c r="O20" s="9"/>
      <c r="P20" s="9"/>
      <c r="Q20" s="9"/>
      <c r="R20" s="9"/>
      <c r="S20" s="20"/>
      <c r="T20" s="9"/>
      <c r="U20" s="12"/>
      <c r="V20" s="194"/>
      <c r="W20" s="6"/>
    </row>
    <row r="21" spans="1:23" ht="15.6">
      <c r="A21" s="7"/>
      <c r="B21" s="9"/>
      <c r="C21" s="9"/>
      <c r="D21" s="9"/>
      <c r="E21" s="9"/>
      <c r="F21" s="9"/>
      <c r="G21" s="9"/>
      <c r="H21" s="9"/>
      <c r="I21" s="9"/>
      <c r="J21" s="9"/>
      <c r="K21" s="9"/>
      <c r="L21" s="9"/>
      <c r="M21" s="9"/>
      <c r="N21" s="9"/>
      <c r="O21" s="9"/>
      <c r="P21" s="9"/>
      <c r="Q21" s="9"/>
      <c r="R21" s="9"/>
      <c r="S21" s="9"/>
      <c r="T21" s="9"/>
      <c r="U21" s="22"/>
      <c r="V21" s="194"/>
      <c r="W21" s="6"/>
    </row>
    <row r="22" spans="1:23" ht="15.6">
      <c r="A22" s="7"/>
      <c r="B22" s="9"/>
      <c r="C22" s="142" t="s">
        <v>130</v>
      </c>
      <c r="D22" s="142"/>
      <c r="E22" s="142" t="s">
        <v>131</v>
      </c>
      <c r="F22" s="142"/>
      <c r="G22" s="142" t="s">
        <v>132</v>
      </c>
      <c r="H22" s="142"/>
      <c r="I22" s="142" t="s">
        <v>133</v>
      </c>
      <c r="J22" s="142"/>
      <c r="K22" s="142" t="s">
        <v>134</v>
      </c>
      <c r="L22" s="142"/>
      <c r="M22" s="144" t="s">
        <v>135</v>
      </c>
      <c r="N22" s="144"/>
      <c r="O22" s="144" t="s">
        <v>136</v>
      </c>
      <c r="P22" s="144"/>
      <c r="Q22" s="144" t="s">
        <v>137</v>
      </c>
      <c r="R22" s="23"/>
      <c r="S22" s="24"/>
      <c r="T22" s="12"/>
      <c r="U22" s="12"/>
      <c r="V22" s="194"/>
      <c r="W22" s="6"/>
    </row>
    <row r="23" spans="1:23" ht="15.6">
      <c r="A23" s="25"/>
      <c r="B23" s="26" t="s">
        <v>10</v>
      </c>
      <c r="C23" s="157" t="s">
        <v>96</v>
      </c>
      <c r="D23" s="157"/>
      <c r="E23" s="157" t="s">
        <v>96</v>
      </c>
      <c r="F23" s="157"/>
      <c r="G23" s="157" t="s">
        <v>138</v>
      </c>
      <c r="H23" s="157"/>
      <c r="I23" s="157" t="s">
        <v>138</v>
      </c>
      <c r="J23" s="157"/>
      <c r="K23" s="157" t="s">
        <v>104</v>
      </c>
      <c r="L23" s="143"/>
      <c r="M23" s="28" t="s">
        <v>104</v>
      </c>
      <c r="N23" s="28"/>
      <c r="O23" s="28" t="s">
        <v>109</v>
      </c>
      <c r="P23" s="28"/>
      <c r="Q23" s="28" t="s">
        <v>109</v>
      </c>
      <c r="R23" s="28"/>
      <c r="S23" s="28"/>
      <c r="T23" s="29"/>
      <c r="U23" s="29"/>
      <c r="V23" s="196"/>
      <c r="W23" s="6"/>
    </row>
    <row r="24" spans="1:23" ht="15.6">
      <c r="A24" s="25"/>
      <c r="B24" s="26" t="s">
        <v>11</v>
      </c>
      <c r="C24" s="157" t="s">
        <v>97</v>
      </c>
      <c r="D24" s="157"/>
      <c r="E24" s="157" t="s">
        <v>97</v>
      </c>
      <c r="F24" s="157"/>
      <c r="G24" s="157" t="s">
        <v>139</v>
      </c>
      <c r="H24" s="157"/>
      <c r="I24" s="157" t="s">
        <v>139</v>
      </c>
      <c r="J24" s="157"/>
      <c r="K24" s="157" t="s">
        <v>105</v>
      </c>
      <c r="L24" s="27"/>
      <c r="M24" s="28" t="s">
        <v>105</v>
      </c>
      <c r="N24" s="28"/>
      <c r="O24" s="28" t="s">
        <v>110</v>
      </c>
      <c r="P24" s="28"/>
      <c r="Q24" s="28" t="s">
        <v>110</v>
      </c>
      <c r="R24" s="28"/>
      <c r="S24" s="28"/>
      <c r="T24" s="29"/>
      <c r="U24" s="29"/>
      <c r="V24" s="196"/>
      <c r="W24" s="6"/>
    </row>
    <row r="25" spans="1:23" ht="15.6">
      <c r="A25" s="25"/>
      <c r="B25" s="30" t="s">
        <v>12</v>
      </c>
      <c r="C25" s="110" t="s">
        <v>96</v>
      </c>
      <c r="D25" s="110"/>
      <c r="E25" s="110" t="s">
        <v>96</v>
      </c>
      <c r="F25" s="110"/>
      <c r="G25" s="110" t="s">
        <v>138</v>
      </c>
      <c r="H25" s="110"/>
      <c r="I25" s="110" t="s">
        <v>138</v>
      </c>
      <c r="J25" s="30"/>
      <c r="K25" s="110" t="s">
        <v>104</v>
      </c>
      <c r="L25" s="30"/>
      <c r="M25" s="31" t="s">
        <v>104</v>
      </c>
      <c r="N25" s="28"/>
      <c r="O25" s="31" t="s">
        <v>109</v>
      </c>
      <c r="P25" s="28"/>
      <c r="Q25" s="31" t="s">
        <v>109</v>
      </c>
      <c r="R25" s="31"/>
      <c r="S25" s="31"/>
      <c r="T25" s="32"/>
      <c r="U25" s="29"/>
      <c r="V25" s="196"/>
      <c r="W25" s="6"/>
    </row>
    <row r="26" spans="1:23" ht="15.6">
      <c r="A26" s="25"/>
      <c r="B26" s="30" t="s">
        <v>13</v>
      </c>
      <c r="C26" s="110" t="s">
        <v>97</v>
      </c>
      <c r="D26" s="110"/>
      <c r="E26" s="110" t="s">
        <v>97</v>
      </c>
      <c r="F26" s="110"/>
      <c r="G26" s="110" t="s">
        <v>139</v>
      </c>
      <c r="H26" s="110"/>
      <c r="I26" s="110" t="s">
        <v>139</v>
      </c>
      <c r="J26" s="30"/>
      <c r="K26" s="110" t="s">
        <v>105</v>
      </c>
      <c r="L26" s="30"/>
      <c r="M26" s="31" t="s">
        <v>105</v>
      </c>
      <c r="N26" s="28"/>
      <c r="O26" s="31" t="s">
        <v>110</v>
      </c>
      <c r="P26" s="28"/>
      <c r="Q26" s="31" t="s">
        <v>110</v>
      </c>
      <c r="R26" s="31"/>
      <c r="S26" s="31"/>
      <c r="T26" s="32"/>
      <c r="U26" s="29"/>
      <c r="V26" s="196"/>
      <c r="W26" s="6"/>
    </row>
    <row r="27" spans="1:23" ht="15.6">
      <c r="A27" s="25"/>
      <c r="B27" s="26" t="s">
        <v>14</v>
      </c>
      <c r="C27" s="33" t="s">
        <v>140</v>
      </c>
      <c r="D27" s="26"/>
      <c r="E27" s="33" t="s">
        <v>141</v>
      </c>
      <c r="F27" s="26"/>
      <c r="G27" s="33" t="s">
        <v>142</v>
      </c>
      <c r="H27" s="26"/>
      <c r="I27" s="33" t="s">
        <v>258</v>
      </c>
      <c r="J27" s="26"/>
      <c r="K27" s="33" t="s">
        <v>143</v>
      </c>
      <c r="L27" s="26"/>
      <c r="M27" s="26" t="s">
        <v>144</v>
      </c>
      <c r="N27" s="28"/>
      <c r="O27" s="26" t="s">
        <v>145</v>
      </c>
      <c r="P27" s="28"/>
      <c r="Q27" s="26" t="s">
        <v>146</v>
      </c>
      <c r="R27" s="28"/>
      <c r="S27" s="33"/>
      <c r="T27" s="29"/>
      <c r="U27" s="29"/>
      <c r="V27" s="196"/>
      <c r="W27" s="6"/>
    </row>
    <row r="28" spans="1:23" ht="15.6">
      <c r="A28" s="25"/>
      <c r="B28" s="26" t="s">
        <v>147</v>
      </c>
      <c r="C28" s="168">
        <v>146000</v>
      </c>
      <c r="D28" s="33"/>
      <c r="E28" s="165">
        <v>259500</v>
      </c>
      <c r="F28" s="33"/>
      <c r="G28" s="168">
        <v>16000</v>
      </c>
      <c r="H28" s="33"/>
      <c r="I28" s="165">
        <v>35500</v>
      </c>
      <c r="J28" s="26"/>
      <c r="K28" s="168">
        <v>18000</v>
      </c>
      <c r="L28" s="26"/>
      <c r="M28" s="165">
        <v>33000</v>
      </c>
      <c r="N28" s="35"/>
      <c r="O28" s="34">
        <v>24500</v>
      </c>
      <c r="P28" s="34"/>
      <c r="Q28" s="165">
        <v>30000</v>
      </c>
      <c r="R28" s="34"/>
      <c r="S28" s="34"/>
      <c r="T28" s="36"/>
      <c r="U28" s="34"/>
      <c r="V28" s="197"/>
      <c r="W28" s="6"/>
    </row>
    <row r="29" spans="1:23" ht="15.6">
      <c r="A29" s="25"/>
      <c r="B29" s="26" t="s">
        <v>15</v>
      </c>
      <c r="C29" s="168">
        <v>146000</v>
      </c>
      <c r="D29" s="169"/>
      <c r="E29" s="165">
        <v>259500</v>
      </c>
      <c r="F29" s="169"/>
      <c r="G29" s="168">
        <v>16000</v>
      </c>
      <c r="H29" s="169"/>
      <c r="I29" s="165">
        <v>35500</v>
      </c>
      <c r="J29" s="38"/>
      <c r="K29" s="168">
        <v>18000</v>
      </c>
      <c r="L29" s="38"/>
      <c r="M29" s="165">
        <v>33000</v>
      </c>
      <c r="N29" s="35"/>
      <c r="O29" s="34">
        <v>24500</v>
      </c>
      <c r="P29" s="34"/>
      <c r="Q29" s="165">
        <v>30000</v>
      </c>
      <c r="R29" s="39"/>
      <c r="S29" s="34"/>
      <c r="T29" s="36"/>
      <c r="U29" s="34"/>
      <c r="V29" s="197"/>
      <c r="W29" s="6"/>
    </row>
    <row r="30" spans="1:23" ht="15.6">
      <c r="A30" s="40"/>
      <c r="B30" s="30" t="s">
        <v>148</v>
      </c>
      <c r="C30" s="162">
        <v>146000</v>
      </c>
      <c r="D30" s="170"/>
      <c r="E30" s="171">
        <v>259500</v>
      </c>
      <c r="F30" s="170"/>
      <c r="G30" s="162">
        <v>16000</v>
      </c>
      <c r="H30" s="170"/>
      <c r="I30" s="171">
        <v>35500</v>
      </c>
      <c r="J30" s="159"/>
      <c r="K30" s="162">
        <v>18000</v>
      </c>
      <c r="L30" s="41"/>
      <c r="M30" s="166">
        <v>33000</v>
      </c>
      <c r="N30" s="43"/>
      <c r="O30" s="42">
        <v>24500</v>
      </c>
      <c r="P30" s="42"/>
      <c r="Q30" s="166">
        <v>30000</v>
      </c>
      <c r="R30" s="42"/>
      <c r="S30" s="42"/>
      <c r="T30" s="44"/>
      <c r="U30" s="42"/>
      <c r="V30" s="196"/>
      <c r="W30" s="6"/>
    </row>
    <row r="31" spans="1:23" ht="15.6">
      <c r="A31" s="40"/>
      <c r="B31" s="158" t="s">
        <v>260</v>
      </c>
      <c r="C31" s="172">
        <v>146000</v>
      </c>
      <c r="D31" s="173"/>
      <c r="E31" s="172">
        <v>178000</v>
      </c>
      <c r="F31" s="172"/>
      <c r="G31" s="172">
        <v>16000</v>
      </c>
      <c r="H31" s="172"/>
      <c r="I31" s="172">
        <v>24500</v>
      </c>
      <c r="J31" s="161"/>
      <c r="K31" s="172">
        <v>18000</v>
      </c>
      <c r="L31" s="161"/>
      <c r="M31" s="167">
        <v>22500</v>
      </c>
      <c r="N31" s="164"/>
      <c r="O31" s="167">
        <v>24500</v>
      </c>
      <c r="P31" s="163"/>
      <c r="Q31" s="167">
        <v>20500</v>
      </c>
      <c r="R31" s="42"/>
      <c r="S31" s="42"/>
      <c r="T31" s="44"/>
      <c r="U31" s="34">
        <f>+Q31+O31+M31+K31+I31+G31+E31+C31</f>
        <v>450000</v>
      </c>
      <c r="V31" s="196"/>
      <c r="W31" s="6"/>
    </row>
    <row r="32" spans="1:23" ht="15.6">
      <c r="A32" s="40"/>
      <c r="B32" s="158" t="s">
        <v>261</v>
      </c>
      <c r="C32" s="172">
        <v>146000</v>
      </c>
      <c r="D32" s="173"/>
      <c r="E32" s="172">
        <v>178000</v>
      </c>
      <c r="F32" s="172"/>
      <c r="G32" s="172">
        <v>16000</v>
      </c>
      <c r="H32" s="172"/>
      <c r="I32" s="172">
        <v>24500</v>
      </c>
      <c r="J32" s="161"/>
      <c r="K32" s="172">
        <v>18000</v>
      </c>
      <c r="L32" s="161"/>
      <c r="M32" s="167">
        <v>22500</v>
      </c>
      <c r="N32" s="164"/>
      <c r="O32" s="167">
        <v>24500</v>
      </c>
      <c r="P32" s="163"/>
      <c r="Q32" s="167">
        <v>20500</v>
      </c>
      <c r="R32" s="42"/>
      <c r="S32" s="42"/>
      <c r="T32" s="44"/>
      <c r="U32" s="34">
        <f>+Q32+O32+M32+K32+I32+G32+E32+C32</f>
        <v>450000</v>
      </c>
      <c r="V32" s="196"/>
      <c r="W32" s="6"/>
    </row>
    <row r="33" spans="1:23" ht="15.6">
      <c r="A33" s="40"/>
      <c r="B33" s="30" t="s">
        <v>262</v>
      </c>
      <c r="C33" s="162">
        <v>146000</v>
      </c>
      <c r="D33" s="162"/>
      <c r="E33" s="162">
        <v>178000</v>
      </c>
      <c r="F33" s="162"/>
      <c r="G33" s="162">
        <v>16000</v>
      </c>
      <c r="H33" s="162"/>
      <c r="I33" s="162">
        <v>24500</v>
      </c>
      <c r="J33" s="160"/>
      <c r="K33" s="162">
        <v>18000</v>
      </c>
      <c r="L33" s="160"/>
      <c r="M33" s="162">
        <v>22500</v>
      </c>
      <c r="N33" s="160"/>
      <c r="O33" s="162">
        <v>24500</v>
      </c>
      <c r="P33" s="162"/>
      <c r="Q33" s="162">
        <v>20500</v>
      </c>
      <c r="R33" s="42"/>
      <c r="S33" s="42"/>
      <c r="T33" s="44"/>
      <c r="U33" s="42">
        <f>+Q33+O33+M33+K33+I33+G33+E33+C33</f>
        <v>450000</v>
      </c>
      <c r="V33" s="196"/>
      <c r="W33" s="6"/>
    </row>
    <row r="34" spans="1:23" ht="15.6">
      <c r="A34" s="40"/>
      <c r="B34" s="174" t="s">
        <v>149</v>
      </c>
      <c r="C34" s="175">
        <v>1</v>
      </c>
      <c r="D34" s="175"/>
      <c r="E34" s="175">
        <v>1</v>
      </c>
      <c r="F34" s="175"/>
      <c r="G34" s="175">
        <v>1</v>
      </c>
      <c r="H34" s="175"/>
      <c r="I34" s="175">
        <v>1</v>
      </c>
      <c r="J34" s="175"/>
      <c r="K34" s="175">
        <v>1</v>
      </c>
      <c r="L34" s="175"/>
      <c r="M34" s="175">
        <v>1</v>
      </c>
      <c r="N34" s="175"/>
      <c r="O34" s="175">
        <v>1</v>
      </c>
      <c r="P34" s="175"/>
      <c r="Q34" s="175">
        <v>1</v>
      </c>
      <c r="R34" s="176"/>
      <c r="S34" s="42"/>
      <c r="T34" s="44"/>
      <c r="U34" s="42"/>
      <c r="V34" s="196"/>
      <c r="W34" s="6"/>
    </row>
    <row r="35" spans="1:23" ht="15.6">
      <c r="A35" s="40"/>
      <c r="B35" s="174" t="s">
        <v>150</v>
      </c>
      <c r="C35" s="175">
        <v>1</v>
      </c>
      <c r="D35" s="175"/>
      <c r="E35" s="175">
        <v>1</v>
      </c>
      <c r="F35" s="175"/>
      <c r="G35" s="175">
        <v>1</v>
      </c>
      <c r="H35" s="175"/>
      <c r="I35" s="175">
        <v>1</v>
      </c>
      <c r="J35" s="175"/>
      <c r="K35" s="175">
        <v>1</v>
      </c>
      <c r="L35" s="175"/>
      <c r="M35" s="175">
        <v>1</v>
      </c>
      <c r="N35" s="175"/>
      <c r="O35" s="175">
        <v>1</v>
      </c>
      <c r="P35" s="175"/>
      <c r="Q35" s="175">
        <v>1</v>
      </c>
      <c r="R35" s="176"/>
      <c r="S35" s="42"/>
      <c r="T35" s="44"/>
      <c r="U35" s="42"/>
      <c r="V35" s="196"/>
      <c r="W35" s="6"/>
    </row>
    <row r="36" spans="1:23" ht="15.6">
      <c r="A36" s="25"/>
      <c r="B36" s="26" t="s">
        <v>153</v>
      </c>
      <c r="C36" s="157" t="s">
        <v>157</v>
      </c>
      <c r="D36" s="157"/>
      <c r="E36" s="157" t="s">
        <v>157</v>
      </c>
      <c r="F36" s="157"/>
      <c r="G36" s="157" t="s">
        <v>158</v>
      </c>
      <c r="H36" s="157"/>
      <c r="I36" s="157" t="s">
        <v>158</v>
      </c>
      <c r="J36" s="157"/>
      <c r="K36" s="157" t="s">
        <v>159</v>
      </c>
      <c r="L36" s="184"/>
      <c r="M36" s="157" t="s">
        <v>160</v>
      </c>
      <c r="N36" s="158"/>
      <c r="O36" s="157" t="s">
        <v>161</v>
      </c>
      <c r="P36" s="157"/>
      <c r="Q36" s="157" t="s">
        <v>162</v>
      </c>
      <c r="R36" s="157"/>
      <c r="S36" s="157"/>
      <c r="T36" s="158"/>
      <c r="U36" s="29"/>
      <c r="V36" s="196"/>
      <c r="W36" s="6"/>
    </row>
    <row r="37" spans="1:23" ht="15.6">
      <c r="A37" s="25"/>
      <c r="B37" s="26" t="s">
        <v>151</v>
      </c>
      <c r="C37" s="185">
        <v>6.5131300000000003E-2</v>
      </c>
      <c r="D37" s="185"/>
      <c r="E37" s="185">
        <v>4.9520000000000002E-2</v>
      </c>
      <c r="F37" s="185"/>
      <c r="G37" s="185">
        <v>6.6231300000000007E-2</v>
      </c>
      <c r="H37" s="185"/>
      <c r="I37" s="185">
        <v>5.0619999999999998E-2</v>
      </c>
      <c r="J37" s="185"/>
      <c r="K37" s="185">
        <v>6.8931300000000001E-2</v>
      </c>
      <c r="L37" s="185"/>
      <c r="M37" s="185">
        <v>5.3019999999999998E-2</v>
      </c>
      <c r="N37" s="185"/>
      <c r="O37" s="185">
        <v>7.2431300000000004E-2</v>
      </c>
      <c r="P37" s="185"/>
      <c r="Q37" s="185">
        <v>5.6320000000000002E-2</v>
      </c>
      <c r="R37" s="186"/>
      <c r="S37" s="185"/>
      <c r="T37" s="158"/>
      <c r="U37" s="33"/>
      <c r="V37" s="196"/>
      <c r="W37" s="6"/>
    </row>
    <row r="38" spans="1:23" ht="15.6">
      <c r="A38" s="25"/>
      <c r="B38" s="26" t="s">
        <v>152</v>
      </c>
      <c r="C38" s="185">
        <v>6.2300000000000001E-2</v>
      </c>
      <c r="D38" s="185"/>
      <c r="E38" s="185">
        <v>4.4290000000000003E-2</v>
      </c>
      <c r="F38" s="185"/>
      <c r="G38" s="185">
        <v>6.3399999999999998E-2</v>
      </c>
      <c r="H38" s="185"/>
      <c r="I38" s="185">
        <v>4.539E-2</v>
      </c>
      <c r="J38" s="185"/>
      <c r="K38" s="185">
        <v>6.6100000000000006E-2</v>
      </c>
      <c r="L38" s="185"/>
      <c r="M38" s="185">
        <v>4.7789999999999999E-2</v>
      </c>
      <c r="N38" s="185"/>
      <c r="O38" s="185">
        <v>6.9599999999999995E-2</v>
      </c>
      <c r="P38" s="185"/>
      <c r="Q38" s="185">
        <v>5.1090000000000003E-2</v>
      </c>
      <c r="R38" s="186"/>
      <c r="S38" s="185"/>
      <c r="T38" s="158"/>
      <c r="U38" s="29"/>
      <c r="V38" s="196"/>
      <c r="W38" s="6"/>
    </row>
    <row r="39" spans="1:23" ht="15.6">
      <c r="A39" s="25"/>
      <c r="B39" s="26" t="s">
        <v>263</v>
      </c>
      <c r="C39" s="157" t="s">
        <v>157</v>
      </c>
      <c r="D39" s="185"/>
      <c r="E39" s="185" t="s">
        <v>198</v>
      </c>
      <c r="F39" s="185"/>
      <c r="G39" s="157" t="s">
        <v>158</v>
      </c>
      <c r="H39" s="185"/>
      <c r="I39" s="185" t="s">
        <v>225</v>
      </c>
      <c r="J39" s="185"/>
      <c r="K39" s="157" t="s">
        <v>159</v>
      </c>
      <c r="L39" s="185"/>
      <c r="M39" s="185" t="s">
        <v>199</v>
      </c>
      <c r="N39" s="185"/>
      <c r="O39" s="157" t="s">
        <v>161</v>
      </c>
      <c r="P39" s="185"/>
      <c r="Q39" s="185" t="s">
        <v>200</v>
      </c>
      <c r="R39" s="186"/>
      <c r="S39" s="185"/>
      <c r="T39" s="158"/>
      <c r="U39" s="29"/>
      <c r="V39" s="196"/>
      <c r="W39" s="6"/>
    </row>
    <row r="40" spans="1:23" ht="15.6">
      <c r="A40" s="25"/>
      <c r="B40" s="26" t="s">
        <v>264</v>
      </c>
      <c r="C40" s="185">
        <f>+C37</f>
        <v>6.5131300000000003E-2</v>
      </c>
      <c r="D40" s="185"/>
      <c r="E40" s="185">
        <v>6.54193E-2</v>
      </c>
      <c r="F40" s="185"/>
      <c r="G40" s="185">
        <f>+G37</f>
        <v>6.6231300000000007E-2</v>
      </c>
      <c r="H40" s="185"/>
      <c r="I40" s="185">
        <v>6.6597799999999999E-2</v>
      </c>
      <c r="J40" s="185"/>
      <c r="K40" s="185">
        <f>+K37</f>
        <v>6.8931300000000001E-2</v>
      </c>
      <c r="L40" s="184"/>
      <c r="M40" s="185">
        <v>6.9211499999999995E-2</v>
      </c>
      <c r="N40" s="184"/>
      <c r="O40" s="185">
        <f>+O37</f>
        <v>7.2431300000000004E-2</v>
      </c>
      <c r="P40" s="185"/>
      <c r="Q40" s="185">
        <v>7.2844500000000006E-2</v>
      </c>
      <c r="R40" s="186"/>
      <c r="S40" s="185"/>
      <c r="T40" s="158"/>
      <c r="U40" s="45">
        <f>SUMPRODUCT(C40:Q40,C31:Q31)/U31</f>
        <v>6.6469007444444436E-2</v>
      </c>
      <c r="V40" s="196"/>
      <c r="W40" s="6"/>
    </row>
    <row r="41" spans="1:23" ht="15.6">
      <c r="A41" s="25"/>
      <c r="B41" s="26" t="s">
        <v>265</v>
      </c>
      <c r="C41" s="185">
        <f>+C38</f>
        <v>6.2300000000000001E-2</v>
      </c>
      <c r="D41" s="185"/>
      <c r="E41" s="185">
        <v>6.2588000000000005E-2</v>
      </c>
      <c r="F41" s="185"/>
      <c r="G41" s="185">
        <f>+G38</f>
        <v>6.3399999999999998E-2</v>
      </c>
      <c r="H41" s="185"/>
      <c r="I41" s="185">
        <v>6.3766500000000004E-2</v>
      </c>
      <c r="J41" s="185"/>
      <c r="K41" s="185">
        <f>+K38</f>
        <v>6.6100000000000006E-2</v>
      </c>
      <c r="L41" s="184"/>
      <c r="M41" s="185">
        <v>6.63802E-2</v>
      </c>
      <c r="N41" s="184"/>
      <c r="O41" s="185">
        <f>+O38</f>
        <v>6.9599999999999995E-2</v>
      </c>
      <c r="P41" s="185"/>
      <c r="Q41" s="185">
        <v>7.0013199999999998E-2</v>
      </c>
      <c r="R41" s="186"/>
      <c r="S41" s="185"/>
      <c r="T41" s="158"/>
      <c r="U41" s="29"/>
      <c r="V41" s="196"/>
      <c r="W41" s="6"/>
    </row>
    <row r="42" spans="1:23" ht="15.6">
      <c r="A42" s="25"/>
      <c r="B42" s="26" t="s">
        <v>17</v>
      </c>
      <c r="C42" s="187">
        <v>39918</v>
      </c>
      <c r="D42" s="187"/>
      <c r="E42" s="187">
        <v>39918</v>
      </c>
      <c r="F42" s="187"/>
      <c r="G42" s="187">
        <v>39918</v>
      </c>
      <c r="H42" s="187"/>
      <c r="I42" s="187">
        <v>39918</v>
      </c>
      <c r="J42" s="187"/>
      <c r="K42" s="187">
        <v>39918</v>
      </c>
      <c r="L42" s="187"/>
      <c r="M42" s="187">
        <v>39918</v>
      </c>
      <c r="N42" s="187"/>
      <c r="O42" s="187">
        <v>39918</v>
      </c>
      <c r="P42" s="187"/>
      <c r="Q42" s="187">
        <v>39918</v>
      </c>
      <c r="R42" s="157"/>
      <c r="S42" s="157"/>
      <c r="T42" s="158"/>
      <c r="U42" s="29"/>
      <c r="V42" s="196"/>
      <c r="W42" s="6"/>
    </row>
    <row r="43" spans="1:23" ht="15.6">
      <c r="A43" s="25"/>
      <c r="B43" s="26" t="s">
        <v>18</v>
      </c>
      <c r="C43" s="46">
        <v>40283</v>
      </c>
      <c r="D43" s="51"/>
      <c r="E43" s="46">
        <v>40283</v>
      </c>
      <c r="F43" s="51"/>
      <c r="G43" s="46">
        <v>40283</v>
      </c>
      <c r="H43" s="51"/>
      <c r="I43" s="46">
        <v>40283</v>
      </c>
      <c r="J43" s="51"/>
      <c r="K43" s="46">
        <v>40283</v>
      </c>
      <c r="L43" s="51"/>
      <c r="M43" s="46">
        <v>40283</v>
      </c>
      <c r="N43" s="51"/>
      <c r="O43" s="46">
        <v>40283</v>
      </c>
      <c r="P43" s="46"/>
      <c r="Q43" s="46">
        <v>40283</v>
      </c>
      <c r="R43" s="33"/>
      <c r="S43" s="33"/>
      <c r="T43" s="29"/>
      <c r="U43" s="29"/>
      <c r="V43" s="196"/>
      <c r="W43" s="6"/>
    </row>
    <row r="44" spans="1:23" ht="15.6">
      <c r="A44" s="25"/>
      <c r="B44" s="26" t="s">
        <v>154</v>
      </c>
      <c r="C44" s="33" t="s">
        <v>163</v>
      </c>
      <c r="D44" s="33"/>
      <c r="E44" s="33" t="s">
        <v>163</v>
      </c>
      <c r="F44" s="33"/>
      <c r="G44" s="33" t="s">
        <v>164</v>
      </c>
      <c r="H44" s="33"/>
      <c r="I44" s="33" t="s">
        <v>164</v>
      </c>
      <c r="J44" s="33"/>
      <c r="K44" s="33" t="s">
        <v>106</v>
      </c>
      <c r="L44" s="33"/>
      <c r="M44" s="33" t="s">
        <v>165</v>
      </c>
      <c r="N44" s="33"/>
      <c r="O44" s="33" t="s">
        <v>166</v>
      </c>
      <c r="P44" s="33"/>
      <c r="Q44" s="33" t="s">
        <v>167</v>
      </c>
      <c r="R44" s="33"/>
      <c r="S44" s="33"/>
      <c r="T44" s="29"/>
      <c r="U44" s="29"/>
      <c r="V44" s="196"/>
      <c r="W44" s="6"/>
    </row>
    <row r="45" spans="1:23" ht="15.6">
      <c r="A45" s="25"/>
      <c r="B45" s="26" t="s">
        <v>266</v>
      </c>
      <c r="C45" s="33" t="s">
        <v>163</v>
      </c>
      <c r="D45" s="26"/>
      <c r="E45" s="33" t="s">
        <v>228</v>
      </c>
      <c r="F45" s="26"/>
      <c r="G45" s="33" t="s">
        <v>164</v>
      </c>
      <c r="H45" s="26"/>
      <c r="I45" s="33" t="s">
        <v>226</v>
      </c>
      <c r="J45" s="26"/>
      <c r="K45" s="33" t="s">
        <v>106</v>
      </c>
      <c r="L45" s="26"/>
      <c r="M45" s="33" t="s">
        <v>227</v>
      </c>
      <c r="N45" s="26"/>
      <c r="O45" s="33" t="s">
        <v>166</v>
      </c>
      <c r="P45" s="33"/>
      <c r="Q45" s="33" t="s">
        <v>229</v>
      </c>
      <c r="R45" s="33"/>
      <c r="S45" s="33"/>
      <c r="T45" s="29"/>
      <c r="U45" s="29"/>
      <c r="V45" s="196"/>
      <c r="W45" s="6"/>
    </row>
    <row r="46" spans="1:23" ht="15.6">
      <c r="A46" s="25"/>
      <c r="B46" s="26"/>
      <c r="C46" s="26"/>
      <c r="D46" s="26"/>
      <c r="E46" s="26"/>
      <c r="F46" s="26"/>
      <c r="G46" s="26"/>
      <c r="H46" s="26"/>
      <c r="I46" s="26"/>
      <c r="J46" s="26"/>
      <c r="K46" s="26"/>
      <c r="L46" s="26"/>
      <c r="M46" s="47"/>
      <c r="N46" s="47"/>
      <c r="O46" s="26"/>
      <c r="P46" s="47"/>
      <c r="Q46" s="47"/>
      <c r="R46" s="47"/>
      <c r="S46" s="47"/>
      <c r="T46" s="47"/>
      <c r="U46" s="47"/>
      <c r="V46" s="196"/>
      <c r="W46" s="6"/>
    </row>
    <row r="47" spans="1:23" ht="15.6">
      <c r="A47" s="25"/>
      <c r="B47" s="26" t="s">
        <v>201</v>
      </c>
      <c r="C47" s="26"/>
      <c r="D47" s="26"/>
      <c r="E47" s="26"/>
      <c r="F47" s="26"/>
      <c r="G47" s="26"/>
      <c r="H47" s="26"/>
      <c r="I47" s="26"/>
      <c r="J47" s="26"/>
      <c r="K47" s="26"/>
      <c r="L47" s="26"/>
      <c r="M47" s="26"/>
      <c r="N47" s="26"/>
      <c r="O47" s="26"/>
      <c r="P47" s="26"/>
      <c r="Q47" s="26"/>
      <c r="R47" s="26"/>
      <c r="S47" s="26"/>
      <c r="T47" s="26"/>
      <c r="U47" s="45">
        <f>SUM(G31:Q31)/(C31+E31)</f>
        <v>0.3888888888888889</v>
      </c>
      <c r="V47" s="196"/>
      <c r="W47" s="6"/>
    </row>
    <row r="48" spans="1:23" ht="15.6">
      <c r="A48" s="25"/>
      <c r="B48" s="26" t="s">
        <v>202</v>
      </c>
      <c r="C48" s="26"/>
      <c r="D48" s="26"/>
      <c r="E48" s="26"/>
      <c r="F48" s="26"/>
      <c r="G48" s="26"/>
      <c r="H48" s="26"/>
      <c r="I48" s="26"/>
      <c r="J48" s="26"/>
      <c r="K48" s="26"/>
      <c r="L48" s="26"/>
      <c r="M48" s="26"/>
      <c r="N48" s="26"/>
      <c r="O48" s="26"/>
      <c r="P48" s="26"/>
      <c r="Q48" s="26"/>
      <c r="R48" s="26"/>
      <c r="S48" s="26"/>
      <c r="T48" s="26"/>
      <c r="U48" s="45">
        <f>SUM(F33:Q33)/(C33+E33)</f>
        <v>0.3888888888888889</v>
      </c>
      <c r="V48" s="196"/>
      <c r="W48" s="6"/>
    </row>
    <row r="49" spans="1:23" ht="15.6">
      <c r="A49" s="25"/>
      <c r="B49" s="26" t="s">
        <v>203</v>
      </c>
      <c r="C49" s="26"/>
      <c r="D49" s="26"/>
      <c r="E49" s="26"/>
      <c r="F49" s="26"/>
      <c r="G49" s="26"/>
      <c r="H49" s="26"/>
      <c r="I49" s="26"/>
      <c r="J49" s="26"/>
      <c r="K49" s="26"/>
      <c r="L49" s="26"/>
      <c r="M49" s="26"/>
      <c r="N49" s="26"/>
      <c r="O49" s="26"/>
      <c r="P49" s="26"/>
      <c r="Q49" s="26"/>
      <c r="R49" s="26"/>
      <c r="S49" s="33" t="s">
        <v>95</v>
      </c>
      <c r="T49" s="33" t="s">
        <v>117</v>
      </c>
      <c r="U49" s="34">
        <v>99000</v>
      </c>
      <c r="V49" s="196"/>
      <c r="W49" s="6"/>
    </row>
    <row r="50" spans="1:23" ht="15.6">
      <c r="A50" s="25"/>
      <c r="B50" s="26"/>
      <c r="C50" s="26"/>
      <c r="D50" s="26"/>
      <c r="E50" s="26"/>
      <c r="F50" s="26"/>
      <c r="G50" s="26"/>
      <c r="H50" s="26"/>
      <c r="I50" s="26"/>
      <c r="J50" s="26"/>
      <c r="K50" s="26"/>
      <c r="L50" s="26"/>
      <c r="M50" s="26"/>
      <c r="N50" s="26"/>
      <c r="O50" s="26"/>
      <c r="P50" s="26"/>
      <c r="Q50" s="26"/>
      <c r="R50" s="26"/>
      <c r="S50" s="26" t="s">
        <v>213</v>
      </c>
      <c r="T50" s="26"/>
      <c r="U50" s="48"/>
      <c r="V50" s="196"/>
      <c r="W50" s="6"/>
    </row>
    <row r="51" spans="1:23" ht="15.6">
      <c r="A51" s="25"/>
      <c r="B51" s="26" t="s">
        <v>19</v>
      </c>
      <c r="C51" s="26"/>
      <c r="D51" s="26"/>
      <c r="E51" s="26"/>
      <c r="F51" s="26"/>
      <c r="G51" s="26"/>
      <c r="H51" s="26"/>
      <c r="I51" s="26"/>
      <c r="J51" s="26"/>
      <c r="K51" s="26"/>
      <c r="L51" s="26"/>
      <c r="M51" s="26"/>
      <c r="N51" s="26"/>
      <c r="O51" s="26"/>
      <c r="P51" s="26"/>
      <c r="Q51" s="26"/>
      <c r="R51" s="26"/>
      <c r="S51" s="33"/>
      <c r="T51" s="33"/>
      <c r="U51" s="33" t="s">
        <v>118</v>
      </c>
      <c r="V51" s="196"/>
      <c r="W51" s="6"/>
    </row>
    <row r="52" spans="1:23" ht="15.6">
      <c r="A52" s="40"/>
      <c r="B52" s="30" t="s">
        <v>20</v>
      </c>
      <c r="C52" s="30"/>
      <c r="D52" s="30"/>
      <c r="E52" s="30"/>
      <c r="F52" s="30"/>
      <c r="G52" s="30"/>
      <c r="H52" s="30"/>
      <c r="I52" s="30"/>
      <c r="J52" s="30"/>
      <c r="K52" s="30"/>
      <c r="L52" s="30"/>
      <c r="M52" s="30"/>
      <c r="N52" s="30"/>
      <c r="O52" s="30"/>
      <c r="P52" s="30"/>
      <c r="Q52" s="30"/>
      <c r="R52" s="30"/>
      <c r="S52" s="49"/>
      <c r="T52" s="49"/>
      <c r="U52" s="50">
        <v>39462</v>
      </c>
      <c r="V52" s="198"/>
      <c r="W52" s="6"/>
    </row>
    <row r="53" spans="1:23" ht="15.6">
      <c r="A53" s="25"/>
      <c r="B53" s="26" t="s">
        <v>155</v>
      </c>
      <c r="C53" s="26"/>
      <c r="D53" s="26"/>
      <c r="E53" s="26"/>
      <c r="F53" s="26"/>
      <c r="G53" s="26"/>
      <c r="H53" s="26"/>
      <c r="I53" s="26"/>
      <c r="J53" s="26"/>
      <c r="K53" s="26"/>
      <c r="L53" s="26"/>
      <c r="M53" s="26"/>
      <c r="N53" s="26"/>
      <c r="O53" s="26"/>
      <c r="P53" s="26"/>
      <c r="Q53" s="29"/>
      <c r="R53" s="26">
        <f>U53-S53+1</f>
        <v>91</v>
      </c>
      <c r="S53" s="52">
        <v>39279</v>
      </c>
      <c r="T53" s="53"/>
      <c r="U53" s="52">
        <v>39369</v>
      </c>
      <c r="V53" s="196"/>
      <c r="W53" s="6"/>
    </row>
    <row r="54" spans="1:23" ht="15.6">
      <c r="A54" s="25"/>
      <c r="B54" s="26" t="s">
        <v>156</v>
      </c>
      <c r="C54" s="26"/>
      <c r="D54" s="26"/>
      <c r="E54" s="26"/>
      <c r="F54" s="26"/>
      <c r="G54" s="26"/>
      <c r="H54" s="26"/>
      <c r="I54" s="26"/>
      <c r="J54" s="26"/>
      <c r="K54" s="26"/>
      <c r="L54" s="26"/>
      <c r="M54" s="26"/>
      <c r="N54" s="26"/>
      <c r="O54" s="26"/>
      <c r="P54" s="26"/>
      <c r="Q54" s="29"/>
      <c r="R54" s="26">
        <f>U54-S54+1</f>
        <v>92</v>
      </c>
      <c r="S54" s="52">
        <v>39370</v>
      </c>
      <c r="T54" s="53"/>
      <c r="U54" s="52">
        <v>39461</v>
      </c>
      <c r="V54" s="196"/>
      <c r="W54" s="6"/>
    </row>
    <row r="55" spans="1:23" ht="15.6">
      <c r="A55" s="25"/>
      <c r="B55" s="26" t="s">
        <v>21</v>
      </c>
      <c r="C55" s="26"/>
      <c r="D55" s="26"/>
      <c r="E55" s="26"/>
      <c r="F55" s="26"/>
      <c r="G55" s="26"/>
      <c r="H55" s="26"/>
      <c r="I55" s="26"/>
      <c r="J55" s="26"/>
      <c r="K55" s="26"/>
      <c r="L55" s="26"/>
      <c r="M55" s="26"/>
      <c r="N55" s="26"/>
      <c r="O55" s="26"/>
      <c r="P55" s="26"/>
      <c r="Q55" s="26"/>
      <c r="R55" s="26"/>
      <c r="S55" s="52"/>
      <c r="T55" s="53"/>
      <c r="U55" s="52" t="s">
        <v>119</v>
      </c>
      <c r="V55" s="196"/>
      <c r="W55" s="6"/>
    </row>
    <row r="56" spans="1:23" ht="15.6">
      <c r="A56" s="25"/>
      <c r="B56" s="26" t="s">
        <v>22</v>
      </c>
      <c r="C56" s="26"/>
      <c r="D56" s="26"/>
      <c r="E56" s="26"/>
      <c r="F56" s="26"/>
      <c r="G56" s="26"/>
      <c r="H56" s="26"/>
      <c r="I56" s="26"/>
      <c r="J56" s="26"/>
      <c r="K56" s="26"/>
      <c r="L56" s="26"/>
      <c r="M56" s="26"/>
      <c r="N56" s="26"/>
      <c r="O56" s="26"/>
      <c r="P56" s="26"/>
      <c r="Q56" s="26"/>
      <c r="R56" s="26"/>
      <c r="S56" s="52"/>
      <c r="T56" s="53"/>
      <c r="U56" s="52">
        <v>39449</v>
      </c>
      <c r="V56" s="196"/>
      <c r="W56" s="6"/>
    </row>
    <row r="57" spans="1:23" ht="15.6">
      <c r="A57" s="25"/>
      <c r="B57" s="26"/>
      <c r="C57" s="26"/>
      <c r="D57" s="26"/>
      <c r="E57" s="26"/>
      <c r="F57" s="26"/>
      <c r="G57" s="26"/>
      <c r="H57" s="26"/>
      <c r="I57" s="26"/>
      <c r="J57" s="26"/>
      <c r="K57" s="26"/>
      <c r="L57" s="26"/>
      <c r="M57" s="26"/>
      <c r="N57" s="26"/>
      <c r="O57" s="26"/>
      <c r="P57" s="26"/>
      <c r="Q57" s="26"/>
      <c r="R57" s="26"/>
      <c r="S57" s="26"/>
      <c r="T57" s="26"/>
      <c r="U57" s="54"/>
      <c r="V57" s="196"/>
      <c r="W57" s="6"/>
    </row>
    <row r="58" spans="1:23" ht="15.6">
      <c r="A58" s="7"/>
      <c r="B58" s="9"/>
      <c r="C58" s="9"/>
      <c r="D58" s="9"/>
      <c r="E58" s="9"/>
      <c r="F58" s="9"/>
      <c r="G58" s="9"/>
      <c r="H58" s="9"/>
      <c r="I58" s="9"/>
      <c r="J58" s="9"/>
      <c r="K58" s="9"/>
      <c r="L58" s="9"/>
      <c r="M58" s="9"/>
      <c r="N58" s="9"/>
      <c r="O58" s="9"/>
      <c r="P58" s="9"/>
      <c r="Q58" s="9"/>
      <c r="R58" s="9"/>
      <c r="S58" s="9"/>
      <c r="T58" s="9"/>
      <c r="U58" s="55"/>
      <c r="V58" s="194"/>
      <c r="W58" s="6"/>
    </row>
    <row r="59" spans="1:23" ht="16.2" thickBot="1">
      <c r="A59" s="130"/>
      <c r="B59" s="131" t="s">
        <v>247</v>
      </c>
      <c r="C59" s="132"/>
      <c r="D59" s="132"/>
      <c r="E59" s="132"/>
      <c r="F59" s="132"/>
      <c r="G59" s="132"/>
      <c r="H59" s="132"/>
      <c r="I59" s="132"/>
      <c r="J59" s="132"/>
      <c r="K59" s="132"/>
      <c r="L59" s="132"/>
      <c r="M59" s="132"/>
      <c r="N59" s="132"/>
      <c r="O59" s="132"/>
      <c r="P59" s="132"/>
      <c r="Q59" s="132"/>
      <c r="R59" s="132"/>
      <c r="S59" s="132"/>
      <c r="T59" s="132"/>
      <c r="U59" s="133"/>
      <c r="V59" s="134"/>
      <c r="W59" s="6"/>
    </row>
    <row r="60" spans="1:23" ht="15.6">
      <c r="A60" s="2"/>
      <c r="B60" s="5" t="s">
        <v>237</v>
      </c>
      <c r="C60" s="5"/>
      <c r="D60" s="5"/>
      <c r="E60" s="5"/>
      <c r="F60" s="5"/>
      <c r="G60" s="5"/>
      <c r="H60" s="5"/>
      <c r="I60" s="5"/>
      <c r="J60" s="5"/>
      <c r="K60" s="5"/>
      <c r="L60" s="5"/>
      <c r="M60" s="5"/>
      <c r="N60" s="5"/>
      <c r="O60" s="5"/>
      <c r="P60" s="5"/>
      <c r="Q60" s="5"/>
      <c r="R60" s="5"/>
      <c r="S60" s="5"/>
      <c r="T60" s="5"/>
      <c r="U60" s="56"/>
      <c r="V60" s="193"/>
      <c r="W60" s="6"/>
    </row>
    <row r="61" spans="1:23" ht="15.6">
      <c r="A61" s="7"/>
      <c r="B61" s="57" t="s">
        <v>23</v>
      </c>
      <c r="C61" s="13"/>
      <c r="D61" s="13"/>
      <c r="E61" s="13"/>
      <c r="F61" s="13"/>
      <c r="G61" s="13"/>
      <c r="H61" s="13"/>
      <c r="I61" s="13"/>
      <c r="J61" s="13"/>
      <c r="K61" s="13"/>
      <c r="L61" s="13"/>
      <c r="M61" s="9"/>
      <c r="N61" s="9"/>
      <c r="O61" s="9"/>
      <c r="P61" s="9"/>
      <c r="Q61" s="9"/>
      <c r="R61" s="9"/>
      <c r="S61" s="9"/>
      <c r="T61" s="9"/>
      <c r="U61" s="58"/>
      <c r="V61" s="194"/>
      <c r="W61" s="6"/>
    </row>
    <row r="62" spans="1:23" ht="15.6">
      <c r="A62" s="7"/>
      <c r="B62" s="13"/>
      <c r="C62" s="13"/>
      <c r="D62" s="13"/>
      <c r="E62" s="13"/>
      <c r="F62" s="13"/>
      <c r="G62" s="13"/>
      <c r="H62" s="13"/>
      <c r="I62" s="13"/>
      <c r="J62" s="13"/>
      <c r="K62" s="13"/>
      <c r="L62" s="13"/>
      <c r="M62" s="9"/>
      <c r="N62" s="9"/>
      <c r="O62" s="9"/>
      <c r="P62" s="9"/>
      <c r="Q62" s="9"/>
      <c r="R62" s="9"/>
      <c r="S62" s="9"/>
      <c r="T62" s="9"/>
      <c r="U62" s="58"/>
      <c r="V62" s="194"/>
      <c r="W62" s="6"/>
    </row>
    <row r="63" spans="1:23" s="151" customFormat="1" ht="46.8">
      <c r="A63" s="145"/>
      <c r="B63" s="146"/>
      <c r="C63" s="147"/>
      <c r="D63" s="147"/>
      <c r="E63" s="147"/>
      <c r="F63" s="147"/>
      <c r="G63" s="147"/>
      <c r="H63" s="147"/>
      <c r="I63" s="147"/>
      <c r="J63" s="147"/>
      <c r="K63" s="147" t="s">
        <v>197</v>
      </c>
      <c r="L63" s="147"/>
      <c r="M63" s="147" t="s">
        <v>98</v>
      </c>
      <c r="N63" s="147"/>
      <c r="O63" s="147" t="s">
        <v>107</v>
      </c>
      <c r="P63" s="147"/>
      <c r="Q63" s="147" t="s">
        <v>111</v>
      </c>
      <c r="R63" s="147"/>
      <c r="S63" s="147" t="s">
        <v>113</v>
      </c>
      <c r="T63" s="147"/>
      <c r="U63" s="148" t="s">
        <v>120</v>
      </c>
      <c r="V63" s="199"/>
      <c r="W63" s="150"/>
    </row>
    <row r="64" spans="1:23" ht="15.6">
      <c r="A64" s="25"/>
      <c r="B64" s="26" t="s">
        <v>24</v>
      </c>
      <c r="C64" s="59"/>
      <c r="D64" s="59"/>
      <c r="E64" s="59"/>
      <c r="F64" s="59"/>
      <c r="G64" s="59"/>
      <c r="H64" s="59"/>
      <c r="I64" s="59"/>
      <c r="J64" s="59"/>
      <c r="K64" s="59">
        <f>265+63566+3306</f>
        <v>67137</v>
      </c>
      <c r="L64" s="59"/>
      <c r="M64" s="59">
        <v>39489</v>
      </c>
      <c r="N64" s="59"/>
      <c r="O64" s="59">
        <f>9+4244+32+548</f>
        <v>4833</v>
      </c>
      <c r="P64" s="59"/>
      <c r="Q64" s="59">
        <v>867</v>
      </c>
      <c r="R64" s="59"/>
      <c r="S64" s="59">
        <v>0</v>
      </c>
      <c r="T64" s="59"/>
      <c r="U64" s="60">
        <f>+M64-O64+Q64-S64</f>
        <v>35523</v>
      </c>
      <c r="V64" s="196"/>
      <c r="W64" s="6"/>
    </row>
    <row r="65" spans="1:24" ht="15.6">
      <c r="A65" s="25"/>
      <c r="B65" s="26" t="s">
        <v>25</v>
      </c>
      <c r="C65" s="59"/>
      <c r="D65" s="59"/>
      <c r="E65" s="59"/>
      <c r="F65" s="59"/>
      <c r="G65" s="59"/>
      <c r="H65" s="59"/>
      <c r="I65" s="59"/>
      <c r="J65" s="59"/>
      <c r="K65" s="59"/>
      <c r="L65" s="59"/>
      <c r="M65" s="59"/>
      <c r="N65" s="59"/>
      <c r="O65" s="59"/>
      <c r="P65" s="59"/>
      <c r="Q65" s="59">
        <v>0</v>
      </c>
      <c r="R65" s="59"/>
      <c r="S65" s="59">
        <v>0</v>
      </c>
      <c r="T65" s="59"/>
      <c r="U65" s="60">
        <f>M65-O65</f>
        <v>0</v>
      </c>
      <c r="V65" s="196"/>
      <c r="W65" s="6"/>
    </row>
    <row r="66" spans="1:24" ht="15.6">
      <c r="A66" s="25"/>
      <c r="B66" s="26"/>
      <c r="C66" s="59"/>
      <c r="D66" s="59"/>
      <c r="E66" s="59"/>
      <c r="F66" s="59"/>
      <c r="G66" s="59"/>
      <c r="H66" s="59"/>
      <c r="I66" s="59"/>
      <c r="J66" s="59"/>
      <c r="K66" s="59"/>
      <c r="L66" s="59"/>
      <c r="M66" s="59"/>
      <c r="N66" s="59"/>
      <c r="O66" s="59"/>
      <c r="P66" s="59"/>
      <c r="Q66" s="59"/>
      <c r="R66" s="59"/>
      <c r="S66" s="59"/>
      <c r="T66" s="59"/>
      <c r="U66" s="60"/>
      <c r="V66" s="196"/>
      <c r="W66" s="6"/>
    </row>
    <row r="67" spans="1:24" ht="15.6">
      <c r="A67" s="25"/>
      <c r="B67" s="26" t="s">
        <v>26</v>
      </c>
      <c r="C67" s="59"/>
      <c r="D67" s="59"/>
      <c r="E67" s="59"/>
      <c r="F67" s="59"/>
      <c r="G67" s="59"/>
      <c r="H67" s="59"/>
      <c r="I67" s="59"/>
      <c r="J67" s="59"/>
      <c r="K67" s="59">
        <v>24470</v>
      </c>
      <c r="L67" s="59"/>
      <c r="M67" s="59">
        <v>40263</v>
      </c>
      <c r="N67" s="59"/>
      <c r="O67" s="59">
        <f>13852-1</f>
        <v>13851</v>
      </c>
      <c r="P67" s="59"/>
      <c r="Q67" s="59">
        <v>15393</v>
      </c>
      <c r="R67" s="59"/>
      <c r="S67" s="59">
        <f>SUM(S64:S66)</f>
        <v>0</v>
      </c>
      <c r="T67" s="59"/>
      <c r="U67" s="60">
        <f>+M67-O67+Q67-S67</f>
        <v>41805</v>
      </c>
      <c r="V67" s="196"/>
      <c r="W67" s="6"/>
    </row>
    <row r="68" spans="1:24" ht="15.6">
      <c r="A68" s="25"/>
      <c r="B68" s="26" t="s">
        <v>25</v>
      </c>
      <c r="C68" s="59"/>
      <c r="D68" s="59"/>
      <c r="E68" s="59"/>
      <c r="F68" s="59"/>
      <c r="G68" s="59"/>
      <c r="H68" s="59"/>
      <c r="I68" s="59"/>
      <c r="J68" s="59"/>
      <c r="K68" s="59"/>
      <c r="L68" s="59"/>
      <c r="M68" s="59"/>
      <c r="N68" s="59"/>
      <c r="O68" s="59"/>
      <c r="P68" s="59"/>
      <c r="Q68" s="59">
        <v>0</v>
      </c>
      <c r="R68" s="59"/>
      <c r="S68" s="59">
        <v>0</v>
      </c>
      <c r="T68" s="59"/>
      <c r="U68" s="61"/>
      <c r="V68" s="196"/>
      <c r="W68" s="6"/>
    </row>
    <row r="69" spans="1:24" ht="15.6">
      <c r="A69" s="25"/>
      <c r="B69" s="62"/>
      <c r="C69" s="59"/>
      <c r="D69" s="59"/>
      <c r="E69" s="59"/>
      <c r="F69" s="59"/>
      <c r="G69" s="59"/>
      <c r="H69" s="59"/>
      <c r="I69" s="59"/>
      <c r="J69" s="59"/>
      <c r="K69" s="59"/>
      <c r="L69" s="59"/>
      <c r="M69" s="59"/>
      <c r="N69" s="59"/>
      <c r="O69" s="63"/>
      <c r="P69" s="59"/>
      <c r="Q69" s="59"/>
      <c r="R69" s="59"/>
      <c r="S69" s="59"/>
      <c r="T69" s="59"/>
      <c r="U69" s="61"/>
      <c r="V69" s="196"/>
      <c r="W69" s="6"/>
    </row>
    <row r="70" spans="1:24" ht="15.6">
      <c r="A70" s="25"/>
      <c r="B70" s="26" t="s">
        <v>27</v>
      </c>
      <c r="C70" s="59"/>
      <c r="D70" s="59"/>
      <c r="E70" s="59"/>
      <c r="F70" s="59"/>
      <c r="G70" s="59"/>
      <c r="H70" s="59"/>
      <c r="I70" s="59"/>
      <c r="J70" s="59"/>
      <c r="K70" s="59">
        <v>220072</v>
      </c>
      <c r="L70" s="59"/>
      <c r="M70" s="59">
        <v>180549</v>
      </c>
      <c r="N70" s="59"/>
      <c r="O70" s="59">
        <f>19374+609</f>
        <v>19983</v>
      </c>
      <c r="P70" s="59"/>
      <c r="Q70" s="59">
        <f>20795+335</f>
        <v>21130</v>
      </c>
      <c r="R70" s="59"/>
      <c r="S70" s="59">
        <v>0</v>
      </c>
      <c r="T70" s="59"/>
      <c r="U70" s="60">
        <f>+M70-O70+Q70-S70</f>
        <v>181696</v>
      </c>
      <c r="V70" s="196"/>
      <c r="W70" s="6"/>
    </row>
    <row r="71" spans="1:24" ht="15.6">
      <c r="A71" s="25"/>
      <c r="B71" s="26" t="s">
        <v>25</v>
      </c>
      <c r="C71" s="59"/>
      <c r="D71" s="59"/>
      <c r="E71" s="59"/>
      <c r="F71" s="59"/>
      <c r="G71" s="59"/>
      <c r="H71" s="59"/>
      <c r="I71" s="59"/>
      <c r="J71" s="59"/>
      <c r="K71" s="59"/>
      <c r="L71" s="59"/>
      <c r="M71" s="59"/>
      <c r="N71" s="59"/>
      <c r="O71" s="59"/>
      <c r="P71" s="59"/>
      <c r="Q71" s="59">
        <v>0</v>
      </c>
      <c r="R71" s="59"/>
      <c r="S71" s="59">
        <v>0</v>
      </c>
      <c r="T71" s="59"/>
      <c r="U71" s="60">
        <f>M71-O71+Q71-S71</f>
        <v>0</v>
      </c>
      <c r="V71" s="196"/>
      <c r="W71" s="6"/>
    </row>
    <row r="72" spans="1:24" ht="15.6">
      <c r="A72" s="25"/>
      <c r="B72" s="26"/>
      <c r="C72" s="59"/>
      <c r="D72" s="59"/>
      <c r="E72" s="59"/>
      <c r="F72" s="59"/>
      <c r="G72" s="59"/>
      <c r="H72" s="59"/>
      <c r="I72" s="59"/>
      <c r="J72" s="59"/>
      <c r="K72" s="59"/>
      <c r="L72" s="59"/>
      <c r="M72" s="59"/>
      <c r="N72" s="59"/>
      <c r="O72" s="59"/>
      <c r="P72" s="59"/>
      <c r="Q72" s="59"/>
      <c r="R72" s="59"/>
      <c r="S72" s="59"/>
      <c r="T72" s="59"/>
      <c r="U72" s="60"/>
      <c r="V72" s="196"/>
      <c r="W72" s="6"/>
    </row>
    <row r="73" spans="1:24" ht="15.6">
      <c r="A73" s="25"/>
      <c r="B73" s="26" t="s">
        <v>28</v>
      </c>
      <c r="C73" s="59"/>
      <c r="D73" s="59"/>
      <c r="E73" s="59"/>
      <c r="F73" s="59"/>
      <c r="G73" s="59"/>
      <c r="H73" s="59"/>
      <c r="I73" s="59"/>
      <c r="J73" s="59"/>
      <c r="K73" s="59">
        <v>138321</v>
      </c>
      <c r="L73" s="59"/>
      <c r="M73" s="59">
        <v>127380</v>
      </c>
      <c r="N73" s="59"/>
      <c r="O73" s="59">
        <f>16441+780</f>
        <v>17221</v>
      </c>
      <c r="P73" s="59"/>
      <c r="Q73" s="59">
        <v>9918</v>
      </c>
      <c r="R73" s="59"/>
      <c r="S73" s="59">
        <v>0</v>
      </c>
      <c r="T73" s="59"/>
      <c r="U73" s="60">
        <f>+M73-O73+Q73-S73</f>
        <v>120077</v>
      </c>
      <c r="V73" s="196"/>
      <c r="W73" s="6"/>
    </row>
    <row r="74" spans="1:24" ht="15.6">
      <c r="A74" s="25"/>
      <c r="B74" s="26" t="s">
        <v>25</v>
      </c>
      <c r="C74" s="59"/>
      <c r="D74" s="59"/>
      <c r="E74" s="59"/>
      <c r="F74" s="59"/>
      <c r="G74" s="59"/>
      <c r="H74" s="59"/>
      <c r="I74" s="59"/>
      <c r="J74" s="59"/>
      <c r="K74" s="59"/>
      <c r="L74" s="59"/>
      <c r="M74" s="59"/>
      <c r="N74" s="59"/>
      <c r="O74" s="59"/>
      <c r="P74" s="59"/>
      <c r="Q74" s="59">
        <v>0</v>
      </c>
      <c r="R74" s="59"/>
      <c r="S74" s="59">
        <v>0</v>
      </c>
      <c r="T74" s="59"/>
      <c r="U74" s="60"/>
      <c r="V74" s="196"/>
      <c r="W74" s="6"/>
    </row>
    <row r="75" spans="1:24" ht="15.6">
      <c r="A75" s="25"/>
      <c r="B75" s="59"/>
      <c r="C75" s="59"/>
      <c r="D75" s="59"/>
      <c r="E75" s="59"/>
      <c r="F75" s="59"/>
      <c r="G75" s="59"/>
      <c r="H75" s="59"/>
      <c r="I75" s="59"/>
      <c r="J75" s="59"/>
      <c r="K75" s="59"/>
      <c r="L75" s="59"/>
      <c r="M75" s="59"/>
      <c r="N75" s="59"/>
      <c r="O75" s="59"/>
      <c r="P75" s="59"/>
      <c r="Q75" s="59"/>
      <c r="R75" s="59"/>
      <c r="S75" s="59"/>
      <c r="T75" s="59"/>
      <c r="U75" s="60"/>
      <c r="V75" s="196"/>
      <c r="W75" s="6"/>
    </row>
    <row r="76" spans="1:24" ht="15.6">
      <c r="A76" s="25"/>
      <c r="B76" s="26" t="s">
        <v>29</v>
      </c>
      <c r="C76" s="59"/>
      <c r="D76" s="59"/>
      <c r="E76" s="59"/>
      <c r="F76" s="59"/>
      <c r="G76" s="59"/>
      <c r="H76" s="59"/>
      <c r="I76" s="59"/>
      <c r="J76" s="59"/>
      <c r="K76" s="59">
        <f>SUM(K64:K73)</f>
        <v>450000</v>
      </c>
      <c r="L76" s="59"/>
      <c r="M76" s="59">
        <f>SUM(M64:M73)</f>
        <v>387681</v>
      </c>
      <c r="N76" s="59"/>
      <c r="O76" s="59">
        <f>SUM(O64:O74)</f>
        <v>55888</v>
      </c>
      <c r="P76" s="59"/>
      <c r="Q76" s="59">
        <f>SUM(Q64:Q74)</f>
        <v>47308</v>
      </c>
      <c r="R76" s="59"/>
      <c r="S76" s="59">
        <f>SUM(S71:S75)</f>
        <v>0</v>
      </c>
      <c r="T76" s="59"/>
      <c r="U76" s="59">
        <f>SUM(U64:U74)</f>
        <v>379101</v>
      </c>
      <c r="V76" s="196"/>
      <c r="W76" s="6"/>
      <c r="X76" s="182"/>
    </row>
    <row r="77" spans="1:24" ht="15.6">
      <c r="A77" s="25"/>
      <c r="B77" s="26"/>
      <c r="C77" s="59"/>
      <c r="D77" s="59"/>
      <c r="E77" s="59"/>
      <c r="F77" s="59"/>
      <c r="G77" s="59"/>
      <c r="H77" s="59"/>
      <c r="I77" s="59"/>
      <c r="J77" s="59"/>
      <c r="K77" s="59"/>
      <c r="L77" s="59"/>
      <c r="M77" s="59"/>
      <c r="N77" s="59"/>
      <c r="O77" s="59"/>
      <c r="P77" s="59"/>
      <c r="Q77" s="59"/>
      <c r="R77" s="59"/>
      <c r="S77" s="59"/>
      <c r="T77" s="59"/>
      <c r="U77" s="61"/>
      <c r="V77" s="196"/>
      <c r="W77" s="6"/>
    </row>
    <row r="78" spans="1:24" ht="15.6">
      <c r="A78" s="25"/>
      <c r="B78" s="26" t="s">
        <v>214</v>
      </c>
      <c r="C78" s="59"/>
      <c r="D78" s="59"/>
      <c r="E78" s="59"/>
      <c r="F78" s="59"/>
      <c r="G78" s="59"/>
      <c r="H78" s="59"/>
      <c r="I78" s="59"/>
      <c r="J78" s="59"/>
      <c r="K78" s="59">
        <v>0</v>
      </c>
      <c r="L78" s="59"/>
      <c r="M78" s="59">
        <v>-9221</v>
      </c>
      <c r="N78" s="59"/>
      <c r="O78" s="59">
        <v>369</v>
      </c>
      <c r="P78" s="59"/>
      <c r="Q78" s="59"/>
      <c r="R78" s="59"/>
      <c r="S78" s="59"/>
      <c r="T78" s="59"/>
      <c r="U78" s="60">
        <f>+M78-O78</f>
        <v>-9590</v>
      </c>
      <c r="V78" s="196"/>
      <c r="W78" s="6"/>
    </row>
    <row r="79" spans="1:24" ht="15.6">
      <c r="A79" s="25"/>
      <c r="B79" s="26" t="s">
        <v>30</v>
      </c>
      <c r="C79" s="59"/>
      <c r="D79" s="59"/>
      <c r="E79" s="59"/>
      <c r="F79" s="59"/>
      <c r="G79" s="59"/>
      <c r="H79" s="59"/>
      <c r="I79" s="59"/>
      <c r="J79" s="59"/>
      <c r="K79" s="59">
        <v>0</v>
      </c>
      <c r="L79" s="59"/>
      <c r="M79" s="59">
        <v>71540</v>
      </c>
      <c r="N79" s="59"/>
      <c r="O79" s="59">
        <f>SUM(O76:O78)</f>
        <v>56257</v>
      </c>
      <c r="P79" s="59"/>
      <c r="Q79" s="59">
        <f>-Q76</f>
        <v>-47308</v>
      </c>
      <c r="R79" s="59"/>
      <c r="S79" s="59"/>
      <c r="T79" s="59"/>
      <c r="U79" s="61">
        <f>+M79+O79+Q79</f>
        <v>80489</v>
      </c>
      <c r="V79" s="196"/>
      <c r="W79" s="6"/>
      <c r="X79" s="182"/>
    </row>
    <row r="80" spans="1:24" ht="15.6">
      <c r="A80" s="25"/>
      <c r="B80" s="26" t="s">
        <v>31</v>
      </c>
      <c r="C80" s="59"/>
      <c r="D80" s="59"/>
      <c r="E80" s="59"/>
      <c r="F80" s="59"/>
      <c r="G80" s="59"/>
      <c r="H80" s="59"/>
      <c r="I80" s="59"/>
      <c r="J80" s="59"/>
      <c r="K80" s="59">
        <v>0</v>
      </c>
      <c r="L80" s="59"/>
      <c r="M80" s="59">
        <v>0</v>
      </c>
      <c r="N80" s="59"/>
      <c r="O80" s="59"/>
      <c r="P80" s="59"/>
      <c r="Q80" s="59">
        <v>0</v>
      </c>
      <c r="R80" s="59"/>
      <c r="S80" s="59"/>
      <c r="T80" s="59"/>
      <c r="U80" s="61">
        <f>Q80+M80</f>
        <v>0</v>
      </c>
      <c r="V80" s="196"/>
      <c r="W80" s="6"/>
    </row>
    <row r="81" spans="1:24" ht="15.6">
      <c r="A81" s="25"/>
      <c r="B81" s="26" t="s">
        <v>16</v>
      </c>
      <c r="C81" s="61"/>
      <c r="D81" s="61"/>
      <c r="E81" s="61"/>
      <c r="F81" s="61"/>
      <c r="G81" s="61"/>
      <c r="H81" s="61"/>
      <c r="I81" s="61"/>
      <c r="J81" s="61"/>
      <c r="K81" s="61">
        <f>SUM(K76:K80)</f>
        <v>450000</v>
      </c>
      <c r="L81" s="61"/>
      <c r="M81" s="61">
        <f>SUM(M76:M80)</f>
        <v>450000</v>
      </c>
      <c r="N81" s="59"/>
      <c r="O81" s="59">
        <f>O79-O80</f>
        <v>56257</v>
      </c>
      <c r="P81" s="59"/>
      <c r="Q81" s="59"/>
      <c r="R81" s="59"/>
      <c r="S81" s="59"/>
      <c r="T81" s="59"/>
      <c r="U81" s="61">
        <f>SUM(U76:U80)</f>
        <v>450000</v>
      </c>
      <c r="V81" s="196"/>
      <c r="W81" s="6"/>
    </row>
    <row r="82" spans="1:24" ht="15.6">
      <c r="A82" s="25"/>
      <c r="B82" s="59"/>
      <c r="C82" s="26"/>
      <c r="D82" s="26"/>
      <c r="E82" s="26"/>
      <c r="F82" s="26"/>
      <c r="G82" s="26"/>
      <c r="H82" s="26"/>
      <c r="I82" s="26"/>
      <c r="J82" s="26"/>
      <c r="K82" s="26"/>
      <c r="L82" s="26"/>
      <c r="M82" s="26"/>
      <c r="N82" s="26"/>
      <c r="O82" s="26"/>
      <c r="P82" s="26"/>
      <c r="Q82" s="26"/>
      <c r="R82" s="26"/>
      <c r="S82" s="33"/>
      <c r="T82" s="26"/>
      <c r="U82" s="33"/>
      <c r="V82" s="196"/>
      <c r="W82" s="6"/>
    </row>
    <row r="83" spans="1:24" ht="15.6">
      <c r="A83" s="7"/>
      <c r="B83" s="57" t="s">
        <v>32</v>
      </c>
      <c r="C83" s="14"/>
      <c r="D83" s="14"/>
      <c r="E83" s="14"/>
      <c r="F83" s="14"/>
      <c r="G83" s="14"/>
      <c r="H83" s="14"/>
      <c r="I83" s="14"/>
      <c r="J83" s="14"/>
      <c r="K83" s="14"/>
      <c r="L83" s="14"/>
      <c r="M83" s="14"/>
      <c r="N83" s="14"/>
      <c r="O83" s="14"/>
      <c r="P83" s="14"/>
      <c r="Q83" s="14"/>
      <c r="R83" s="17"/>
      <c r="S83" s="17"/>
      <c r="T83" s="17"/>
      <c r="U83" s="17" t="s">
        <v>121</v>
      </c>
      <c r="V83" s="200"/>
      <c r="W83" s="6"/>
    </row>
    <row r="84" spans="1:24" ht="15.6">
      <c r="A84" s="25"/>
      <c r="B84" s="26" t="s">
        <v>33</v>
      </c>
      <c r="C84" s="26"/>
      <c r="D84" s="26"/>
      <c r="E84" s="26"/>
      <c r="F84" s="26"/>
      <c r="G84" s="26"/>
      <c r="H84" s="26"/>
      <c r="I84" s="26"/>
      <c r="J84" s="26"/>
      <c r="K84" s="26"/>
      <c r="L84" s="26"/>
      <c r="M84" s="26"/>
      <c r="N84" s="26"/>
      <c r="O84" s="59"/>
      <c r="P84" s="26"/>
      <c r="Q84" s="26"/>
      <c r="R84" s="26"/>
      <c r="S84" s="59"/>
      <c r="T84" s="26"/>
      <c r="U84" s="60">
        <v>130478</v>
      </c>
      <c r="V84" s="196"/>
      <c r="W84" s="6"/>
    </row>
    <row r="85" spans="1:24" ht="15.6">
      <c r="A85" s="25"/>
      <c r="B85" s="26" t="s">
        <v>34</v>
      </c>
      <c r="C85" s="47"/>
      <c r="D85" s="47"/>
      <c r="E85" s="47"/>
      <c r="F85" s="47"/>
      <c r="G85" s="47"/>
      <c r="H85" s="47"/>
      <c r="I85" s="47"/>
      <c r="J85" s="47"/>
      <c r="K85" s="47"/>
      <c r="L85" s="47"/>
      <c r="M85" s="51"/>
      <c r="N85" s="26"/>
      <c r="O85" s="26"/>
      <c r="P85" s="26"/>
      <c r="Q85" s="26"/>
      <c r="R85" s="26"/>
      <c r="S85" s="59"/>
      <c r="T85" s="26"/>
      <c r="U85" s="60">
        <f>989+550+48-5-24-36+4</f>
        <v>1526</v>
      </c>
      <c r="V85" s="196"/>
      <c r="W85" s="6"/>
    </row>
    <row r="86" spans="1:24" ht="15.6">
      <c r="A86" s="25"/>
      <c r="B86" s="26" t="s">
        <v>230</v>
      </c>
      <c r="C86" s="26"/>
      <c r="D86" s="26"/>
      <c r="E86" s="26"/>
      <c r="F86" s="26"/>
      <c r="G86" s="26"/>
      <c r="H86" s="26"/>
      <c r="I86" s="26"/>
      <c r="J86" s="26"/>
      <c r="K86" s="26"/>
      <c r="L86" s="26"/>
      <c r="M86" s="26"/>
      <c r="N86" s="26"/>
      <c r="O86" s="26"/>
      <c r="P86" s="26"/>
      <c r="Q86" s="26"/>
      <c r="R86" s="26"/>
      <c r="S86" s="59"/>
      <c r="T86" s="26"/>
      <c r="U86" s="60">
        <v>0</v>
      </c>
      <c r="V86" s="196"/>
      <c r="W86" s="6"/>
      <c r="X86" s="64"/>
    </row>
    <row r="87" spans="1:24" ht="15.6">
      <c r="A87" s="25"/>
      <c r="B87" s="26" t="s">
        <v>231</v>
      </c>
      <c r="C87" s="26"/>
      <c r="D87" s="26"/>
      <c r="E87" s="26"/>
      <c r="F87" s="26"/>
      <c r="G87" s="26"/>
      <c r="H87" s="26"/>
      <c r="I87" s="26"/>
      <c r="J87" s="26"/>
      <c r="K87" s="26"/>
      <c r="L87" s="26"/>
      <c r="M87" s="26"/>
      <c r="N87" s="26"/>
      <c r="O87" s="26"/>
      <c r="P87" s="26"/>
      <c r="Q87" s="26"/>
      <c r="R87" s="26"/>
      <c r="S87" s="59"/>
      <c r="T87" s="26"/>
      <c r="U87" s="60">
        <v>0</v>
      </c>
      <c r="V87" s="196"/>
      <c r="W87" s="6"/>
      <c r="X87" s="64"/>
    </row>
    <row r="88" spans="1:24" ht="15.6">
      <c r="A88" s="25"/>
      <c r="B88" s="26" t="s">
        <v>35</v>
      </c>
      <c r="C88" s="26"/>
      <c r="D88" s="26"/>
      <c r="E88" s="26"/>
      <c r="F88" s="26"/>
      <c r="G88" s="26"/>
      <c r="H88" s="26"/>
      <c r="I88" s="26"/>
      <c r="J88" s="26"/>
      <c r="K88" s="26"/>
      <c r="L88" s="26"/>
      <c r="M88" s="26"/>
      <c r="N88" s="26"/>
      <c r="O88" s="26"/>
      <c r="P88" s="26"/>
      <c r="Q88" s="26"/>
      <c r="R88" s="26"/>
      <c r="S88" s="59"/>
      <c r="T88" s="26"/>
      <c r="U88" s="60">
        <f>SUM(U84:U87)</f>
        <v>132004</v>
      </c>
      <c r="V88" s="196"/>
      <c r="W88" s="6"/>
      <c r="X88" s="64"/>
    </row>
    <row r="89" spans="1:24" ht="15.6">
      <c r="A89" s="25"/>
      <c r="B89" s="26"/>
      <c r="C89" s="26"/>
      <c r="D89" s="26"/>
      <c r="E89" s="26"/>
      <c r="F89" s="26"/>
      <c r="G89" s="26"/>
      <c r="H89" s="26"/>
      <c r="I89" s="26"/>
      <c r="J89" s="26"/>
      <c r="K89" s="26"/>
      <c r="L89" s="26"/>
      <c r="M89" s="26"/>
      <c r="N89" s="26"/>
      <c r="O89" s="26"/>
      <c r="P89" s="26"/>
      <c r="Q89" s="26"/>
      <c r="R89" s="26"/>
      <c r="S89" s="59"/>
      <c r="T89" s="26"/>
      <c r="U89" s="61"/>
      <c r="V89" s="196"/>
      <c r="W89" s="6"/>
    </row>
    <row r="90" spans="1:24" ht="15.6">
      <c r="A90" s="25"/>
      <c r="B90" s="152" t="s">
        <v>36</v>
      </c>
      <c r="C90" s="65"/>
      <c r="D90" s="65"/>
      <c r="E90" s="65"/>
      <c r="F90" s="65"/>
      <c r="G90" s="65"/>
      <c r="H90" s="65"/>
      <c r="I90" s="65"/>
      <c r="J90" s="65"/>
      <c r="K90" s="65"/>
      <c r="L90" s="65"/>
      <c r="M90" s="26"/>
      <c r="N90" s="26"/>
      <c r="O90" s="26"/>
      <c r="P90" s="26"/>
      <c r="Q90" s="26"/>
      <c r="R90" s="26"/>
      <c r="S90" s="59"/>
      <c r="T90" s="26"/>
      <c r="U90" s="60"/>
      <c r="V90" s="196"/>
      <c r="W90" s="6"/>
      <c r="X90" s="64"/>
    </row>
    <row r="91" spans="1:24" ht="15.6">
      <c r="A91" s="25">
        <v>1</v>
      </c>
      <c r="B91" s="26" t="s">
        <v>37</v>
      </c>
      <c r="C91" s="26"/>
      <c r="D91" s="26"/>
      <c r="E91" s="26"/>
      <c r="F91" s="26"/>
      <c r="G91" s="26"/>
      <c r="H91" s="26"/>
      <c r="I91" s="26"/>
      <c r="J91" s="26"/>
      <c r="K91" s="26"/>
      <c r="L91" s="26"/>
      <c r="M91" s="26"/>
      <c r="N91" s="26"/>
      <c r="O91" s="26"/>
      <c r="P91" s="26"/>
      <c r="Q91" s="26"/>
      <c r="R91" s="26"/>
      <c r="S91" s="26"/>
      <c r="T91" s="26"/>
      <c r="U91" s="60">
        <v>-2</v>
      </c>
      <c r="V91" s="196"/>
      <c r="W91" s="6"/>
    </row>
    <row r="92" spans="1:24" ht="15.6">
      <c r="A92" s="25">
        <f>A91+1</f>
        <v>2</v>
      </c>
      <c r="B92" s="26" t="s">
        <v>168</v>
      </c>
      <c r="C92" s="26"/>
      <c r="D92" s="26"/>
      <c r="E92" s="26"/>
      <c r="F92" s="26"/>
      <c r="G92" s="26"/>
      <c r="H92" s="26"/>
      <c r="I92" s="26"/>
      <c r="J92" s="26"/>
      <c r="K92" s="26"/>
      <c r="L92" s="26"/>
      <c r="M92" s="26"/>
      <c r="N92" s="26"/>
      <c r="O92" s="26"/>
      <c r="P92" s="26"/>
      <c r="Q92" s="26"/>
      <c r="R92" s="26"/>
      <c r="S92" s="26"/>
      <c r="T92" s="26"/>
      <c r="U92" s="60">
        <f>-381-173-10</f>
        <v>-564</v>
      </c>
      <c r="V92" s="196"/>
      <c r="W92" s="6"/>
      <c r="X92" s="64"/>
    </row>
    <row r="93" spans="1:24" ht="15.6">
      <c r="A93" s="25">
        <v>3</v>
      </c>
      <c r="B93" s="26" t="s">
        <v>38</v>
      </c>
      <c r="C93" s="26"/>
      <c r="D93" s="26"/>
      <c r="E93" s="26"/>
      <c r="F93" s="26"/>
      <c r="G93" s="26"/>
      <c r="H93" s="26"/>
      <c r="I93" s="26"/>
      <c r="J93" s="26"/>
      <c r="K93" s="26"/>
      <c r="L93" s="26"/>
      <c r="M93" s="26"/>
      <c r="N93" s="26"/>
      <c r="O93" s="26"/>
      <c r="P93" s="26"/>
      <c r="Q93" s="26"/>
      <c r="R93" s="26"/>
      <c r="S93" s="26"/>
      <c r="T93" s="26"/>
      <c r="U93" s="60">
        <v>-153</v>
      </c>
      <c r="V93" s="196"/>
      <c r="W93" s="6"/>
      <c r="X93" s="64"/>
    </row>
    <row r="94" spans="1:24" ht="15.6">
      <c r="A94" s="177" t="s">
        <v>190</v>
      </c>
      <c r="B94" s="26" t="s">
        <v>169</v>
      </c>
      <c r="C94" s="26"/>
      <c r="D94" s="26"/>
      <c r="E94" s="26"/>
      <c r="F94" s="26"/>
      <c r="G94" s="26"/>
      <c r="H94" s="26"/>
      <c r="I94" s="26"/>
      <c r="J94" s="26"/>
      <c r="K94" s="26"/>
      <c r="L94" s="26"/>
      <c r="M94" s="26"/>
      <c r="N94" s="26"/>
      <c r="O94" s="26"/>
      <c r="P94" s="26"/>
      <c r="Q94" s="26"/>
      <c r="R94" s="26"/>
      <c r="S94" s="26"/>
      <c r="T94" s="26"/>
      <c r="U94" s="60">
        <v>-2390</v>
      </c>
      <c r="V94" s="196"/>
      <c r="W94" s="6"/>
      <c r="X94" s="64"/>
    </row>
    <row r="95" spans="1:24" ht="15.6">
      <c r="A95" s="177" t="s">
        <v>191</v>
      </c>
      <c r="B95" s="26" t="s">
        <v>170</v>
      </c>
      <c r="C95" s="26"/>
      <c r="D95" s="26"/>
      <c r="E95" s="26"/>
      <c r="F95" s="26"/>
      <c r="G95" s="26"/>
      <c r="H95" s="26"/>
      <c r="I95" s="26"/>
      <c r="J95" s="26"/>
      <c r="K95" s="26"/>
      <c r="L95" s="26"/>
      <c r="M95" s="26"/>
      <c r="N95" s="26"/>
      <c r="O95" s="26"/>
      <c r="P95" s="26"/>
      <c r="Q95" s="26"/>
      <c r="R95" s="26"/>
      <c r="S95" s="26"/>
      <c r="T95" s="26"/>
      <c r="U95" s="60">
        <v>-2927</v>
      </c>
      <c r="V95" s="196"/>
      <c r="W95" s="6"/>
      <c r="X95" s="182"/>
    </row>
    <row r="96" spans="1:24" ht="15.6">
      <c r="A96" s="25">
        <v>5</v>
      </c>
      <c r="B96" s="26" t="s">
        <v>171</v>
      </c>
      <c r="C96" s="26"/>
      <c r="D96" s="26"/>
      <c r="E96" s="26"/>
      <c r="F96" s="26"/>
      <c r="G96" s="26"/>
      <c r="H96" s="26"/>
      <c r="I96" s="26"/>
      <c r="J96" s="26"/>
      <c r="K96" s="26"/>
      <c r="L96" s="26"/>
      <c r="M96" s="26"/>
      <c r="N96" s="26"/>
      <c r="O96" s="26"/>
      <c r="P96" s="26"/>
      <c r="Q96" s="26"/>
      <c r="R96" s="26"/>
      <c r="S96" s="26"/>
      <c r="T96" s="26"/>
      <c r="U96" s="60">
        <v>-7</v>
      </c>
      <c r="V96" s="196"/>
      <c r="W96" s="6"/>
    </row>
    <row r="97" spans="1:24" ht="15.6">
      <c r="A97" s="177" t="s">
        <v>174</v>
      </c>
      <c r="B97" s="26" t="s">
        <v>172</v>
      </c>
      <c r="C97" s="26"/>
      <c r="D97" s="26"/>
      <c r="E97" s="26"/>
      <c r="F97" s="26"/>
      <c r="G97" s="26"/>
      <c r="H97" s="26"/>
      <c r="I97" s="26"/>
      <c r="J97" s="26"/>
      <c r="K97" s="26"/>
      <c r="L97" s="26"/>
      <c r="M97" s="26"/>
      <c r="N97" s="26"/>
      <c r="O97" s="26"/>
      <c r="P97" s="26"/>
      <c r="Q97" s="26"/>
      <c r="R97" s="26"/>
      <c r="S97" s="26"/>
      <c r="T97" s="26"/>
      <c r="U97" s="60">
        <v>-266</v>
      </c>
      <c r="V97" s="196"/>
      <c r="W97" s="6"/>
      <c r="X97" s="182"/>
    </row>
    <row r="98" spans="1:24" ht="15.6">
      <c r="A98" s="177" t="s">
        <v>176</v>
      </c>
      <c r="B98" s="26" t="s">
        <v>173</v>
      </c>
      <c r="C98" s="26"/>
      <c r="D98" s="26"/>
      <c r="E98" s="26"/>
      <c r="F98" s="26"/>
      <c r="G98" s="26"/>
      <c r="H98" s="26"/>
      <c r="I98" s="26"/>
      <c r="J98" s="26"/>
      <c r="K98" s="26"/>
      <c r="L98" s="26"/>
      <c r="M98" s="26"/>
      <c r="N98" s="26"/>
      <c r="O98" s="26"/>
      <c r="P98" s="26"/>
      <c r="Q98" s="26"/>
      <c r="R98" s="26"/>
      <c r="S98" s="26"/>
      <c r="T98" s="26"/>
      <c r="U98" s="60">
        <v>-410</v>
      </c>
      <c r="V98" s="196"/>
      <c r="W98" s="119"/>
      <c r="X98" s="182"/>
    </row>
    <row r="99" spans="1:24" ht="15.6">
      <c r="A99" s="177" t="s">
        <v>178</v>
      </c>
      <c r="B99" s="26" t="s">
        <v>175</v>
      </c>
      <c r="C99" s="26"/>
      <c r="D99" s="26"/>
      <c r="E99" s="26"/>
      <c r="F99" s="26"/>
      <c r="G99" s="26"/>
      <c r="H99" s="26"/>
      <c r="I99" s="26"/>
      <c r="J99" s="26"/>
      <c r="K99" s="26"/>
      <c r="L99" s="26"/>
      <c r="M99" s="26"/>
      <c r="N99" s="26"/>
      <c r="O99" s="26"/>
      <c r="P99" s="26"/>
      <c r="Q99" s="26"/>
      <c r="R99" s="26"/>
      <c r="S99" s="26"/>
      <c r="T99" s="26"/>
      <c r="U99" s="60">
        <v>-312</v>
      </c>
      <c r="V99" s="196"/>
      <c r="W99" s="6"/>
      <c r="X99" s="182"/>
    </row>
    <row r="100" spans="1:24" ht="15.6">
      <c r="A100" s="177" t="s">
        <v>180</v>
      </c>
      <c r="B100" s="26" t="s">
        <v>177</v>
      </c>
      <c r="C100" s="26"/>
      <c r="D100" s="26"/>
      <c r="E100" s="26"/>
      <c r="F100" s="26"/>
      <c r="G100" s="26"/>
      <c r="H100" s="26"/>
      <c r="I100" s="26"/>
      <c r="J100" s="26"/>
      <c r="K100" s="26"/>
      <c r="L100" s="26"/>
      <c r="M100" s="26"/>
      <c r="N100" s="26"/>
      <c r="O100" s="26"/>
      <c r="P100" s="26"/>
      <c r="Q100" s="26"/>
      <c r="R100" s="26"/>
      <c r="S100" s="26"/>
      <c r="T100" s="26"/>
      <c r="U100" s="60">
        <v>-391</v>
      </c>
      <c r="V100" s="196"/>
      <c r="W100" s="119"/>
      <c r="X100" s="182"/>
    </row>
    <row r="101" spans="1:24" ht="15.6">
      <c r="A101" s="177" t="s">
        <v>192</v>
      </c>
      <c r="B101" s="26" t="s">
        <v>179</v>
      </c>
      <c r="C101" s="26"/>
      <c r="D101" s="26"/>
      <c r="E101" s="26"/>
      <c r="F101" s="26"/>
      <c r="G101" s="26"/>
      <c r="H101" s="26"/>
      <c r="I101" s="26"/>
      <c r="J101" s="26"/>
      <c r="K101" s="26"/>
      <c r="L101" s="26"/>
      <c r="M101" s="26"/>
      <c r="N101" s="26"/>
      <c r="O101" s="26"/>
      <c r="P101" s="26"/>
      <c r="Q101" s="26"/>
      <c r="R101" s="26"/>
      <c r="S101" s="26"/>
      <c r="T101" s="26"/>
      <c r="U101" s="60">
        <v>-446</v>
      </c>
      <c r="V101" s="196"/>
      <c r="W101" s="6"/>
      <c r="X101" s="182"/>
    </row>
    <row r="102" spans="1:24" ht="15.6">
      <c r="A102" s="177" t="s">
        <v>193</v>
      </c>
      <c r="B102" s="26" t="s">
        <v>181</v>
      </c>
      <c r="C102" s="26"/>
      <c r="D102" s="26"/>
      <c r="E102" s="26"/>
      <c r="F102" s="26"/>
      <c r="G102" s="26"/>
      <c r="H102" s="26"/>
      <c r="I102" s="26"/>
      <c r="J102" s="26"/>
      <c r="K102" s="26"/>
      <c r="L102" s="26"/>
      <c r="M102" s="26"/>
      <c r="N102" s="26"/>
      <c r="O102" s="26"/>
      <c r="P102" s="26"/>
      <c r="Q102" s="26"/>
      <c r="R102" s="26"/>
      <c r="S102" s="26"/>
      <c r="T102" s="26"/>
      <c r="U102" s="60">
        <v>-375</v>
      </c>
      <c r="V102" s="196"/>
      <c r="W102" s="119"/>
      <c r="X102" s="182"/>
    </row>
    <row r="103" spans="1:24" ht="15.6">
      <c r="A103" s="25">
        <v>9</v>
      </c>
      <c r="B103" s="26" t="s">
        <v>182</v>
      </c>
      <c r="C103" s="26"/>
      <c r="D103" s="26"/>
      <c r="E103" s="26"/>
      <c r="F103" s="26"/>
      <c r="G103" s="26"/>
      <c r="H103" s="26"/>
      <c r="I103" s="26"/>
      <c r="J103" s="26"/>
      <c r="K103" s="26"/>
      <c r="L103" s="26"/>
      <c r="M103" s="26"/>
      <c r="N103" s="26"/>
      <c r="O103" s="26"/>
      <c r="P103" s="26"/>
      <c r="Q103" s="26"/>
      <c r="R103" s="26"/>
      <c r="S103" s="26"/>
      <c r="T103" s="26"/>
      <c r="U103" s="60">
        <f>+S220-U32</f>
        <v>-80489</v>
      </c>
      <c r="V103" s="196"/>
      <c r="W103" s="6"/>
      <c r="X103" s="182"/>
    </row>
    <row r="104" spans="1:24" ht="15.6">
      <c r="A104" s="25">
        <v>10</v>
      </c>
      <c r="B104" s="26" t="s">
        <v>234</v>
      </c>
      <c r="C104" s="26"/>
      <c r="D104" s="26"/>
      <c r="E104" s="26"/>
      <c r="F104" s="26"/>
      <c r="G104" s="26"/>
      <c r="H104" s="26"/>
      <c r="I104" s="26"/>
      <c r="J104" s="26"/>
      <c r="K104" s="26"/>
      <c r="L104" s="26"/>
      <c r="M104" s="26"/>
      <c r="N104" s="26"/>
      <c r="O104" s="26"/>
      <c r="P104" s="26"/>
      <c r="Q104" s="26"/>
      <c r="R104" s="26"/>
      <c r="S104" s="26"/>
      <c r="T104" s="26"/>
      <c r="U104" s="60">
        <v>-40500</v>
      </c>
      <c r="V104" s="196"/>
      <c r="W104" s="6"/>
      <c r="X104" s="64"/>
    </row>
    <row r="105" spans="1:24" ht="15.6">
      <c r="A105" s="25">
        <v>11</v>
      </c>
      <c r="B105" s="26" t="s">
        <v>183</v>
      </c>
      <c r="C105" s="26"/>
      <c r="D105" s="26"/>
      <c r="E105" s="26"/>
      <c r="F105" s="26"/>
      <c r="G105" s="26"/>
      <c r="H105" s="26"/>
      <c r="I105" s="26"/>
      <c r="J105" s="26"/>
      <c r="K105" s="26"/>
      <c r="L105" s="26"/>
      <c r="M105" s="26"/>
      <c r="N105" s="26"/>
      <c r="O105" s="26"/>
      <c r="P105" s="26"/>
      <c r="Q105" s="26"/>
      <c r="R105" s="26"/>
      <c r="S105" s="26"/>
      <c r="T105" s="26"/>
      <c r="U105" s="60">
        <v>0</v>
      </c>
      <c r="V105" s="196"/>
      <c r="W105" s="6"/>
      <c r="X105" s="64"/>
    </row>
    <row r="106" spans="1:24" ht="15.6">
      <c r="A106" s="25">
        <v>12</v>
      </c>
      <c r="B106" s="26" t="s">
        <v>184</v>
      </c>
      <c r="C106" s="26"/>
      <c r="D106" s="26"/>
      <c r="E106" s="26"/>
      <c r="F106" s="26"/>
      <c r="G106" s="26"/>
      <c r="H106" s="26"/>
      <c r="I106" s="26"/>
      <c r="J106" s="26"/>
      <c r="K106" s="26"/>
      <c r="L106" s="26"/>
      <c r="M106" s="26"/>
      <c r="N106" s="26"/>
      <c r="O106" s="26"/>
      <c r="P106" s="26"/>
      <c r="Q106" s="26"/>
      <c r="R106" s="26"/>
      <c r="S106" s="26"/>
      <c r="T106" s="26"/>
      <c r="U106" s="60">
        <v>-428</v>
      </c>
      <c r="V106" s="196"/>
      <c r="W106" s="6"/>
      <c r="X106" s="182"/>
    </row>
    <row r="107" spans="1:24" ht="15.6">
      <c r="A107" s="25">
        <v>13</v>
      </c>
      <c r="B107" s="26" t="s">
        <v>40</v>
      </c>
      <c r="C107" s="26"/>
      <c r="D107" s="26"/>
      <c r="E107" s="26"/>
      <c r="F107" s="26"/>
      <c r="G107" s="26"/>
      <c r="H107" s="26"/>
      <c r="I107" s="26"/>
      <c r="J107" s="26"/>
      <c r="K107" s="26"/>
      <c r="L107" s="26"/>
      <c r="M107" s="26"/>
      <c r="N107" s="26"/>
      <c r="O107" s="26"/>
      <c r="P107" s="26"/>
      <c r="Q107" s="26"/>
      <c r="R107" s="26"/>
      <c r="S107" s="26"/>
      <c r="T107" s="26"/>
      <c r="U107" s="60">
        <f>-SUM(U88:U106)</f>
        <v>-2344</v>
      </c>
      <c r="V107" s="196"/>
      <c r="W107" s="6"/>
      <c r="X107" s="182"/>
    </row>
    <row r="108" spans="1:24" ht="15.6">
      <c r="A108" s="25"/>
      <c r="B108" s="29"/>
      <c r="C108" s="26"/>
      <c r="D108" s="26"/>
      <c r="E108" s="26"/>
      <c r="F108" s="26"/>
      <c r="G108" s="26"/>
      <c r="H108" s="26"/>
      <c r="I108" s="26"/>
      <c r="J108" s="26"/>
      <c r="K108" s="26"/>
      <c r="L108" s="26"/>
      <c r="M108" s="26"/>
      <c r="N108" s="26"/>
      <c r="O108" s="26"/>
      <c r="P108" s="26"/>
      <c r="Q108" s="26"/>
      <c r="R108" s="26"/>
      <c r="S108" s="59"/>
      <c r="T108" s="59"/>
      <c r="U108" s="59"/>
      <c r="V108" s="196"/>
      <c r="W108" s="6"/>
      <c r="X108" s="182"/>
    </row>
    <row r="109" spans="1:24" ht="15.6">
      <c r="A109" s="7"/>
      <c r="B109" s="12"/>
      <c r="C109" s="9"/>
      <c r="D109" s="9"/>
      <c r="E109" s="9"/>
      <c r="F109" s="9"/>
      <c r="G109" s="9"/>
      <c r="H109" s="9"/>
      <c r="I109" s="9"/>
      <c r="J109" s="9"/>
      <c r="K109" s="9"/>
      <c r="L109" s="9"/>
      <c r="M109" s="9"/>
      <c r="N109" s="9"/>
      <c r="O109" s="9"/>
      <c r="P109" s="9"/>
      <c r="Q109" s="9"/>
      <c r="R109" s="9"/>
      <c r="S109" s="66"/>
      <c r="T109" s="66"/>
      <c r="U109" s="66"/>
      <c r="V109" s="194"/>
      <c r="W109" s="6"/>
    </row>
    <row r="110" spans="1:24" ht="16.2" thickBot="1">
      <c r="A110" s="130"/>
      <c r="B110" s="131" t="str">
        <f>+B59</f>
        <v>PPAF3 INVESTOR REPORT QUARTER ENDING DECEMBER 2007</v>
      </c>
      <c r="C110" s="132"/>
      <c r="D110" s="132"/>
      <c r="E110" s="132"/>
      <c r="F110" s="132"/>
      <c r="G110" s="132"/>
      <c r="H110" s="132"/>
      <c r="I110" s="132"/>
      <c r="J110" s="132"/>
      <c r="K110" s="132"/>
      <c r="L110" s="132"/>
      <c r="M110" s="132"/>
      <c r="N110" s="132"/>
      <c r="O110" s="132"/>
      <c r="P110" s="132"/>
      <c r="Q110" s="132"/>
      <c r="R110" s="132"/>
      <c r="S110" s="135"/>
      <c r="T110" s="135"/>
      <c r="U110" s="135"/>
      <c r="V110" s="134"/>
      <c r="W110" s="6"/>
    </row>
    <row r="111" spans="1:24" ht="15.6">
      <c r="A111" s="2"/>
      <c r="B111" s="5"/>
      <c r="C111" s="5"/>
      <c r="D111" s="5"/>
      <c r="E111" s="5"/>
      <c r="F111" s="5"/>
      <c r="G111" s="5"/>
      <c r="H111" s="5"/>
      <c r="I111" s="5"/>
      <c r="J111" s="5"/>
      <c r="K111" s="5"/>
      <c r="L111" s="5"/>
      <c r="M111" s="5"/>
      <c r="N111" s="5"/>
      <c r="O111" s="5"/>
      <c r="P111" s="5"/>
      <c r="Q111" s="5"/>
      <c r="R111" s="5"/>
      <c r="S111" s="67"/>
      <c r="T111" s="67"/>
      <c r="U111" s="67"/>
      <c r="V111" s="193"/>
      <c r="W111" s="6"/>
    </row>
    <row r="112" spans="1:24" ht="15.6">
      <c r="A112" s="68"/>
      <c r="B112" s="69" t="s">
        <v>41</v>
      </c>
      <c r="C112" s="70"/>
      <c r="D112" s="70"/>
      <c r="E112" s="70"/>
      <c r="F112" s="70"/>
      <c r="G112" s="70"/>
      <c r="H112" s="70"/>
      <c r="I112" s="70"/>
      <c r="J112" s="70"/>
      <c r="K112" s="70"/>
      <c r="L112" s="70"/>
      <c r="M112" s="70"/>
      <c r="N112" s="70"/>
      <c r="O112" s="70"/>
      <c r="P112" s="70"/>
      <c r="Q112" s="70"/>
      <c r="R112" s="70"/>
      <c r="S112" s="70"/>
      <c r="T112" s="70"/>
      <c r="U112" s="71"/>
      <c r="V112" s="201"/>
      <c r="W112" s="6"/>
    </row>
    <row r="113" spans="1:23" ht="15.6">
      <c r="A113" s="68"/>
      <c r="B113" s="70"/>
      <c r="C113" s="70"/>
      <c r="D113" s="70"/>
      <c r="E113" s="70"/>
      <c r="F113" s="70"/>
      <c r="G113" s="70"/>
      <c r="H113" s="70"/>
      <c r="I113" s="70"/>
      <c r="J113" s="70"/>
      <c r="K113" s="70"/>
      <c r="L113" s="70"/>
      <c r="M113" s="70"/>
      <c r="N113" s="70"/>
      <c r="O113" s="70"/>
      <c r="P113" s="70"/>
      <c r="Q113" s="70"/>
      <c r="R113" s="70"/>
      <c r="S113" s="70"/>
      <c r="T113" s="70"/>
      <c r="U113" s="71"/>
      <c r="V113" s="202"/>
      <c r="W113" s="6"/>
    </row>
    <row r="114" spans="1:23" ht="15.6">
      <c r="A114" s="7"/>
      <c r="B114" s="153" t="s">
        <v>42</v>
      </c>
      <c r="C114" s="13"/>
      <c r="D114" s="13"/>
      <c r="E114" s="13"/>
      <c r="F114" s="13"/>
      <c r="G114" s="13"/>
      <c r="H114" s="13"/>
      <c r="I114" s="13"/>
      <c r="J114" s="13"/>
      <c r="K114" s="13"/>
      <c r="L114" s="13"/>
      <c r="M114" s="9"/>
      <c r="N114" s="9"/>
      <c r="O114" s="9"/>
      <c r="P114" s="9"/>
      <c r="Q114" s="9"/>
      <c r="R114" s="9"/>
      <c r="S114" s="9"/>
      <c r="T114" s="9"/>
      <c r="U114" s="58"/>
      <c r="V114" s="194"/>
      <c r="W114" s="6"/>
    </row>
    <row r="115" spans="1:23" ht="15.6">
      <c r="A115" s="25"/>
      <c r="B115" s="26" t="s">
        <v>43</v>
      </c>
      <c r="C115" s="26"/>
      <c r="D115" s="26"/>
      <c r="E115" s="26"/>
      <c r="F115" s="26"/>
      <c r="G115" s="26"/>
      <c r="H115" s="26"/>
      <c r="I115" s="26"/>
      <c r="J115" s="26"/>
      <c r="K115" s="26"/>
      <c r="L115" s="26"/>
      <c r="M115" s="26"/>
      <c r="N115" s="26"/>
      <c r="O115" s="26"/>
      <c r="P115" s="26"/>
      <c r="Q115" s="26"/>
      <c r="R115" s="26"/>
      <c r="S115" s="26"/>
      <c r="T115" s="26"/>
      <c r="U115" s="60">
        <v>40500</v>
      </c>
      <c r="V115" s="196"/>
      <c r="W115" s="6"/>
    </row>
    <row r="116" spans="1:23" ht="15.6">
      <c r="A116" s="25"/>
      <c r="B116" s="26" t="s">
        <v>240</v>
      </c>
      <c r="C116" s="26"/>
      <c r="D116" s="26"/>
      <c r="E116" s="26"/>
      <c r="F116" s="26"/>
      <c r="G116" s="26"/>
      <c r="H116" s="26"/>
      <c r="I116" s="26"/>
      <c r="J116" s="26"/>
      <c r="K116" s="26"/>
      <c r="L116" s="26"/>
      <c r="M116" s="26"/>
      <c r="N116" s="26"/>
      <c r="O116" s="26"/>
      <c r="P116" s="26"/>
      <c r="Q116" s="26"/>
      <c r="R116" s="26"/>
      <c r="S116" s="26"/>
      <c r="T116" s="26"/>
      <c r="U116" s="60">
        <v>40500</v>
      </c>
      <c r="V116" s="196"/>
      <c r="W116" s="6"/>
    </row>
    <row r="117" spans="1:23" ht="15.6">
      <c r="A117" s="25"/>
      <c r="B117" s="26" t="s">
        <v>241</v>
      </c>
      <c r="C117" s="26"/>
      <c r="D117" s="26"/>
      <c r="E117" s="26"/>
      <c r="F117" s="26"/>
      <c r="G117" s="26"/>
      <c r="H117" s="26"/>
      <c r="I117" s="26"/>
      <c r="J117" s="26"/>
      <c r="K117" s="26"/>
      <c r="L117" s="26"/>
      <c r="M117" s="26"/>
      <c r="N117" s="26"/>
      <c r="O117" s="26"/>
      <c r="P117" s="26"/>
      <c r="Q117" s="26"/>
      <c r="R117" s="26"/>
      <c r="S117" s="26"/>
      <c r="T117" s="26"/>
      <c r="U117" s="60">
        <v>0</v>
      </c>
      <c r="V117" s="196"/>
      <c r="W117" s="6"/>
    </row>
    <row r="118" spans="1:23" ht="15.6">
      <c r="A118" s="25"/>
      <c r="B118" s="26" t="s">
        <v>209</v>
      </c>
      <c r="C118" s="26"/>
      <c r="D118" s="26"/>
      <c r="E118" s="26"/>
      <c r="F118" s="26"/>
      <c r="G118" s="26"/>
      <c r="H118" s="26"/>
      <c r="I118" s="26"/>
      <c r="J118" s="26"/>
      <c r="K118" s="26"/>
      <c r="L118" s="26"/>
      <c r="M118" s="26"/>
      <c r="N118" s="26"/>
      <c r="O118" s="26"/>
      <c r="P118" s="26"/>
      <c r="Q118" s="26"/>
      <c r="R118" s="26"/>
      <c r="S118" s="26"/>
      <c r="T118" s="26"/>
      <c r="U118" s="60">
        <v>0</v>
      </c>
      <c r="V118" s="196"/>
      <c r="W118" s="6"/>
    </row>
    <row r="119" spans="1:23" ht="15.6">
      <c r="A119" s="25"/>
      <c r="B119" s="26" t="s">
        <v>210</v>
      </c>
      <c r="C119" s="26"/>
      <c r="D119" s="26"/>
      <c r="E119" s="26"/>
      <c r="F119" s="26"/>
      <c r="G119" s="26"/>
      <c r="H119" s="26"/>
      <c r="I119" s="26"/>
      <c r="J119" s="26"/>
      <c r="K119" s="26"/>
      <c r="L119" s="26"/>
      <c r="M119" s="26"/>
      <c r="N119" s="26"/>
      <c r="O119" s="26"/>
      <c r="P119" s="26"/>
      <c r="Q119" s="26"/>
      <c r="R119" s="26"/>
      <c r="S119" s="26"/>
      <c r="T119" s="26"/>
      <c r="U119" s="60">
        <v>0</v>
      </c>
      <c r="V119" s="196"/>
      <c r="W119" s="6"/>
    </row>
    <row r="120" spans="1:23" ht="15.6">
      <c r="A120" s="25"/>
      <c r="B120" s="26" t="s">
        <v>211</v>
      </c>
      <c r="C120" s="26"/>
      <c r="D120" s="26"/>
      <c r="E120" s="26"/>
      <c r="F120" s="26"/>
      <c r="G120" s="26"/>
      <c r="H120" s="26"/>
      <c r="I120" s="26"/>
      <c r="J120" s="26"/>
      <c r="K120" s="26"/>
      <c r="L120" s="26"/>
      <c r="M120" s="26"/>
      <c r="N120" s="26"/>
      <c r="O120" s="26"/>
      <c r="P120" s="26"/>
      <c r="Q120" s="26"/>
      <c r="R120" s="26"/>
      <c r="S120" s="26"/>
      <c r="T120" s="26"/>
      <c r="U120" s="60">
        <v>0</v>
      </c>
      <c r="V120" s="196"/>
      <c r="W120" s="6"/>
    </row>
    <row r="121" spans="1:23" ht="15.6">
      <c r="A121" s="25"/>
      <c r="B121" s="26" t="s">
        <v>212</v>
      </c>
      <c r="C121" s="26"/>
      <c r="D121" s="26"/>
      <c r="E121" s="26"/>
      <c r="F121" s="26"/>
      <c r="G121" s="26"/>
      <c r="H121" s="26"/>
      <c r="I121" s="26"/>
      <c r="J121" s="26"/>
      <c r="K121" s="26"/>
      <c r="L121" s="26"/>
      <c r="M121" s="26"/>
      <c r="N121" s="26"/>
      <c r="O121" s="26"/>
      <c r="P121" s="26"/>
      <c r="Q121" s="26"/>
      <c r="R121" s="26"/>
      <c r="S121" s="26"/>
      <c r="T121" s="26"/>
      <c r="U121" s="60">
        <v>0</v>
      </c>
      <c r="V121" s="196"/>
      <c r="W121" s="6"/>
    </row>
    <row r="122" spans="1:23" ht="15.6">
      <c r="A122" s="25"/>
      <c r="B122" s="26" t="s">
        <v>242</v>
      </c>
      <c r="C122" s="26"/>
      <c r="D122" s="26"/>
      <c r="E122" s="26"/>
      <c r="F122" s="26"/>
      <c r="G122" s="26"/>
      <c r="H122" s="26"/>
      <c r="I122" s="26"/>
      <c r="J122" s="26"/>
      <c r="K122" s="26"/>
      <c r="L122" s="26"/>
      <c r="M122" s="26"/>
      <c r="N122" s="26"/>
      <c r="O122" s="26"/>
      <c r="P122" s="26"/>
      <c r="Q122" s="26"/>
      <c r="R122" s="26"/>
      <c r="S122" s="26"/>
      <c r="T122" s="26"/>
      <c r="U122" s="60">
        <v>0</v>
      </c>
      <c r="V122" s="196"/>
      <c r="W122" s="6"/>
    </row>
    <row r="123" spans="1:23" ht="15.6">
      <c r="A123" s="25"/>
      <c r="B123" s="26" t="s">
        <v>45</v>
      </c>
      <c r="C123" s="26"/>
      <c r="D123" s="26"/>
      <c r="E123" s="26"/>
      <c r="F123" s="26"/>
      <c r="G123" s="26"/>
      <c r="H123" s="26"/>
      <c r="I123" s="26"/>
      <c r="J123" s="26"/>
      <c r="K123" s="26"/>
      <c r="L123" s="26"/>
      <c r="M123" s="26"/>
      <c r="N123" s="26"/>
      <c r="O123" s="26"/>
      <c r="P123" s="26"/>
      <c r="Q123" s="26"/>
      <c r="R123" s="26"/>
      <c r="S123" s="26"/>
      <c r="T123" s="26"/>
      <c r="U123" s="60">
        <f>SUM(U116:U122)</f>
        <v>40500</v>
      </c>
      <c r="V123" s="196"/>
      <c r="W123" s="6"/>
    </row>
    <row r="124" spans="1:23" ht="15.6">
      <c r="A124" s="25"/>
      <c r="B124" s="26"/>
      <c r="C124" s="26"/>
      <c r="D124" s="26"/>
      <c r="E124" s="26"/>
      <c r="F124" s="26"/>
      <c r="G124" s="26"/>
      <c r="H124" s="26"/>
      <c r="I124" s="26"/>
      <c r="J124" s="26"/>
      <c r="K124" s="26"/>
      <c r="L124" s="26"/>
      <c r="M124" s="26"/>
      <c r="N124" s="26"/>
      <c r="O124" s="26"/>
      <c r="P124" s="26"/>
      <c r="Q124" s="26"/>
      <c r="R124" s="26"/>
      <c r="S124" s="26"/>
      <c r="T124" s="26"/>
      <c r="U124" s="73"/>
      <c r="V124" s="196"/>
      <c r="W124" s="6"/>
    </row>
    <row r="125" spans="1:23" ht="15.6">
      <c r="A125" s="7"/>
      <c r="B125" s="153" t="s">
        <v>46</v>
      </c>
      <c r="C125" s="13"/>
      <c r="D125" s="13"/>
      <c r="E125" s="13"/>
      <c r="F125" s="13"/>
      <c r="G125" s="13"/>
      <c r="H125" s="13"/>
      <c r="I125" s="13"/>
      <c r="J125" s="13"/>
      <c r="K125" s="13"/>
      <c r="L125" s="13"/>
      <c r="M125" s="9"/>
      <c r="N125" s="9"/>
      <c r="O125" s="9"/>
      <c r="P125" s="188"/>
      <c r="Q125" s="9"/>
      <c r="R125" s="9"/>
      <c r="S125" s="9"/>
      <c r="T125" s="9"/>
      <c r="U125" s="75"/>
      <c r="V125" s="194"/>
      <c r="W125" s="6"/>
    </row>
    <row r="126" spans="1:23" ht="15.6">
      <c r="A126" s="7"/>
      <c r="B126" s="13"/>
      <c r="C126" s="17" t="s">
        <v>185</v>
      </c>
      <c r="D126" s="17"/>
      <c r="E126" s="17" t="s">
        <v>99</v>
      </c>
      <c r="F126" s="17"/>
      <c r="G126" s="17" t="s">
        <v>102</v>
      </c>
      <c r="H126" s="17"/>
      <c r="I126" s="17" t="s">
        <v>108</v>
      </c>
      <c r="J126" s="17"/>
      <c r="K126" s="17"/>
      <c r="L126" s="17"/>
      <c r="M126" s="17"/>
      <c r="N126" s="17"/>
      <c r="O126" s="17"/>
      <c r="P126" s="188"/>
      <c r="Q126" s="188"/>
      <c r="R126" s="9"/>
      <c r="S126" s="9"/>
      <c r="T126" s="9"/>
      <c r="U126" s="75"/>
      <c r="V126" s="194"/>
      <c r="W126" s="6"/>
    </row>
    <row r="127" spans="1:23" ht="15.6">
      <c r="A127" s="25"/>
      <c r="B127" s="26" t="s">
        <v>122</v>
      </c>
      <c r="C127" s="59">
        <f>+N200-'September 07'!N200</f>
        <v>193</v>
      </c>
      <c r="D127" s="26"/>
      <c r="E127" s="59">
        <f>+S200-'September 07'!S200</f>
        <v>52</v>
      </c>
      <c r="F127" s="26"/>
      <c r="G127" s="59">
        <f>+N213-'September 07'!N213</f>
        <v>123</v>
      </c>
      <c r="H127" s="26"/>
      <c r="I127" s="59">
        <f>+S213-'September 07'!S213</f>
        <v>1</v>
      </c>
      <c r="J127" s="26"/>
      <c r="K127" s="26"/>
      <c r="L127" s="26"/>
      <c r="M127" s="26"/>
      <c r="N127" s="26"/>
      <c r="O127" s="26"/>
      <c r="P127" s="189"/>
      <c r="Q127" s="189"/>
      <c r="R127" s="26"/>
      <c r="S127" s="26"/>
      <c r="T127" s="26"/>
      <c r="U127" s="60">
        <f>SUM(C127:I127)</f>
        <v>369</v>
      </c>
      <c r="V127" s="196"/>
      <c r="W127" s="6"/>
    </row>
    <row r="128" spans="1:23" ht="15.6">
      <c r="A128" s="25"/>
      <c r="B128" s="26" t="s">
        <v>47</v>
      </c>
      <c r="C128" s="26">
        <v>548</v>
      </c>
      <c r="D128" s="26"/>
      <c r="E128" s="26">
        <v>0</v>
      </c>
      <c r="F128" s="26"/>
      <c r="G128" s="26">
        <v>609</v>
      </c>
      <c r="H128" s="26"/>
      <c r="I128" s="59">
        <v>780</v>
      </c>
      <c r="J128" s="26"/>
      <c r="K128" s="26"/>
      <c r="L128" s="26"/>
      <c r="M128" s="26"/>
      <c r="N128" s="26"/>
      <c r="O128" s="26"/>
      <c r="P128" s="189"/>
      <c r="Q128" s="189"/>
      <c r="R128" s="26"/>
      <c r="S128" s="26"/>
      <c r="T128" s="26"/>
      <c r="U128" s="60">
        <f>SUM(C128:I128)</f>
        <v>1937</v>
      </c>
      <c r="V128" s="196"/>
      <c r="W128" s="6"/>
    </row>
    <row r="129" spans="1:25" ht="15.6">
      <c r="A129" s="25"/>
      <c r="B129" s="26" t="s">
        <v>48</v>
      </c>
      <c r="C129" s="26"/>
      <c r="D129" s="26"/>
      <c r="E129" s="26"/>
      <c r="F129" s="26"/>
      <c r="G129" s="26"/>
      <c r="H129" s="26"/>
      <c r="I129" s="26"/>
      <c r="J129" s="26"/>
      <c r="K129" s="26"/>
      <c r="L129" s="26"/>
      <c r="M129" s="26"/>
      <c r="N129" s="26"/>
      <c r="O129" s="26"/>
      <c r="P129" s="26"/>
      <c r="Q129" s="26"/>
      <c r="R129" s="26"/>
      <c r="S129" s="26"/>
      <c r="T129" s="26"/>
      <c r="U129" s="60">
        <f>SUM(U127:U128)</f>
        <v>2306</v>
      </c>
      <c r="V129" s="196"/>
      <c r="W129" s="6"/>
    </row>
    <row r="130" spans="1:25" ht="15.6">
      <c r="A130" s="7"/>
      <c r="B130" s="153" t="s">
        <v>49</v>
      </c>
      <c r="C130" s="13"/>
      <c r="D130" s="13"/>
      <c r="E130" s="13"/>
      <c r="F130" s="13"/>
      <c r="G130" s="13"/>
      <c r="H130" s="13"/>
      <c r="I130" s="13"/>
      <c r="J130" s="13"/>
      <c r="K130" s="13"/>
      <c r="L130" s="13"/>
      <c r="M130" s="9"/>
      <c r="N130" s="9"/>
      <c r="O130" s="9"/>
      <c r="P130" s="9"/>
      <c r="Q130" s="9"/>
      <c r="R130" s="9"/>
      <c r="S130" s="9"/>
      <c r="T130" s="9"/>
      <c r="U130" s="58"/>
      <c r="V130" s="194"/>
      <c r="W130" s="6"/>
    </row>
    <row r="131" spans="1:25" ht="15.6">
      <c r="A131" s="25"/>
      <c r="B131" s="26" t="s">
        <v>50</v>
      </c>
      <c r="C131" s="77"/>
      <c r="D131" s="77"/>
      <c r="E131" s="77"/>
      <c r="F131" s="77"/>
      <c r="G131" s="77"/>
      <c r="H131" s="77"/>
      <c r="I131" s="77"/>
      <c r="J131" s="77"/>
      <c r="K131" s="77"/>
      <c r="L131" s="77"/>
      <c r="M131" s="26"/>
      <c r="N131" s="26"/>
      <c r="O131" s="26"/>
      <c r="P131" s="26"/>
      <c r="Q131" s="26"/>
      <c r="R131" s="26"/>
      <c r="S131" s="26"/>
      <c r="T131" s="26"/>
      <c r="U131" s="60">
        <f>U76+U78</f>
        <v>369511</v>
      </c>
      <c r="V131" s="196"/>
      <c r="W131" s="6"/>
      <c r="X131" s="182"/>
    </row>
    <row r="132" spans="1:25" ht="15.6">
      <c r="A132" s="25"/>
      <c r="B132" s="26" t="s">
        <v>51</v>
      </c>
      <c r="C132" s="77"/>
      <c r="D132" s="77"/>
      <c r="E132" s="77"/>
      <c r="F132" s="77"/>
      <c r="G132" s="77"/>
      <c r="H132" s="77"/>
      <c r="I132" s="77"/>
      <c r="J132" s="77"/>
      <c r="K132" s="77"/>
      <c r="L132" s="77"/>
      <c r="M132" s="26"/>
      <c r="N132" s="26"/>
      <c r="O132" s="26"/>
      <c r="P132" s="26"/>
      <c r="Q132" s="26"/>
      <c r="R132" s="26"/>
      <c r="S132" s="26"/>
      <c r="T132" s="26"/>
      <c r="U132" s="60">
        <f>U79</f>
        <v>80489</v>
      </c>
      <c r="V132" s="196"/>
      <c r="W132" s="6"/>
      <c r="Y132" s="182"/>
    </row>
    <row r="133" spans="1:25" ht="15.6">
      <c r="A133" s="25"/>
      <c r="B133" s="26" t="s">
        <v>52</v>
      </c>
      <c r="C133" s="77"/>
      <c r="D133" s="77"/>
      <c r="E133" s="77"/>
      <c r="F133" s="77"/>
      <c r="G133" s="77"/>
      <c r="H133" s="77"/>
      <c r="I133" s="77"/>
      <c r="J133" s="77"/>
      <c r="K133" s="77"/>
      <c r="L133" s="77"/>
      <c r="M133" s="26"/>
      <c r="N133" s="26"/>
      <c r="O133" s="26"/>
      <c r="P133" s="26"/>
      <c r="Q133" s="26"/>
      <c r="R133" s="26"/>
      <c r="S133" s="26"/>
      <c r="T133" s="26"/>
      <c r="U133" s="60">
        <f>+U131+U132</f>
        <v>450000</v>
      </c>
      <c r="V133" s="196"/>
      <c r="W133" s="6"/>
    </row>
    <row r="134" spans="1:25" ht="15.6">
      <c r="A134" s="25"/>
      <c r="B134" s="26" t="s">
        <v>53</v>
      </c>
      <c r="C134" s="77"/>
      <c r="D134" s="77"/>
      <c r="E134" s="77"/>
      <c r="F134" s="77"/>
      <c r="G134" s="77"/>
      <c r="H134" s="77"/>
      <c r="I134" s="77"/>
      <c r="J134" s="77"/>
      <c r="K134" s="77"/>
      <c r="L134" s="77"/>
      <c r="M134" s="26"/>
      <c r="N134" s="26"/>
      <c r="O134" s="26"/>
      <c r="P134" s="26"/>
      <c r="Q134" s="26"/>
      <c r="R134" s="26"/>
      <c r="S134" s="26"/>
      <c r="T134" s="26"/>
      <c r="U134" s="60">
        <f>U81</f>
        <v>450000</v>
      </c>
      <c r="V134" s="196"/>
      <c r="W134" s="6"/>
      <c r="X134" s="64"/>
    </row>
    <row r="135" spans="1:25" ht="15.6">
      <c r="A135" s="25"/>
      <c r="B135" s="26"/>
      <c r="C135" s="26"/>
      <c r="D135" s="26"/>
      <c r="E135" s="26"/>
      <c r="F135" s="26"/>
      <c r="G135" s="26"/>
      <c r="H135" s="26"/>
      <c r="I135" s="26"/>
      <c r="J135" s="26"/>
      <c r="K135" s="26"/>
      <c r="L135" s="26"/>
      <c r="M135" s="26"/>
      <c r="N135" s="26"/>
      <c r="O135" s="26"/>
      <c r="P135" s="26"/>
      <c r="Q135" s="26"/>
      <c r="R135" s="26"/>
      <c r="S135" s="26"/>
      <c r="T135" s="26"/>
      <c r="U135" s="78"/>
      <c r="V135" s="196"/>
      <c r="W135" s="6"/>
    </row>
    <row r="136" spans="1:25" ht="15.6">
      <c r="A136" s="7"/>
      <c r="B136" s="153" t="s">
        <v>54</v>
      </c>
      <c r="C136" s="141"/>
      <c r="D136" s="141"/>
      <c r="E136" s="141"/>
      <c r="F136" s="141"/>
      <c r="G136" s="141"/>
      <c r="H136" s="141"/>
      <c r="I136" s="141"/>
      <c r="J136" s="141"/>
      <c r="K136" s="141"/>
      <c r="L136" s="141"/>
      <c r="M136" s="141"/>
      <c r="N136" s="141"/>
      <c r="O136" s="141"/>
      <c r="P136" s="141"/>
      <c r="Q136" s="142" t="s">
        <v>112</v>
      </c>
      <c r="R136" s="154"/>
      <c r="S136" s="142" t="s">
        <v>114</v>
      </c>
      <c r="T136" s="141"/>
      <c r="U136" s="155" t="s">
        <v>90</v>
      </c>
      <c r="V136" s="194"/>
      <c r="W136" s="6"/>
    </row>
    <row r="137" spans="1:25" ht="15.6">
      <c r="A137" s="25"/>
      <c r="B137" s="26" t="s">
        <v>55</v>
      </c>
      <c r="C137" s="26"/>
      <c r="D137" s="26"/>
      <c r="E137" s="26"/>
      <c r="F137" s="26"/>
      <c r="G137" s="26"/>
      <c r="H137" s="26"/>
      <c r="I137" s="26"/>
      <c r="J137" s="26"/>
      <c r="K137" s="26"/>
      <c r="L137" s="26"/>
      <c r="M137" s="26"/>
      <c r="N137" s="26"/>
      <c r="O137" s="26"/>
      <c r="P137" s="26"/>
      <c r="Q137" s="60">
        <v>0</v>
      </c>
      <c r="R137" s="26"/>
      <c r="S137" s="79" t="s">
        <v>115</v>
      </c>
      <c r="T137" s="26"/>
      <c r="U137" s="60">
        <f>Q137</f>
        <v>0</v>
      </c>
      <c r="V137" s="196"/>
      <c r="W137" s="6"/>
    </row>
    <row r="138" spans="1:25" ht="15.6">
      <c r="A138" s="25"/>
      <c r="B138" s="26" t="s">
        <v>56</v>
      </c>
      <c r="C138" s="26"/>
      <c r="D138" s="26"/>
      <c r="E138" s="26"/>
      <c r="F138" s="26"/>
      <c r="G138" s="26"/>
      <c r="H138" s="26"/>
      <c r="I138" s="26"/>
      <c r="J138" s="26"/>
      <c r="K138" s="26"/>
      <c r="L138" s="26"/>
      <c r="M138" s="26"/>
      <c r="N138" s="26"/>
      <c r="O138" s="26"/>
      <c r="P138" s="26"/>
      <c r="Q138" s="60">
        <f>+'September 07'!Q140</f>
        <v>3056</v>
      </c>
      <c r="R138" s="26"/>
      <c r="S138" s="79" t="s">
        <v>115</v>
      </c>
      <c r="T138" s="26"/>
      <c r="U138" s="60">
        <f>Q138</f>
        <v>3056</v>
      </c>
      <c r="V138" s="196"/>
      <c r="W138" s="6"/>
    </row>
    <row r="139" spans="1:25" ht="15.6">
      <c r="A139" s="25"/>
      <c r="B139" s="26" t="s">
        <v>57</v>
      </c>
      <c r="C139" s="26"/>
      <c r="D139" s="26"/>
      <c r="E139" s="26"/>
      <c r="F139" s="26"/>
      <c r="G139" s="26"/>
      <c r="H139" s="26"/>
      <c r="I139" s="26"/>
      <c r="J139" s="26"/>
      <c r="K139" s="26"/>
      <c r="L139" s="26"/>
      <c r="M139" s="26"/>
      <c r="N139" s="26"/>
      <c r="O139" s="26"/>
      <c r="P139" s="26"/>
      <c r="Q139" s="60">
        <v>335</v>
      </c>
      <c r="R139" s="26"/>
      <c r="S139" s="79" t="s">
        <v>115</v>
      </c>
      <c r="T139" s="26"/>
      <c r="U139" s="60">
        <f>Q139</f>
        <v>335</v>
      </c>
      <c r="V139" s="196"/>
      <c r="W139" s="6"/>
    </row>
    <row r="140" spans="1:25" ht="15.6">
      <c r="A140" s="25"/>
      <c r="B140" s="26" t="s">
        <v>58</v>
      </c>
      <c r="C140" s="26"/>
      <c r="D140" s="26"/>
      <c r="E140" s="26"/>
      <c r="F140" s="26"/>
      <c r="G140" s="26"/>
      <c r="H140" s="26"/>
      <c r="I140" s="26"/>
      <c r="J140" s="26"/>
      <c r="K140" s="26"/>
      <c r="L140" s="26"/>
      <c r="M140" s="26"/>
      <c r="N140" s="26"/>
      <c r="O140" s="26"/>
      <c r="P140" s="26"/>
      <c r="Q140" s="60">
        <f>SUM(Q138:Q139)</f>
        <v>3391</v>
      </c>
      <c r="R140" s="26"/>
      <c r="S140" s="79" t="s">
        <v>115</v>
      </c>
      <c r="T140" s="26"/>
      <c r="U140" s="60">
        <f>Q140</f>
        <v>3391</v>
      </c>
      <c r="V140" s="196"/>
      <c r="W140" s="6"/>
    </row>
    <row r="141" spans="1:25" ht="15.6">
      <c r="A141" s="25"/>
      <c r="B141" s="26" t="s">
        <v>215</v>
      </c>
      <c r="C141" s="26"/>
      <c r="D141" s="26"/>
      <c r="E141" s="26"/>
      <c r="F141" s="26"/>
      <c r="G141" s="26"/>
      <c r="H141" s="26"/>
      <c r="I141" s="26"/>
      <c r="J141" s="26"/>
      <c r="K141" s="26"/>
      <c r="L141" s="26"/>
      <c r="M141" s="26"/>
      <c r="N141" s="26"/>
      <c r="O141" s="26"/>
      <c r="P141" s="26"/>
      <c r="Q141" s="60"/>
      <c r="R141" s="26"/>
      <c r="S141" s="79"/>
      <c r="T141" s="26"/>
      <c r="U141" s="60"/>
      <c r="V141" s="196"/>
      <c r="W141" s="6"/>
    </row>
    <row r="142" spans="1:25" ht="15.6">
      <c r="A142" s="25"/>
      <c r="B142" s="26"/>
      <c r="C142" s="26"/>
      <c r="D142" s="26"/>
      <c r="E142" s="26"/>
      <c r="F142" s="26"/>
      <c r="G142" s="26"/>
      <c r="H142" s="26"/>
      <c r="I142" s="26"/>
      <c r="J142" s="26"/>
      <c r="K142" s="26"/>
      <c r="L142" s="26"/>
      <c r="M142" s="26"/>
      <c r="N142" s="26"/>
      <c r="O142" s="26"/>
      <c r="P142" s="26"/>
      <c r="Q142" s="26"/>
      <c r="R142" s="26"/>
      <c r="S142" s="26"/>
      <c r="T142" s="26"/>
      <c r="U142" s="26"/>
      <c r="V142" s="196"/>
      <c r="W142" s="6"/>
    </row>
    <row r="143" spans="1:25" ht="15.6">
      <c r="A143" s="25"/>
      <c r="B143" s="29"/>
      <c r="C143" s="29"/>
      <c r="D143" s="29"/>
      <c r="E143" s="29"/>
      <c r="F143" s="29"/>
      <c r="G143" s="29"/>
      <c r="H143" s="29"/>
      <c r="I143" s="29"/>
      <c r="J143" s="29"/>
      <c r="K143" s="29"/>
      <c r="L143" s="29"/>
      <c r="M143" s="29"/>
      <c r="N143" s="29"/>
      <c r="O143" s="29"/>
      <c r="P143" s="29"/>
      <c r="Q143" s="29"/>
      <c r="R143" s="29"/>
      <c r="S143" s="29"/>
      <c r="T143" s="29"/>
      <c r="U143" s="29"/>
      <c r="V143" s="203"/>
      <c r="W143" s="6"/>
    </row>
    <row r="144" spans="1:25" ht="15.6">
      <c r="A144" s="80"/>
      <c r="B144" s="57" t="s">
        <v>59</v>
      </c>
      <c r="C144" s="81"/>
      <c r="D144" s="81"/>
      <c r="E144" s="81"/>
      <c r="F144" s="81"/>
      <c r="G144" s="81"/>
      <c r="H144" s="81"/>
      <c r="I144" s="81"/>
      <c r="J144" s="81"/>
      <c r="K144" s="81"/>
      <c r="L144" s="81"/>
      <c r="M144" s="81"/>
      <c r="N144" s="81"/>
      <c r="O144" s="81"/>
      <c r="P144" s="19"/>
      <c r="Q144" s="19"/>
      <c r="R144" s="19"/>
      <c r="S144" s="19">
        <v>39447</v>
      </c>
      <c r="T144" s="15"/>
      <c r="U144" s="15"/>
      <c r="V144" s="194"/>
      <c r="W144" s="6"/>
    </row>
    <row r="145" spans="1:23" ht="15.6">
      <c r="A145" s="82"/>
      <c r="B145" s="83" t="s">
        <v>60</v>
      </c>
      <c r="C145" s="84"/>
      <c r="D145" s="84"/>
      <c r="E145" s="84"/>
      <c r="F145" s="84"/>
      <c r="G145" s="84"/>
      <c r="H145" s="84"/>
      <c r="I145" s="84"/>
      <c r="J145" s="84"/>
      <c r="K145" s="84"/>
      <c r="L145" s="84"/>
      <c r="M145" s="84"/>
      <c r="N145" s="84"/>
      <c r="O145" s="84"/>
      <c r="P145" s="85"/>
      <c r="Q145" s="85"/>
      <c r="R145" s="85"/>
      <c r="S145" s="86">
        <v>0.10630000000000001</v>
      </c>
      <c r="T145" s="26"/>
      <c r="U145" s="26"/>
      <c r="V145" s="196"/>
      <c r="W145" s="6"/>
    </row>
    <row r="146" spans="1:23" ht="15.6">
      <c r="A146" s="82"/>
      <c r="B146" s="83" t="s">
        <v>61</v>
      </c>
      <c r="C146" s="84"/>
      <c r="D146" s="84"/>
      <c r="E146" s="84"/>
      <c r="F146" s="84"/>
      <c r="G146" s="84"/>
      <c r="H146" s="84"/>
      <c r="I146" s="84"/>
      <c r="J146" s="84"/>
      <c r="K146" s="84"/>
      <c r="L146" s="84"/>
      <c r="M146" s="84"/>
      <c r="N146" s="84"/>
      <c r="O146" s="84"/>
      <c r="P146" s="85"/>
      <c r="Q146" s="85"/>
      <c r="R146" s="85"/>
      <c r="S146" s="86">
        <v>5.2200000000000003E-2</v>
      </c>
      <c r="T146" s="86"/>
      <c r="U146" s="26"/>
      <c r="V146" s="196"/>
      <c r="W146" s="6"/>
    </row>
    <row r="147" spans="1:23" ht="15.6">
      <c r="A147" s="82"/>
      <c r="B147" s="83" t="s">
        <v>62</v>
      </c>
      <c r="C147" s="84"/>
      <c r="D147" s="84"/>
      <c r="E147" s="84"/>
      <c r="F147" s="84"/>
      <c r="G147" s="84"/>
      <c r="H147" s="84"/>
      <c r="I147" s="84"/>
      <c r="J147" s="84"/>
      <c r="K147" s="84"/>
      <c r="L147" s="84"/>
      <c r="M147" s="84"/>
      <c r="N147" s="84"/>
      <c r="O147" s="84"/>
      <c r="P147" s="85"/>
      <c r="Q147" s="85"/>
      <c r="R147" s="85"/>
      <c r="S147" s="86">
        <f>S145-S146</f>
        <v>5.4100000000000002E-2</v>
      </c>
      <c r="T147" s="26"/>
      <c r="U147" s="26"/>
      <c r="V147" s="196"/>
      <c r="W147" s="6"/>
    </row>
    <row r="148" spans="1:23" ht="15.6">
      <c r="A148" s="82"/>
      <c r="B148" s="83" t="s">
        <v>63</v>
      </c>
      <c r="C148" s="84"/>
      <c r="D148" s="84"/>
      <c r="E148" s="84"/>
      <c r="F148" s="84"/>
      <c r="G148" s="84"/>
      <c r="H148" s="84"/>
      <c r="I148" s="84"/>
      <c r="J148" s="84"/>
      <c r="K148" s="84"/>
      <c r="L148" s="84"/>
      <c r="M148" s="84"/>
      <c r="N148" s="84"/>
      <c r="O148" s="84"/>
      <c r="P148" s="85"/>
      <c r="Q148" s="85"/>
      <c r="R148" s="85"/>
      <c r="S148" s="86">
        <v>0.10962</v>
      </c>
      <c r="T148" s="26"/>
      <c r="U148" s="26"/>
      <c r="V148" s="196"/>
      <c r="W148" s="6"/>
    </row>
    <row r="149" spans="1:23" ht="15.6">
      <c r="A149" s="82"/>
      <c r="B149" s="83" t="s">
        <v>64</v>
      </c>
      <c r="C149" s="84"/>
      <c r="D149" s="84"/>
      <c r="E149" s="84"/>
      <c r="F149" s="84"/>
      <c r="G149" s="84"/>
      <c r="H149" s="84"/>
      <c r="I149" s="84"/>
      <c r="J149" s="84"/>
      <c r="K149" s="84"/>
      <c r="L149" s="84"/>
      <c r="M149" s="84"/>
      <c r="N149" s="84"/>
      <c r="O149" s="84"/>
      <c r="P149" s="85"/>
      <c r="Q149" s="85"/>
      <c r="R149" s="85"/>
      <c r="S149" s="86">
        <f>+U40</f>
        <v>6.6469007444444436E-2</v>
      </c>
      <c r="T149" s="26"/>
      <c r="U149" s="26"/>
      <c r="V149" s="196"/>
      <c r="W149" s="6"/>
    </row>
    <row r="150" spans="1:23" ht="15.6">
      <c r="A150" s="82"/>
      <c r="B150" s="83" t="s">
        <v>65</v>
      </c>
      <c r="C150" s="84"/>
      <c r="D150" s="84"/>
      <c r="E150" s="84"/>
      <c r="F150" s="84"/>
      <c r="G150" s="84"/>
      <c r="H150" s="84"/>
      <c r="I150" s="84"/>
      <c r="J150" s="84"/>
      <c r="K150" s="84"/>
      <c r="L150" s="84"/>
      <c r="M150" s="84"/>
      <c r="N150" s="84"/>
      <c r="O150" s="84"/>
      <c r="P150" s="85"/>
      <c r="Q150" s="85"/>
      <c r="R150" s="85"/>
      <c r="S150" s="86">
        <f>S148-S149</f>
        <v>4.3150992555555559E-2</v>
      </c>
      <c r="T150" s="26"/>
      <c r="U150" s="26"/>
      <c r="V150" s="196"/>
      <c r="W150" s="6"/>
    </row>
    <row r="151" spans="1:23" ht="15.6">
      <c r="A151" s="82"/>
      <c r="B151" s="83" t="s">
        <v>204</v>
      </c>
      <c r="C151" s="84"/>
      <c r="D151" s="84"/>
      <c r="E151" s="84"/>
      <c r="F151" s="84"/>
      <c r="G151" s="84"/>
      <c r="H151" s="84"/>
      <c r="I151" s="84"/>
      <c r="J151" s="84"/>
      <c r="K151" s="84"/>
      <c r="L151" s="84"/>
      <c r="M151" s="84"/>
      <c r="N151" s="84"/>
      <c r="O151" s="84"/>
      <c r="P151" s="85"/>
      <c r="Q151" s="85"/>
      <c r="R151" s="85"/>
      <c r="S151" s="183">
        <v>49780</v>
      </c>
      <c r="T151" s="26"/>
      <c r="U151" s="26"/>
      <c r="V151" s="196"/>
      <c r="W151" s="6"/>
    </row>
    <row r="152" spans="1:23" ht="15.6">
      <c r="A152" s="82"/>
      <c r="B152" s="83" t="s">
        <v>205</v>
      </c>
      <c r="C152" s="84"/>
      <c r="D152" s="84"/>
      <c r="E152" s="84"/>
      <c r="F152" s="84"/>
      <c r="G152" s="84"/>
      <c r="H152" s="84"/>
      <c r="I152" s="84"/>
      <c r="J152" s="84"/>
      <c r="K152" s="84"/>
      <c r="L152" s="84"/>
      <c r="M152" s="84"/>
      <c r="N152" s="84"/>
      <c r="O152" s="84"/>
      <c r="P152" s="85"/>
      <c r="Q152" s="85"/>
      <c r="R152" s="85"/>
      <c r="S152" s="183">
        <v>49780</v>
      </c>
      <c r="T152" s="26"/>
      <c r="U152" s="26"/>
      <c r="V152" s="196"/>
      <c r="W152" s="6"/>
    </row>
    <row r="153" spans="1:23" ht="15.6">
      <c r="A153" s="82"/>
      <c r="B153" s="83" t="s">
        <v>206</v>
      </c>
      <c r="C153" s="84"/>
      <c r="D153" s="84"/>
      <c r="E153" s="84"/>
      <c r="F153" s="84"/>
      <c r="G153" s="84"/>
      <c r="H153" s="84"/>
      <c r="I153" s="84"/>
      <c r="J153" s="84"/>
      <c r="K153" s="84"/>
      <c r="L153" s="84"/>
      <c r="M153" s="84"/>
      <c r="N153" s="84"/>
      <c r="O153" s="84"/>
      <c r="P153" s="85"/>
      <c r="Q153" s="85"/>
      <c r="R153" s="85"/>
      <c r="S153" s="183">
        <v>49780</v>
      </c>
      <c r="T153" s="26"/>
      <c r="U153" s="26"/>
      <c r="V153" s="196"/>
      <c r="W153" s="6"/>
    </row>
    <row r="154" spans="1:23" ht="15.6">
      <c r="A154" s="82"/>
      <c r="B154" s="83" t="s">
        <v>207</v>
      </c>
      <c r="C154" s="84"/>
      <c r="D154" s="84"/>
      <c r="E154" s="84"/>
      <c r="F154" s="84"/>
      <c r="G154" s="84"/>
      <c r="H154" s="84"/>
      <c r="I154" s="84"/>
      <c r="J154" s="84"/>
      <c r="K154" s="84"/>
      <c r="L154" s="84"/>
      <c r="M154" s="84"/>
      <c r="N154" s="84"/>
      <c r="O154" s="84"/>
      <c r="P154" s="85"/>
      <c r="Q154" s="85"/>
      <c r="R154" s="85"/>
      <c r="S154" s="183">
        <v>49780</v>
      </c>
      <c r="T154" s="26"/>
      <c r="U154" s="26"/>
      <c r="V154" s="196"/>
      <c r="W154" s="6"/>
    </row>
    <row r="155" spans="1:23" ht="15.6">
      <c r="A155" s="82"/>
      <c r="B155" s="83" t="s">
        <v>221</v>
      </c>
      <c r="C155" s="84"/>
      <c r="D155" s="84"/>
      <c r="E155" s="84"/>
      <c r="F155" s="84"/>
      <c r="G155" s="84"/>
      <c r="H155" s="84"/>
      <c r="I155" s="84"/>
      <c r="J155" s="84"/>
      <c r="K155" s="84"/>
      <c r="L155" s="84"/>
      <c r="M155" s="84"/>
      <c r="N155" s="84"/>
      <c r="O155" s="84"/>
      <c r="P155" s="85"/>
      <c r="Q155" s="85"/>
      <c r="R155" s="85"/>
      <c r="S155" s="87">
        <v>111.34</v>
      </c>
      <c r="T155" s="26"/>
      <c r="U155" s="26"/>
      <c r="V155" s="196"/>
      <c r="W155" s="6"/>
    </row>
    <row r="156" spans="1:23" ht="15.6">
      <c r="A156" s="82"/>
      <c r="B156" s="83" t="s">
        <v>222</v>
      </c>
      <c r="C156" s="84"/>
      <c r="D156" s="84"/>
      <c r="E156" s="84"/>
      <c r="F156" s="84"/>
      <c r="G156" s="84"/>
      <c r="H156" s="84"/>
      <c r="I156" s="84"/>
      <c r="J156" s="84"/>
      <c r="K156" s="84"/>
      <c r="L156" s="84"/>
      <c r="M156" s="84"/>
      <c r="N156" s="84"/>
      <c r="O156" s="84"/>
      <c r="P156" s="85"/>
      <c r="Q156" s="85"/>
      <c r="R156" s="85"/>
      <c r="S156" s="87">
        <v>112.23</v>
      </c>
      <c r="T156" s="26"/>
      <c r="U156" s="26"/>
      <c r="V156" s="196"/>
      <c r="W156" s="6"/>
    </row>
    <row r="157" spans="1:23" ht="15.6">
      <c r="A157" s="82" t="s">
        <v>223</v>
      </c>
      <c r="B157" s="83" t="s">
        <v>66</v>
      </c>
      <c r="C157" s="84"/>
      <c r="D157" s="84"/>
      <c r="E157" s="84"/>
      <c r="F157" s="84"/>
      <c r="G157" s="84"/>
      <c r="H157" s="84"/>
      <c r="I157" s="84"/>
      <c r="J157" s="84"/>
      <c r="K157" s="84"/>
      <c r="L157" s="84"/>
      <c r="M157" s="84"/>
      <c r="N157" s="84"/>
      <c r="O157" s="84"/>
      <c r="P157" s="85"/>
      <c r="Q157" s="85"/>
      <c r="R157" s="85"/>
      <c r="S157" s="86">
        <v>0.1268</v>
      </c>
      <c r="T157" s="26"/>
      <c r="U157" s="26"/>
      <c r="V157" s="196"/>
      <c r="W157" s="6"/>
    </row>
    <row r="158" spans="1:23" ht="15.6">
      <c r="A158" s="82"/>
      <c r="B158" s="83" t="s">
        <v>67</v>
      </c>
      <c r="C158" s="84"/>
      <c r="D158" s="84"/>
      <c r="E158" s="84"/>
      <c r="F158" s="84"/>
      <c r="G158" s="84"/>
      <c r="H158" s="84"/>
      <c r="I158" s="84"/>
      <c r="J158" s="84"/>
      <c r="K158" s="84"/>
      <c r="L158" s="84"/>
      <c r="M158" s="84"/>
      <c r="N158" s="84"/>
      <c r="O158" s="84"/>
      <c r="P158" s="85"/>
      <c r="Q158" s="85"/>
      <c r="R158" s="85"/>
      <c r="S158" s="86">
        <v>0.41610000000000003</v>
      </c>
      <c r="T158" s="26"/>
      <c r="U158" s="26"/>
      <c r="V158" s="196"/>
      <c r="W158" s="6"/>
    </row>
    <row r="159" spans="1:23" ht="15.6">
      <c r="A159" s="82"/>
      <c r="B159" s="83"/>
      <c r="C159" s="83"/>
      <c r="D159" s="83"/>
      <c r="E159" s="83"/>
      <c r="F159" s="83"/>
      <c r="G159" s="83"/>
      <c r="H159" s="83"/>
      <c r="I159" s="83"/>
      <c r="J159" s="83"/>
      <c r="K159" s="83"/>
      <c r="L159" s="83"/>
      <c r="M159" s="83"/>
      <c r="N159" s="83"/>
      <c r="O159" s="83"/>
      <c r="P159" s="26"/>
      <c r="Q159" s="26"/>
      <c r="R159" s="33"/>
      <c r="S159" s="88"/>
      <c r="T159" s="26"/>
      <c r="U159" s="89"/>
      <c r="V159" s="196"/>
      <c r="W159" s="6"/>
    </row>
    <row r="160" spans="1:23" ht="15.6">
      <c r="A160" s="80"/>
      <c r="B160" s="90"/>
      <c r="C160" s="90"/>
      <c r="D160" s="90"/>
      <c r="E160" s="90"/>
      <c r="F160" s="90"/>
      <c r="G160" s="90"/>
      <c r="H160" s="90"/>
      <c r="I160" s="90"/>
      <c r="J160" s="90"/>
      <c r="K160" s="90"/>
      <c r="L160" s="90"/>
      <c r="M160" s="90"/>
      <c r="N160" s="90"/>
      <c r="O160" s="90"/>
      <c r="P160" s="9"/>
      <c r="Q160" s="9"/>
      <c r="R160" s="20"/>
      <c r="S160" s="91"/>
      <c r="T160" s="9"/>
      <c r="U160" s="92"/>
      <c r="V160" s="194"/>
      <c r="W160" s="6"/>
    </row>
    <row r="161" spans="1:23" ht="16.2" thickBot="1">
      <c r="A161" s="136"/>
      <c r="B161" s="131" t="str">
        <f>+B110</f>
        <v>PPAF3 INVESTOR REPORT QUARTER ENDING DECEMBER 2007</v>
      </c>
      <c r="C161" s="137"/>
      <c r="D161" s="137"/>
      <c r="E161" s="137"/>
      <c r="F161" s="137"/>
      <c r="G161" s="137"/>
      <c r="H161" s="137"/>
      <c r="I161" s="137"/>
      <c r="J161" s="137"/>
      <c r="K161" s="137"/>
      <c r="L161" s="137"/>
      <c r="M161" s="137"/>
      <c r="N161" s="137"/>
      <c r="O161" s="137"/>
      <c r="P161" s="132"/>
      <c r="Q161" s="132"/>
      <c r="R161" s="138"/>
      <c r="S161" s="139"/>
      <c r="T161" s="132"/>
      <c r="U161" s="140"/>
      <c r="V161" s="134"/>
      <c r="W161" s="6"/>
    </row>
    <row r="162" spans="1:23" ht="15.6">
      <c r="A162" s="93"/>
      <c r="B162" s="94" t="s">
        <v>68</v>
      </c>
      <c r="C162" s="95"/>
      <c r="D162" s="95"/>
      <c r="E162" s="95"/>
      <c r="F162" s="95"/>
      <c r="G162" s="95"/>
      <c r="H162" s="95"/>
      <c r="I162" s="95"/>
      <c r="J162" s="95"/>
      <c r="K162" s="95"/>
      <c r="L162" s="95"/>
      <c r="M162" s="96"/>
      <c r="N162" s="95"/>
      <c r="O162" s="96"/>
      <c r="P162" s="95"/>
      <c r="Q162" s="96"/>
      <c r="R162" s="95" t="s">
        <v>94</v>
      </c>
      <c r="S162" s="96" t="s">
        <v>116</v>
      </c>
      <c r="T162" s="97"/>
      <c r="U162" s="97"/>
      <c r="V162" s="193"/>
      <c r="W162" s="6"/>
    </row>
    <row r="163" spans="1:23" ht="15.6">
      <c r="A163" s="98"/>
      <c r="B163" s="83" t="s">
        <v>216</v>
      </c>
      <c r="C163" s="61"/>
      <c r="D163" s="61"/>
      <c r="E163" s="61"/>
      <c r="F163" s="61"/>
      <c r="G163" s="61"/>
      <c r="H163" s="61"/>
      <c r="I163" s="61"/>
      <c r="J163" s="61"/>
      <c r="K163" s="61"/>
      <c r="L163" s="61"/>
      <c r="M163" s="61"/>
      <c r="N163" s="61"/>
      <c r="O163" s="26"/>
      <c r="P163" s="26"/>
      <c r="Q163" s="26"/>
      <c r="R163" s="59">
        <v>475</v>
      </c>
      <c r="S163" s="60">
        <v>15132</v>
      </c>
      <c r="T163" s="60"/>
      <c r="U163" s="89"/>
      <c r="V163" s="204"/>
      <c r="W163" s="6"/>
    </row>
    <row r="164" spans="1:23" ht="15.6">
      <c r="A164" s="98"/>
      <c r="B164" s="83" t="s">
        <v>217</v>
      </c>
      <c r="C164" s="61"/>
      <c r="D164" s="61"/>
      <c r="E164" s="61"/>
      <c r="F164" s="61"/>
      <c r="G164" s="61"/>
      <c r="H164" s="61"/>
      <c r="I164" s="61"/>
      <c r="J164" s="61"/>
      <c r="K164" s="61"/>
      <c r="L164" s="61"/>
      <c r="M164" s="61"/>
      <c r="N164" s="61"/>
      <c r="O164" s="26"/>
      <c r="P164" s="26"/>
      <c r="Q164" s="26"/>
      <c r="R164" s="26">
        <v>82</v>
      </c>
      <c r="S164" s="60">
        <v>902</v>
      </c>
      <c r="T164" s="60"/>
      <c r="U164" s="89"/>
      <c r="V164" s="204"/>
      <c r="W164" s="6"/>
    </row>
    <row r="165" spans="1:23" ht="15.6">
      <c r="A165" s="98"/>
      <c r="B165" s="83" t="s">
        <v>218</v>
      </c>
      <c r="C165" s="61"/>
      <c r="D165" s="61"/>
      <c r="E165" s="61"/>
      <c r="F165" s="61"/>
      <c r="G165" s="61"/>
      <c r="H165" s="61"/>
      <c r="I165" s="61"/>
      <c r="J165" s="61"/>
      <c r="K165" s="61"/>
      <c r="L165" s="61"/>
      <c r="M165" s="61"/>
      <c r="N165" s="61"/>
      <c r="O165" s="26"/>
      <c r="P165" s="26"/>
      <c r="Q165" s="26"/>
      <c r="R165" s="26">
        <v>276</v>
      </c>
      <c r="S165" s="60">
        <v>421</v>
      </c>
      <c r="T165" s="60"/>
      <c r="U165" s="89"/>
      <c r="V165" s="204"/>
      <c r="W165" s="6"/>
    </row>
    <row r="166" spans="1:23" ht="15.6">
      <c r="A166" s="98"/>
      <c r="B166" s="83" t="s">
        <v>219</v>
      </c>
      <c r="C166" s="61"/>
      <c r="D166" s="61"/>
      <c r="E166" s="61"/>
      <c r="F166" s="61"/>
      <c r="G166" s="61"/>
      <c r="H166" s="61"/>
      <c r="I166" s="61"/>
      <c r="J166" s="61"/>
      <c r="K166" s="61"/>
      <c r="L166" s="61"/>
      <c r="M166" s="61"/>
      <c r="N166" s="61"/>
      <c r="O166" s="26"/>
      <c r="P166" s="26"/>
      <c r="Q166" s="26"/>
      <c r="R166" s="26">
        <v>355</v>
      </c>
      <c r="S166" s="60">
        <v>1761</v>
      </c>
      <c r="T166" s="60"/>
      <c r="U166" s="89"/>
      <c r="V166" s="204"/>
      <c r="W166" s="6"/>
    </row>
    <row r="167" spans="1:23" ht="15.6">
      <c r="A167" s="98"/>
      <c r="B167" s="83" t="s">
        <v>90</v>
      </c>
      <c r="C167" s="61"/>
      <c r="D167" s="61"/>
      <c r="E167" s="61"/>
      <c r="F167" s="61"/>
      <c r="G167" s="61"/>
      <c r="H167" s="61"/>
      <c r="I167" s="61"/>
      <c r="J167" s="61"/>
      <c r="K167" s="61"/>
      <c r="L167" s="61"/>
      <c r="M167" s="61"/>
      <c r="N167" s="61"/>
      <c r="O167" s="26"/>
      <c r="P167" s="26"/>
      <c r="Q167" s="26"/>
      <c r="R167" s="59">
        <f>SUM(R163:R166)</f>
        <v>1188</v>
      </c>
      <c r="S167" s="60">
        <f>SUM(S163:S166)</f>
        <v>18216</v>
      </c>
      <c r="T167" s="60"/>
      <c r="U167" s="89"/>
      <c r="V167" s="204"/>
      <c r="W167" s="6"/>
    </row>
    <row r="168" spans="1:23" ht="15.6">
      <c r="A168" s="98"/>
      <c r="B168" s="83"/>
      <c r="C168" s="61"/>
      <c r="D168" s="61"/>
      <c r="E168" s="61"/>
      <c r="F168" s="61"/>
      <c r="G168" s="61"/>
      <c r="H168" s="61"/>
      <c r="I168" s="61"/>
      <c r="J168" s="61"/>
      <c r="K168" s="61"/>
      <c r="L168" s="61"/>
      <c r="M168" s="61"/>
      <c r="N168" s="61"/>
      <c r="O168" s="26"/>
      <c r="P168" s="26"/>
      <c r="Q168" s="26"/>
      <c r="R168" s="26"/>
      <c r="S168" s="60"/>
      <c r="T168" s="60"/>
      <c r="U168" s="89"/>
      <c r="V168" s="204"/>
      <c r="W168" s="6"/>
    </row>
    <row r="169" spans="1:23" ht="15.6">
      <c r="A169" s="98"/>
      <c r="B169" s="83" t="s">
        <v>220</v>
      </c>
      <c r="C169" s="61"/>
      <c r="D169" s="61"/>
      <c r="E169" s="61"/>
      <c r="F169" s="61"/>
      <c r="G169" s="61"/>
      <c r="H169" s="61"/>
      <c r="I169" s="61"/>
      <c r="J169" s="61"/>
      <c r="K169" s="61"/>
      <c r="L169" s="61"/>
      <c r="M169" s="61"/>
      <c r="N169" s="61"/>
      <c r="O169" s="26"/>
      <c r="P169" s="26"/>
      <c r="Q169" s="26"/>
      <c r="R169" s="26">
        <v>36</v>
      </c>
      <c r="S169" s="60">
        <v>661</v>
      </c>
      <c r="T169" s="60"/>
      <c r="U169" s="89"/>
      <c r="V169" s="204"/>
      <c r="W169" s="6"/>
    </row>
    <row r="170" spans="1:23" ht="15.6">
      <c r="A170" s="98"/>
      <c r="B170" s="83" t="s">
        <v>224</v>
      </c>
      <c r="C170" s="61"/>
      <c r="D170" s="61"/>
      <c r="E170" s="61"/>
      <c r="F170" s="61"/>
      <c r="G170" s="61"/>
      <c r="H170" s="61"/>
      <c r="I170" s="61"/>
      <c r="J170" s="61"/>
      <c r="K170" s="61"/>
      <c r="L170" s="61"/>
      <c r="M170" s="61"/>
      <c r="N170" s="61"/>
      <c r="O170" s="26"/>
      <c r="P170" s="26"/>
      <c r="Q170" s="26"/>
      <c r="R170" s="26">
        <v>25</v>
      </c>
      <c r="S170" s="60">
        <v>802</v>
      </c>
      <c r="T170" s="60"/>
      <c r="U170" s="89"/>
      <c r="V170" s="204"/>
      <c r="W170" s="6"/>
    </row>
    <row r="171" spans="1:23" ht="15.6">
      <c r="A171" s="98"/>
      <c r="B171" s="156" t="s">
        <v>69</v>
      </c>
      <c r="C171" s="61"/>
      <c r="D171" s="61"/>
      <c r="E171" s="61"/>
      <c r="F171" s="61"/>
      <c r="G171" s="61"/>
      <c r="H171" s="61"/>
      <c r="I171" s="61"/>
      <c r="J171" s="61"/>
      <c r="K171" s="61"/>
      <c r="L171" s="61"/>
      <c r="M171" s="61"/>
      <c r="N171" s="61"/>
      <c r="O171" s="26"/>
      <c r="P171" s="26"/>
      <c r="Q171" s="26"/>
      <c r="R171" s="26"/>
      <c r="S171" s="60">
        <v>0</v>
      </c>
      <c r="T171" s="26"/>
      <c r="U171" s="89"/>
      <c r="V171" s="204"/>
      <c r="W171" s="6"/>
    </row>
    <row r="172" spans="1:23" ht="15.6">
      <c r="A172" s="98"/>
      <c r="B172" s="156" t="s">
        <v>70</v>
      </c>
      <c r="C172" s="61"/>
      <c r="D172" s="61"/>
      <c r="E172" s="61"/>
      <c r="F172" s="61"/>
      <c r="G172" s="61"/>
      <c r="H172" s="61"/>
      <c r="I172" s="61"/>
      <c r="J172" s="61"/>
      <c r="K172" s="61"/>
      <c r="L172" s="61"/>
      <c r="M172" s="61"/>
      <c r="N172" s="61"/>
      <c r="O172" s="26"/>
      <c r="P172" s="26"/>
      <c r="Q172" s="26"/>
      <c r="R172" s="26"/>
      <c r="S172" s="60">
        <f>Q76</f>
        <v>47308</v>
      </c>
      <c r="T172" s="26"/>
      <c r="U172" s="89"/>
      <c r="V172" s="204"/>
      <c r="W172" s="6"/>
    </row>
    <row r="173" spans="1:23" ht="15.6">
      <c r="A173" s="101"/>
      <c r="B173" s="156" t="s">
        <v>71</v>
      </c>
      <c r="C173" s="61"/>
      <c r="D173" s="61"/>
      <c r="E173" s="61"/>
      <c r="F173" s="61"/>
      <c r="G173" s="61"/>
      <c r="H173" s="61"/>
      <c r="I173" s="61"/>
      <c r="J173" s="61"/>
      <c r="K173" s="61"/>
      <c r="L173" s="61"/>
      <c r="M173" s="83"/>
      <c r="N173" s="83"/>
      <c r="O173" s="83"/>
      <c r="P173" s="26"/>
      <c r="Q173" s="26"/>
      <c r="R173" s="26"/>
      <c r="S173" s="102"/>
      <c r="T173" s="26"/>
      <c r="U173" s="89"/>
      <c r="V173" s="205"/>
      <c r="W173" s="6"/>
    </row>
    <row r="174" spans="1:23" ht="15.6">
      <c r="A174" s="98"/>
      <c r="B174" s="83" t="s">
        <v>72</v>
      </c>
      <c r="C174" s="61"/>
      <c r="D174" s="61"/>
      <c r="E174" s="61"/>
      <c r="F174" s="61"/>
      <c r="G174" s="61"/>
      <c r="H174" s="61"/>
      <c r="I174" s="61"/>
      <c r="J174" s="61"/>
      <c r="K174" s="61"/>
      <c r="L174" s="61"/>
      <c r="M174" s="61"/>
      <c r="N174" s="61"/>
      <c r="O174" s="61"/>
      <c r="P174" s="26"/>
      <c r="Q174" s="26"/>
      <c r="R174" s="26"/>
      <c r="S174" s="60">
        <f>U129</f>
        <v>2306</v>
      </c>
      <c r="T174" s="26"/>
      <c r="U174" s="89"/>
      <c r="V174" s="205"/>
      <c r="W174" s="6"/>
    </row>
    <row r="175" spans="1:23" ht="15.6">
      <c r="A175" s="98"/>
      <c r="B175" s="83" t="s">
        <v>73</v>
      </c>
      <c r="C175" s="61"/>
      <c r="D175" s="61"/>
      <c r="E175" s="61"/>
      <c r="F175" s="61"/>
      <c r="G175" s="61"/>
      <c r="H175" s="61"/>
      <c r="I175" s="61"/>
      <c r="J175" s="61"/>
      <c r="K175" s="61"/>
      <c r="L175" s="61"/>
      <c r="M175" s="61"/>
      <c r="N175" s="61"/>
      <c r="O175" s="61"/>
      <c r="P175" s="26"/>
      <c r="Q175" s="26"/>
      <c r="R175" s="26"/>
      <c r="S175" s="60">
        <f>'September 07'!S175+S174</f>
        <v>39842</v>
      </c>
      <c r="T175" s="26"/>
      <c r="U175" s="89"/>
      <c r="V175" s="205"/>
      <c r="W175" s="6"/>
    </row>
    <row r="176" spans="1:23" ht="15.6">
      <c r="A176" s="98"/>
      <c r="B176" s="83" t="s">
        <v>74</v>
      </c>
      <c r="C176" s="61"/>
      <c r="D176" s="61"/>
      <c r="E176" s="61"/>
      <c r="F176" s="61"/>
      <c r="G176" s="61"/>
      <c r="H176" s="61"/>
      <c r="I176" s="61"/>
      <c r="J176" s="61"/>
      <c r="K176" s="61"/>
      <c r="L176" s="61"/>
      <c r="M176" s="61"/>
      <c r="N176" s="61"/>
      <c r="O176" s="61"/>
      <c r="P176" s="26"/>
      <c r="Q176" s="26"/>
      <c r="R176" s="26"/>
      <c r="S176" s="60">
        <f>'September 07'!S176+772</f>
        <v>6503</v>
      </c>
      <c r="T176" s="26"/>
      <c r="U176" s="89"/>
      <c r="V176" s="205"/>
      <c r="W176" s="6"/>
    </row>
    <row r="177" spans="1:23" ht="15.6">
      <c r="A177" s="98"/>
      <c r="B177" s="83"/>
      <c r="C177" s="61"/>
      <c r="D177" s="61"/>
      <c r="E177" s="61"/>
      <c r="F177" s="61"/>
      <c r="G177" s="61"/>
      <c r="H177" s="61"/>
      <c r="I177" s="61"/>
      <c r="J177" s="61"/>
      <c r="K177" s="61"/>
      <c r="L177" s="61"/>
      <c r="M177" s="61"/>
      <c r="N177" s="61"/>
      <c r="O177" s="61"/>
      <c r="P177" s="26"/>
      <c r="Q177" s="26"/>
      <c r="R177" s="26"/>
      <c r="S177" s="60"/>
      <c r="T177" s="26"/>
      <c r="U177" s="89"/>
      <c r="V177" s="205"/>
      <c r="W177" s="6"/>
    </row>
    <row r="178" spans="1:23" ht="15.6">
      <c r="A178" s="101"/>
      <c r="B178" s="156" t="s">
        <v>259</v>
      </c>
      <c r="C178" s="61"/>
      <c r="D178" s="61"/>
      <c r="E178" s="61"/>
      <c r="F178" s="61"/>
      <c r="G178" s="61"/>
      <c r="H178" s="61"/>
      <c r="I178" s="61"/>
      <c r="J178" s="61"/>
      <c r="K178" s="61"/>
      <c r="L178" s="61"/>
      <c r="M178" s="83"/>
      <c r="N178" s="83"/>
      <c r="O178" s="83"/>
      <c r="P178" s="26"/>
      <c r="Q178" s="26"/>
      <c r="R178" s="26"/>
      <c r="S178" s="79"/>
      <c r="T178" s="26"/>
      <c r="U178" s="89"/>
      <c r="V178" s="205"/>
      <c r="W178" s="6"/>
    </row>
    <row r="179" spans="1:23" ht="15.6">
      <c r="A179" s="101"/>
      <c r="B179" s="83" t="s">
        <v>254</v>
      </c>
      <c r="C179" s="61"/>
      <c r="D179" s="61"/>
      <c r="E179" s="61"/>
      <c r="F179" s="61"/>
      <c r="G179" s="61"/>
      <c r="H179" s="61"/>
      <c r="I179" s="61"/>
      <c r="J179" s="61"/>
      <c r="K179" s="61"/>
      <c r="L179" s="61"/>
      <c r="M179" s="83"/>
      <c r="N179" s="83"/>
      <c r="O179" s="83"/>
      <c r="P179" s="26"/>
      <c r="Q179" s="26"/>
      <c r="R179" s="26"/>
      <c r="S179" s="79">
        <v>8</v>
      </c>
      <c r="T179" s="26"/>
      <c r="U179" s="89"/>
      <c r="V179" s="205"/>
      <c r="W179" s="6"/>
    </row>
    <row r="180" spans="1:23" ht="15.6">
      <c r="A180" s="98"/>
      <c r="B180" s="83" t="s">
        <v>75</v>
      </c>
      <c r="C180" s="61"/>
      <c r="D180" s="61"/>
      <c r="E180" s="61"/>
      <c r="F180" s="61"/>
      <c r="G180" s="61"/>
      <c r="H180" s="61"/>
      <c r="I180" s="61"/>
      <c r="J180" s="61"/>
      <c r="K180" s="61"/>
      <c r="L180" s="61"/>
      <c r="M180" s="104"/>
      <c r="N180" s="104"/>
      <c r="O180" s="105"/>
      <c r="P180" s="26"/>
      <c r="Q180" s="26"/>
      <c r="R180" s="26"/>
      <c r="S180" s="191">
        <v>8.89</v>
      </c>
      <c r="T180" s="26"/>
      <c r="U180" s="89"/>
      <c r="V180" s="205"/>
      <c r="W180" s="6"/>
    </row>
    <row r="181" spans="1:23" ht="15.6">
      <c r="A181" s="98"/>
      <c r="B181" s="83" t="s">
        <v>76</v>
      </c>
      <c r="C181" s="61"/>
      <c r="D181" s="61"/>
      <c r="E181" s="61"/>
      <c r="F181" s="61"/>
      <c r="G181" s="61"/>
      <c r="H181" s="61"/>
      <c r="I181" s="61"/>
      <c r="J181" s="61"/>
      <c r="K181" s="61"/>
      <c r="L181" s="61"/>
      <c r="M181" s="104"/>
      <c r="N181" s="104"/>
      <c r="O181" s="105"/>
      <c r="P181" s="26"/>
      <c r="Q181" s="26"/>
      <c r="R181" s="26"/>
      <c r="S181" s="191">
        <v>201.88</v>
      </c>
      <c r="T181" s="26"/>
      <c r="U181" s="89"/>
      <c r="V181" s="205"/>
      <c r="W181" s="6"/>
    </row>
    <row r="182" spans="1:23" ht="15.6">
      <c r="A182" s="98"/>
      <c r="B182" s="83"/>
      <c r="C182" s="61"/>
      <c r="D182" s="61"/>
      <c r="E182" s="61"/>
      <c r="F182" s="61"/>
      <c r="G182" s="61"/>
      <c r="H182" s="61"/>
      <c r="I182" s="61"/>
      <c r="J182" s="61"/>
      <c r="K182" s="61"/>
      <c r="L182" s="61"/>
      <c r="M182" s="106"/>
      <c r="N182" s="104"/>
      <c r="O182" s="105"/>
      <c r="P182" s="26"/>
      <c r="Q182" s="26"/>
      <c r="R182" s="26"/>
      <c r="S182" s="79"/>
      <c r="T182" s="26"/>
      <c r="U182" s="89"/>
      <c r="V182" s="205"/>
      <c r="W182" s="6"/>
    </row>
    <row r="183" spans="1:23" ht="15.6">
      <c r="A183" s="98"/>
      <c r="B183" s="156" t="s">
        <v>77</v>
      </c>
      <c r="C183" s="61"/>
      <c r="D183" s="61"/>
      <c r="E183" s="61"/>
      <c r="F183" s="61"/>
      <c r="G183" s="61"/>
      <c r="H183" s="61"/>
      <c r="I183" s="61"/>
      <c r="J183" s="61"/>
      <c r="K183" s="61"/>
      <c r="L183" s="61"/>
      <c r="M183" s="61"/>
      <c r="N183" s="106"/>
      <c r="O183" s="104"/>
      <c r="P183" s="105"/>
      <c r="Q183" s="26"/>
      <c r="R183" s="33"/>
      <c r="S183" s="33"/>
      <c r="T183" s="107"/>
      <c r="U183" s="33"/>
      <c r="V183" s="206"/>
      <c r="W183" s="6"/>
    </row>
    <row r="184" spans="1:23" ht="15.6">
      <c r="A184" s="98"/>
      <c r="B184" s="83" t="s">
        <v>78</v>
      </c>
      <c r="C184" s="61"/>
      <c r="D184" s="61"/>
      <c r="E184" s="61"/>
      <c r="F184" s="61"/>
      <c r="G184" s="61"/>
      <c r="H184" s="61"/>
      <c r="I184" s="61"/>
      <c r="J184" s="61"/>
      <c r="K184" s="61"/>
      <c r="L184" s="61"/>
      <c r="M184" s="61"/>
      <c r="N184" s="106"/>
      <c r="O184" s="104"/>
      <c r="P184" s="105"/>
      <c r="Q184" s="26"/>
      <c r="R184" s="33"/>
      <c r="S184" s="108">
        <v>92</v>
      </c>
      <c r="T184" s="108"/>
      <c r="U184" s="33"/>
      <c r="V184" s="206"/>
      <c r="W184" s="6"/>
    </row>
    <row r="185" spans="1:23" ht="15.6">
      <c r="A185" s="98"/>
      <c r="B185" s="83" t="s">
        <v>75</v>
      </c>
      <c r="C185" s="61"/>
      <c r="D185" s="61"/>
      <c r="E185" s="61"/>
      <c r="F185" s="61"/>
      <c r="G185" s="61"/>
      <c r="H185" s="61"/>
      <c r="I185" s="61"/>
      <c r="J185" s="61"/>
      <c r="K185" s="61"/>
      <c r="L185" s="61"/>
      <c r="M185" s="61"/>
      <c r="N185" s="106"/>
      <c r="O185" s="104"/>
      <c r="P185" s="105"/>
      <c r="Q185" s="26"/>
      <c r="R185" s="33"/>
      <c r="S185" s="108">
        <v>4.71</v>
      </c>
      <c r="T185" s="108"/>
      <c r="U185" s="33"/>
      <c r="V185" s="206"/>
      <c r="W185" s="6"/>
    </row>
    <row r="186" spans="1:23" ht="15.6">
      <c r="A186" s="98"/>
      <c r="B186" s="83" t="s">
        <v>79</v>
      </c>
      <c r="C186" s="61"/>
      <c r="D186" s="61"/>
      <c r="E186" s="61"/>
      <c r="F186" s="61"/>
      <c r="G186" s="61"/>
      <c r="H186" s="61"/>
      <c r="I186" s="61"/>
      <c r="J186" s="61"/>
      <c r="K186" s="61"/>
      <c r="L186" s="61"/>
      <c r="M186" s="61"/>
      <c r="N186" s="106"/>
      <c r="O186" s="104"/>
      <c r="P186" s="105"/>
      <c r="Q186" s="26"/>
      <c r="R186" s="33"/>
      <c r="S186" s="108">
        <v>82.12</v>
      </c>
      <c r="T186" s="108"/>
      <c r="U186" s="33"/>
      <c r="V186" s="206"/>
      <c r="W186" s="6"/>
    </row>
    <row r="187" spans="1:23" ht="15.6">
      <c r="A187" s="98"/>
      <c r="B187" s="83"/>
      <c r="C187" s="61"/>
      <c r="D187" s="61"/>
      <c r="E187" s="61"/>
      <c r="F187" s="61"/>
      <c r="G187" s="61"/>
      <c r="H187" s="61"/>
      <c r="I187" s="61"/>
      <c r="J187" s="61"/>
      <c r="K187" s="61"/>
      <c r="L187" s="61"/>
      <c r="M187" s="106"/>
      <c r="N187" s="104"/>
      <c r="O187" s="105"/>
      <c r="P187" s="26"/>
      <c r="Q187" s="26"/>
      <c r="R187" s="26"/>
      <c r="S187" s="79"/>
      <c r="T187" s="26"/>
      <c r="U187" s="89"/>
      <c r="V187" s="205"/>
      <c r="W187" s="6"/>
    </row>
    <row r="188" spans="1:23" ht="17.399999999999999">
      <c r="A188" s="98"/>
      <c r="B188" s="180" t="s">
        <v>196</v>
      </c>
      <c r="C188" s="61"/>
      <c r="D188" s="61"/>
      <c r="E188" s="61"/>
      <c r="F188" s="61"/>
      <c r="G188" s="61"/>
      <c r="H188" s="61"/>
      <c r="I188" s="61"/>
      <c r="J188" s="61"/>
      <c r="K188" s="181" t="s">
        <v>195</v>
      </c>
      <c r="L188" s="61"/>
      <c r="M188" s="106"/>
      <c r="N188" s="104"/>
      <c r="O188" s="105"/>
      <c r="P188" s="26"/>
      <c r="Q188" s="26"/>
      <c r="R188" s="26"/>
      <c r="S188" s="79"/>
      <c r="T188" s="26"/>
      <c r="U188" s="89"/>
      <c r="V188" s="205"/>
      <c r="W188" s="6"/>
    </row>
    <row r="189" spans="1:23" ht="15.6">
      <c r="A189" s="25"/>
      <c r="B189" s="109" t="s">
        <v>80</v>
      </c>
      <c r="C189" s="110"/>
      <c r="D189" s="110"/>
      <c r="E189" s="110"/>
      <c r="F189" s="110"/>
      <c r="G189" s="110"/>
      <c r="H189" s="110"/>
      <c r="I189" s="110"/>
      <c r="J189" s="110"/>
      <c r="K189" s="110"/>
      <c r="L189" s="110"/>
      <c r="M189" s="111"/>
      <c r="N189" s="110"/>
      <c r="O189" s="111"/>
      <c r="P189" s="110"/>
      <c r="Q189" s="111"/>
      <c r="R189" s="110"/>
      <c r="S189" s="111"/>
      <c r="T189" s="110"/>
      <c r="U189" s="112"/>
      <c r="V189" s="205"/>
      <c r="W189" s="6"/>
    </row>
    <row r="190" spans="1:23" ht="15.6">
      <c r="A190" s="25"/>
      <c r="B190" s="30"/>
      <c r="C190" s="189"/>
      <c r="D190" s="189"/>
      <c r="E190" s="189"/>
      <c r="F190" s="189"/>
      <c r="G190" s="189"/>
      <c r="H190" s="189"/>
      <c r="I190" s="189"/>
      <c r="J190" s="189"/>
      <c r="K190" s="189"/>
      <c r="L190" s="189"/>
      <c r="M190" s="109" t="s">
        <v>100</v>
      </c>
      <c r="N190" s="110"/>
      <c r="O190" s="111"/>
      <c r="P190" s="110"/>
      <c r="Q190" s="109" t="s">
        <v>26</v>
      </c>
      <c r="R190" s="110"/>
      <c r="S190" s="111"/>
      <c r="T190" s="110"/>
      <c r="U190" s="112"/>
      <c r="V190" s="205"/>
      <c r="W190" s="6"/>
    </row>
    <row r="191" spans="1:23" ht="15.6">
      <c r="A191" s="25"/>
      <c r="B191" s="189"/>
      <c r="C191" s="111"/>
      <c r="D191" s="111"/>
      <c r="E191" s="111"/>
      <c r="F191" s="111"/>
      <c r="G191" s="111"/>
      <c r="H191" s="111"/>
      <c r="I191" s="111"/>
      <c r="J191" s="111"/>
      <c r="K191" s="111"/>
      <c r="L191" s="111" t="s">
        <v>94</v>
      </c>
      <c r="M191" s="110" t="s">
        <v>101</v>
      </c>
      <c r="N191" s="111" t="s">
        <v>103</v>
      </c>
      <c r="O191" s="110" t="s">
        <v>101</v>
      </c>
      <c r="P191" s="110"/>
      <c r="Q191" s="111" t="s">
        <v>94</v>
      </c>
      <c r="R191" s="110" t="s">
        <v>101</v>
      </c>
      <c r="S191" s="111" t="s">
        <v>103</v>
      </c>
      <c r="T191" s="110" t="s">
        <v>101</v>
      </c>
      <c r="U191" s="112"/>
      <c r="V191" s="205"/>
      <c r="W191" s="6"/>
    </row>
    <row r="192" spans="1:23" ht="15.6">
      <c r="A192" s="25"/>
      <c r="B192" s="61" t="s">
        <v>81</v>
      </c>
      <c r="C192" s="113"/>
      <c r="D192" s="113"/>
      <c r="E192" s="113"/>
      <c r="F192" s="113"/>
      <c r="G192" s="113"/>
      <c r="H192" s="113"/>
      <c r="I192" s="113"/>
      <c r="J192" s="113"/>
      <c r="K192" s="113"/>
      <c r="L192" s="113">
        <v>6609</v>
      </c>
      <c r="M192" s="86">
        <f t="shared" ref="M192:M198" si="0">+L192/$L$199</f>
        <v>0.90571467726462929</v>
      </c>
      <c r="N192" s="113">
        <v>25372</v>
      </c>
      <c r="O192" s="86">
        <f t="shared" ref="O192:O198" si="1">N192/$N$199</f>
        <v>0.88797116158611278</v>
      </c>
      <c r="P192" s="110"/>
      <c r="Q192" s="113">
        <v>36028</v>
      </c>
      <c r="R192" s="86">
        <f t="shared" ref="R192:R198" si="2">+Q192/$Q$199</f>
        <v>0.98482901894322494</v>
      </c>
      <c r="S192" s="113">
        <v>40354</v>
      </c>
      <c r="T192" s="86">
        <f t="shared" ref="T192:T198" si="3">+S192/$S$199</f>
        <v>0.97987033484690289</v>
      </c>
      <c r="U192" s="112"/>
      <c r="V192" s="205"/>
      <c r="W192" s="6"/>
    </row>
    <row r="193" spans="1:24" ht="15.6">
      <c r="A193" s="25"/>
      <c r="B193" s="61" t="s">
        <v>82</v>
      </c>
      <c r="C193" s="113"/>
      <c r="D193" s="113"/>
      <c r="E193" s="113"/>
      <c r="F193" s="113"/>
      <c r="G193" s="113"/>
      <c r="H193" s="113"/>
      <c r="I193" s="113"/>
      <c r="J193" s="113"/>
      <c r="K193" s="113"/>
      <c r="L193" s="113">
        <v>106</v>
      </c>
      <c r="M193" s="86">
        <f t="shared" si="0"/>
        <v>1.4526517747019322E-2</v>
      </c>
      <c r="N193" s="113">
        <v>504</v>
      </c>
      <c r="O193" s="86">
        <f t="shared" si="1"/>
        <v>1.7639029853358065E-2</v>
      </c>
      <c r="P193" s="110"/>
      <c r="Q193" s="113">
        <v>86</v>
      </c>
      <c r="R193" s="86">
        <f t="shared" si="2"/>
        <v>2.3508186862750457E-3</v>
      </c>
      <c r="S193" s="113">
        <v>126</v>
      </c>
      <c r="T193" s="86">
        <f t="shared" si="3"/>
        <v>3.0595148483597602E-3</v>
      </c>
      <c r="U193" s="112"/>
      <c r="V193" s="205"/>
      <c r="W193" s="6"/>
    </row>
    <row r="194" spans="1:24" ht="15.6">
      <c r="A194" s="25"/>
      <c r="B194" s="61" t="s">
        <v>83</v>
      </c>
      <c r="C194" s="113"/>
      <c r="D194" s="113"/>
      <c r="E194" s="113"/>
      <c r="F194" s="113"/>
      <c r="G194" s="113"/>
      <c r="H194" s="113"/>
      <c r="I194" s="113"/>
      <c r="J194" s="113"/>
      <c r="K194" s="113"/>
      <c r="L194" s="113">
        <v>68</v>
      </c>
      <c r="M194" s="86">
        <f t="shared" si="0"/>
        <v>9.3188981773331507E-3</v>
      </c>
      <c r="N194" s="113">
        <v>333</v>
      </c>
      <c r="O194" s="86">
        <f t="shared" si="1"/>
        <v>1.1654359010254436E-2</v>
      </c>
      <c r="P194" s="110"/>
      <c r="Q194" s="113">
        <v>51</v>
      </c>
      <c r="R194" s="86">
        <f t="shared" si="2"/>
        <v>1.3940901511631085E-3</v>
      </c>
      <c r="S194" s="113">
        <v>86</v>
      </c>
      <c r="T194" s="86">
        <f t="shared" si="3"/>
        <v>2.0882402933249155E-3</v>
      </c>
      <c r="U194" s="112"/>
      <c r="V194" s="205"/>
      <c r="W194" s="6"/>
    </row>
    <row r="195" spans="1:24" ht="15.6">
      <c r="A195" s="25"/>
      <c r="B195" s="61" t="s">
        <v>186</v>
      </c>
      <c r="C195" s="113"/>
      <c r="D195" s="113"/>
      <c r="E195" s="113"/>
      <c r="F195" s="113"/>
      <c r="G195" s="113"/>
      <c r="H195" s="113"/>
      <c r="I195" s="113"/>
      <c r="J195" s="113"/>
      <c r="K195" s="113"/>
      <c r="L195" s="113">
        <v>73</v>
      </c>
      <c r="M195" s="86">
        <f t="shared" si="0"/>
        <v>1.0004111278607647E-2</v>
      </c>
      <c r="N195" s="113">
        <v>237</v>
      </c>
      <c r="O195" s="86">
        <f t="shared" si="1"/>
        <v>8.2945438000909949E-3</v>
      </c>
      <c r="P195" s="110"/>
      <c r="Q195" s="113">
        <v>62</v>
      </c>
      <c r="R195" s="86">
        <f t="shared" si="2"/>
        <v>1.6947762621982887E-3</v>
      </c>
      <c r="S195" s="113">
        <v>81</v>
      </c>
      <c r="T195" s="86">
        <f t="shared" si="3"/>
        <v>1.9668309739455602E-3</v>
      </c>
      <c r="U195" s="112"/>
      <c r="V195" s="205"/>
      <c r="W195" s="6"/>
    </row>
    <row r="196" spans="1:24" ht="15.6">
      <c r="A196" s="25"/>
      <c r="B196" s="61" t="s">
        <v>187</v>
      </c>
      <c r="C196" s="113"/>
      <c r="D196" s="113"/>
      <c r="E196" s="113"/>
      <c r="F196" s="113"/>
      <c r="G196" s="113"/>
      <c r="H196" s="113"/>
      <c r="I196" s="113"/>
      <c r="J196" s="113"/>
      <c r="K196" s="113"/>
      <c r="L196" s="113">
        <v>47</v>
      </c>
      <c r="M196" s="86">
        <f t="shared" si="0"/>
        <v>6.4410031519802659E-3</v>
      </c>
      <c r="N196" s="113">
        <v>164</v>
      </c>
      <c r="O196" s="86">
        <f t="shared" si="1"/>
        <v>5.7396843173625452E-3</v>
      </c>
      <c r="P196" s="110"/>
      <c r="Q196" s="113">
        <v>58</v>
      </c>
      <c r="R196" s="86">
        <f t="shared" si="2"/>
        <v>1.585435858185496E-3</v>
      </c>
      <c r="S196" s="113">
        <v>80</v>
      </c>
      <c r="T196" s="86">
        <f t="shared" si="3"/>
        <v>1.9425491100696891E-3</v>
      </c>
      <c r="U196" s="112"/>
      <c r="V196" s="205"/>
      <c r="W196" s="6"/>
    </row>
    <row r="197" spans="1:24" ht="15.6">
      <c r="A197" s="25"/>
      <c r="B197" s="61" t="s">
        <v>188</v>
      </c>
      <c r="C197" s="113"/>
      <c r="D197" s="113"/>
      <c r="E197" s="113"/>
      <c r="F197" s="113"/>
      <c r="G197" s="113"/>
      <c r="H197" s="113"/>
      <c r="I197" s="113"/>
      <c r="J197" s="113"/>
      <c r="K197" s="113"/>
      <c r="L197" s="113">
        <v>56</v>
      </c>
      <c r="M197" s="86">
        <f t="shared" si="0"/>
        <v>7.6743867342743593E-3</v>
      </c>
      <c r="N197" s="113">
        <v>235</v>
      </c>
      <c r="O197" s="86">
        <f t="shared" si="1"/>
        <v>8.2245476498792568E-3</v>
      </c>
      <c r="P197" s="110"/>
      <c r="Q197" s="113">
        <v>50</v>
      </c>
      <c r="R197" s="86">
        <f t="shared" si="2"/>
        <v>1.3667550501599104E-3</v>
      </c>
      <c r="S197" s="113">
        <v>72</v>
      </c>
      <c r="T197" s="86">
        <f t="shared" si="3"/>
        <v>1.7482941990627201E-3</v>
      </c>
      <c r="U197" s="112"/>
      <c r="V197" s="205"/>
      <c r="W197" s="6"/>
    </row>
    <row r="198" spans="1:24" ht="15.6">
      <c r="A198" s="25"/>
      <c r="B198" s="61" t="s">
        <v>189</v>
      </c>
      <c r="C198" s="113"/>
      <c r="D198" s="113"/>
      <c r="E198" s="113"/>
      <c r="F198" s="113"/>
      <c r="G198" s="113"/>
      <c r="H198" s="113"/>
      <c r="I198" s="113"/>
      <c r="J198" s="113"/>
      <c r="K198" s="113"/>
      <c r="L198" s="113">
        <v>338</v>
      </c>
      <c r="M198" s="86">
        <f t="shared" si="0"/>
        <v>4.6320405646155957E-2</v>
      </c>
      <c r="N198" s="113">
        <v>1728</v>
      </c>
      <c r="O198" s="86">
        <f t="shared" si="1"/>
        <v>6.0476673782941935E-2</v>
      </c>
      <c r="P198" s="110"/>
      <c r="Q198" s="113">
        <v>248</v>
      </c>
      <c r="R198" s="86">
        <f t="shared" si="2"/>
        <v>6.779105048793155E-3</v>
      </c>
      <c r="S198" s="113">
        <v>384</v>
      </c>
      <c r="T198" s="86">
        <f t="shared" si="3"/>
        <v>9.3242357283345075E-3</v>
      </c>
      <c r="U198" s="112"/>
      <c r="V198" s="205"/>
      <c r="W198" s="6"/>
    </row>
    <row r="199" spans="1:24" ht="15.6">
      <c r="A199" s="25"/>
      <c r="B199" s="61" t="s">
        <v>84</v>
      </c>
      <c r="C199" s="113"/>
      <c r="D199" s="113"/>
      <c r="E199" s="113"/>
      <c r="F199" s="113"/>
      <c r="G199" s="113"/>
      <c r="H199" s="113"/>
      <c r="I199" s="113"/>
      <c r="J199" s="113"/>
      <c r="K199" s="113"/>
      <c r="L199" s="113">
        <f>SUM(L192:L198)</f>
        <v>7297</v>
      </c>
      <c r="M199" s="86">
        <f>SUM(M192:M198)</f>
        <v>0.99999999999999989</v>
      </c>
      <c r="N199" s="113">
        <f>SUM(N192:N198)</f>
        <v>28573</v>
      </c>
      <c r="O199" s="86">
        <f>SUM(O192:O198)</f>
        <v>1</v>
      </c>
      <c r="P199" s="110"/>
      <c r="Q199" s="113">
        <f>SUM(Q192:Q198)</f>
        <v>36583</v>
      </c>
      <c r="R199" s="86">
        <f>SUM(R192:R198)</f>
        <v>1</v>
      </c>
      <c r="S199" s="113">
        <f>SUM(S192:S198)</f>
        <v>41183</v>
      </c>
      <c r="T199" s="86">
        <f>SUM(T192:T198)</f>
        <v>1</v>
      </c>
      <c r="U199" s="112"/>
      <c r="V199" s="205"/>
      <c r="W199" s="6"/>
      <c r="X199" s="64"/>
    </row>
    <row r="200" spans="1:24" ht="15.6">
      <c r="A200" s="25"/>
      <c r="B200" s="61" t="s">
        <v>85</v>
      </c>
      <c r="C200" s="113"/>
      <c r="D200" s="113"/>
      <c r="E200" s="113"/>
      <c r="F200" s="113"/>
      <c r="G200" s="113"/>
      <c r="H200" s="113"/>
      <c r="I200" s="113"/>
      <c r="J200" s="113"/>
      <c r="K200" s="113"/>
      <c r="L200" s="113">
        <v>981</v>
      </c>
      <c r="M200" s="114"/>
      <c r="N200" s="113">
        <v>6949</v>
      </c>
      <c r="O200" s="114"/>
      <c r="P200" s="110"/>
      <c r="Q200" s="113">
        <v>357</v>
      </c>
      <c r="R200" s="114"/>
      <c r="S200" s="113">
        <v>621</v>
      </c>
      <c r="T200" s="114"/>
      <c r="U200" s="112"/>
      <c r="V200" s="205"/>
      <c r="W200" s="6"/>
      <c r="X200" s="64"/>
    </row>
    <row r="201" spans="1:24" ht="15.6">
      <c r="A201" s="25"/>
      <c r="B201" s="61" t="s">
        <v>86</v>
      </c>
      <c r="C201" s="113"/>
      <c r="D201" s="113"/>
      <c r="E201" s="113"/>
      <c r="F201" s="113"/>
      <c r="G201" s="113"/>
      <c r="H201" s="113"/>
      <c r="I201" s="113"/>
      <c r="J201" s="113"/>
      <c r="K201" s="113"/>
      <c r="L201" s="113">
        <f>SUM(L199:L200)</f>
        <v>8278</v>
      </c>
      <c r="M201" s="189"/>
      <c r="N201" s="113">
        <f>SUM(N199:N200)</f>
        <v>35522</v>
      </c>
      <c r="O201" s="115"/>
      <c r="P201" s="189"/>
      <c r="Q201" s="113">
        <f>SUM(Q199:Q200)</f>
        <v>36940</v>
      </c>
      <c r="R201" s="189"/>
      <c r="S201" s="113">
        <f>SUM(S199:S200)</f>
        <v>41804</v>
      </c>
      <c r="T201" s="189"/>
      <c r="U201" s="189"/>
      <c r="V201" s="205"/>
      <c r="W201" s="6"/>
      <c r="X201" s="64"/>
    </row>
    <row r="202" spans="1:24" ht="15.6">
      <c r="A202" s="25"/>
      <c r="B202" s="61"/>
      <c r="C202" s="113"/>
      <c r="D202" s="113"/>
      <c r="E202" s="113"/>
      <c r="F202" s="113"/>
      <c r="G202" s="113"/>
      <c r="H202" s="113"/>
      <c r="I202" s="113"/>
      <c r="J202" s="113"/>
      <c r="K202" s="113"/>
      <c r="L202" s="113"/>
      <c r="M202" s="115"/>
      <c r="N202" s="113"/>
      <c r="O202" s="115"/>
      <c r="P202" s="110"/>
      <c r="Q202" s="113"/>
      <c r="R202" s="115"/>
      <c r="S202" s="113"/>
      <c r="T202" s="115"/>
      <c r="U202" s="112"/>
      <c r="V202" s="205"/>
      <c r="W202" s="6"/>
    </row>
    <row r="203" spans="1:24" ht="15.6">
      <c r="A203" s="25"/>
      <c r="B203" s="61"/>
      <c r="C203" s="110"/>
      <c r="D203" s="110"/>
      <c r="E203" s="110"/>
      <c r="F203" s="110"/>
      <c r="G203" s="110"/>
      <c r="H203" s="110"/>
      <c r="I203" s="110"/>
      <c r="J203" s="110"/>
      <c r="K203" s="110"/>
      <c r="L203" s="110"/>
      <c r="M203" s="109" t="s">
        <v>27</v>
      </c>
      <c r="N203" s="110"/>
      <c r="O203" s="111"/>
      <c r="P203" s="110"/>
      <c r="Q203" s="109" t="s">
        <v>28</v>
      </c>
      <c r="R203" s="110"/>
      <c r="S203" s="111"/>
      <c r="T203" s="110"/>
      <c r="U203" s="112"/>
      <c r="V203" s="205"/>
      <c r="W203" s="6"/>
    </row>
    <row r="204" spans="1:24" ht="15.6">
      <c r="A204" s="25"/>
      <c r="B204" s="189"/>
      <c r="C204" s="111"/>
      <c r="D204" s="111"/>
      <c r="E204" s="111"/>
      <c r="F204" s="111"/>
      <c r="G204" s="111"/>
      <c r="H204" s="111"/>
      <c r="I204" s="111"/>
      <c r="J204" s="111"/>
      <c r="K204" s="111"/>
      <c r="L204" s="111" t="s">
        <v>94</v>
      </c>
      <c r="M204" s="110" t="s">
        <v>101</v>
      </c>
      <c r="N204" s="111" t="s">
        <v>103</v>
      </c>
      <c r="O204" s="110" t="s">
        <v>101</v>
      </c>
      <c r="P204" s="110"/>
      <c r="Q204" s="111" t="s">
        <v>94</v>
      </c>
      <c r="R204" s="110" t="s">
        <v>101</v>
      </c>
      <c r="S204" s="111" t="s">
        <v>103</v>
      </c>
      <c r="T204" s="110" t="s">
        <v>101</v>
      </c>
      <c r="U204" s="112"/>
      <c r="V204" s="205"/>
      <c r="W204" s="6"/>
    </row>
    <row r="205" spans="1:24" ht="15.6">
      <c r="A205" s="25"/>
      <c r="B205" s="61" t="s">
        <v>81</v>
      </c>
      <c r="C205" s="113"/>
      <c r="D205" s="113"/>
      <c r="E205" s="113"/>
      <c r="F205" s="113"/>
      <c r="G205" s="113"/>
      <c r="H205" s="113"/>
      <c r="I205" s="113"/>
      <c r="J205" s="113"/>
      <c r="K205" s="113"/>
      <c r="L205" s="113">
        <v>5892</v>
      </c>
      <c r="M205" s="86">
        <f t="shared" ref="M205:M211" si="4">+L205/$L$212</f>
        <v>0.92539657609549242</v>
      </c>
      <c r="N205" s="113">
        <v>165091</v>
      </c>
      <c r="O205" s="86">
        <f t="shared" ref="O205:O211" si="5">+N205/$N$212</f>
        <v>0.91603735372288775</v>
      </c>
      <c r="P205" s="110"/>
      <c r="Q205" s="113">
        <v>9167</v>
      </c>
      <c r="R205" s="86">
        <f t="shared" ref="R205:R211" si="6">Q205/$Q$212</f>
        <v>0.98042780748663105</v>
      </c>
      <c r="S205" s="113">
        <v>117324</v>
      </c>
      <c r="T205" s="86">
        <f t="shared" ref="T205:T211" si="7">+S205/$S$212</f>
        <v>0.98152795904025703</v>
      </c>
      <c r="U205" s="112"/>
      <c r="V205" s="205"/>
      <c r="W205" s="6"/>
    </row>
    <row r="206" spans="1:24" ht="15.6">
      <c r="A206" s="25"/>
      <c r="B206" s="61" t="s">
        <v>82</v>
      </c>
      <c r="C206" s="113"/>
      <c r="D206" s="113"/>
      <c r="E206" s="113"/>
      <c r="F206" s="113"/>
      <c r="G206" s="113"/>
      <c r="H206" s="113"/>
      <c r="I206" s="113"/>
      <c r="J206" s="113"/>
      <c r="K206" s="113"/>
      <c r="L206" s="113">
        <v>173</v>
      </c>
      <c r="M206" s="86">
        <f t="shared" si="4"/>
        <v>2.7171352285220669E-2</v>
      </c>
      <c r="N206" s="113">
        <v>5309</v>
      </c>
      <c r="O206" s="86">
        <f t="shared" si="5"/>
        <v>2.9457949318344494E-2</v>
      </c>
      <c r="P206" s="110"/>
      <c r="Q206" s="113">
        <v>66</v>
      </c>
      <c r="R206" s="86">
        <f t="shared" si="6"/>
        <v>7.058823529411765E-3</v>
      </c>
      <c r="S206" s="113">
        <v>844</v>
      </c>
      <c r="T206" s="86">
        <f t="shared" si="7"/>
        <v>7.0608707291771244E-3</v>
      </c>
      <c r="U206" s="112"/>
      <c r="V206" s="205"/>
      <c r="W206" s="6"/>
    </row>
    <row r="207" spans="1:24" ht="15.6">
      <c r="A207" s="25"/>
      <c r="B207" s="61" t="s">
        <v>83</v>
      </c>
      <c r="C207" s="113"/>
      <c r="D207" s="113"/>
      <c r="E207" s="113"/>
      <c r="F207" s="113"/>
      <c r="G207" s="113"/>
      <c r="H207" s="113"/>
      <c r="I207" s="113"/>
      <c r="J207" s="113"/>
      <c r="K207" s="113"/>
      <c r="L207" s="113">
        <v>72</v>
      </c>
      <c r="M207" s="86">
        <f t="shared" si="4"/>
        <v>1.1308308465525364E-2</v>
      </c>
      <c r="N207" s="113">
        <v>2256</v>
      </c>
      <c r="O207" s="86">
        <f t="shared" si="5"/>
        <v>1.2517825138855751E-2</v>
      </c>
      <c r="P207" s="110"/>
      <c r="Q207" s="113">
        <v>26</v>
      </c>
      <c r="R207" s="86">
        <f t="shared" si="6"/>
        <v>2.7807486631016044E-3</v>
      </c>
      <c r="S207" s="113">
        <v>386</v>
      </c>
      <c r="T207" s="86">
        <f t="shared" si="7"/>
        <v>3.2292607837231869E-3</v>
      </c>
      <c r="U207" s="112"/>
      <c r="V207" s="205"/>
      <c r="W207" s="6"/>
    </row>
    <row r="208" spans="1:24" ht="15.6">
      <c r="A208" s="25"/>
      <c r="B208" s="61" t="s">
        <v>186</v>
      </c>
      <c r="C208" s="113"/>
      <c r="D208" s="113"/>
      <c r="E208" s="113"/>
      <c r="F208" s="113"/>
      <c r="G208" s="113"/>
      <c r="H208" s="113"/>
      <c r="I208" s="113"/>
      <c r="J208" s="113"/>
      <c r="K208" s="113"/>
      <c r="L208" s="113">
        <v>61</v>
      </c>
      <c r="M208" s="86">
        <f t="shared" si="4"/>
        <v>9.5806502277367683E-3</v>
      </c>
      <c r="N208" s="113">
        <v>1776</v>
      </c>
      <c r="O208" s="86">
        <f t="shared" si="5"/>
        <v>9.8544580880353776E-3</v>
      </c>
      <c r="P208" s="110"/>
      <c r="Q208" s="113">
        <v>15</v>
      </c>
      <c r="R208" s="86">
        <f t="shared" si="6"/>
        <v>1.6042780748663102E-3</v>
      </c>
      <c r="S208" s="113">
        <v>185</v>
      </c>
      <c r="T208" s="86">
        <f t="shared" si="7"/>
        <v>1.5477027072248436E-3</v>
      </c>
      <c r="U208" s="112"/>
      <c r="V208" s="205"/>
      <c r="W208" s="6"/>
    </row>
    <row r="209" spans="1:24" ht="15.6">
      <c r="A209" s="25"/>
      <c r="B209" s="61" t="s">
        <v>187</v>
      </c>
      <c r="C209" s="113"/>
      <c r="D209" s="113"/>
      <c r="E209" s="113"/>
      <c r="F209" s="113"/>
      <c r="G209" s="113"/>
      <c r="H209" s="113"/>
      <c r="I209" s="113"/>
      <c r="J209" s="113"/>
      <c r="K209" s="113"/>
      <c r="L209" s="113">
        <v>38</v>
      </c>
      <c r="M209" s="86">
        <f t="shared" si="4"/>
        <v>5.9682739123606094E-3</v>
      </c>
      <c r="N209" s="113">
        <v>1112</v>
      </c>
      <c r="O209" s="86">
        <f t="shared" si="5"/>
        <v>6.1701336677338634E-3</v>
      </c>
      <c r="P209" s="110"/>
      <c r="Q209" s="113">
        <v>18</v>
      </c>
      <c r="R209" s="86">
        <f t="shared" si="6"/>
        <v>1.9251336898395723E-3</v>
      </c>
      <c r="S209" s="113">
        <v>184</v>
      </c>
      <c r="T209" s="86">
        <f t="shared" si="7"/>
        <v>1.5393367466452498E-3</v>
      </c>
      <c r="U209" s="112"/>
      <c r="V209" s="205"/>
      <c r="W209" s="6"/>
    </row>
    <row r="210" spans="1:24" ht="15.6">
      <c r="A210" s="25"/>
      <c r="B210" s="61" t="s">
        <v>188</v>
      </c>
      <c r="C210" s="113"/>
      <c r="D210" s="113"/>
      <c r="E210" s="113"/>
      <c r="F210" s="113"/>
      <c r="G210" s="113"/>
      <c r="H210" s="113"/>
      <c r="I210" s="113"/>
      <c r="J210" s="113"/>
      <c r="K210" s="113"/>
      <c r="L210" s="113">
        <v>31</v>
      </c>
      <c r="M210" s="86">
        <f t="shared" si="4"/>
        <v>4.8688550337678653E-3</v>
      </c>
      <c r="N210" s="113">
        <v>1048</v>
      </c>
      <c r="O210" s="86">
        <f t="shared" si="5"/>
        <v>5.8150180609578134E-3</v>
      </c>
      <c r="P210" s="110"/>
      <c r="Q210" s="113">
        <v>22</v>
      </c>
      <c r="R210" s="86">
        <f t="shared" si="6"/>
        <v>2.352941176470588E-3</v>
      </c>
      <c r="S210" s="113">
        <v>200</v>
      </c>
      <c r="T210" s="86">
        <f t="shared" si="7"/>
        <v>1.6731921159187499E-3</v>
      </c>
      <c r="U210" s="112"/>
      <c r="V210" s="205"/>
      <c r="W210" s="6"/>
    </row>
    <row r="211" spans="1:24" ht="15.6">
      <c r="A211" s="25"/>
      <c r="B211" s="61" t="s">
        <v>189</v>
      </c>
      <c r="C211" s="113"/>
      <c r="D211" s="113"/>
      <c r="E211" s="113"/>
      <c r="F211" s="113"/>
      <c r="G211" s="113"/>
      <c r="H211" s="113"/>
      <c r="I211" s="113"/>
      <c r="J211" s="113"/>
      <c r="K211" s="113"/>
      <c r="L211" s="113">
        <v>100</v>
      </c>
      <c r="M211" s="86">
        <f t="shared" si="4"/>
        <v>1.5705983979896341E-2</v>
      </c>
      <c r="N211" s="113">
        <v>3631</v>
      </c>
      <c r="O211" s="86">
        <f t="shared" si="5"/>
        <v>2.0147262003184944E-2</v>
      </c>
      <c r="P211" s="110"/>
      <c r="Q211" s="113">
        <v>36</v>
      </c>
      <c r="R211" s="86">
        <f t="shared" si="6"/>
        <v>3.8502673796791446E-3</v>
      </c>
      <c r="S211" s="113">
        <v>409</v>
      </c>
      <c r="T211" s="86">
        <f t="shared" si="7"/>
        <v>3.4216778770538433E-3</v>
      </c>
      <c r="U211" s="112"/>
      <c r="V211" s="205"/>
      <c r="W211" s="6"/>
    </row>
    <row r="212" spans="1:24" ht="15.6">
      <c r="A212" s="25"/>
      <c r="B212" s="61" t="str">
        <f>B199</f>
        <v>Total Performing  Assets</v>
      </c>
      <c r="C212" s="113"/>
      <c r="D212" s="113"/>
      <c r="E212" s="113"/>
      <c r="F212" s="113"/>
      <c r="G212" s="113"/>
      <c r="H212" s="113"/>
      <c r="I212" s="113"/>
      <c r="J212" s="113"/>
      <c r="K212" s="113"/>
      <c r="L212" s="113">
        <f>SUM(L205:L211)</f>
        <v>6367</v>
      </c>
      <c r="M212" s="86">
        <f>SUM(M205:M211)</f>
        <v>1.0000000000000002</v>
      </c>
      <c r="N212" s="113">
        <f>SUM(N205:N211)</f>
        <v>180223</v>
      </c>
      <c r="O212" s="86">
        <f>SUM(O205:O211)</f>
        <v>1</v>
      </c>
      <c r="P212" s="110"/>
      <c r="Q212" s="113">
        <f>SUM(Q205:Q211)</f>
        <v>9350</v>
      </c>
      <c r="R212" s="86">
        <f>SUM(R205:R211)</f>
        <v>1</v>
      </c>
      <c r="S212" s="113">
        <f>SUM(S205:S211)</f>
        <v>119532</v>
      </c>
      <c r="T212" s="86">
        <f>SUM(T205:T211)</f>
        <v>1.0000000000000002</v>
      </c>
      <c r="U212" s="112"/>
      <c r="V212" s="205"/>
      <c r="W212" s="6"/>
    </row>
    <row r="213" spans="1:24" ht="15.6">
      <c r="A213" s="25"/>
      <c r="B213" s="61" t="s">
        <v>85</v>
      </c>
      <c r="C213" s="113"/>
      <c r="D213" s="113"/>
      <c r="E213" s="113"/>
      <c r="F213" s="113"/>
      <c r="G213" s="113"/>
      <c r="H213" s="113"/>
      <c r="I213" s="113"/>
      <c r="J213" s="113"/>
      <c r="K213" s="113"/>
      <c r="L213" s="113">
        <v>38</v>
      </c>
      <c r="M213" s="116"/>
      <c r="N213" s="113">
        <v>1475</v>
      </c>
      <c r="O213" s="114"/>
      <c r="P213" s="110"/>
      <c r="Q213" s="113">
        <v>35</v>
      </c>
      <c r="R213" s="116"/>
      <c r="S213" s="113">
        <v>545</v>
      </c>
      <c r="T213" s="116"/>
      <c r="U213" s="112"/>
      <c r="V213" s="205"/>
      <c r="W213" s="6"/>
    </row>
    <row r="214" spans="1:24" ht="15.6">
      <c r="A214" s="25"/>
      <c r="B214" s="61" t="s">
        <v>86</v>
      </c>
      <c r="C214" s="113"/>
      <c r="D214" s="113"/>
      <c r="E214" s="113"/>
      <c r="F214" s="113"/>
      <c r="G214" s="113"/>
      <c r="H214" s="113"/>
      <c r="I214" s="113"/>
      <c r="J214" s="113"/>
      <c r="K214" s="113"/>
      <c r="L214" s="113">
        <f>SUM(L212:L213)</f>
        <v>6405</v>
      </c>
      <c r="M214" s="189"/>
      <c r="N214" s="113">
        <f>SUM(N212:N213)</f>
        <v>181698</v>
      </c>
      <c r="O214" s="86"/>
      <c r="P214" s="189"/>
      <c r="Q214" s="113">
        <f>SUM(Q212:Q213)</f>
        <v>9385</v>
      </c>
      <c r="R214" s="189"/>
      <c r="S214" s="113">
        <f>SUM(S212:S213)</f>
        <v>120077</v>
      </c>
      <c r="T214" s="189"/>
      <c r="U214" s="189"/>
      <c r="V214" s="190"/>
    </row>
    <row r="215" spans="1:24" ht="15.6">
      <c r="A215" s="25"/>
      <c r="B215" s="61"/>
      <c r="C215" s="110"/>
      <c r="D215" s="110"/>
      <c r="E215" s="110"/>
      <c r="F215" s="110"/>
      <c r="G215" s="110"/>
      <c r="H215" s="110"/>
      <c r="I215" s="110"/>
      <c r="J215" s="110"/>
      <c r="K215" s="110"/>
      <c r="L215" s="110"/>
      <c r="M215" s="111"/>
      <c r="N215" s="110"/>
      <c r="O215" s="111"/>
      <c r="P215" s="110"/>
      <c r="Q215" s="117"/>
      <c r="R215" s="110"/>
      <c r="S215" s="113"/>
      <c r="T215" s="110"/>
      <c r="U215" s="112"/>
      <c r="V215" s="205"/>
      <c r="W215" s="6"/>
    </row>
    <row r="216" spans="1:24" ht="15.6">
      <c r="A216" s="25"/>
      <c r="B216" s="61" t="s">
        <v>86</v>
      </c>
      <c r="C216" s="110"/>
      <c r="D216" s="110"/>
      <c r="E216" s="110"/>
      <c r="F216" s="110"/>
      <c r="G216" s="110"/>
      <c r="H216" s="110"/>
      <c r="I216" s="110"/>
      <c r="J216" s="110"/>
      <c r="K216" s="110"/>
      <c r="L216" s="110"/>
      <c r="M216" s="111"/>
      <c r="N216" s="110"/>
      <c r="O216" s="111"/>
      <c r="P216" s="110"/>
      <c r="Q216" s="117"/>
      <c r="R216" s="116"/>
      <c r="S216" s="113">
        <f>N201+S201+N214+S214</f>
        <v>379101</v>
      </c>
      <c r="T216" s="115"/>
      <c r="U216" s="112"/>
      <c r="V216" s="205"/>
      <c r="W216" s="6"/>
      <c r="X216" s="182"/>
    </row>
    <row r="217" spans="1:24" ht="15.6">
      <c r="A217" s="25"/>
      <c r="B217" s="61"/>
      <c r="C217" s="110"/>
      <c r="D217" s="110"/>
      <c r="E217" s="110"/>
      <c r="F217" s="110"/>
      <c r="G217" s="110"/>
      <c r="H217" s="110"/>
      <c r="I217" s="110"/>
      <c r="J217" s="110"/>
      <c r="K217" s="110"/>
      <c r="L217" s="110"/>
      <c r="M217" s="111"/>
      <c r="N217" s="110"/>
      <c r="O217" s="111"/>
      <c r="P217" s="110"/>
      <c r="Q217" s="111"/>
      <c r="R217" s="110"/>
      <c r="S217" s="113"/>
      <c r="T217" s="116"/>
      <c r="U217" s="112"/>
      <c r="V217" s="205"/>
      <c r="W217" s="6"/>
    </row>
    <row r="218" spans="1:24" ht="15.6">
      <c r="A218" s="25"/>
      <c r="B218" s="118" t="s">
        <v>87</v>
      </c>
      <c r="C218" s="110"/>
      <c r="D218" s="110"/>
      <c r="E218" s="110"/>
      <c r="F218" s="110"/>
      <c r="G218" s="110"/>
      <c r="H218" s="110"/>
      <c r="I218" s="110"/>
      <c r="J218" s="110"/>
      <c r="K218" s="110"/>
      <c r="L218" s="110"/>
      <c r="M218" s="111"/>
      <c r="N218" s="110"/>
      <c r="O218" s="111"/>
      <c r="P218" s="110"/>
      <c r="Q218" s="111"/>
      <c r="R218" s="110"/>
      <c r="S218" s="113"/>
      <c r="T218" s="110"/>
      <c r="U218" s="209"/>
      <c r="V218" s="205"/>
      <c r="W218" s="6"/>
    </row>
    <row r="219" spans="1:24" ht="15.6">
      <c r="A219" s="25"/>
      <c r="B219" s="61"/>
      <c r="C219" s="110"/>
      <c r="D219" s="110"/>
      <c r="E219" s="110"/>
      <c r="F219" s="110"/>
      <c r="G219" s="110"/>
      <c r="H219" s="110"/>
      <c r="I219" s="110"/>
      <c r="J219" s="110"/>
      <c r="K219" s="110"/>
      <c r="L219" s="110"/>
      <c r="M219" s="111"/>
      <c r="N219" s="110"/>
      <c r="O219" s="111"/>
      <c r="P219" s="110"/>
      <c r="Q219" s="111"/>
      <c r="R219" s="110"/>
      <c r="S219" s="113"/>
      <c r="T219" s="110"/>
      <c r="U219" s="112"/>
      <c r="V219" s="205"/>
      <c r="W219" s="6"/>
    </row>
    <row r="220" spans="1:24" ht="15.6">
      <c r="A220" s="25"/>
      <c r="B220" s="61" t="s">
        <v>88</v>
      </c>
      <c r="C220" s="110"/>
      <c r="D220" s="110"/>
      <c r="E220" s="110"/>
      <c r="F220" s="110"/>
      <c r="G220" s="110"/>
      <c r="H220" s="110"/>
      <c r="I220" s="110"/>
      <c r="J220" s="110"/>
      <c r="K220" s="110"/>
      <c r="L220" s="110"/>
      <c r="M220" s="111"/>
      <c r="N220" s="110"/>
      <c r="O220" s="111"/>
      <c r="P220" s="110"/>
      <c r="Q220" s="111"/>
      <c r="R220" s="110"/>
      <c r="S220" s="113">
        <f>+N199+S199+N212+S212</f>
        <v>369511</v>
      </c>
      <c r="T220" s="110"/>
      <c r="U220" s="112"/>
      <c r="V220" s="205"/>
      <c r="W220" s="6"/>
      <c r="X220" s="182"/>
    </row>
    <row r="221" spans="1:24" ht="15.6">
      <c r="A221" s="25"/>
      <c r="B221" s="61" t="s">
        <v>89</v>
      </c>
      <c r="C221" s="110"/>
      <c r="D221" s="110"/>
      <c r="E221" s="110"/>
      <c r="F221" s="110"/>
      <c r="G221" s="110"/>
      <c r="H221" s="110"/>
      <c r="I221" s="110"/>
      <c r="J221" s="110"/>
      <c r="K221" s="110"/>
      <c r="L221" s="110"/>
      <c r="M221" s="111"/>
      <c r="N221" s="110"/>
      <c r="O221" s="111"/>
      <c r="P221" s="110"/>
      <c r="Q221" s="111"/>
      <c r="R221" s="110"/>
      <c r="S221" s="113">
        <f>-U103</f>
        <v>80489</v>
      </c>
      <c r="T221" s="110"/>
      <c r="U221" s="112"/>
      <c r="V221" s="205"/>
      <c r="W221" s="119"/>
    </row>
    <row r="222" spans="1:24" ht="15.6">
      <c r="A222" s="25"/>
      <c r="B222" s="61" t="s">
        <v>90</v>
      </c>
      <c r="C222" s="110"/>
      <c r="D222" s="110"/>
      <c r="E222" s="110"/>
      <c r="F222" s="110"/>
      <c r="G222" s="110"/>
      <c r="H222" s="110"/>
      <c r="I222" s="110"/>
      <c r="J222" s="110"/>
      <c r="K222" s="110"/>
      <c r="L222" s="110"/>
      <c r="M222" s="111"/>
      <c r="N222" s="110"/>
      <c r="O222" s="111"/>
      <c r="P222" s="110"/>
      <c r="Q222" s="111"/>
      <c r="R222" s="110"/>
      <c r="S222" s="113">
        <f>SUM(S220:S221)</f>
        <v>450000</v>
      </c>
      <c r="T222" s="110"/>
      <c r="U222" s="112"/>
      <c r="V222" s="205"/>
      <c r="W222" s="6"/>
    </row>
    <row r="223" spans="1:24" ht="15.6">
      <c r="A223" s="25"/>
      <c r="B223" s="61"/>
      <c r="C223" s="110"/>
      <c r="D223" s="110"/>
      <c r="E223" s="110"/>
      <c r="F223" s="110"/>
      <c r="G223" s="110"/>
      <c r="H223" s="110"/>
      <c r="I223" s="110"/>
      <c r="J223" s="110"/>
      <c r="K223" s="110"/>
      <c r="L223" s="110"/>
      <c r="M223" s="111"/>
      <c r="N223" s="110"/>
      <c r="O223" s="111"/>
      <c r="P223" s="110"/>
      <c r="Q223" s="111"/>
      <c r="R223" s="110"/>
      <c r="S223" s="113"/>
      <c r="T223" s="110"/>
      <c r="U223" s="112"/>
      <c r="V223" s="205"/>
      <c r="W223" s="6"/>
    </row>
    <row r="224" spans="1:24" ht="15.6">
      <c r="A224" s="25"/>
      <c r="B224" s="61" t="s">
        <v>91</v>
      </c>
      <c r="C224" s="110"/>
      <c r="D224" s="110"/>
      <c r="E224" s="110"/>
      <c r="F224" s="110"/>
      <c r="G224" s="110"/>
      <c r="H224" s="110"/>
      <c r="I224" s="110"/>
      <c r="J224" s="110"/>
      <c r="K224" s="110"/>
      <c r="L224" s="110"/>
      <c r="M224" s="111"/>
      <c r="N224" s="110"/>
      <c r="O224" s="111"/>
      <c r="P224" s="110"/>
      <c r="Q224" s="111"/>
      <c r="R224" s="110"/>
      <c r="S224" s="113">
        <f>U33</f>
        <v>450000</v>
      </c>
      <c r="T224" s="110"/>
      <c r="U224" s="112"/>
      <c r="V224" s="205"/>
      <c r="W224" s="6"/>
    </row>
    <row r="225" spans="1:23" ht="15.6">
      <c r="A225" s="25"/>
      <c r="B225" s="61"/>
      <c r="C225" s="110"/>
      <c r="D225" s="110"/>
      <c r="E225" s="110"/>
      <c r="F225" s="110"/>
      <c r="G225" s="110"/>
      <c r="H225" s="110"/>
      <c r="I225" s="110"/>
      <c r="J225" s="110"/>
      <c r="K225" s="110"/>
      <c r="L225" s="110"/>
      <c r="M225" s="111"/>
      <c r="N225" s="110"/>
      <c r="O225" s="111"/>
      <c r="P225" s="110"/>
      <c r="Q225" s="111"/>
      <c r="R225" s="110"/>
      <c r="S225" s="113"/>
      <c r="T225" s="110"/>
      <c r="U225" s="112"/>
      <c r="V225" s="205"/>
      <c r="W225" s="6"/>
    </row>
    <row r="226" spans="1:23" ht="15.6">
      <c r="A226" s="25"/>
      <c r="B226" s="61" t="s">
        <v>92</v>
      </c>
      <c r="C226" s="110"/>
      <c r="D226" s="110"/>
      <c r="E226" s="110"/>
      <c r="F226" s="110"/>
      <c r="G226" s="110"/>
      <c r="H226" s="110"/>
      <c r="I226" s="110"/>
      <c r="J226" s="110"/>
      <c r="K226" s="110"/>
      <c r="L226" s="110"/>
      <c r="M226" s="111"/>
      <c r="N226" s="110"/>
      <c r="O226" s="111"/>
      <c r="P226" s="110"/>
      <c r="Q226" s="111"/>
      <c r="R226" s="110"/>
      <c r="S226" s="113">
        <f>S222/S224</f>
        <v>1</v>
      </c>
      <c r="T226" s="110"/>
      <c r="U226" s="112"/>
      <c r="V226" s="205"/>
      <c r="W226" s="6"/>
    </row>
    <row r="227" spans="1:23" ht="15.6">
      <c r="A227" s="25"/>
      <c r="B227" s="26"/>
      <c r="C227" s="26"/>
      <c r="D227" s="26"/>
      <c r="E227" s="26"/>
      <c r="F227" s="26"/>
      <c r="G227" s="26"/>
      <c r="H227" s="26"/>
      <c r="I227" s="26"/>
      <c r="J227" s="26"/>
      <c r="K227" s="26"/>
      <c r="L227" s="26"/>
      <c r="M227" s="33"/>
      <c r="N227" s="26"/>
      <c r="O227" s="26"/>
      <c r="P227" s="26"/>
      <c r="Q227" s="59"/>
      <c r="R227" s="120"/>
      <c r="S227" s="60"/>
      <c r="T227" s="120"/>
      <c r="U227" s="89"/>
      <c r="V227" s="196"/>
      <c r="W227" s="6"/>
    </row>
    <row r="228" spans="1:23" ht="15.6">
      <c r="A228" s="121"/>
      <c r="B228" s="30" t="s">
        <v>127</v>
      </c>
      <c r="C228" s="122"/>
      <c r="D228" s="122"/>
      <c r="E228" s="122"/>
      <c r="F228" s="122"/>
      <c r="G228" s="122"/>
      <c r="H228" s="122"/>
      <c r="I228" s="122"/>
      <c r="J228" s="122"/>
      <c r="K228" s="122"/>
      <c r="L228" s="122"/>
      <c r="M228" s="110"/>
      <c r="N228" s="112"/>
      <c r="O228" s="30"/>
      <c r="P228" s="123"/>
      <c r="Q228" s="123"/>
      <c r="R228" s="123"/>
      <c r="S228" s="124"/>
      <c r="T228" s="29"/>
      <c r="U228" s="29"/>
      <c r="V228" s="203"/>
      <c r="W228" s="6"/>
    </row>
    <row r="229" spans="1:23" ht="15.6">
      <c r="A229" s="125"/>
      <c r="B229" s="13" t="s">
        <v>128</v>
      </c>
      <c r="C229" s="126"/>
      <c r="D229" s="126"/>
      <c r="E229" s="126"/>
      <c r="F229" s="126"/>
      <c r="G229" s="126"/>
      <c r="H229" s="126"/>
      <c r="I229" s="126"/>
      <c r="J229" s="126"/>
      <c r="K229" s="126"/>
      <c r="L229" s="126"/>
      <c r="M229" s="127"/>
      <c r="N229" s="13"/>
      <c r="O229" s="13"/>
      <c r="P229" s="126"/>
      <c r="Q229" s="126"/>
      <c r="R229" s="12"/>
      <c r="S229" s="12"/>
      <c r="T229" s="12"/>
      <c r="U229" s="12"/>
      <c r="V229" s="207"/>
      <c r="W229" s="6"/>
    </row>
    <row r="230" spans="1:23" ht="15.6">
      <c r="A230" s="125"/>
      <c r="B230" s="13" t="s">
        <v>246</v>
      </c>
      <c r="C230" s="13"/>
      <c r="D230" s="13"/>
      <c r="E230" s="13"/>
      <c r="F230" s="13"/>
      <c r="G230" s="13"/>
      <c r="H230" s="13"/>
      <c r="I230" s="13"/>
      <c r="J230" s="13"/>
      <c r="K230" s="13"/>
      <c r="L230" s="13"/>
      <c r="M230" s="13"/>
      <c r="N230" s="13"/>
      <c r="O230" s="13"/>
      <c r="P230" s="13"/>
      <c r="Q230" s="13"/>
      <c r="R230" s="13"/>
      <c r="S230" s="13"/>
      <c r="T230" s="13"/>
      <c r="U230" s="13"/>
      <c r="V230" s="207"/>
      <c r="W230" s="6"/>
    </row>
    <row r="231" spans="1:23" ht="15.6">
      <c r="A231" s="125"/>
      <c r="B231" s="13" t="s">
        <v>129</v>
      </c>
      <c r="C231" s="126"/>
      <c r="D231" s="126"/>
      <c r="E231" s="126"/>
      <c r="F231" s="126"/>
      <c r="G231" s="126"/>
      <c r="H231" s="126"/>
      <c r="I231" s="126"/>
      <c r="J231" s="126"/>
      <c r="K231" s="126"/>
      <c r="L231" s="126"/>
      <c r="M231" s="127"/>
      <c r="N231" s="13"/>
      <c r="O231" s="13"/>
      <c r="P231" s="126"/>
      <c r="Q231" s="126"/>
      <c r="R231" s="12"/>
      <c r="S231" s="12"/>
      <c r="T231" s="12"/>
      <c r="U231" s="12"/>
      <c r="V231" s="207"/>
      <c r="W231" s="6"/>
    </row>
    <row r="232" spans="1:23" ht="15.6">
      <c r="A232" s="125"/>
      <c r="B232" s="13"/>
      <c r="C232" s="126"/>
      <c r="D232" s="126"/>
      <c r="E232" s="126"/>
      <c r="F232" s="126"/>
      <c r="G232" s="126"/>
      <c r="H232" s="126"/>
      <c r="I232" s="126"/>
      <c r="J232" s="126"/>
      <c r="K232" s="126"/>
      <c r="L232" s="126"/>
      <c r="M232" s="127"/>
      <c r="N232" s="13"/>
      <c r="O232" s="13"/>
      <c r="P232" s="126"/>
      <c r="Q232" s="126"/>
      <c r="R232" s="12"/>
      <c r="S232" s="12"/>
      <c r="T232" s="12"/>
      <c r="U232" s="12"/>
      <c r="V232" s="207"/>
      <c r="W232" s="6"/>
    </row>
    <row r="233" spans="1:23" ht="15.6">
      <c r="A233" s="125"/>
      <c r="B233" s="13"/>
      <c r="C233" s="126"/>
      <c r="D233" s="126"/>
      <c r="E233" s="126"/>
      <c r="F233" s="126"/>
      <c r="G233" s="126"/>
      <c r="H233" s="126"/>
      <c r="I233" s="126"/>
      <c r="J233" s="126"/>
      <c r="K233" s="126"/>
      <c r="L233" s="126"/>
      <c r="M233" s="127"/>
      <c r="N233" s="13"/>
      <c r="O233" s="13"/>
      <c r="P233" s="126"/>
      <c r="Q233" s="126"/>
      <c r="R233" s="12"/>
      <c r="S233" s="12"/>
      <c r="T233" s="12"/>
      <c r="U233" s="12"/>
      <c r="V233" s="207"/>
      <c r="W233" s="6"/>
    </row>
    <row r="234" spans="1:23" ht="16.2" thickBot="1">
      <c r="A234" s="125"/>
      <c r="B234" s="13" t="str">
        <f>+B161</f>
        <v>PPAF3 INVESTOR REPORT QUARTER ENDING DECEMBER 2007</v>
      </c>
      <c r="C234" s="126"/>
      <c r="D234" s="126"/>
      <c r="E234" s="126"/>
      <c r="F234" s="126"/>
      <c r="G234" s="126"/>
      <c r="H234" s="126"/>
      <c r="I234" s="126"/>
      <c r="J234" s="126"/>
      <c r="K234" s="126"/>
      <c r="L234" s="126"/>
      <c r="M234" s="127"/>
      <c r="N234" s="13"/>
      <c r="O234" s="13"/>
      <c r="P234" s="126"/>
      <c r="Q234" s="126"/>
      <c r="R234" s="12"/>
      <c r="S234" s="12"/>
      <c r="T234" s="12"/>
      <c r="U234" s="12"/>
      <c r="V234" s="208"/>
      <c r="W234" s="6"/>
    </row>
    <row r="235" spans="1:23">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row>
  </sheetData>
  <phoneticPr fontId="0" type="noConversion"/>
  <hyperlinks>
    <hyperlink ref="I9" r:id="rId1"/>
    <hyperlink ref="K188"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16383" man="1"/>
    <brk id="110" max="16383" man="1"/>
    <brk id="161" max="21" man="1"/>
    <brk id="240" man="1"/>
  </rowBreaks>
  <colBreaks count="1" manualBreakCount="1">
    <brk id="23" max="1048575" man="1"/>
  </col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23"/>
  </sheetPr>
  <dimension ref="A1:Y235"/>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 t="s">
        <v>223</v>
      </c>
      <c r="B1" s="3" t="s">
        <v>123</v>
      </c>
      <c r="C1" s="4"/>
      <c r="D1" s="4"/>
      <c r="E1" s="4"/>
      <c r="F1" s="4"/>
      <c r="G1" s="4"/>
      <c r="H1" s="4"/>
      <c r="I1" s="4"/>
      <c r="J1" s="4"/>
      <c r="K1" s="4"/>
      <c r="L1" s="4"/>
      <c r="M1" s="5"/>
      <c r="N1" s="5"/>
      <c r="O1" s="5"/>
      <c r="P1" s="5"/>
      <c r="Q1" s="5"/>
      <c r="R1" s="5"/>
      <c r="S1" s="5"/>
      <c r="T1" s="5"/>
      <c r="U1" s="5"/>
      <c r="V1" s="193"/>
      <c r="W1" s="6"/>
    </row>
    <row r="2" spans="1:23" ht="15.6">
      <c r="A2" s="7"/>
      <c r="B2" s="8"/>
      <c r="C2" s="8"/>
      <c r="D2" s="8"/>
      <c r="E2" s="8"/>
      <c r="F2" s="8"/>
      <c r="G2" s="8"/>
      <c r="H2" s="8"/>
      <c r="I2" s="8"/>
      <c r="J2" s="8"/>
      <c r="K2" s="8"/>
      <c r="L2" s="8"/>
      <c r="M2" s="9"/>
      <c r="N2" s="9"/>
      <c r="O2" s="9"/>
      <c r="P2" s="9"/>
      <c r="Q2" s="9"/>
      <c r="R2" s="9"/>
      <c r="S2" s="9"/>
      <c r="T2" s="9"/>
      <c r="U2" s="9"/>
      <c r="V2" s="194"/>
      <c r="W2" s="6"/>
    </row>
    <row r="3" spans="1:23" ht="15.6">
      <c r="A3" s="10"/>
      <c r="B3" s="141" t="s">
        <v>125</v>
      </c>
      <c r="C3" s="9"/>
      <c r="D3" s="9"/>
      <c r="E3" s="9"/>
      <c r="F3" s="9"/>
      <c r="G3" s="9"/>
      <c r="H3" s="9"/>
      <c r="I3" s="9"/>
      <c r="J3" s="9"/>
      <c r="K3" s="9"/>
      <c r="L3" s="9"/>
      <c r="M3" s="9"/>
      <c r="N3" s="9"/>
      <c r="O3" s="9"/>
      <c r="P3" s="9"/>
      <c r="Q3" s="9"/>
      <c r="R3" s="9"/>
      <c r="S3" s="9"/>
      <c r="T3" s="9"/>
      <c r="U3" s="9"/>
      <c r="V3" s="194"/>
      <c r="W3" s="6"/>
    </row>
    <row r="4" spans="1:23" ht="15.6">
      <c r="A4" s="7"/>
      <c r="B4" s="8"/>
      <c r="C4" s="8"/>
      <c r="D4" s="8"/>
      <c r="E4" s="8"/>
      <c r="F4" s="8"/>
      <c r="G4" s="8"/>
      <c r="H4" s="8"/>
      <c r="I4" s="8"/>
      <c r="J4" s="8"/>
      <c r="K4" s="8"/>
      <c r="L4" s="8"/>
      <c r="M4" s="9"/>
      <c r="N4" s="9"/>
      <c r="O4" s="9"/>
      <c r="P4" s="9"/>
      <c r="Q4" s="9"/>
      <c r="R4" s="9"/>
      <c r="S4" s="9"/>
      <c r="T4" s="9"/>
      <c r="U4" s="9"/>
      <c r="V4" s="194"/>
      <c r="W4" s="6"/>
    </row>
    <row r="5" spans="1:23" ht="16.2">
      <c r="A5" s="7"/>
      <c r="B5" s="192" t="s">
        <v>0</v>
      </c>
      <c r="C5" s="11"/>
      <c r="D5" s="11"/>
      <c r="E5" s="11"/>
      <c r="F5" s="11"/>
      <c r="G5" s="11"/>
      <c r="H5" s="11"/>
      <c r="I5" s="11"/>
      <c r="J5" s="11"/>
      <c r="K5" s="11"/>
      <c r="L5" s="11"/>
      <c r="M5" s="9"/>
      <c r="N5" s="9"/>
      <c r="O5" s="9"/>
      <c r="P5" s="9"/>
      <c r="Q5" s="9"/>
      <c r="R5" s="9"/>
      <c r="S5" s="9"/>
      <c r="T5" s="9"/>
      <c r="U5" s="9"/>
      <c r="V5" s="194"/>
      <c r="W5" s="6"/>
    </row>
    <row r="6" spans="1:23" ht="16.2">
      <c r="A6" s="7"/>
      <c r="B6" s="192" t="s">
        <v>1</v>
      </c>
      <c r="C6" s="11"/>
      <c r="D6" s="11"/>
      <c r="E6" s="11"/>
      <c r="F6" s="11"/>
      <c r="G6" s="11"/>
      <c r="H6" s="11"/>
      <c r="I6" s="11"/>
      <c r="J6" s="11"/>
      <c r="K6" s="11"/>
      <c r="L6" s="11"/>
      <c r="M6" s="9"/>
      <c r="N6" s="9"/>
      <c r="O6" s="9"/>
      <c r="P6" s="9"/>
      <c r="Q6" s="9"/>
      <c r="R6" s="9"/>
      <c r="S6" s="9"/>
      <c r="T6" s="9"/>
      <c r="U6" s="9"/>
      <c r="V6" s="194"/>
      <c r="W6" s="6"/>
    </row>
    <row r="7" spans="1:23" ht="16.2">
      <c r="A7" s="7"/>
      <c r="B7" s="192" t="s">
        <v>2</v>
      </c>
      <c r="C7" s="11"/>
      <c r="D7" s="11"/>
      <c r="E7" s="11"/>
      <c r="F7" s="11"/>
      <c r="G7" s="11"/>
      <c r="H7" s="11"/>
      <c r="I7" s="11"/>
      <c r="J7" s="11"/>
      <c r="K7" s="11"/>
      <c r="L7" s="11"/>
      <c r="M7" s="9"/>
      <c r="N7" s="9"/>
      <c r="O7" s="9"/>
      <c r="P7" s="9"/>
      <c r="Q7" s="9"/>
      <c r="R7" s="9"/>
      <c r="S7" s="9"/>
      <c r="T7" s="9"/>
      <c r="U7" s="9"/>
      <c r="V7" s="194"/>
      <c r="W7" s="6"/>
    </row>
    <row r="8" spans="1:23" ht="16.2">
      <c r="A8" s="7"/>
      <c r="B8" s="12"/>
      <c r="C8" s="11"/>
      <c r="D8" s="11"/>
      <c r="E8" s="11"/>
      <c r="F8" s="11"/>
      <c r="G8" s="11"/>
      <c r="H8" s="11"/>
      <c r="I8" s="11"/>
      <c r="J8" s="11"/>
      <c r="K8" s="11"/>
      <c r="L8" s="11"/>
      <c r="M8" s="9"/>
      <c r="N8" s="9"/>
      <c r="O8" s="9"/>
      <c r="P8" s="9"/>
      <c r="Q8" s="9"/>
      <c r="R8" s="9"/>
      <c r="S8" s="9"/>
      <c r="T8" s="9"/>
      <c r="U8" s="9"/>
      <c r="V8" s="194"/>
      <c r="W8" s="6"/>
    </row>
    <row r="9" spans="1:23" ht="18">
      <c r="A9" s="7"/>
      <c r="B9" s="178" t="s">
        <v>194</v>
      </c>
      <c r="C9" s="11"/>
      <c r="D9" s="11"/>
      <c r="E9" s="11"/>
      <c r="F9" s="11"/>
      <c r="G9" s="11"/>
      <c r="H9" s="11"/>
      <c r="I9" s="179" t="s">
        <v>195</v>
      </c>
      <c r="J9" s="11"/>
      <c r="K9" s="11"/>
      <c r="L9" s="11"/>
      <c r="M9" s="9"/>
      <c r="N9" s="9"/>
      <c r="O9" s="9"/>
      <c r="P9" s="9"/>
      <c r="Q9" s="9"/>
      <c r="R9" s="9"/>
      <c r="S9" s="9"/>
      <c r="T9" s="9"/>
      <c r="U9" s="9"/>
      <c r="V9" s="194"/>
      <c r="W9" s="6"/>
    </row>
    <row r="10" spans="1:23" ht="16.2">
      <c r="A10" s="7"/>
      <c r="B10" s="11"/>
      <c r="C10" s="11"/>
      <c r="D10" s="11"/>
      <c r="E10" s="11"/>
      <c r="F10" s="11"/>
      <c r="G10" s="11"/>
      <c r="H10" s="11"/>
      <c r="I10" s="11"/>
      <c r="J10" s="11"/>
      <c r="K10" s="11"/>
      <c r="L10" s="11"/>
      <c r="M10" s="13"/>
      <c r="N10" s="13"/>
      <c r="O10" s="9"/>
      <c r="P10" s="9"/>
      <c r="Q10" s="9"/>
      <c r="R10" s="9"/>
      <c r="S10" s="9"/>
      <c r="T10" s="9"/>
      <c r="U10" s="9"/>
      <c r="V10" s="194"/>
      <c r="W10" s="6"/>
    </row>
    <row r="11" spans="1:23" ht="15.6">
      <c r="A11" s="7"/>
      <c r="B11" s="13" t="s">
        <v>3</v>
      </c>
      <c r="C11" s="13"/>
      <c r="D11" s="13"/>
      <c r="E11" s="13"/>
      <c r="F11" s="13"/>
      <c r="G11" s="13"/>
      <c r="H11" s="13"/>
      <c r="I11" s="13"/>
      <c r="J11" s="13"/>
      <c r="K11" s="13"/>
      <c r="L11" s="13"/>
      <c r="M11" s="9"/>
      <c r="N11" s="9"/>
      <c r="O11" s="9"/>
      <c r="P11" s="9"/>
      <c r="Q11" s="9"/>
      <c r="R11" s="9"/>
      <c r="S11" s="9"/>
      <c r="T11" s="9"/>
      <c r="U11" s="9"/>
      <c r="V11" s="194"/>
      <c r="W11" s="6"/>
    </row>
    <row r="12" spans="1:23" ht="16.2" thickBot="1">
      <c r="A12" s="7"/>
      <c r="B12" s="13"/>
      <c r="C12" s="13"/>
      <c r="D12" s="13"/>
      <c r="E12" s="13"/>
      <c r="F12" s="13"/>
      <c r="G12" s="13"/>
      <c r="H12" s="13"/>
      <c r="I12" s="13"/>
      <c r="J12" s="13"/>
      <c r="K12" s="13"/>
      <c r="L12" s="13"/>
      <c r="M12" s="9"/>
      <c r="N12" s="9"/>
      <c r="O12" s="9"/>
      <c r="P12" s="9"/>
      <c r="Q12" s="9"/>
      <c r="R12" s="9"/>
      <c r="S12" s="9"/>
      <c r="T12" s="9"/>
      <c r="U12" s="9"/>
      <c r="V12" s="194"/>
      <c r="W12" s="6"/>
    </row>
    <row r="13" spans="1:23" ht="15.6">
      <c r="A13" s="2"/>
      <c r="B13" s="5"/>
      <c r="C13" s="5"/>
      <c r="D13" s="5"/>
      <c r="E13" s="5"/>
      <c r="F13" s="5"/>
      <c r="G13" s="5"/>
      <c r="H13" s="5"/>
      <c r="I13" s="5"/>
      <c r="J13" s="5"/>
      <c r="K13" s="5"/>
      <c r="L13" s="5"/>
      <c r="M13" s="5"/>
      <c r="N13" s="5"/>
      <c r="O13" s="5"/>
      <c r="P13" s="5"/>
      <c r="Q13" s="5"/>
      <c r="R13" s="5"/>
      <c r="S13" s="5"/>
      <c r="T13" s="5"/>
      <c r="U13" s="5"/>
      <c r="V13" s="193"/>
      <c r="W13" s="6"/>
    </row>
    <row r="14" spans="1:23" ht="15.6">
      <c r="A14" s="7"/>
      <c r="B14" s="14" t="s">
        <v>4</v>
      </c>
      <c r="C14" s="14"/>
      <c r="D14" s="14"/>
      <c r="E14" s="14"/>
      <c r="F14" s="14"/>
      <c r="G14" s="14"/>
      <c r="H14" s="14"/>
      <c r="I14" s="14"/>
      <c r="J14" s="14"/>
      <c r="K14" s="14"/>
      <c r="L14" s="14"/>
      <c r="M14" s="15"/>
      <c r="N14" s="15"/>
      <c r="O14" s="15"/>
      <c r="P14" s="15"/>
      <c r="Q14" s="15"/>
      <c r="R14" s="15"/>
      <c r="S14" s="15"/>
      <c r="T14" s="15"/>
      <c r="U14" s="16" t="s">
        <v>126</v>
      </c>
      <c r="V14" s="194"/>
      <c r="W14" s="6"/>
    </row>
    <row r="15" spans="1:23" ht="15.6">
      <c r="A15" s="7"/>
      <c r="B15" s="14" t="s">
        <v>5</v>
      </c>
      <c r="C15" s="14"/>
      <c r="D15" s="14"/>
      <c r="E15" s="14"/>
      <c r="F15" s="14"/>
      <c r="G15" s="14"/>
      <c r="H15" s="14"/>
      <c r="I15" s="14"/>
      <c r="J15" s="14"/>
      <c r="K15" s="14"/>
      <c r="L15" s="14"/>
      <c r="M15" s="17" t="s">
        <v>93</v>
      </c>
      <c r="N15" s="18">
        <v>0.1492</v>
      </c>
      <c r="O15" s="17" t="s">
        <v>99</v>
      </c>
      <c r="P15" s="18">
        <v>5.4399999999999997E-2</v>
      </c>
      <c r="Q15" s="17" t="s">
        <v>102</v>
      </c>
      <c r="R15" s="18">
        <v>0.48899999999999999</v>
      </c>
      <c r="S15" s="17" t="s">
        <v>108</v>
      </c>
      <c r="T15" s="18">
        <v>0.30740000000000001</v>
      </c>
      <c r="U15" s="16"/>
      <c r="V15" s="195"/>
      <c r="W15" s="6"/>
    </row>
    <row r="16" spans="1:23" ht="15.6">
      <c r="A16" s="7"/>
      <c r="B16" s="14" t="s">
        <v>6</v>
      </c>
      <c r="C16" s="14"/>
      <c r="D16" s="14"/>
      <c r="E16" s="14"/>
      <c r="F16" s="14"/>
      <c r="G16" s="14"/>
      <c r="H16" s="14"/>
      <c r="I16" s="14"/>
      <c r="J16" s="14"/>
      <c r="K16" s="14"/>
      <c r="L16" s="14"/>
      <c r="M16" s="17" t="s">
        <v>93</v>
      </c>
      <c r="N16" s="18">
        <f>+N199/S222</f>
        <v>5.3648888888888892E-2</v>
      </c>
      <c r="O16" s="17" t="s">
        <v>99</v>
      </c>
      <c r="P16" s="18">
        <f>+S199/S222</f>
        <v>8.8715555555555561E-2</v>
      </c>
      <c r="Q16" s="17" t="s">
        <v>102</v>
      </c>
      <c r="R16" s="18">
        <f>+N212/S222</f>
        <v>0.44262222222222219</v>
      </c>
      <c r="S16" s="17" t="s">
        <v>108</v>
      </c>
      <c r="T16" s="18">
        <f>+S212/S222</f>
        <v>0.23780444444444446</v>
      </c>
      <c r="U16" s="16"/>
      <c r="V16" s="195"/>
      <c r="W16" s="6"/>
    </row>
    <row r="17" spans="1:23" ht="15.6">
      <c r="A17" s="7"/>
      <c r="B17" s="14" t="s">
        <v>7</v>
      </c>
      <c r="C17" s="14"/>
      <c r="D17" s="14"/>
      <c r="E17" s="14"/>
      <c r="F17" s="14"/>
      <c r="G17" s="14"/>
      <c r="H17" s="14"/>
      <c r="I17" s="14"/>
      <c r="J17" s="14"/>
      <c r="K17" s="14"/>
      <c r="L17" s="14"/>
      <c r="M17" s="15"/>
      <c r="N17" s="15"/>
      <c r="O17" s="15"/>
      <c r="P17" s="15"/>
      <c r="Q17" s="15"/>
      <c r="R17" s="15"/>
      <c r="S17" s="15"/>
      <c r="T17" s="15"/>
      <c r="U17" s="19">
        <v>38491</v>
      </c>
      <c r="V17" s="194"/>
      <c r="W17" s="6"/>
    </row>
    <row r="18" spans="1:23" ht="15.6">
      <c r="A18" s="7"/>
      <c r="B18" s="14" t="s">
        <v>8</v>
      </c>
      <c r="C18" s="14"/>
      <c r="D18" s="14"/>
      <c r="E18" s="14"/>
      <c r="F18" s="14"/>
      <c r="G18" s="14"/>
      <c r="H18" s="14"/>
      <c r="I18" s="14"/>
      <c r="J18" s="14"/>
      <c r="K18" s="14"/>
      <c r="L18" s="14"/>
      <c r="M18" s="15"/>
      <c r="N18" s="15"/>
      <c r="O18" s="15"/>
      <c r="P18" s="15"/>
      <c r="Q18" s="15"/>
      <c r="R18" s="15"/>
      <c r="S18" s="15"/>
      <c r="T18" s="15"/>
      <c r="U18" s="19">
        <v>39560</v>
      </c>
      <c r="V18" s="194"/>
      <c r="W18" s="6"/>
    </row>
    <row r="19" spans="1:23" ht="15.6">
      <c r="A19" s="7"/>
      <c r="B19" s="9"/>
      <c r="C19" s="9"/>
      <c r="D19" s="9"/>
      <c r="E19" s="9"/>
      <c r="F19" s="9"/>
      <c r="G19" s="9"/>
      <c r="H19" s="9"/>
      <c r="I19" s="9"/>
      <c r="J19" s="9"/>
      <c r="K19" s="9"/>
      <c r="L19" s="9"/>
      <c r="M19" s="9"/>
      <c r="N19" s="9"/>
      <c r="O19" s="9"/>
      <c r="P19" s="9"/>
      <c r="Q19" s="9"/>
      <c r="R19" s="9"/>
      <c r="S19" s="9"/>
      <c r="T19" s="9"/>
      <c r="U19" s="20"/>
      <c r="V19" s="194"/>
      <c r="W19" s="6"/>
    </row>
    <row r="20" spans="1:23" ht="15.6">
      <c r="A20" s="7"/>
      <c r="B20" s="21" t="s">
        <v>9</v>
      </c>
      <c r="C20" s="9"/>
      <c r="D20" s="9"/>
      <c r="E20" s="9"/>
      <c r="F20" s="9"/>
      <c r="G20" s="9"/>
      <c r="H20" s="9"/>
      <c r="I20" s="9"/>
      <c r="J20" s="9"/>
      <c r="K20" s="9"/>
      <c r="L20" s="9"/>
      <c r="M20" s="9"/>
      <c r="N20" s="9"/>
      <c r="O20" s="9"/>
      <c r="P20" s="9"/>
      <c r="Q20" s="9"/>
      <c r="R20" s="9"/>
      <c r="S20" s="20"/>
      <c r="T20" s="9"/>
      <c r="U20" s="12"/>
      <c r="V20" s="194"/>
      <c r="W20" s="6"/>
    </row>
    <row r="21" spans="1:23" ht="15.6">
      <c r="A21" s="7"/>
      <c r="B21" s="9"/>
      <c r="C21" s="9"/>
      <c r="D21" s="9"/>
      <c r="E21" s="9"/>
      <c r="F21" s="9"/>
      <c r="G21" s="9"/>
      <c r="H21" s="9"/>
      <c r="I21" s="9"/>
      <c r="J21" s="9"/>
      <c r="K21" s="9"/>
      <c r="L21" s="9"/>
      <c r="M21" s="9"/>
      <c r="N21" s="9"/>
      <c r="O21" s="9"/>
      <c r="P21" s="9"/>
      <c r="Q21" s="9"/>
      <c r="R21" s="9"/>
      <c r="S21" s="9"/>
      <c r="T21" s="9"/>
      <c r="U21" s="22"/>
      <c r="V21" s="194"/>
      <c r="W21" s="6"/>
    </row>
    <row r="22" spans="1:23" ht="15.6">
      <c r="A22" s="7"/>
      <c r="B22" s="9"/>
      <c r="C22" s="142" t="s">
        <v>130</v>
      </c>
      <c r="D22" s="142"/>
      <c r="E22" s="142" t="s">
        <v>131</v>
      </c>
      <c r="F22" s="142"/>
      <c r="G22" s="142" t="s">
        <v>132</v>
      </c>
      <c r="H22" s="142"/>
      <c r="I22" s="142" t="s">
        <v>133</v>
      </c>
      <c r="J22" s="142"/>
      <c r="K22" s="142" t="s">
        <v>134</v>
      </c>
      <c r="L22" s="142"/>
      <c r="M22" s="144" t="s">
        <v>135</v>
      </c>
      <c r="N22" s="144"/>
      <c r="O22" s="144" t="s">
        <v>136</v>
      </c>
      <c r="P22" s="144"/>
      <c r="Q22" s="144" t="s">
        <v>137</v>
      </c>
      <c r="R22" s="23"/>
      <c r="S22" s="24"/>
      <c r="T22" s="12"/>
      <c r="U22" s="12"/>
      <c r="V22" s="194"/>
      <c r="W22" s="6"/>
    </row>
    <row r="23" spans="1:23" ht="15.6">
      <c r="A23" s="25"/>
      <c r="B23" s="26" t="s">
        <v>10</v>
      </c>
      <c r="C23" s="157" t="s">
        <v>96</v>
      </c>
      <c r="D23" s="157"/>
      <c r="E23" s="157" t="s">
        <v>96</v>
      </c>
      <c r="F23" s="157"/>
      <c r="G23" s="157" t="s">
        <v>138</v>
      </c>
      <c r="H23" s="157"/>
      <c r="I23" s="157" t="s">
        <v>138</v>
      </c>
      <c r="J23" s="157"/>
      <c r="K23" s="157" t="s">
        <v>104</v>
      </c>
      <c r="L23" s="143"/>
      <c r="M23" s="28" t="s">
        <v>104</v>
      </c>
      <c r="N23" s="28"/>
      <c r="O23" s="28" t="s">
        <v>109</v>
      </c>
      <c r="P23" s="28"/>
      <c r="Q23" s="28" t="s">
        <v>109</v>
      </c>
      <c r="R23" s="28"/>
      <c r="S23" s="28"/>
      <c r="T23" s="29"/>
      <c r="U23" s="29"/>
      <c r="V23" s="196"/>
      <c r="W23" s="6"/>
    </row>
    <row r="24" spans="1:23" ht="15.6">
      <c r="A24" s="25"/>
      <c r="B24" s="26" t="s">
        <v>11</v>
      </c>
      <c r="C24" s="157" t="s">
        <v>97</v>
      </c>
      <c r="D24" s="157"/>
      <c r="E24" s="157" t="s">
        <v>97</v>
      </c>
      <c r="F24" s="157"/>
      <c r="G24" s="157" t="s">
        <v>139</v>
      </c>
      <c r="H24" s="157"/>
      <c r="I24" s="157" t="s">
        <v>139</v>
      </c>
      <c r="J24" s="157"/>
      <c r="K24" s="157" t="s">
        <v>105</v>
      </c>
      <c r="L24" s="27"/>
      <c r="M24" s="28" t="s">
        <v>105</v>
      </c>
      <c r="N24" s="28"/>
      <c r="O24" s="28" t="s">
        <v>110</v>
      </c>
      <c r="P24" s="28"/>
      <c r="Q24" s="28" t="s">
        <v>110</v>
      </c>
      <c r="R24" s="28"/>
      <c r="S24" s="28"/>
      <c r="T24" s="29"/>
      <c r="U24" s="29"/>
      <c r="V24" s="196"/>
      <c r="W24" s="6"/>
    </row>
    <row r="25" spans="1:23" ht="15.6">
      <c r="A25" s="25"/>
      <c r="B25" s="30" t="s">
        <v>12</v>
      </c>
      <c r="C25" s="110" t="s">
        <v>96</v>
      </c>
      <c r="D25" s="110"/>
      <c r="E25" s="110" t="s">
        <v>96</v>
      </c>
      <c r="F25" s="110"/>
      <c r="G25" s="110" t="s">
        <v>138</v>
      </c>
      <c r="H25" s="110"/>
      <c r="I25" s="110" t="s">
        <v>138</v>
      </c>
      <c r="J25" s="30"/>
      <c r="K25" s="110" t="s">
        <v>104</v>
      </c>
      <c r="L25" s="30"/>
      <c r="M25" s="31" t="s">
        <v>104</v>
      </c>
      <c r="N25" s="28"/>
      <c r="O25" s="31" t="s">
        <v>109</v>
      </c>
      <c r="P25" s="28"/>
      <c r="Q25" s="31" t="s">
        <v>109</v>
      </c>
      <c r="R25" s="31"/>
      <c r="S25" s="31"/>
      <c r="T25" s="32"/>
      <c r="U25" s="29"/>
      <c r="V25" s="196"/>
      <c r="W25" s="6"/>
    </row>
    <row r="26" spans="1:23" ht="15.6">
      <c r="A26" s="25"/>
      <c r="B26" s="30" t="s">
        <v>13</v>
      </c>
      <c r="C26" s="110" t="s">
        <v>97</v>
      </c>
      <c r="D26" s="110"/>
      <c r="E26" s="110" t="s">
        <v>97</v>
      </c>
      <c r="F26" s="110"/>
      <c r="G26" s="110" t="s">
        <v>139</v>
      </c>
      <c r="H26" s="110"/>
      <c r="I26" s="110" t="s">
        <v>139</v>
      </c>
      <c r="J26" s="30"/>
      <c r="K26" s="110" t="s">
        <v>105</v>
      </c>
      <c r="L26" s="30"/>
      <c r="M26" s="31" t="s">
        <v>105</v>
      </c>
      <c r="N26" s="28"/>
      <c r="O26" s="31" t="s">
        <v>110</v>
      </c>
      <c r="P26" s="28"/>
      <c r="Q26" s="31" t="s">
        <v>110</v>
      </c>
      <c r="R26" s="31"/>
      <c r="S26" s="31"/>
      <c r="T26" s="32"/>
      <c r="U26" s="29"/>
      <c r="V26" s="196"/>
      <c r="W26" s="6"/>
    </row>
    <row r="27" spans="1:23" ht="15.6">
      <c r="A27" s="25"/>
      <c r="B27" s="26" t="s">
        <v>14</v>
      </c>
      <c r="C27" s="33" t="s">
        <v>140</v>
      </c>
      <c r="D27" s="26"/>
      <c r="E27" s="33" t="s">
        <v>141</v>
      </c>
      <c r="F27" s="26"/>
      <c r="G27" s="33" t="s">
        <v>142</v>
      </c>
      <c r="H27" s="26"/>
      <c r="I27" s="33" t="s">
        <v>258</v>
      </c>
      <c r="J27" s="26"/>
      <c r="K27" s="33" t="s">
        <v>143</v>
      </c>
      <c r="L27" s="26"/>
      <c r="M27" s="26" t="s">
        <v>144</v>
      </c>
      <c r="N27" s="28"/>
      <c r="O27" s="26" t="s">
        <v>145</v>
      </c>
      <c r="P27" s="28"/>
      <c r="Q27" s="26" t="s">
        <v>146</v>
      </c>
      <c r="R27" s="28"/>
      <c r="S27" s="33"/>
      <c r="T27" s="29"/>
      <c r="U27" s="29"/>
      <c r="V27" s="196"/>
      <c r="W27" s="6"/>
    </row>
    <row r="28" spans="1:23" ht="15.6">
      <c r="A28" s="25"/>
      <c r="B28" s="26" t="s">
        <v>147</v>
      </c>
      <c r="C28" s="168">
        <v>146000</v>
      </c>
      <c r="D28" s="33"/>
      <c r="E28" s="165">
        <v>259500</v>
      </c>
      <c r="F28" s="33"/>
      <c r="G28" s="168">
        <v>16000</v>
      </c>
      <c r="H28" s="33"/>
      <c r="I28" s="165">
        <v>35500</v>
      </c>
      <c r="J28" s="26"/>
      <c r="K28" s="168">
        <v>18000</v>
      </c>
      <c r="L28" s="26"/>
      <c r="M28" s="165">
        <v>33000</v>
      </c>
      <c r="N28" s="35"/>
      <c r="O28" s="34">
        <v>24500</v>
      </c>
      <c r="P28" s="34"/>
      <c r="Q28" s="165">
        <v>30000</v>
      </c>
      <c r="R28" s="34"/>
      <c r="S28" s="34"/>
      <c r="T28" s="36"/>
      <c r="U28" s="34"/>
      <c r="V28" s="197"/>
      <c r="W28" s="6"/>
    </row>
    <row r="29" spans="1:23" ht="15.6">
      <c r="A29" s="25"/>
      <c r="B29" s="26" t="s">
        <v>15</v>
      </c>
      <c r="C29" s="168">
        <v>146000</v>
      </c>
      <c r="D29" s="169"/>
      <c r="E29" s="165">
        <v>259500</v>
      </c>
      <c r="F29" s="169"/>
      <c r="G29" s="168">
        <v>16000</v>
      </c>
      <c r="H29" s="169"/>
      <c r="I29" s="165">
        <v>35500</v>
      </c>
      <c r="J29" s="38"/>
      <c r="K29" s="168">
        <v>18000</v>
      </c>
      <c r="L29" s="38"/>
      <c r="M29" s="165">
        <v>33000</v>
      </c>
      <c r="N29" s="35"/>
      <c r="O29" s="34">
        <v>24500</v>
      </c>
      <c r="P29" s="34"/>
      <c r="Q29" s="165">
        <v>30000</v>
      </c>
      <c r="R29" s="39"/>
      <c r="S29" s="34"/>
      <c r="T29" s="36"/>
      <c r="U29" s="34"/>
      <c r="V29" s="197"/>
      <c r="W29" s="6"/>
    </row>
    <row r="30" spans="1:23" ht="15.6">
      <c r="A30" s="40"/>
      <c r="B30" s="30" t="s">
        <v>148</v>
      </c>
      <c r="C30" s="162">
        <v>146000</v>
      </c>
      <c r="D30" s="170"/>
      <c r="E30" s="171">
        <v>259500</v>
      </c>
      <c r="F30" s="170"/>
      <c r="G30" s="162">
        <v>16000</v>
      </c>
      <c r="H30" s="170"/>
      <c r="I30" s="171">
        <v>35500</v>
      </c>
      <c r="J30" s="159"/>
      <c r="K30" s="162">
        <v>18000</v>
      </c>
      <c r="L30" s="41"/>
      <c r="M30" s="166">
        <v>33000</v>
      </c>
      <c r="N30" s="43"/>
      <c r="O30" s="42">
        <v>24500</v>
      </c>
      <c r="P30" s="42"/>
      <c r="Q30" s="166">
        <v>30000</v>
      </c>
      <c r="R30" s="42"/>
      <c r="S30" s="42"/>
      <c r="T30" s="44"/>
      <c r="U30" s="42"/>
      <c r="V30" s="196"/>
      <c r="W30" s="6"/>
    </row>
    <row r="31" spans="1:23" ht="15.6">
      <c r="A31" s="40"/>
      <c r="B31" s="158" t="s">
        <v>260</v>
      </c>
      <c r="C31" s="172">
        <v>146000</v>
      </c>
      <c r="D31" s="173"/>
      <c r="E31" s="172">
        <v>178000</v>
      </c>
      <c r="F31" s="172"/>
      <c r="G31" s="172">
        <v>16000</v>
      </c>
      <c r="H31" s="172"/>
      <c r="I31" s="172">
        <v>24500</v>
      </c>
      <c r="J31" s="161"/>
      <c r="K31" s="172">
        <v>18000</v>
      </c>
      <c r="L31" s="161"/>
      <c r="M31" s="167">
        <v>22500</v>
      </c>
      <c r="N31" s="164"/>
      <c r="O31" s="167">
        <v>24500</v>
      </c>
      <c r="P31" s="163"/>
      <c r="Q31" s="167">
        <v>20500</v>
      </c>
      <c r="R31" s="42"/>
      <c r="S31" s="42"/>
      <c r="T31" s="44"/>
      <c r="U31" s="34">
        <f>+Q31+O31+M31+K31+I31+G31+E31+C31</f>
        <v>450000</v>
      </c>
      <c r="V31" s="196"/>
      <c r="W31" s="6"/>
    </row>
    <row r="32" spans="1:23" ht="15.6">
      <c r="A32" s="40"/>
      <c r="B32" s="158" t="s">
        <v>261</v>
      </c>
      <c r="C32" s="172">
        <v>146000</v>
      </c>
      <c r="D32" s="173"/>
      <c r="E32" s="172">
        <v>178000</v>
      </c>
      <c r="F32" s="172"/>
      <c r="G32" s="172">
        <v>16000</v>
      </c>
      <c r="H32" s="172"/>
      <c r="I32" s="172">
        <v>24500</v>
      </c>
      <c r="J32" s="161"/>
      <c r="K32" s="172">
        <v>18000</v>
      </c>
      <c r="L32" s="161"/>
      <c r="M32" s="167">
        <v>22500</v>
      </c>
      <c r="N32" s="164"/>
      <c r="O32" s="167">
        <v>24500</v>
      </c>
      <c r="P32" s="163"/>
      <c r="Q32" s="167">
        <v>20500</v>
      </c>
      <c r="R32" s="42"/>
      <c r="S32" s="42"/>
      <c r="T32" s="44"/>
      <c r="U32" s="34">
        <f>+Q32+O32+M32+K32+I32+G32+E32+C32</f>
        <v>450000</v>
      </c>
      <c r="V32" s="196"/>
      <c r="W32" s="6"/>
    </row>
    <row r="33" spans="1:23" ht="15.6">
      <c r="A33" s="40"/>
      <c r="B33" s="30" t="s">
        <v>262</v>
      </c>
      <c r="C33" s="162">
        <v>146000</v>
      </c>
      <c r="D33" s="162"/>
      <c r="E33" s="162">
        <v>178000</v>
      </c>
      <c r="F33" s="162"/>
      <c r="G33" s="162">
        <v>16000</v>
      </c>
      <c r="H33" s="162"/>
      <c r="I33" s="162">
        <v>24500</v>
      </c>
      <c r="J33" s="160"/>
      <c r="K33" s="162">
        <v>18000</v>
      </c>
      <c r="L33" s="160"/>
      <c r="M33" s="162">
        <v>22500</v>
      </c>
      <c r="N33" s="160"/>
      <c r="O33" s="162">
        <v>24500</v>
      </c>
      <c r="P33" s="162"/>
      <c r="Q33" s="162">
        <v>20500</v>
      </c>
      <c r="R33" s="42"/>
      <c r="S33" s="42"/>
      <c r="T33" s="44"/>
      <c r="U33" s="42">
        <f>+Q33+O33+M33+K33+I33+G33+E33+C33</f>
        <v>450000</v>
      </c>
      <c r="V33" s="196"/>
      <c r="W33" s="6"/>
    </row>
    <row r="34" spans="1:23" ht="15.6">
      <c r="A34" s="40"/>
      <c r="B34" s="174" t="s">
        <v>149</v>
      </c>
      <c r="C34" s="175">
        <v>1</v>
      </c>
      <c r="D34" s="175"/>
      <c r="E34" s="175">
        <v>1</v>
      </c>
      <c r="F34" s="175"/>
      <c r="G34" s="175">
        <v>1</v>
      </c>
      <c r="H34" s="175"/>
      <c r="I34" s="175">
        <v>1</v>
      </c>
      <c r="J34" s="175"/>
      <c r="K34" s="175">
        <v>1</v>
      </c>
      <c r="L34" s="175"/>
      <c r="M34" s="175">
        <v>1</v>
      </c>
      <c r="N34" s="175"/>
      <c r="O34" s="175">
        <v>1</v>
      </c>
      <c r="P34" s="175"/>
      <c r="Q34" s="175">
        <v>1</v>
      </c>
      <c r="R34" s="176"/>
      <c r="S34" s="42"/>
      <c r="T34" s="44"/>
      <c r="U34" s="42"/>
      <c r="V34" s="196"/>
      <c r="W34" s="6"/>
    </row>
    <row r="35" spans="1:23" ht="15.6">
      <c r="A35" s="40"/>
      <c r="B35" s="174" t="s">
        <v>150</v>
      </c>
      <c r="C35" s="175">
        <v>1</v>
      </c>
      <c r="D35" s="175"/>
      <c r="E35" s="175">
        <v>1</v>
      </c>
      <c r="F35" s="175"/>
      <c r="G35" s="175">
        <v>1</v>
      </c>
      <c r="H35" s="175"/>
      <c r="I35" s="175">
        <v>1</v>
      </c>
      <c r="J35" s="175"/>
      <c r="K35" s="175">
        <v>1</v>
      </c>
      <c r="L35" s="175"/>
      <c r="M35" s="175">
        <v>1</v>
      </c>
      <c r="N35" s="175"/>
      <c r="O35" s="175">
        <v>1</v>
      </c>
      <c r="P35" s="175"/>
      <c r="Q35" s="175">
        <v>1</v>
      </c>
      <c r="R35" s="176"/>
      <c r="S35" s="42"/>
      <c r="T35" s="44"/>
      <c r="U35" s="42"/>
      <c r="V35" s="196"/>
      <c r="W35" s="6"/>
    </row>
    <row r="36" spans="1:23" ht="15.6">
      <c r="A36" s="25"/>
      <c r="B36" s="26" t="s">
        <v>153</v>
      </c>
      <c r="C36" s="157" t="s">
        <v>157</v>
      </c>
      <c r="D36" s="157"/>
      <c r="E36" s="157" t="s">
        <v>157</v>
      </c>
      <c r="F36" s="157"/>
      <c r="G36" s="157" t="s">
        <v>158</v>
      </c>
      <c r="H36" s="157"/>
      <c r="I36" s="157" t="s">
        <v>158</v>
      </c>
      <c r="J36" s="157"/>
      <c r="K36" s="157" t="s">
        <v>159</v>
      </c>
      <c r="L36" s="184"/>
      <c r="M36" s="157" t="s">
        <v>160</v>
      </c>
      <c r="N36" s="158"/>
      <c r="O36" s="157" t="s">
        <v>161</v>
      </c>
      <c r="P36" s="157"/>
      <c r="Q36" s="157" t="s">
        <v>162</v>
      </c>
      <c r="R36" s="157"/>
      <c r="S36" s="157"/>
      <c r="T36" s="158"/>
      <c r="U36" s="29"/>
      <c r="V36" s="196"/>
      <c r="W36" s="6"/>
    </row>
    <row r="37" spans="1:23" ht="15.6">
      <c r="A37" s="25"/>
      <c r="B37" s="26" t="s">
        <v>151</v>
      </c>
      <c r="C37" s="185">
        <v>5.8868799999999999E-2</v>
      </c>
      <c r="D37" s="185"/>
      <c r="E37" s="185">
        <v>4.7960000000000003E-2</v>
      </c>
      <c r="F37" s="185"/>
      <c r="G37" s="185">
        <v>5.9968800000000003E-2</v>
      </c>
      <c r="H37" s="185"/>
      <c r="I37" s="185">
        <v>4.9059999999999999E-2</v>
      </c>
      <c r="J37" s="185"/>
      <c r="K37" s="185">
        <v>6.2668799999999997E-2</v>
      </c>
      <c r="L37" s="185"/>
      <c r="M37" s="185">
        <v>5.1459999999999999E-2</v>
      </c>
      <c r="N37" s="185"/>
      <c r="O37" s="185">
        <v>6.61688E-2</v>
      </c>
      <c r="P37" s="185"/>
      <c r="Q37" s="185">
        <v>5.4760000000000003E-2</v>
      </c>
      <c r="R37" s="186"/>
      <c r="S37" s="185"/>
      <c r="T37" s="158"/>
      <c r="U37" s="33"/>
      <c r="V37" s="196"/>
      <c r="W37" s="6"/>
    </row>
    <row r="38" spans="1:23" ht="15.6">
      <c r="A38" s="25"/>
      <c r="B38" s="26" t="s">
        <v>152</v>
      </c>
      <c r="C38" s="185">
        <v>6.5131300000000003E-2</v>
      </c>
      <c r="D38" s="185"/>
      <c r="E38" s="185">
        <v>4.9520000000000002E-2</v>
      </c>
      <c r="F38" s="185"/>
      <c r="G38" s="185">
        <v>6.6231300000000007E-2</v>
      </c>
      <c r="H38" s="185"/>
      <c r="I38" s="185">
        <v>5.0619999999999998E-2</v>
      </c>
      <c r="J38" s="185"/>
      <c r="K38" s="185">
        <v>6.8931300000000001E-2</v>
      </c>
      <c r="L38" s="185"/>
      <c r="M38" s="185">
        <v>5.3019999999999998E-2</v>
      </c>
      <c r="N38" s="185"/>
      <c r="O38" s="185">
        <v>7.2431300000000004E-2</v>
      </c>
      <c r="P38" s="185"/>
      <c r="Q38" s="185">
        <v>5.6320000000000002E-2</v>
      </c>
      <c r="R38" s="186"/>
      <c r="S38" s="185"/>
      <c r="T38" s="158"/>
      <c r="U38" s="29"/>
      <c r="V38" s="196"/>
      <c r="W38" s="6"/>
    </row>
    <row r="39" spans="1:23" ht="15.6">
      <c r="A39" s="25"/>
      <c r="B39" s="26" t="s">
        <v>263</v>
      </c>
      <c r="C39" s="157" t="s">
        <v>157</v>
      </c>
      <c r="D39" s="185"/>
      <c r="E39" s="185" t="s">
        <v>198</v>
      </c>
      <c r="F39" s="185"/>
      <c r="G39" s="157" t="s">
        <v>158</v>
      </c>
      <c r="H39" s="185"/>
      <c r="I39" s="185" t="s">
        <v>225</v>
      </c>
      <c r="J39" s="185"/>
      <c r="K39" s="157" t="s">
        <v>159</v>
      </c>
      <c r="L39" s="185"/>
      <c r="M39" s="185" t="s">
        <v>199</v>
      </c>
      <c r="N39" s="185"/>
      <c r="O39" s="157" t="s">
        <v>161</v>
      </c>
      <c r="P39" s="185"/>
      <c r="Q39" s="185" t="s">
        <v>200</v>
      </c>
      <c r="R39" s="186"/>
      <c r="S39" s="185"/>
      <c r="T39" s="158"/>
      <c r="U39" s="29"/>
      <c r="V39" s="196"/>
      <c r="W39" s="6"/>
    </row>
    <row r="40" spans="1:23" ht="15.6">
      <c r="A40" s="25"/>
      <c r="B40" s="26" t="s">
        <v>264</v>
      </c>
      <c r="C40" s="185">
        <f>+C37</f>
        <v>5.8868799999999999E-2</v>
      </c>
      <c r="D40" s="185"/>
      <c r="E40" s="185">
        <v>5.9156800000000002E-2</v>
      </c>
      <c r="F40" s="185"/>
      <c r="G40" s="185">
        <f>+G37</f>
        <v>5.9968800000000003E-2</v>
      </c>
      <c r="H40" s="185"/>
      <c r="I40" s="185">
        <v>6.0335300000000001E-2</v>
      </c>
      <c r="J40" s="185"/>
      <c r="K40" s="185">
        <f>+K37</f>
        <v>6.2668799999999997E-2</v>
      </c>
      <c r="L40" s="184"/>
      <c r="M40" s="185">
        <v>6.2949000000000005E-2</v>
      </c>
      <c r="N40" s="184"/>
      <c r="O40" s="185">
        <f>+O37</f>
        <v>6.61688E-2</v>
      </c>
      <c r="P40" s="185"/>
      <c r="Q40" s="185">
        <v>6.6582000000000002E-2</v>
      </c>
      <c r="R40" s="186"/>
      <c r="S40" s="185"/>
      <c r="T40" s="158"/>
      <c r="U40" s="45">
        <f>SUMPRODUCT(C40:Q40,C31:Q31)/U31</f>
        <v>6.020650744444446E-2</v>
      </c>
      <c r="V40" s="196"/>
      <c r="W40" s="6"/>
    </row>
    <row r="41" spans="1:23" ht="15.6">
      <c r="A41" s="25"/>
      <c r="B41" s="26" t="s">
        <v>265</v>
      </c>
      <c r="C41" s="185">
        <f>+C38</f>
        <v>6.5131300000000003E-2</v>
      </c>
      <c r="D41" s="185"/>
      <c r="E41" s="185">
        <v>6.54193E-2</v>
      </c>
      <c r="F41" s="185"/>
      <c r="G41" s="185">
        <f>+G38</f>
        <v>6.6231300000000007E-2</v>
      </c>
      <c r="H41" s="185"/>
      <c r="I41" s="185">
        <v>6.6597799999999999E-2</v>
      </c>
      <c r="J41" s="185"/>
      <c r="K41" s="185">
        <f>+K38</f>
        <v>6.8931300000000001E-2</v>
      </c>
      <c r="L41" s="184"/>
      <c r="M41" s="185">
        <v>6.9211499999999995E-2</v>
      </c>
      <c r="N41" s="184"/>
      <c r="O41" s="185">
        <f>+O38</f>
        <v>7.2431300000000004E-2</v>
      </c>
      <c r="P41" s="185"/>
      <c r="Q41" s="185">
        <v>7.2844500000000006E-2</v>
      </c>
      <c r="R41" s="186"/>
      <c r="S41" s="185"/>
      <c r="T41" s="158"/>
      <c r="U41" s="29"/>
      <c r="V41" s="196"/>
      <c r="W41" s="6"/>
    </row>
    <row r="42" spans="1:23" ht="15.6">
      <c r="A42" s="25"/>
      <c r="B42" s="26" t="s">
        <v>17</v>
      </c>
      <c r="C42" s="187">
        <v>39918</v>
      </c>
      <c r="D42" s="187"/>
      <c r="E42" s="187">
        <v>39918</v>
      </c>
      <c r="F42" s="187"/>
      <c r="G42" s="187">
        <v>39918</v>
      </c>
      <c r="H42" s="187"/>
      <c r="I42" s="187">
        <v>39918</v>
      </c>
      <c r="J42" s="187"/>
      <c r="K42" s="187">
        <v>39918</v>
      </c>
      <c r="L42" s="187"/>
      <c r="M42" s="187">
        <v>39918</v>
      </c>
      <c r="N42" s="187"/>
      <c r="O42" s="187">
        <v>39918</v>
      </c>
      <c r="P42" s="187"/>
      <c r="Q42" s="187">
        <v>39918</v>
      </c>
      <c r="R42" s="157"/>
      <c r="S42" s="157"/>
      <c r="T42" s="158"/>
      <c r="U42" s="29"/>
      <c r="V42" s="196"/>
      <c r="W42" s="6"/>
    </row>
    <row r="43" spans="1:23" ht="15.6">
      <c r="A43" s="25"/>
      <c r="B43" s="26" t="s">
        <v>18</v>
      </c>
      <c r="C43" s="46">
        <v>40283</v>
      </c>
      <c r="D43" s="51"/>
      <c r="E43" s="46">
        <v>40283</v>
      </c>
      <c r="F43" s="51"/>
      <c r="G43" s="46">
        <v>40283</v>
      </c>
      <c r="H43" s="51"/>
      <c r="I43" s="46">
        <v>40283</v>
      </c>
      <c r="J43" s="51"/>
      <c r="K43" s="46">
        <v>40283</v>
      </c>
      <c r="L43" s="51"/>
      <c r="M43" s="46">
        <v>40283</v>
      </c>
      <c r="N43" s="51"/>
      <c r="O43" s="46">
        <v>40283</v>
      </c>
      <c r="P43" s="46"/>
      <c r="Q43" s="46">
        <v>40283</v>
      </c>
      <c r="R43" s="33"/>
      <c r="S43" s="33"/>
      <c r="T43" s="29"/>
      <c r="U43" s="29"/>
      <c r="V43" s="196"/>
      <c r="W43" s="6"/>
    </row>
    <row r="44" spans="1:23" ht="15.6">
      <c r="A44" s="25"/>
      <c r="B44" s="26" t="s">
        <v>154</v>
      </c>
      <c r="C44" s="33" t="s">
        <v>163</v>
      </c>
      <c r="D44" s="33"/>
      <c r="E44" s="33" t="s">
        <v>163</v>
      </c>
      <c r="F44" s="33"/>
      <c r="G44" s="33" t="s">
        <v>164</v>
      </c>
      <c r="H44" s="33"/>
      <c r="I44" s="33" t="s">
        <v>164</v>
      </c>
      <c r="J44" s="33"/>
      <c r="K44" s="33" t="s">
        <v>106</v>
      </c>
      <c r="L44" s="33"/>
      <c r="M44" s="33" t="s">
        <v>165</v>
      </c>
      <c r="N44" s="33"/>
      <c r="O44" s="33" t="s">
        <v>166</v>
      </c>
      <c r="P44" s="33"/>
      <c r="Q44" s="33" t="s">
        <v>167</v>
      </c>
      <c r="R44" s="33"/>
      <c r="S44" s="33"/>
      <c r="T44" s="29"/>
      <c r="U44" s="29"/>
      <c r="V44" s="196"/>
      <c r="W44" s="6"/>
    </row>
    <row r="45" spans="1:23" ht="15.6">
      <c r="A45" s="25"/>
      <c r="B45" s="26" t="s">
        <v>266</v>
      </c>
      <c r="C45" s="33" t="s">
        <v>163</v>
      </c>
      <c r="D45" s="26"/>
      <c r="E45" s="33" t="s">
        <v>228</v>
      </c>
      <c r="F45" s="26"/>
      <c r="G45" s="33" t="s">
        <v>164</v>
      </c>
      <c r="H45" s="26"/>
      <c r="I45" s="33" t="s">
        <v>226</v>
      </c>
      <c r="J45" s="26"/>
      <c r="K45" s="33" t="s">
        <v>106</v>
      </c>
      <c r="L45" s="26"/>
      <c r="M45" s="33" t="s">
        <v>227</v>
      </c>
      <c r="N45" s="26"/>
      <c r="O45" s="33" t="s">
        <v>166</v>
      </c>
      <c r="P45" s="33"/>
      <c r="Q45" s="33" t="s">
        <v>229</v>
      </c>
      <c r="R45" s="33"/>
      <c r="S45" s="33"/>
      <c r="T45" s="29"/>
      <c r="U45" s="29"/>
      <c r="V45" s="196"/>
      <c r="W45" s="6"/>
    </row>
    <row r="46" spans="1:23" ht="15.6">
      <c r="A46" s="25"/>
      <c r="B46" s="26"/>
      <c r="C46" s="26"/>
      <c r="D46" s="26"/>
      <c r="E46" s="26"/>
      <c r="F46" s="26"/>
      <c r="G46" s="26"/>
      <c r="H46" s="26"/>
      <c r="I46" s="26"/>
      <c r="J46" s="26"/>
      <c r="K46" s="26"/>
      <c r="L46" s="26"/>
      <c r="M46" s="47"/>
      <c r="N46" s="47"/>
      <c r="O46" s="26"/>
      <c r="P46" s="47"/>
      <c r="Q46" s="47"/>
      <c r="R46" s="47"/>
      <c r="S46" s="47"/>
      <c r="T46" s="47"/>
      <c r="U46" s="47"/>
      <c r="V46" s="196"/>
      <c r="W46" s="6"/>
    </row>
    <row r="47" spans="1:23" ht="15.6">
      <c r="A47" s="25"/>
      <c r="B47" s="26" t="s">
        <v>201</v>
      </c>
      <c r="C47" s="26"/>
      <c r="D47" s="26"/>
      <c r="E47" s="26"/>
      <c r="F47" s="26"/>
      <c r="G47" s="26"/>
      <c r="H47" s="26"/>
      <c r="I47" s="26"/>
      <c r="J47" s="26"/>
      <c r="K47" s="26"/>
      <c r="L47" s="26"/>
      <c r="M47" s="26"/>
      <c r="N47" s="26"/>
      <c r="O47" s="26"/>
      <c r="P47" s="26"/>
      <c r="Q47" s="26"/>
      <c r="R47" s="26"/>
      <c r="S47" s="26"/>
      <c r="T47" s="26"/>
      <c r="U47" s="45">
        <f>SUM(G31:Q31)/(C31+E31)</f>
        <v>0.3888888888888889</v>
      </c>
      <c r="V47" s="196"/>
      <c r="W47" s="6"/>
    </row>
    <row r="48" spans="1:23" ht="15.6">
      <c r="A48" s="25"/>
      <c r="B48" s="26" t="s">
        <v>202</v>
      </c>
      <c r="C48" s="26"/>
      <c r="D48" s="26"/>
      <c r="E48" s="26"/>
      <c r="F48" s="26"/>
      <c r="G48" s="26"/>
      <c r="H48" s="26"/>
      <c r="I48" s="26"/>
      <c r="J48" s="26"/>
      <c r="K48" s="26"/>
      <c r="L48" s="26"/>
      <c r="M48" s="26"/>
      <c r="N48" s="26"/>
      <c r="O48" s="26"/>
      <c r="P48" s="26"/>
      <c r="Q48" s="26"/>
      <c r="R48" s="26"/>
      <c r="S48" s="26"/>
      <c r="T48" s="26"/>
      <c r="U48" s="45">
        <f>SUM(F33:Q33)/(C33+E33)</f>
        <v>0.3888888888888889</v>
      </c>
      <c r="V48" s="196"/>
      <c r="W48" s="6"/>
    </row>
    <row r="49" spans="1:23" ht="15.6">
      <c r="A49" s="25"/>
      <c r="B49" s="26" t="s">
        <v>203</v>
      </c>
      <c r="C49" s="26"/>
      <c r="D49" s="26"/>
      <c r="E49" s="26"/>
      <c r="F49" s="26"/>
      <c r="G49" s="26"/>
      <c r="H49" s="26"/>
      <c r="I49" s="26"/>
      <c r="J49" s="26"/>
      <c r="K49" s="26"/>
      <c r="L49" s="26"/>
      <c r="M49" s="26"/>
      <c r="N49" s="26"/>
      <c r="O49" s="26"/>
      <c r="P49" s="26"/>
      <c r="Q49" s="26"/>
      <c r="R49" s="26"/>
      <c r="S49" s="33" t="s">
        <v>95</v>
      </c>
      <c r="T49" s="33" t="s">
        <v>117</v>
      </c>
      <c r="U49" s="34">
        <v>99000</v>
      </c>
      <c r="V49" s="196"/>
      <c r="W49" s="6"/>
    </row>
    <row r="50" spans="1:23" ht="15.6">
      <c r="A50" s="25"/>
      <c r="B50" s="26"/>
      <c r="C50" s="26"/>
      <c r="D50" s="26"/>
      <c r="E50" s="26"/>
      <c r="F50" s="26"/>
      <c r="G50" s="26"/>
      <c r="H50" s="26"/>
      <c r="I50" s="26"/>
      <c r="J50" s="26"/>
      <c r="K50" s="26"/>
      <c r="L50" s="26"/>
      <c r="M50" s="26"/>
      <c r="N50" s="26"/>
      <c r="O50" s="26"/>
      <c r="P50" s="26"/>
      <c r="Q50" s="26"/>
      <c r="R50" s="26"/>
      <c r="S50" s="26" t="s">
        <v>213</v>
      </c>
      <c r="T50" s="26"/>
      <c r="U50" s="48"/>
      <c r="V50" s="196"/>
      <c r="W50" s="6"/>
    </row>
    <row r="51" spans="1:23" ht="15.6">
      <c r="A51" s="25"/>
      <c r="B51" s="26" t="s">
        <v>19</v>
      </c>
      <c r="C51" s="26"/>
      <c r="D51" s="26"/>
      <c r="E51" s="26"/>
      <c r="F51" s="26"/>
      <c r="G51" s="26"/>
      <c r="H51" s="26"/>
      <c r="I51" s="26"/>
      <c r="J51" s="26"/>
      <c r="K51" s="26"/>
      <c r="L51" s="26"/>
      <c r="M51" s="26"/>
      <c r="N51" s="26"/>
      <c r="O51" s="26"/>
      <c r="P51" s="26"/>
      <c r="Q51" s="26"/>
      <c r="R51" s="26"/>
      <c r="S51" s="33"/>
      <c r="T51" s="33"/>
      <c r="U51" s="33" t="s">
        <v>118</v>
      </c>
      <c r="V51" s="196"/>
      <c r="W51" s="6"/>
    </row>
    <row r="52" spans="1:23" ht="15.6">
      <c r="A52" s="40"/>
      <c r="B52" s="30" t="s">
        <v>20</v>
      </c>
      <c r="C52" s="30"/>
      <c r="D52" s="30"/>
      <c r="E52" s="30"/>
      <c r="F52" s="30"/>
      <c r="G52" s="30"/>
      <c r="H52" s="30"/>
      <c r="I52" s="30"/>
      <c r="J52" s="30"/>
      <c r="K52" s="30"/>
      <c r="L52" s="30"/>
      <c r="M52" s="30"/>
      <c r="N52" s="30"/>
      <c r="O52" s="30"/>
      <c r="P52" s="30"/>
      <c r="Q52" s="30"/>
      <c r="R52" s="30"/>
      <c r="S52" s="49"/>
      <c r="T52" s="49"/>
      <c r="U52" s="50">
        <v>39553</v>
      </c>
      <c r="V52" s="198"/>
      <c r="W52" s="6"/>
    </row>
    <row r="53" spans="1:23" ht="15.6">
      <c r="A53" s="25"/>
      <c r="B53" s="26" t="s">
        <v>155</v>
      </c>
      <c r="C53" s="26"/>
      <c r="D53" s="26"/>
      <c r="E53" s="26"/>
      <c r="F53" s="26"/>
      <c r="G53" s="26"/>
      <c r="H53" s="26"/>
      <c r="I53" s="26"/>
      <c r="J53" s="26"/>
      <c r="K53" s="26"/>
      <c r="L53" s="26"/>
      <c r="M53" s="26"/>
      <c r="N53" s="26"/>
      <c r="O53" s="26"/>
      <c r="P53" s="26"/>
      <c r="Q53" s="29"/>
      <c r="R53" s="26">
        <f>U53-S53+1</f>
        <v>92</v>
      </c>
      <c r="S53" s="52">
        <v>39370</v>
      </c>
      <c r="T53" s="53"/>
      <c r="U53" s="52">
        <v>39461</v>
      </c>
      <c r="V53" s="196"/>
      <c r="W53" s="6"/>
    </row>
    <row r="54" spans="1:23" ht="15.6">
      <c r="A54" s="25"/>
      <c r="B54" s="26" t="s">
        <v>156</v>
      </c>
      <c r="C54" s="26"/>
      <c r="D54" s="26"/>
      <c r="E54" s="26"/>
      <c r="F54" s="26"/>
      <c r="G54" s="26"/>
      <c r="H54" s="26"/>
      <c r="I54" s="26"/>
      <c r="J54" s="26"/>
      <c r="K54" s="26"/>
      <c r="L54" s="26"/>
      <c r="M54" s="26"/>
      <c r="N54" s="26"/>
      <c r="O54" s="26"/>
      <c r="P54" s="26"/>
      <c r="Q54" s="29"/>
      <c r="R54" s="26">
        <f>U54-S54+1</f>
        <v>91</v>
      </c>
      <c r="S54" s="52">
        <v>39462</v>
      </c>
      <c r="T54" s="53"/>
      <c r="U54" s="52">
        <v>39552</v>
      </c>
      <c r="V54" s="196"/>
      <c r="W54" s="6"/>
    </row>
    <row r="55" spans="1:23" ht="15.6">
      <c r="A55" s="25"/>
      <c r="B55" s="26" t="s">
        <v>21</v>
      </c>
      <c r="C55" s="26"/>
      <c r="D55" s="26"/>
      <c r="E55" s="26"/>
      <c r="F55" s="26"/>
      <c r="G55" s="26"/>
      <c r="H55" s="26"/>
      <c r="I55" s="26"/>
      <c r="J55" s="26"/>
      <c r="K55" s="26"/>
      <c r="L55" s="26"/>
      <c r="M55" s="26"/>
      <c r="N55" s="26"/>
      <c r="O55" s="26"/>
      <c r="P55" s="26"/>
      <c r="Q55" s="26"/>
      <c r="R55" s="26"/>
      <c r="S55" s="52"/>
      <c r="T55" s="53"/>
      <c r="U55" s="52" t="s">
        <v>119</v>
      </c>
      <c r="V55" s="196"/>
      <c r="W55" s="6"/>
    </row>
    <row r="56" spans="1:23" ht="15.6">
      <c r="A56" s="25"/>
      <c r="B56" s="26" t="s">
        <v>22</v>
      </c>
      <c r="C56" s="26"/>
      <c r="D56" s="26"/>
      <c r="E56" s="26"/>
      <c r="F56" s="26"/>
      <c r="G56" s="26"/>
      <c r="H56" s="26"/>
      <c r="I56" s="26"/>
      <c r="J56" s="26"/>
      <c r="K56" s="26"/>
      <c r="L56" s="26"/>
      <c r="M56" s="26"/>
      <c r="N56" s="26"/>
      <c r="O56" s="26"/>
      <c r="P56" s="26"/>
      <c r="Q56" s="26"/>
      <c r="R56" s="26"/>
      <c r="S56" s="52"/>
      <c r="T56" s="53"/>
      <c r="U56" s="52">
        <v>39539</v>
      </c>
      <c r="V56" s="196"/>
      <c r="W56" s="6"/>
    </row>
    <row r="57" spans="1:23" ht="15.6">
      <c r="A57" s="25"/>
      <c r="B57" s="26"/>
      <c r="C57" s="26"/>
      <c r="D57" s="26"/>
      <c r="E57" s="26"/>
      <c r="F57" s="26"/>
      <c r="G57" s="26"/>
      <c r="H57" s="26"/>
      <c r="I57" s="26"/>
      <c r="J57" s="26"/>
      <c r="K57" s="26"/>
      <c r="L57" s="26"/>
      <c r="M57" s="26"/>
      <c r="N57" s="26"/>
      <c r="O57" s="26"/>
      <c r="P57" s="26"/>
      <c r="Q57" s="26"/>
      <c r="R57" s="26"/>
      <c r="S57" s="26"/>
      <c r="T57" s="26"/>
      <c r="U57" s="54"/>
      <c r="V57" s="196"/>
      <c r="W57" s="6"/>
    </row>
    <row r="58" spans="1:23" ht="15.6">
      <c r="A58" s="7"/>
      <c r="B58" s="9"/>
      <c r="C58" s="9"/>
      <c r="D58" s="9"/>
      <c r="E58" s="9"/>
      <c r="F58" s="9"/>
      <c r="G58" s="9"/>
      <c r="H58" s="9"/>
      <c r="I58" s="9"/>
      <c r="J58" s="9"/>
      <c r="K58" s="9"/>
      <c r="L58" s="9"/>
      <c r="M58" s="9"/>
      <c r="N58" s="9"/>
      <c r="O58" s="9"/>
      <c r="P58" s="9"/>
      <c r="Q58" s="9"/>
      <c r="R58" s="9"/>
      <c r="S58" s="9"/>
      <c r="T58" s="9"/>
      <c r="U58" s="55"/>
      <c r="V58" s="194"/>
      <c r="W58" s="6"/>
    </row>
    <row r="59" spans="1:23" ht="16.2" thickBot="1">
      <c r="A59" s="130"/>
      <c r="B59" s="131" t="s">
        <v>248</v>
      </c>
      <c r="C59" s="132"/>
      <c r="D59" s="132"/>
      <c r="E59" s="132"/>
      <c r="F59" s="132"/>
      <c r="G59" s="132"/>
      <c r="H59" s="132"/>
      <c r="I59" s="132"/>
      <c r="J59" s="132"/>
      <c r="K59" s="132"/>
      <c r="L59" s="132"/>
      <c r="M59" s="132"/>
      <c r="N59" s="132"/>
      <c r="O59" s="132"/>
      <c r="P59" s="132"/>
      <c r="Q59" s="132"/>
      <c r="R59" s="132"/>
      <c r="S59" s="132"/>
      <c r="T59" s="132"/>
      <c r="U59" s="133"/>
      <c r="V59" s="134"/>
      <c r="W59" s="6"/>
    </row>
    <row r="60" spans="1:23" ht="15.6">
      <c r="A60" s="2"/>
      <c r="B60" s="5" t="s">
        <v>237</v>
      </c>
      <c r="C60" s="5"/>
      <c r="D60" s="5"/>
      <c r="E60" s="5"/>
      <c r="F60" s="5"/>
      <c r="G60" s="5"/>
      <c r="H60" s="5"/>
      <c r="I60" s="5"/>
      <c r="J60" s="5"/>
      <c r="K60" s="5"/>
      <c r="L60" s="5"/>
      <c r="M60" s="5"/>
      <c r="N60" s="5"/>
      <c r="O60" s="5"/>
      <c r="P60" s="5"/>
      <c r="Q60" s="5"/>
      <c r="R60" s="5"/>
      <c r="S60" s="5"/>
      <c r="T60" s="5"/>
      <c r="U60" s="56"/>
      <c r="V60" s="193"/>
      <c r="W60" s="6"/>
    </row>
    <row r="61" spans="1:23" ht="15.6">
      <c r="A61" s="7"/>
      <c r="B61" s="57" t="s">
        <v>23</v>
      </c>
      <c r="C61" s="13"/>
      <c r="D61" s="13"/>
      <c r="E61" s="13"/>
      <c r="F61" s="13"/>
      <c r="G61" s="13"/>
      <c r="H61" s="13"/>
      <c r="I61" s="13"/>
      <c r="J61" s="13"/>
      <c r="K61" s="13"/>
      <c r="L61" s="13"/>
      <c r="M61" s="9"/>
      <c r="N61" s="9"/>
      <c r="O61" s="9"/>
      <c r="P61" s="9"/>
      <c r="Q61" s="9"/>
      <c r="R61" s="9"/>
      <c r="S61" s="9"/>
      <c r="T61" s="9"/>
      <c r="U61" s="58"/>
      <c r="V61" s="194"/>
      <c r="W61" s="6"/>
    </row>
    <row r="62" spans="1:23" ht="15.6">
      <c r="A62" s="7"/>
      <c r="B62" s="13"/>
      <c r="C62" s="13"/>
      <c r="D62" s="13"/>
      <c r="E62" s="13"/>
      <c r="F62" s="13"/>
      <c r="G62" s="13"/>
      <c r="H62" s="13"/>
      <c r="I62" s="13"/>
      <c r="J62" s="13"/>
      <c r="K62" s="13"/>
      <c r="L62" s="13"/>
      <c r="M62" s="9"/>
      <c r="N62" s="9"/>
      <c r="O62" s="9"/>
      <c r="P62" s="9"/>
      <c r="Q62" s="9"/>
      <c r="R62" s="9"/>
      <c r="S62" s="9"/>
      <c r="T62" s="9"/>
      <c r="U62" s="58"/>
      <c r="V62" s="194"/>
      <c r="W62" s="6"/>
    </row>
    <row r="63" spans="1:23" s="151" customFormat="1" ht="46.8">
      <c r="A63" s="145"/>
      <c r="B63" s="146"/>
      <c r="C63" s="147"/>
      <c r="D63" s="147"/>
      <c r="E63" s="147"/>
      <c r="F63" s="147"/>
      <c r="G63" s="147"/>
      <c r="H63" s="147"/>
      <c r="I63" s="147"/>
      <c r="J63" s="147"/>
      <c r="K63" s="147" t="s">
        <v>197</v>
      </c>
      <c r="L63" s="147"/>
      <c r="M63" s="147" t="s">
        <v>98</v>
      </c>
      <c r="N63" s="147"/>
      <c r="O63" s="147" t="s">
        <v>107</v>
      </c>
      <c r="P63" s="147"/>
      <c r="Q63" s="147" t="s">
        <v>111</v>
      </c>
      <c r="R63" s="147"/>
      <c r="S63" s="147" t="s">
        <v>113</v>
      </c>
      <c r="T63" s="147"/>
      <c r="U63" s="148" t="s">
        <v>120</v>
      </c>
      <c r="V63" s="199"/>
      <c r="W63" s="150"/>
    </row>
    <row r="64" spans="1:23" ht="15.6">
      <c r="A64" s="25"/>
      <c r="B64" s="26" t="s">
        <v>24</v>
      </c>
      <c r="C64" s="59"/>
      <c r="D64" s="59"/>
      <c r="E64" s="59"/>
      <c r="F64" s="59"/>
      <c r="G64" s="59"/>
      <c r="H64" s="59"/>
      <c r="I64" s="59"/>
      <c r="J64" s="59"/>
      <c r="K64" s="59">
        <f>265+63566+3306</f>
        <v>67137</v>
      </c>
      <c r="L64" s="59"/>
      <c r="M64" s="59">
        <v>35523</v>
      </c>
      <c r="N64" s="59"/>
      <c r="O64" s="59">
        <f>5+3858+24+899</f>
        <v>4786</v>
      </c>
      <c r="P64" s="59"/>
      <c r="Q64" s="59">
        <v>344</v>
      </c>
      <c r="R64" s="59"/>
      <c r="S64" s="59">
        <v>0</v>
      </c>
      <c r="T64" s="59"/>
      <c r="U64" s="60">
        <f>+M64-O64+Q64-S64</f>
        <v>31081</v>
      </c>
      <c r="V64" s="196"/>
      <c r="W64" s="6"/>
    </row>
    <row r="65" spans="1:24" ht="15.6">
      <c r="A65" s="25"/>
      <c r="B65" s="26" t="s">
        <v>25</v>
      </c>
      <c r="C65" s="59"/>
      <c r="D65" s="59"/>
      <c r="E65" s="59"/>
      <c r="F65" s="59"/>
      <c r="G65" s="59"/>
      <c r="H65" s="59"/>
      <c r="I65" s="59"/>
      <c r="J65" s="59"/>
      <c r="K65" s="59"/>
      <c r="L65" s="59"/>
      <c r="M65" s="59"/>
      <c r="N65" s="59"/>
      <c r="O65" s="59"/>
      <c r="P65" s="59"/>
      <c r="Q65" s="59">
        <v>0</v>
      </c>
      <c r="R65" s="59"/>
      <c r="S65" s="59">
        <v>0</v>
      </c>
      <c r="T65" s="59"/>
      <c r="U65" s="60">
        <f>M65-O65</f>
        <v>0</v>
      </c>
      <c r="V65" s="196"/>
      <c r="W65" s="6"/>
    </row>
    <row r="66" spans="1:24" ht="15.6">
      <c r="A66" s="25"/>
      <c r="B66" s="26"/>
      <c r="C66" s="59"/>
      <c r="D66" s="59"/>
      <c r="E66" s="59"/>
      <c r="F66" s="59"/>
      <c r="G66" s="59"/>
      <c r="H66" s="59"/>
      <c r="I66" s="59"/>
      <c r="J66" s="59"/>
      <c r="K66" s="59"/>
      <c r="L66" s="59"/>
      <c r="M66" s="59"/>
      <c r="N66" s="59"/>
      <c r="O66" s="59"/>
      <c r="P66" s="59"/>
      <c r="Q66" s="59"/>
      <c r="R66" s="59"/>
      <c r="S66" s="59"/>
      <c r="T66" s="59"/>
      <c r="U66" s="60"/>
      <c r="V66" s="196"/>
      <c r="W66" s="6"/>
    </row>
    <row r="67" spans="1:24" ht="15.6">
      <c r="A67" s="25"/>
      <c r="B67" s="26" t="s">
        <v>26</v>
      </c>
      <c r="C67" s="59"/>
      <c r="D67" s="59"/>
      <c r="E67" s="59"/>
      <c r="F67" s="59"/>
      <c r="G67" s="59"/>
      <c r="H67" s="59"/>
      <c r="I67" s="59"/>
      <c r="J67" s="59"/>
      <c r="K67" s="59">
        <v>24470</v>
      </c>
      <c r="L67" s="59"/>
      <c r="M67" s="59">
        <v>41805</v>
      </c>
      <c r="N67" s="59"/>
      <c r="O67" s="59">
        <f>15004</f>
        <v>15004</v>
      </c>
      <c r="P67" s="59"/>
      <c r="Q67" s="59">
        <f>13850-47</f>
        <v>13803</v>
      </c>
      <c r="R67" s="59"/>
      <c r="S67" s="59">
        <f>SUM(S64:S66)</f>
        <v>0</v>
      </c>
      <c r="T67" s="59"/>
      <c r="U67" s="60">
        <f>+M67-O67+Q67-S67</f>
        <v>40604</v>
      </c>
      <c r="V67" s="196"/>
      <c r="W67" s="6"/>
    </row>
    <row r="68" spans="1:24" ht="15.6">
      <c r="A68" s="25"/>
      <c r="B68" s="26" t="s">
        <v>25</v>
      </c>
      <c r="C68" s="59"/>
      <c r="D68" s="59"/>
      <c r="E68" s="59"/>
      <c r="F68" s="59"/>
      <c r="G68" s="59"/>
      <c r="H68" s="59"/>
      <c r="I68" s="59"/>
      <c r="J68" s="59"/>
      <c r="K68" s="59"/>
      <c r="L68" s="59"/>
      <c r="M68" s="59"/>
      <c r="N68" s="59"/>
      <c r="O68" s="59"/>
      <c r="P68" s="59"/>
      <c r="Q68" s="59">
        <v>0</v>
      </c>
      <c r="R68" s="59"/>
      <c r="S68" s="59">
        <v>0</v>
      </c>
      <c r="T68" s="59"/>
      <c r="U68" s="61"/>
      <c r="V68" s="196"/>
      <c r="W68" s="6"/>
    </row>
    <row r="69" spans="1:24" ht="15.6">
      <c r="A69" s="25"/>
      <c r="B69" s="62"/>
      <c r="C69" s="59"/>
      <c r="D69" s="59"/>
      <c r="E69" s="59"/>
      <c r="F69" s="59"/>
      <c r="G69" s="59"/>
      <c r="H69" s="59"/>
      <c r="I69" s="59"/>
      <c r="J69" s="59"/>
      <c r="K69" s="59"/>
      <c r="L69" s="59"/>
      <c r="M69" s="59"/>
      <c r="N69" s="59"/>
      <c r="O69" s="63"/>
      <c r="P69" s="59"/>
      <c r="Q69" s="59"/>
      <c r="R69" s="59"/>
      <c r="S69" s="59"/>
      <c r="T69" s="59"/>
      <c r="U69" s="61"/>
      <c r="V69" s="196"/>
      <c r="W69" s="6"/>
    </row>
    <row r="70" spans="1:24" ht="15.6">
      <c r="A70" s="25"/>
      <c r="B70" s="26" t="s">
        <v>27</v>
      </c>
      <c r="C70" s="59"/>
      <c r="D70" s="59"/>
      <c r="E70" s="59"/>
      <c r="F70" s="59"/>
      <c r="G70" s="59"/>
      <c r="H70" s="59"/>
      <c r="I70" s="59"/>
      <c r="J70" s="59"/>
      <c r="K70" s="59">
        <v>220072</v>
      </c>
      <c r="L70" s="59"/>
      <c r="M70" s="59">
        <v>181696</v>
      </c>
      <c r="N70" s="59"/>
      <c r="O70" s="59">
        <f>16287+805</f>
        <v>17092</v>
      </c>
      <c r="P70" s="59"/>
      <c r="Q70" s="59">
        <f>36421+16</f>
        <v>36437</v>
      </c>
      <c r="R70" s="59"/>
      <c r="S70" s="59">
        <v>0</v>
      </c>
      <c r="T70" s="59"/>
      <c r="U70" s="60">
        <f>+M70-O70+Q70-S70</f>
        <v>201041</v>
      </c>
      <c r="V70" s="196"/>
      <c r="W70" s="6"/>
    </row>
    <row r="71" spans="1:24" ht="15.6">
      <c r="A71" s="25"/>
      <c r="B71" s="26" t="s">
        <v>25</v>
      </c>
      <c r="C71" s="59"/>
      <c r="D71" s="59"/>
      <c r="E71" s="59"/>
      <c r="F71" s="59"/>
      <c r="G71" s="59"/>
      <c r="H71" s="59"/>
      <c r="I71" s="59"/>
      <c r="J71" s="59"/>
      <c r="K71" s="59"/>
      <c r="L71" s="59"/>
      <c r="M71" s="59"/>
      <c r="N71" s="59"/>
      <c r="O71" s="59"/>
      <c r="P71" s="59"/>
      <c r="Q71" s="59">
        <v>0</v>
      </c>
      <c r="R71" s="59"/>
      <c r="S71" s="59">
        <v>0</v>
      </c>
      <c r="T71" s="59"/>
      <c r="U71" s="60">
        <f>M71-O71+Q71-S71</f>
        <v>0</v>
      </c>
      <c r="V71" s="196"/>
      <c r="W71" s="6"/>
    </row>
    <row r="72" spans="1:24" ht="15.6">
      <c r="A72" s="25"/>
      <c r="B72" s="26"/>
      <c r="C72" s="59"/>
      <c r="D72" s="59"/>
      <c r="E72" s="59"/>
      <c r="F72" s="59"/>
      <c r="G72" s="59"/>
      <c r="H72" s="59"/>
      <c r="I72" s="59"/>
      <c r="J72" s="59"/>
      <c r="K72" s="59"/>
      <c r="L72" s="59"/>
      <c r="M72" s="59"/>
      <c r="N72" s="59"/>
      <c r="O72" s="59"/>
      <c r="P72" s="59"/>
      <c r="Q72" s="59"/>
      <c r="R72" s="59"/>
      <c r="S72" s="59"/>
      <c r="T72" s="59"/>
      <c r="U72" s="60"/>
      <c r="V72" s="196"/>
      <c r="W72" s="6"/>
    </row>
    <row r="73" spans="1:24" ht="15.6">
      <c r="A73" s="25"/>
      <c r="B73" s="26" t="s">
        <v>28</v>
      </c>
      <c r="C73" s="59"/>
      <c r="D73" s="59"/>
      <c r="E73" s="59"/>
      <c r="F73" s="59"/>
      <c r="G73" s="59"/>
      <c r="H73" s="59"/>
      <c r="I73" s="59"/>
      <c r="J73" s="59"/>
      <c r="K73" s="59">
        <v>138321</v>
      </c>
      <c r="L73" s="59"/>
      <c r="M73" s="59">
        <v>120077</v>
      </c>
      <c r="N73" s="59"/>
      <c r="O73" s="59">
        <f>14445+836</f>
        <v>15281</v>
      </c>
      <c r="P73" s="59"/>
      <c r="Q73" s="59">
        <v>2601</v>
      </c>
      <c r="R73" s="59"/>
      <c r="S73" s="59">
        <v>0</v>
      </c>
      <c r="T73" s="59"/>
      <c r="U73" s="60">
        <f>+M73-O73+Q73-S73</f>
        <v>107397</v>
      </c>
      <c r="V73" s="196"/>
      <c r="W73" s="6"/>
    </row>
    <row r="74" spans="1:24" ht="15.6">
      <c r="A74" s="25"/>
      <c r="B74" s="26" t="s">
        <v>25</v>
      </c>
      <c r="C74" s="59"/>
      <c r="D74" s="59"/>
      <c r="E74" s="59"/>
      <c r="F74" s="59"/>
      <c r="G74" s="59"/>
      <c r="H74" s="59"/>
      <c r="I74" s="59"/>
      <c r="J74" s="59"/>
      <c r="K74" s="59"/>
      <c r="L74" s="59"/>
      <c r="M74" s="59"/>
      <c r="N74" s="59"/>
      <c r="O74" s="59"/>
      <c r="P74" s="59"/>
      <c r="Q74" s="59">
        <v>0</v>
      </c>
      <c r="R74" s="59"/>
      <c r="S74" s="59">
        <v>0</v>
      </c>
      <c r="T74" s="59"/>
      <c r="U74" s="60"/>
      <c r="V74" s="196"/>
      <c r="W74" s="6"/>
    </row>
    <row r="75" spans="1:24" ht="15.6">
      <c r="A75" s="25"/>
      <c r="B75" s="59"/>
      <c r="C75" s="59"/>
      <c r="D75" s="59"/>
      <c r="E75" s="59"/>
      <c r="F75" s="59"/>
      <c r="G75" s="59"/>
      <c r="H75" s="59"/>
      <c r="I75" s="59"/>
      <c r="J75" s="59"/>
      <c r="K75" s="59"/>
      <c r="L75" s="59"/>
      <c r="M75" s="59"/>
      <c r="N75" s="59"/>
      <c r="O75" s="59"/>
      <c r="P75" s="59"/>
      <c r="Q75" s="59"/>
      <c r="R75" s="59"/>
      <c r="S75" s="59"/>
      <c r="T75" s="59"/>
      <c r="U75" s="60"/>
      <c r="V75" s="196"/>
      <c r="W75" s="6"/>
    </row>
    <row r="76" spans="1:24" ht="15.6">
      <c r="A76" s="25"/>
      <c r="B76" s="26" t="s">
        <v>29</v>
      </c>
      <c r="C76" s="59"/>
      <c r="D76" s="59"/>
      <c r="E76" s="59"/>
      <c r="F76" s="59"/>
      <c r="G76" s="59"/>
      <c r="H76" s="59"/>
      <c r="I76" s="59"/>
      <c r="J76" s="59"/>
      <c r="K76" s="59">
        <f>SUM(K64:K73)</f>
        <v>450000</v>
      </c>
      <c r="L76" s="59"/>
      <c r="M76" s="59">
        <f>SUM(M64:M73)</f>
        <v>379101</v>
      </c>
      <c r="N76" s="59"/>
      <c r="O76" s="59">
        <f>SUM(O64:O74)</f>
        <v>52163</v>
      </c>
      <c r="P76" s="59"/>
      <c r="Q76" s="59">
        <f>SUM(Q64:Q74)</f>
        <v>53185</v>
      </c>
      <c r="R76" s="59"/>
      <c r="S76" s="59">
        <f>SUM(S71:S75)</f>
        <v>0</v>
      </c>
      <c r="T76" s="59"/>
      <c r="U76" s="59">
        <f>SUM(U64:U74)</f>
        <v>380123</v>
      </c>
      <c r="V76" s="196"/>
      <c r="W76" s="6"/>
      <c r="X76" s="182"/>
    </row>
    <row r="77" spans="1:24" ht="15.6">
      <c r="A77" s="25"/>
      <c r="B77" s="26"/>
      <c r="C77" s="59"/>
      <c r="D77" s="59"/>
      <c r="E77" s="59"/>
      <c r="F77" s="59"/>
      <c r="G77" s="59"/>
      <c r="H77" s="59"/>
      <c r="I77" s="59"/>
      <c r="J77" s="59"/>
      <c r="K77" s="59"/>
      <c r="L77" s="59"/>
      <c r="M77" s="59"/>
      <c r="N77" s="59"/>
      <c r="O77" s="59"/>
      <c r="P77" s="59"/>
      <c r="Q77" s="59"/>
      <c r="R77" s="59"/>
      <c r="S77" s="59"/>
      <c r="T77" s="59"/>
      <c r="U77" s="61"/>
      <c r="V77" s="196"/>
      <c r="W77" s="6"/>
    </row>
    <row r="78" spans="1:24" ht="15.6">
      <c r="A78" s="25"/>
      <c r="B78" s="26" t="s">
        <v>214</v>
      </c>
      <c r="C78" s="59"/>
      <c r="D78" s="59"/>
      <c r="E78" s="59"/>
      <c r="F78" s="59"/>
      <c r="G78" s="59"/>
      <c r="H78" s="59"/>
      <c r="I78" s="59"/>
      <c r="J78" s="59"/>
      <c r="K78" s="59">
        <v>0</v>
      </c>
      <c r="L78" s="59"/>
      <c r="M78" s="59">
        <v>-9590</v>
      </c>
      <c r="N78" s="59"/>
      <c r="O78" s="59">
        <v>277</v>
      </c>
      <c r="P78" s="59"/>
      <c r="Q78" s="59"/>
      <c r="R78" s="59"/>
      <c r="S78" s="59"/>
      <c r="T78" s="59"/>
      <c r="U78" s="60">
        <f>+M78-O78</f>
        <v>-9867</v>
      </c>
      <c r="V78" s="196"/>
      <c r="W78" s="6"/>
    </row>
    <row r="79" spans="1:24" ht="15.6">
      <c r="A79" s="25"/>
      <c r="B79" s="26" t="s">
        <v>30</v>
      </c>
      <c r="C79" s="59"/>
      <c r="D79" s="59"/>
      <c r="E79" s="59"/>
      <c r="F79" s="59"/>
      <c r="G79" s="59"/>
      <c r="H79" s="59"/>
      <c r="I79" s="59"/>
      <c r="J79" s="59"/>
      <c r="K79" s="59">
        <v>0</v>
      </c>
      <c r="L79" s="59"/>
      <c r="M79" s="59">
        <v>80489</v>
      </c>
      <c r="N79" s="59"/>
      <c r="O79" s="59">
        <f>SUM(O76:O78)</f>
        <v>52440</v>
      </c>
      <c r="P79" s="59"/>
      <c r="Q79" s="59">
        <f>-Q76</f>
        <v>-53185</v>
      </c>
      <c r="R79" s="59"/>
      <c r="S79" s="59"/>
      <c r="T79" s="59"/>
      <c r="U79" s="61">
        <f>+M79+O79+Q79</f>
        <v>79744</v>
      </c>
      <c r="V79" s="196"/>
      <c r="W79" s="6"/>
      <c r="X79" s="182"/>
    </row>
    <row r="80" spans="1:24" ht="15.6">
      <c r="A80" s="25"/>
      <c r="B80" s="26" t="s">
        <v>31</v>
      </c>
      <c r="C80" s="59"/>
      <c r="D80" s="59"/>
      <c r="E80" s="59"/>
      <c r="F80" s="59"/>
      <c r="G80" s="59"/>
      <c r="H80" s="59"/>
      <c r="I80" s="59"/>
      <c r="J80" s="59"/>
      <c r="K80" s="59">
        <v>0</v>
      </c>
      <c r="L80" s="59"/>
      <c r="M80" s="59">
        <v>0</v>
      </c>
      <c r="N80" s="59"/>
      <c r="O80" s="59"/>
      <c r="P80" s="59"/>
      <c r="Q80" s="59">
        <v>0</v>
      </c>
      <c r="R80" s="59"/>
      <c r="S80" s="59"/>
      <c r="T80" s="59"/>
      <c r="U80" s="61">
        <f>Q80+M80</f>
        <v>0</v>
      </c>
      <c r="V80" s="196"/>
      <c r="W80" s="6"/>
    </row>
    <row r="81" spans="1:24" ht="15.6">
      <c r="A81" s="25"/>
      <c r="B81" s="26" t="s">
        <v>16</v>
      </c>
      <c r="C81" s="61"/>
      <c r="D81" s="61"/>
      <c r="E81" s="61"/>
      <c r="F81" s="61"/>
      <c r="G81" s="61"/>
      <c r="H81" s="61"/>
      <c r="I81" s="61"/>
      <c r="J81" s="61"/>
      <c r="K81" s="61">
        <f>SUM(K76:K80)</f>
        <v>450000</v>
      </c>
      <c r="L81" s="61"/>
      <c r="M81" s="61">
        <f>SUM(M76:M80)</f>
        <v>450000</v>
      </c>
      <c r="N81" s="59"/>
      <c r="O81" s="59">
        <f>O79-O80</f>
        <v>52440</v>
      </c>
      <c r="P81" s="59"/>
      <c r="Q81" s="59"/>
      <c r="R81" s="59"/>
      <c r="S81" s="59"/>
      <c r="T81" s="59"/>
      <c r="U81" s="61">
        <f>SUM(U76:U80)</f>
        <v>450000</v>
      </c>
      <c r="V81" s="196"/>
      <c r="W81" s="6"/>
    </row>
    <row r="82" spans="1:24" ht="15.6">
      <c r="A82" s="25"/>
      <c r="B82" s="59"/>
      <c r="C82" s="26"/>
      <c r="D82" s="26"/>
      <c r="E82" s="26"/>
      <c r="F82" s="26"/>
      <c r="G82" s="26"/>
      <c r="H82" s="26"/>
      <c r="I82" s="26"/>
      <c r="J82" s="26"/>
      <c r="K82" s="26"/>
      <c r="L82" s="26"/>
      <c r="M82" s="26"/>
      <c r="N82" s="26"/>
      <c r="O82" s="26"/>
      <c r="P82" s="26"/>
      <c r="Q82" s="26"/>
      <c r="R82" s="26"/>
      <c r="S82" s="33"/>
      <c r="T82" s="26"/>
      <c r="U82" s="33"/>
      <c r="V82" s="196"/>
      <c r="W82" s="6"/>
    </row>
    <row r="83" spans="1:24" ht="15.6">
      <c r="A83" s="7"/>
      <c r="B83" s="57" t="s">
        <v>32</v>
      </c>
      <c r="C83" s="14"/>
      <c r="D83" s="14"/>
      <c r="E83" s="14"/>
      <c r="F83" s="14"/>
      <c r="G83" s="14"/>
      <c r="H83" s="14"/>
      <c r="I83" s="14"/>
      <c r="J83" s="14"/>
      <c r="K83" s="14"/>
      <c r="L83" s="14"/>
      <c r="M83" s="14"/>
      <c r="N83" s="14"/>
      <c r="O83" s="14"/>
      <c r="P83" s="14"/>
      <c r="Q83" s="14"/>
      <c r="R83" s="17"/>
      <c r="S83" s="17"/>
      <c r="T83" s="17"/>
      <c r="U83" s="17" t="s">
        <v>121</v>
      </c>
      <c r="V83" s="200"/>
      <c r="W83" s="6"/>
    </row>
    <row r="84" spans="1:24" ht="15.6">
      <c r="A84" s="25"/>
      <c r="B84" s="26" t="s">
        <v>33</v>
      </c>
      <c r="C84" s="26"/>
      <c r="D84" s="26"/>
      <c r="E84" s="26"/>
      <c r="F84" s="26"/>
      <c r="G84" s="26"/>
      <c r="H84" s="26"/>
      <c r="I84" s="26"/>
      <c r="J84" s="26"/>
      <c r="K84" s="26"/>
      <c r="L84" s="26"/>
      <c r="M84" s="26"/>
      <c r="N84" s="26"/>
      <c r="O84" s="59"/>
      <c r="P84" s="26"/>
      <c r="Q84" s="26"/>
      <c r="R84" s="26"/>
      <c r="S84" s="59"/>
      <c r="T84" s="26"/>
      <c r="U84" s="60">
        <v>128998</v>
      </c>
      <c r="V84" s="196"/>
      <c r="W84" s="6"/>
    </row>
    <row r="85" spans="1:24" ht="15.6">
      <c r="A85" s="25"/>
      <c r="B85" s="26" t="s">
        <v>34</v>
      </c>
      <c r="C85" s="47"/>
      <c r="D85" s="47"/>
      <c r="E85" s="47"/>
      <c r="F85" s="47"/>
      <c r="G85" s="47"/>
      <c r="H85" s="47"/>
      <c r="I85" s="47"/>
      <c r="J85" s="47"/>
      <c r="K85" s="47"/>
      <c r="L85" s="47"/>
      <c r="M85" s="51"/>
      <c r="N85" s="26"/>
      <c r="O85" s="26"/>
      <c r="P85" s="26"/>
      <c r="Q85" s="26"/>
      <c r="R85" s="26"/>
      <c r="S85" s="59"/>
      <c r="T85" s="26"/>
      <c r="U85" s="60">
        <f>1325+250+68-15-40-34</f>
        <v>1554</v>
      </c>
      <c r="V85" s="196"/>
      <c r="W85" s="6"/>
    </row>
    <row r="86" spans="1:24" ht="15.6">
      <c r="A86" s="25"/>
      <c r="B86" s="26" t="s">
        <v>230</v>
      </c>
      <c r="C86" s="26"/>
      <c r="D86" s="26"/>
      <c r="E86" s="26"/>
      <c r="F86" s="26"/>
      <c r="G86" s="26"/>
      <c r="H86" s="26"/>
      <c r="I86" s="26"/>
      <c r="J86" s="26"/>
      <c r="K86" s="26"/>
      <c r="L86" s="26"/>
      <c r="M86" s="26"/>
      <c r="N86" s="26"/>
      <c r="O86" s="26"/>
      <c r="P86" s="26"/>
      <c r="Q86" s="26"/>
      <c r="R86" s="26"/>
      <c r="S86" s="59"/>
      <c r="T86" s="26"/>
      <c r="U86" s="60">
        <v>0</v>
      </c>
      <c r="V86" s="196"/>
      <c r="W86" s="6"/>
      <c r="X86" s="64"/>
    </row>
    <row r="87" spans="1:24" ht="15.6">
      <c r="A87" s="25"/>
      <c r="B87" s="26" t="s">
        <v>231</v>
      </c>
      <c r="C87" s="26"/>
      <c r="D87" s="26"/>
      <c r="E87" s="26"/>
      <c r="F87" s="26"/>
      <c r="G87" s="26"/>
      <c r="H87" s="26"/>
      <c r="I87" s="26"/>
      <c r="J87" s="26"/>
      <c r="K87" s="26"/>
      <c r="L87" s="26"/>
      <c r="M87" s="26"/>
      <c r="N87" s="26"/>
      <c r="O87" s="26"/>
      <c r="P87" s="26"/>
      <c r="Q87" s="26"/>
      <c r="R87" s="26"/>
      <c r="S87" s="59"/>
      <c r="T87" s="26"/>
      <c r="U87" s="60">
        <v>0</v>
      </c>
      <c r="V87" s="196"/>
      <c r="W87" s="6"/>
      <c r="X87" s="64"/>
    </row>
    <row r="88" spans="1:24" ht="15.6">
      <c r="A88" s="25"/>
      <c r="B88" s="26" t="s">
        <v>35</v>
      </c>
      <c r="C88" s="26"/>
      <c r="D88" s="26"/>
      <c r="E88" s="26"/>
      <c r="F88" s="26"/>
      <c r="G88" s="26"/>
      <c r="H88" s="26"/>
      <c r="I88" s="26"/>
      <c r="J88" s="26"/>
      <c r="K88" s="26"/>
      <c r="L88" s="26"/>
      <c r="M88" s="26"/>
      <c r="N88" s="26"/>
      <c r="O88" s="26"/>
      <c r="P88" s="26"/>
      <c r="Q88" s="26"/>
      <c r="R88" s="26"/>
      <c r="S88" s="59"/>
      <c r="T88" s="26"/>
      <c r="U88" s="60">
        <f>SUM(U84:U87)</f>
        <v>130552</v>
      </c>
      <c r="V88" s="196"/>
      <c r="W88" s="6"/>
      <c r="X88" s="64"/>
    </row>
    <row r="89" spans="1:24" ht="15.6">
      <c r="A89" s="25"/>
      <c r="B89" s="26"/>
      <c r="C89" s="26"/>
      <c r="D89" s="26"/>
      <c r="E89" s="26"/>
      <c r="F89" s="26"/>
      <c r="G89" s="26"/>
      <c r="H89" s="26"/>
      <c r="I89" s="26"/>
      <c r="J89" s="26"/>
      <c r="K89" s="26"/>
      <c r="L89" s="26"/>
      <c r="M89" s="26"/>
      <c r="N89" s="26"/>
      <c r="O89" s="26"/>
      <c r="P89" s="26"/>
      <c r="Q89" s="26"/>
      <c r="R89" s="26"/>
      <c r="S89" s="59"/>
      <c r="T89" s="26"/>
      <c r="U89" s="61"/>
      <c r="V89" s="196"/>
      <c r="W89" s="6"/>
    </row>
    <row r="90" spans="1:24" ht="15.6">
      <c r="A90" s="25"/>
      <c r="B90" s="152" t="s">
        <v>36</v>
      </c>
      <c r="C90" s="65"/>
      <c r="D90" s="65"/>
      <c r="E90" s="65"/>
      <c r="F90" s="65"/>
      <c r="G90" s="65"/>
      <c r="H90" s="65"/>
      <c r="I90" s="65"/>
      <c r="J90" s="65"/>
      <c r="K90" s="65"/>
      <c r="L90" s="65"/>
      <c r="M90" s="26"/>
      <c r="N90" s="26"/>
      <c r="O90" s="26"/>
      <c r="P90" s="26"/>
      <c r="Q90" s="26"/>
      <c r="R90" s="26"/>
      <c r="S90" s="59"/>
      <c r="T90" s="26"/>
      <c r="U90" s="60"/>
      <c r="V90" s="196"/>
      <c r="W90" s="6"/>
      <c r="X90" s="64"/>
    </row>
    <row r="91" spans="1:24" ht="15.6">
      <c r="A91" s="25">
        <v>1</v>
      </c>
      <c r="B91" s="26" t="s">
        <v>37</v>
      </c>
      <c r="C91" s="26"/>
      <c r="D91" s="26"/>
      <c r="E91" s="26"/>
      <c r="F91" s="26"/>
      <c r="G91" s="26"/>
      <c r="H91" s="26"/>
      <c r="I91" s="26"/>
      <c r="J91" s="26"/>
      <c r="K91" s="26"/>
      <c r="L91" s="26"/>
      <c r="M91" s="26"/>
      <c r="N91" s="26"/>
      <c r="O91" s="26"/>
      <c r="P91" s="26"/>
      <c r="Q91" s="26"/>
      <c r="R91" s="26"/>
      <c r="S91" s="26"/>
      <c r="T91" s="26"/>
      <c r="U91" s="60">
        <v>-2</v>
      </c>
      <c r="V91" s="196"/>
      <c r="W91" s="6"/>
    </row>
    <row r="92" spans="1:24" ht="15.6">
      <c r="A92" s="25">
        <f>A91+1</f>
        <v>2</v>
      </c>
      <c r="B92" s="26" t="s">
        <v>168</v>
      </c>
      <c r="C92" s="26"/>
      <c r="D92" s="26"/>
      <c r="E92" s="26"/>
      <c r="F92" s="26"/>
      <c r="G92" s="26"/>
      <c r="H92" s="26"/>
      <c r="I92" s="26"/>
      <c r="J92" s="26"/>
      <c r="K92" s="26"/>
      <c r="L92" s="26"/>
      <c r="M92" s="26"/>
      <c r="N92" s="26"/>
      <c r="O92" s="26"/>
      <c r="P92" s="26"/>
      <c r="Q92" s="26"/>
      <c r="R92" s="26"/>
      <c r="S92" s="26"/>
      <c r="T92" s="26"/>
      <c r="U92" s="60">
        <f>-377-188-10</f>
        <v>-575</v>
      </c>
      <c r="V92" s="196"/>
      <c r="W92" s="6"/>
      <c r="X92" s="64"/>
    </row>
    <row r="93" spans="1:24" ht="15.6">
      <c r="A93" s="25">
        <v>3</v>
      </c>
      <c r="B93" s="26" t="s">
        <v>38</v>
      </c>
      <c r="C93" s="26"/>
      <c r="D93" s="26"/>
      <c r="E93" s="26"/>
      <c r="F93" s="26"/>
      <c r="G93" s="26"/>
      <c r="H93" s="26"/>
      <c r="I93" s="26"/>
      <c r="J93" s="26"/>
      <c r="K93" s="26"/>
      <c r="L93" s="26"/>
      <c r="M93" s="26"/>
      <c r="N93" s="26"/>
      <c r="O93" s="26"/>
      <c r="P93" s="26"/>
      <c r="Q93" s="26"/>
      <c r="R93" s="26"/>
      <c r="S93" s="26"/>
      <c r="T93" s="26"/>
      <c r="U93" s="60">
        <v>-436</v>
      </c>
      <c r="V93" s="196"/>
      <c r="W93" s="6"/>
      <c r="X93" s="64"/>
    </row>
    <row r="94" spans="1:24" ht="15.6">
      <c r="A94" s="177" t="s">
        <v>190</v>
      </c>
      <c r="B94" s="26" t="s">
        <v>169</v>
      </c>
      <c r="C94" s="26"/>
      <c r="D94" s="26"/>
      <c r="E94" s="26"/>
      <c r="F94" s="26"/>
      <c r="G94" s="26"/>
      <c r="H94" s="26"/>
      <c r="I94" s="26"/>
      <c r="J94" s="26"/>
      <c r="K94" s="26"/>
      <c r="L94" s="26"/>
      <c r="M94" s="26"/>
      <c r="N94" s="26"/>
      <c r="O94" s="26"/>
      <c r="P94" s="26"/>
      <c r="Q94" s="26"/>
      <c r="R94" s="26"/>
      <c r="S94" s="26"/>
      <c r="T94" s="26"/>
      <c r="U94" s="60">
        <v>-2137</v>
      </c>
      <c r="V94" s="196"/>
      <c r="W94" s="6"/>
      <c r="X94" s="64"/>
    </row>
    <row r="95" spans="1:24" ht="15.6">
      <c r="A95" s="177" t="s">
        <v>191</v>
      </c>
      <c r="B95" s="26" t="s">
        <v>170</v>
      </c>
      <c r="C95" s="26"/>
      <c r="D95" s="26"/>
      <c r="E95" s="26"/>
      <c r="F95" s="26"/>
      <c r="G95" s="26"/>
      <c r="H95" s="26"/>
      <c r="I95" s="26"/>
      <c r="J95" s="26"/>
      <c r="K95" s="26"/>
      <c r="L95" s="26"/>
      <c r="M95" s="26"/>
      <c r="N95" s="26"/>
      <c r="O95" s="26"/>
      <c r="P95" s="26"/>
      <c r="Q95" s="26"/>
      <c r="R95" s="26"/>
      <c r="S95" s="26"/>
      <c r="T95" s="26"/>
      <c r="U95" s="60">
        <v>-2618</v>
      </c>
      <c r="V95" s="196"/>
      <c r="W95" s="6"/>
      <c r="X95" s="182"/>
    </row>
    <row r="96" spans="1:24" ht="15.6">
      <c r="A96" s="25">
        <v>5</v>
      </c>
      <c r="B96" s="26" t="s">
        <v>171</v>
      </c>
      <c r="C96" s="26"/>
      <c r="D96" s="26"/>
      <c r="E96" s="26"/>
      <c r="F96" s="26"/>
      <c r="G96" s="26"/>
      <c r="H96" s="26"/>
      <c r="I96" s="26"/>
      <c r="J96" s="26"/>
      <c r="K96" s="26"/>
      <c r="L96" s="26"/>
      <c r="M96" s="26"/>
      <c r="N96" s="26"/>
      <c r="O96" s="26"/>
      <c r="P96" s="26"/>
      <c r="Q96" s="26"/>
      <c r="R96" s="26"/>
      <c r="S96" s="26"/>
      <c r="T96" s="26"/>
      <c r="U96" s="60">
        <v>-7</v>
      </c>
      <c r="V96" s="196"/>
      <c r="W96" s="6"/>
    </row>
    <row r="97" spans="1:24" ht="15.6">
      <c r="A97" s="177" t="s">
        <v>174</v>
      </c>
      <c r="B97" s="26" t="s">
        <v>172</v>
      </c>
      <c r="C97" s="26"/>
      <c r="D97" s="26"/>
      <c r="E97" s="26"/>
      <c r="F97" s="26"/>
      <c r="G97" s="26"/>
      <c r="H97" s="26"/>
      <c r="I97" s="26"/>
      <c r="J97" s="26"/>
      <c r="K97" s="26"/>
      <c r="L97" s="26"/>
      <c r="M97" s="26"/>
      <c r="N97" s="26"/>
      <c r="O97" s="26"/>
      <c r="P97" s="26"/>
      <c r="Q97" s="26"/>
      <c r="R97" s="26"/>
      <c r="S97" s="26"/>
      <c r="T97" s="26"/>
      <c r="U97" s="60">
        <v>-239</v>
      </c>
      <c r="V97" s="196"/>
      <c r="W97" s="6"/>
      <c r="X97" s="182"/>
    </row>
    <row r="98" spans="1:24" ht="15.6">
      <c r="A98" s="177" t="s">
        <v>176</v>
      </c>
      <c r="B98" s="26" t="s">
        <v>173</v>
      </c>
      <c r="C98" s="26"/>
      <c r="D98" s="26"/>
      <c r="E98" s="26"/>
      <c r="F98" s="26"/>
      <c r="G98" s="26"/>
      <c r="H98" s="26"/>
      <c r="I98" s="26"/>
      <c r="J98" s="26"/>
      <c r="K98" s="26"/>
      <c r="L98" s="26"/>
      <c r="M98" s="26"/>
      <c r="N98" s="26"/>
      <c r="O98" s="26"/>
      <c r="P98" s="26"/>
      <c r="Q98" s="26"/>
      <c r="R98" s="26"/>
      <c r="S98" s="26"/>
      <c r="T98" s="26"/>
      <c r="U98" s="60">
        <v>-368</v>
      </c>
      <c r="V98" s="196"/>
      <c r="W98" s="119"/>
      <c r="X98" s="182"/>
    </row>
    <row r="99" spans="1:24" ht="15.6">
      <c r="A99" s="177" t="s">
        <v>178</v>
      </c>
      <c r="B99" s="26" t="s">
        <v>175</v>
      </c>
      <c r="C99" s="26"/>
      <c r="D99" s="26"/>
      <c r="E99" s="26"/>
      <c r="F99" s="26"/>
      <c r="G99" s="26"/>
      <c r="H99" s="26"/>
      <c r="I99" s="26"/>
      <c r="J99" s="26"/>
      <c r="K99" s="26"/>
      <c r="L99" s="26"/>
      <c r="M99" s="26"/>
      <c r="N99" s="26"/>
      <c r="O99" s="26"/>
      <c r="P99" s="26"/>
      <c r="Q99" s="26"/>
      <c r="R99" s="26"/>
      <c r="S99" s="26"/>
      <c r="T99" s="26"/>
      <c r="U99" s="60">
        <v>-280</v>
      </c>
      <c r="V99" s="196"/>
      <c r="W99" s="6"/>
      <c r="X99" s="182"/>
    </row>
    <row r="100" spans="1:24" ht="15.6">
      <c r="A100" s="177" t="s">
        <v>180</v>
      </c>
      <c r="B100" s="26" t="s">
        <v>177</v>
      </c>
      <c r="C100" s="26"/>
      <c r="D100" s="26"/>
      <c r="E100" s="26"/>
      <c r="F100" s="26"/>
      <c r="G100" s="26"/>
      <c r="H100" s="26"/>
      <c r="I100" s="26"/>
      <c r="J100" s="26"/>
      <c r="K100" s="26"/>
      <c r="L100" s="26"/>
      <c r="M100" s="26"/>
      <c r="N100" s="26"/>
      <c r="O100" s="26"/>
      <c r="P100" s="26"/>
      <c r="Q100" s="26"/>
      <c r="R100" s="26"/>
      <c r="S100" s="26"/>
      <c r="T100" s="26"/>
      <c r="U100" s="60">
        <v>-352</v>
      </c>
      <c r="V100" s="196"/>
      <c r="W100" s="119"/>
      <c r="X100" s="182"/>
    </row>
    <row r="101" spans="1:24" ht="15.6">
      <c r="A101" s="177" t="s">
        <v>192</v>
      </c>
      <c r="B101" s="26" t="s">
        <v>179</v>
      </c>
      <c r="C101" s="26"/>
      <c r="D101" s="26"/>
      <c r="E101" s="26"/>
      <c r="F101" s="26"/>
      <c r="G101" s="26"/>
      <c r="H101" s="26"/>
      <c r="I101" s="26"/>
      <c r="J101" s="26"/>
      <c r="K101" s="26"/>
      <c r="L101" s="26"/>
      <c r="M101" s="26"/>
      <c r="N101" s="26"/>
      <c r="O101" s="26"/>
      <c r="P101" s="26"/>
      <c r="Q101" s="26"/>
      <c r="R101" s="26"/>
      <c r="S101" s="26"/>
      <c r="T101" s="26"/>
      <c r="U101" s="60">
        <v>-403</v>
      </c>
      <c r="V101" s="196"/>
      <c r="W101" s="6"/>
      <c r="X101" s="182"/>
    </row>
    <row r="102" spans="1:24" ht="15.6">
      <c r="A102" s="177" t="s">
        <v>193</v>
      </c>
      <c r="B102" s="26" t="s">
        <v>181</v>
      </c>
      <c r="C102" s="26"/>
      <c r="D102" s="26"/>
      <c r="E102" s="26"/>
      <c r="F102" s="26"/>
      <c r="G102" s="26"/>
      <c r="H102" s="26"/>
      <c r="I102" s="26"/>
      <c r="J102" s="26"/>
      <c r="K102" s="26"/>
      <c r="L102" s="26"/>
      <c r="M102" s="26"/>
      <c r="N102" s="26"/>
      <c r="O102" s="26"/>
      <c r="P102" s="26"/>
      <c r="Q102" s="26"/>
      <c r="R102" s="26"/>
      <c r="S102" s="26"/>
      <c r="T102" s="26"/>
      <c r="U102" s="60">
        <v>-339</v>
      </c>
      <c r="V102" s="196"/>
      <c r="W102" s="119"/>
      <c r="X102" s="182"/>
    </row>
    <row r="103" spans="1:24" ht="15.6">
      <c r="A103" s="25">
        <v>9</v>
      </c>
      <c r="B103" s="26" t="s">
        <v>182</v>
      </c>
      <c r="C103" s="26"/>
      <c r="D103" s="26"/>
      <c r="E103" s="26"/>
      <c r="F103" s="26"/>
      <c r="G103" s="26"/>
      <c r="H103" s="26"/>
      <c r="I103" s="26"/>
      <c r="J103" s="26"/>
      <c r="K103" s="26"/>
      <c r="L103" s="26"/>
      <c r="M103" s="26"/>
      <c r="N103" s="26"/>
      <c r="O103" s="26"/>
      <c r="P103" s="26"/>
      <c r="Q103" s="26"/>
      <c r="R103" s="26"/>
      <c r="S103" s="26"/>
      <c r="T103" s="26"/>
      <c r="U103" s="60">
        <f>+S220-U32</f>
        <v>-79744</v>
      </c>
      <c r="V103" s="196"/>
      <c r="W103" s="6"/>
      <c r="X103" s="182"/>
    </row>
    <row r="104" spans="1:24" ht="15.6">
      <c r="A104" s="25">
        <v>10</v>
      </c>
      <c r="B104" s="26" t="s">
        <v>234</v>
      </c>
      <c r="C104" s="26"/>
      <c r="D104" s="26"/>
      <c r="E104" s="26"/>
      <c r="F104" s="26"/>
      <c r="G104" s="26"/>
      <c r="H104" s="26"/>
      <c r="I104" s="26"/>
      <c r="J104" s="26"/>
      <c r="K104" s="26"/>
      <c r="L104" s="26"/>
      <c r="M104" s="26"/>
      <c r="N104" s="26"/>
      <c r="O104" s="26"/>
      <c r="P104" s="26"/>
      <c r="Q104" s="26"/>
      <c r="R104" s="26"/>
      <c r="S104" s="26"/>
      <c r="T104" s="26"/>
      <c r="U104" s="60">
        <v>-40500</v>
      </c>
      <c r="V104" s="196"/>
      <c r="W104" s="6"/>
      <c r="X104" s="64"/>
    </row>
    <row r="105" spans="1:24" ht="15.6">
      <c r="A105" s="25">
        <v>11</v>
      </c>
      <c r="B105" s="26" t="s">
        <v>183</v>
      </c>
      <c r="C105" s="26"/>
      <c r="D105" s="26"/>
      <c r="E105" s="26"/>
      <c r="F105" s="26"/>
      <c r="G105" s="26"/>
      <c r="H105" s="26"/>
      <c r="I105" s="26"/>
      <c r="J105" s="26"/>
      <c r="K105" s="26"/>
      <c r="L105" s="26"/>
      <c r="M105" s="26"/>
      <c r="N105" s="26"/>
      <c r="O105" s="26"/>
      <c r="P105" s="26"/>
      <c r="Q105" s="26"/>
      <c r="R105" s="26"/>
      <c r="S105" s="26"/>
      <c r="T105" s="26"/>
      <c r="U105" s="60">
        <v>0</v>
      </c>
      <c r="V105" s="196"/>
      <c r="W105" s="6"/>
      <c r="X105" s="64"/>
    </row>
    <row r="106" spans="1:24" ht="15.6">
      <c r="A106" s="25">
        <v>12</v>
      </c>
      <c r="B106" s="26" t="s">
        <v>184</v>
      </c>
      <c r="C106" s="26"/>
      <c r="D106" s="26"/>
      <c r="E106" s="26"/>
      <c r="F106" s="26"/>
      <c r="G106" s="26"/>
      <c r="H106" s="26"/>
      <c r="I106" s="26"/>
      <c r="J106" s="26"/>
      <c r="K106" s="26"/>
      <c r="L106" s="26"/>
      <c r="M106" s="26"/>
      <c r="N106" s="26"/>
      <c r="O106" s="26"/>
      <c r="P106" s="26"/>
      <c r="Q106" s="26"/>
      <c r="R106" s="26"/>
      <c r="S106" s="26"/>
      <c r="T106" s="26"/>
      <c r="U106" s="60">
        <v>-424</v>
      </c>
      <c r="V106" s="196"/>
      <c r="W106" s="6"/>
      <c r="X106" s="182"/>
    </row>
    <row r="107" spans="1:24" ht="15.6">
      <c r="A107" s="25">
        <v>13</v>
      </c>
      <c r="B107" s="26" t="s">
        <v>40</v>
      </c>
      <c r="C107" s="26"/>
      <c r="D107" s="26"/>
      <c r="E107" s="26"/>
      <c r="F107" s="26"/>
      <c r="G107" s="26"/>
      <c r="H107" s="26"/>
      <c r="I107" s="26"/>
      <c r="J107" s="26"/>
      <c r="K107" s="26"/>
      <c r="L107" s="26"/>
      <c r="M107" s="26"/>
      <c r="N107" s="26"/>
      <c r="O107" s="26"/>
      <c r="P107" s="26"/>
      <c r="Q107" s="26"/>
      <c r="R107" s="26"/>
      <c r="S107" s="26"/>
      <c r="T107" s="26"/>
      <c r="U107" s="60">
        <f>-SUM(U88:U106)</f>
        <v>-2128</v>
      </c>
      <c r="V107" s="196"/>
      <c r="W107" s="6"/>
      <c r="X107" s="182"/>
    </row>
    <row r="108" spans="1:24" ht="15.6">
      <c r="A108" s="25"/>
      <c r="B108" s="29"/>
      <c r="C108" s="26"/>
      <c r="D108" s="26"/>
      <c r="E108" s="26"/>
      <c r="F108" s="26"/>
      <c r="G108" s="26"/>
      <c r="H108" s="26"/>
      <c r="I108" s="26"/>
      <c r="J108" s="26"/>
      <c r="K108" s="26"/>
      <c r="L108" s="26"/>
      <c r="M108" s="26"/>
      <c r="N108" s="26"/>
      <c r="O108" s="26"/>
      <c r="P108" s="26"/>
      <c r="Q108" s="26"/>
      <c r="R108" s="26"/>
      <c r="S108" s="59"/>
      <c r="T108" s="59"/>
      <c r="U108" s="59"/>
      <c r="V108" s="196"/>
      <c r="W108" s="6"/>
      <c r="X108" s="182"/>
    </row>
    <row r="109" spans="1:24" ht="15.6">
      <c r="A109" s="7"/>
      <c r="B109" s="12"/>
      <c r="C109" s="9"/>
      <c r="D109" s="9"/>
      <c r="E109" s="9"/>
      <c r="F109" s="9"/>
      <c r="G109" s="9"/>
      <c r="H109" s="9"/>
      <c r="I109" s="9"/>
      <c r="J109" s="9"/>
      <c r="K109" s="9"/>
      <c r="L109" s="9"/>
      <c r="M109" s="9"/>
      <c r="N109" s="9"/>
      <c r="O109" s="9"/>
      <c r="P109" s="9"/>
      <c r="Q109" s="9"/>
      <c r="R109" s="9"/>
      <c r="S109" s="66"/>
      <c r="T109" s="66"/>
      <c r="U109" s="66"/>
      <c r="V109" s="194"/>
      <c r="W109" s="6"/>
    </row>
    <row r="110" spans="1:24" ht="16.2" thickBot="1">
      <c r="A110" s="130"/>
      <c r="B110" s="131" t="str">
        <f>+B59</f>
        <v>PPAF3 INVESTOR REPORT QUARTER ENDING MARCH 2008</v>
      </c>
      <c r="C110" s="132"/>
      <c r="D110" s="132"/>
      <c r="E110" s="132"/>
      <c r="F110" s="132"/>
      <c r="G110" s="132"/>
      <c r="H110" s="132"/>
      <c r="I110" s="132"/>
      <c r="J110" s="132"/>
      <c r="K110" s="132"/>
      <c r="L110" s="132"/>
      <c r="M110" s="132"/>
      <c r="N110" s="132"/>
      <c r="O110" s="132"/>
      <c r="P110" s="132"/>
      <c r="Q110" s="132"/>
      <c r="R110" s="132"/>
      <c r="S110" s="135"/>
      <c r="T110" s="135"/>
      <c r="U110" s="135"/>
      <c r="V110" s="134"/>
      <c r="W110" s="6"/>
    </row>
    <row r="111" spans="1:24" ht="15.6">
      <c r="A111" s="2"/>
      <c r="B111" s="5"/>
      <c r="C111" s="5"/>
      <c r="D111" s="5"/>
      <c r="E111" s="5"/>
      <c r="F111" s="5"/>
      <c r="G111" s="5"/>
      <c r="H111" s="5"/>
      <c r="I111" s="5"/>
      <c r="J111" s="5"/>
      <c r="K111" s="5"/>
      <c r="L111" s="5"/>
      <c r="M111" s="5"/>
      <c r="N111" s="5"/>
      <c r="O111" s="5"/>
      <c r="P111" s="5"/>
      <c r="Q111" s="5"/>
      <c r="R111" s="5"/>
      <c r="S111" s="67"/>
      <c r="T111" s="67"/>
      <c r="U111" s="67"/>
      <c r="V111" s="193"/>
      <c r="W111" s="6"/>
    </row>
    <row r="112" spans="1:24" ht="15.6">
      <c r="A112" s="68"/>
      <c r="B112" s="69" t="s">
        <v>41</v>
      </c>
      <c r="C112" s="70"/>
      <c r="D112" s="70"/>
      <c r="E112" s="70"/>
      <c r="F112" s="70"/>
      <c r="G112" s="70"/>
      <c r="H112" s="70"/>
      <c r="I112" s="70"/>
      <c r="J112" s="70"/>
      <c r="K112" s="70"/>
      <c r="L112" s="70"/>
      <c r="M112" s="70"/>
      <c r="N112" s="70"/>
      <c r="O112" s="70"/>
      <c r="P112" s="70"/>
      <c r="Q112" s="70"/>
      <c r="R112" s="70"/>
      <c r="S112" s="70"/>
      <c r="T112" s="70"/>
      <c r="U112" s="71"/>
      <c r="V112" s="201"/>
      <c r="W112" s="6"/>
    </row>
    <row r="113" spans="1:23" ht="15.6">
      <c r="A113" s="68"/>
      <c r="B113" s="70"/>
      <c r="C113" s="70"/>
      <c r="D113" s="70"/>
      <c r="E113" s="70"/>
      <c r="F113" s="70"/>
      <c r="G113" s="70"/>
      <c r="H113" s="70"/>
      <c r="I113" s="70"/>
      <c r="J113" s="70"/>
      <c r="K113" s="70"/>
      <c r="L113" s="70"/>
      <c r="M113" s="70"/>
      <c r="N113" s="70"/>
      <c r="O113" s="70"/>
      <c r="P113" s="70"/>
      <c r="Q113" s="70"/>
      <c r="R113" s="70"/>
      <c r="S113" s="70"/>
      <c r="T113" s="70"/>
      <c r="U113" s="71"/>
      <c r="V113" s="202"/>
      <c r="W113" s="6"/>
    </row>
    <row r="114" spans="1:23" ht="15.6">
      <c r="A114" s="7"/>
      <c r="B114" s="153" t="s">
        <v>42</v>
      </c>
      <c r="C114" s="13"/>
      <c r="D114" s="13"/>
      <c r="E114" s="13"/>
      <c r="F114" s="13"/>
      <c r="G114" s="13"/>
      <c r="H114" s="13"/>
      <c r="I114" s="13"/>
      <c r="J114" s="13"/>
      <c r="K114" s="13"/>
      <c r="L114" s="13"/>
      <c r="M114" s="9"/>
      <c r="N114" s="9"/>
      <c r="O114" s="9"/>
      <c r="P114" s="9"/>
      <c r="Q114" s="9"/>
      <c r="R114" s="9"/>
      <c r="S114" s="9"/>
      <c r="T114" s="9"/>
      <c r="U114" s="58"/>
      <c r="V114" s="194"/>
      <c r="W114" s="6"/>
    </row>
    <row r="115" spans="1:23" ht="15.6">
      <c r="A115" s="25"/>
      <c r="B115" s="26" t="s">
        <v>43</v>
      </c>
      <c r="C115" s="26"/>
      <c r="D115" s="26"/>
      <c r="E115" s="26"/>
      <c r="F115" s="26"/>
      <c r="G115" s="26"/>
      <c r="H115" s="26"/>
      <c r="I115" s="26"/>
      <c r="J115" s="26"/>
      <c r="K115" s="26"/>
      <c r="L115" s="26"/>
      <c r="M115" s="26"/>
      <c r="N115" s="26"/>
      <c r="O115" s="26"/>
      <c r="P115" s="26"/>
      <c r="Q115" s="26"/>
      <c r="R115" s="26"/>
      <c r="S115" s="26"/>
      <c r="T115" s="26"/>
      <c r="U115" s="60">
        <v>40500</v>
      </c>
      <c r="V115" s="196"/>
      <c r="W115" s="6"/>
    </row>
    <row r="116" spans="1:23" ht="15.6">
      <c r="A116" s="25"/>
      <c r="B116" s="26" t="s">
        <v>240</v>
      </c>
      <c r="C116" s="26"/>
      <c r="D116" s="26"/>
      <c r="E116" s="26"/>
      <c r="F116" s="26"/>
      <c r="G116" s="26"/>
      <c r="H116" s="26"/>
      <c r="I116" s="26"/>
      <c r="J116" s="26"/>
      <c r="K116" s="26"/>
      <c r="L116" s="26"/>
      <c r="M116" s="26"/>
      <c r="N116" s="26"/>
      <c r="O116" s="26"/>
      <c r="P116" s="26"/>
      <c r="Q116" s="26"/>
      <c r="R116" s="26"/>
      <c r="S116" s="26"/>
      <c r="T116" s="26"/>
      <c r="U116" s="60">
        <v>40500</v>
      </c>
      <c r="V116" s="196"/>
      <c r="W116" s="6"/>
    </row>
    <row r="117" spans="1:23" ht="15.6">
      <c r="A117" s="25"/>
      <c r="B117" s="26" t="s">
        <v>241</v>
      </c>
      <c r="C117" s="26"/>
      <c r="D117" s="26"/>
      <c r="E117" s="26"/>
      <c r="F117" s="26"/>
      <c r="G117" s="26"/>
      <c r="H117" s="26"/>
      <c r="I117" s="26"/>
      <c r="J117" s="26"/>
      <c r="K117" s="26"/>
      <c r="L117" s="26"/>
      <c r="M117" s="26"/>
      <c r="N117" s="26"/>
      <c r="O117" s="26"/>
      <c r="P117" s="26"/>
      <c r="Q117" s="26"/>
      <c r="R117" s="26"/>
      <c r="S117" s="26"/>
      <c r="T117" s="26"/>
      <c r="U117" s="60">
        <v>0</v>
      </c>
      <c r="V117" s="196"/>
      <c r="W117" s="6"/>
    </row>
    <row r="118" spans="1:23" ht="15.6">
      <c r="A118" s="25"/>
      <c r="B118" s="26" t="s">
        <v>209</v>
      </c>
      <c r="C118" s="26"/>
      <c r="D118" s="26"/>
      <c r="E118" s="26"/>
      <c r="F118" s="26"/>
      <c r="G118" s="26"/>
      <c r="H118" s="26"/>
      <c r="I118" s="26"/>
      <c r="J118" s="26"/>
      <c r="K118" s="26"/>
      <c r="L118" s="26"/>
      <c r="M118" s="26"/>
      <c r="N118" s="26"/>
      <c r="O118" s="26"/>
      <c r="P118" s="26"/>
      <c r="Q118" s="26"/>
      <c r="R118" s="26"/>
      <c r="S118" s="26"/>
      <c r="T118" s="26"/>
      <c r="U118" s="60">
        <v>0</v>
      </c>
      <c r="V118" s="196"/>
      <c r="W118" s="6"/>
    </row>
    <row r="119" spans="1:23" ht="15.6">
      <c r="A119" s="25"/>
      <c r="B119" s="26" t="s">
        <v>210</v>
      </c>
      <c r="C119" s="26"/>
      <c r="D119" s="26"/>
      <c r="E119" s="26"/>
      <c r="F119" s="26"/>
      <c r="G119" s="26"/>
      <c r="H119" s="26"/>
      <c r="I119" s="26"/>
      <c r="J119" s="26"/>
      <c r="K119" s="26"/>
      <c r="L119" s="26"/>
      <c r="M119" s="26"/>
      <c r="N119" s="26"/>
      <c r="O119" s="26"/>
      <c r="P119" s="26"/>
      <c r="Q119" s="26"/>
      <c r="R119" s="26"/>
      <c r="S119" s="26"/>
      <c r="T119" s="26"/>
      <c r="U119" s="60">
        <v>0</v>
      </c>
      <c r="V119" s="196"/>
      <c r="W119" s="6"/>
    </row>
    <row r="120" spans="1:23" ht="15.6">
      <c r="A120" s="25"/>
      <c r="B120" s="26" t="s">
        <v>211</v>
      </c>
      <c r="C120" s="26"/>
      <c r="D120" s="26"/>
      <c r="E120" s="26"/>
      <c r="F120" s="26"/>
      <c r="G120" s="26"/>
      <c r="H120" s="26"/>
      <c r="I120" s="26"/>
      <c r="J120" s="26"/>
      <c r="K120" s="26"/>
      <c r="L120" s="26"/>
      <c r="M120" s="26"/>
      <c r="N120" s="26"/>
      <c r="O120" s="26"/>
      <c r="P120" s="26"/>
      <c r="Q120" s="26"/>
      <c r="R120" s="26"/>
      <c r="S120" s="26"/>
      <c r="T120" s="26"/>
      <c r="U120" s="60">
        <v>0</v>
      </c>
      <c r="V120" s="196"/>
      <c r="W120" s="6"/>
    </row>
    <row r="121" spans="1:23" ht="15.6">
      <c r="A121" s="25"/>
      <c r="B121" s="26" t="s">
        <v>212</v>
      </c>
      <c r="C121" s="26"/>
      <c r="D121" s="26"/>
      <c r="E121" s="26"/>
      <c r="F121" s="26"/>
      <c r="G121" s="26"/>
      <c r="H121" s="26"/>
      <c r="I121" s="26"/>
      <c r="J121" s="26"/>
      <c r="K121" s="26"/>
      <c r="L121" s="26"/>
      <c r="M121" s="26"/>
      <c r="N121" s="26"/>
      <c r="O121" s="26"/>
      <c r="P121" s="26"/>
      <c r="Q121" s="26"/>
      <c r="R121" s="26"/>
      <c r="S121" s="26"/>
      <c r="T121" s="26"/>
      <c r="U121" s="60">
        <v>0</v>
      </c>
      <c r="V121" s="196"/>
      <c r="W121" s="6"/>
    </row>
    <row r="122" spans="1:23" ht="15.6">
      <c r="A122" s="25"/>
      <c r="B122" s="26" t="s">
        <v>242</v>
      </c>
      <c r="C122" s="26"/>
      <c r="D122" s="26"/>
      <c r="E122" s="26"/>
      <c r="F122" s="26"/>
      <c r="G122" s="26"/>
      <c r="H122" s="26"/>
      <c r="I122" s="26"/>
      <c r="J122" s="26"/>
      <c r="K122" s="26"/>
      <c r="L122" s="26"/>
      <c r="M122" s="26"/>
      <c r="N122" s="26"/>
      <c r="O122" s="26"/>
      <c r="P122" s="26"/>
      <c r="Q122" s="26"/>
      <c r="R122" s="26"/>
      <c r="S122" s="26"/>
      <c r="T122" s="26"/>
      <c r="U122" s="60">
        <v>0</v>
      </c>
      <c r="V122" s="196"/>
      <c r="W122" s="6"/>
    </row>
    <row r="123" spans="1:23" ht="15.6">
      <c r="A123" s="25"/>
      <c r="B123" s="26" t="s">
        <v>45</v>
      </c>
      <c r="C123" s="26"/>
      <c r="D123" s="26"/>
      <c r="E123" s="26"/>
      <c r="F123" s="26"/>
      <c r="G123" s="26"/>
      <c r="H123" s="26"/>
      <c r="I123" s="26"/>
      <c r="J123" s="26"/>
      <c r="K123" s="26"/>
      <c r="L123" s="26"/>
      <c r="M123" s="26"/>
      <c r="N123" s="26"/>
      <c r="O123" s="26"/>
      <c r="P123" s="26"/>
      <c r="Q123" s="26"/>
      <c r="R123" s="26"/>
      <c r="S123" s="26"/>
      <c r="T123" s="26"/>
      <c r="U123" s="60">
        <f>SUM(U116:U122)</f>
        <v>40500</v>
      </c>
      <c r="V123" s="196"/>
      <c r="W123" s="6"/>
    </row>
    <row r="124" spans="1:23" ht="15.6">
      <c r="A124" s="25"/>
      <c r="B124" s="26"/>
      <c r="C124" s="26"/>
      <c r="D124" s="26"/>
      <c r="E124" s="26"/>
      <c r="F124" s="26"/>
      <c r="G124" s="26"/>
      <c r="H124" s="26"/>
      <c r="I124" s="26"/>
      <c r="J124" s="26"/>
      <c r="K124" s="26"/>
      <c r="L124" s="26"/>
      <c r="M124" s="26"/>
      <c r="N124" s="26"/>
      <c r="O124" s="26"/>
      <c r="P124" s="26"/>
      <c r="Q124" s="26"/>
      <c r="R124" s="26"/>
      <c r="S124" s="26"/>
      <c r="T124" s="26"/>
      <c r="U124" s="73"/>
      <c r="V124" s="196"/>
      <c r="W124" s="6"/>
    </row>
    <row r="125" spans="1:23" ht="15.6">
      <c r="A125" s="7"/>
      <c r="B125" s="153" t="s">
        <v>46</v>
      </c>
      <c r="C125" s="13"/>
      <c r="D125" s="13"/>
      <c r="E125" s="13"/>
      <c r="F125" s="13"/>
      <c r="G125" s="13"/>
      <c r="H125" s="13"/>
      <c r="I125" s="13"/>
      <c r="J125" s="13"/>
      <c r="K125" s="13"/>
      <c r="L125" s="13"/>
      <c r="M125" s="9"/>
      <c r="N125" s="9"/>
      <c r="O125" s="9"/>
      <c r="P125" s="188"/>
      <c r="Q125" s="9"/>
      <c r="R125" s="9"/>
      <c r="S125" s="9"/>
      <c r="T125" s="9"/>
      <c r="U125" s="75"/>
      <c r="V125" s="194"/>
      <c r="W125" s="6"/>
    </row>
    <row r="126" spans="1:23" ht="15.6">
      <c r="A126" s="7"/>
      <c r="B126" s="13"/>
      <c r="C126" s="17" t="s">
        <v>185</v>
      </c>
      <c r="D126" s="17"/>
      <c r="E126" s="17" t="s">
        <v>99</v>
      </c>
      <c r="F126" s="17"/>
      <c r="G126" s="17" t="s">
        <v>102</v>
      </c>
      <c r="H126" s="17"/>
      <c r="I126" s="17" t="s">
        <v>108</v>
      </c>
      <c r="J126" s="17"/>
      <c r="K126" s="17"/>
      <c r="L126" s="17"/>
      <c r="M126" s="17"/>
      <c r="N126" s="17"/>
      <c r="O126" s="17"/>
      <c r="P126" s="188"/>
      <c r="Q126" s="188"/>
      <c r="R126" s="9"/>
      <c r="S126" s="9"/>
      <c r="T126" s="9"/>
      <c r="U126" s="75"/>
      <c r="V126" s="194"/>
      <c r="W126" s="6"/>
    </row>
    <row r="127" spans="1:23" ht="15.6">
      <c r="A127" s="25"/>
      <c r="B127" s="26" t="s">
        <v>122</v>
      </c>
      <c r="C127" s="59">
        <f>+N200-'Dec 07'!N200</f>
        <v>-9</v>
      </c>
      <c r="D127" s="26"/>
      <c r="E127" s="59">
        <f>+S200-'Dec 07'!S200</f>
        <v>61</v>
      </c>
      <c r="F127" s="26"/>
      <c r="G127" s="59">
        <f>+N213-'Dec 07'!N213</f>
        <v>386</v>
      </c>
      <c r="H127" s="26"/>
      <c r="I127" s="59">
        <f>+S213-'Dec 07'!S213</f>
        <v>-161</v>
      </c>
      <c r="J127" s="26"/>
      <c r="K127" s="26"/>
      <c r="L127" s="26"/>
      <c r="M127" s="26"/>
      <c r="N127" s="26"/>
      <c r="O127" s="26"/>
      <c r="P127" s="189"/>
      <c r="Q127" s="189"/>
      <c r="R127" s="26"/>
      <c r="S127" s="26"/>
      <c r="T127" s="26"/>
      <c r="U127" s="60">
        <f>SUM(C127:I127)</f>
        <v>277</v>
      </c>
      <c r="V127" s="196"/>
      <c r="W127" s="6"/>
    </row>
    <row r="128" spans="1:23" ht="15.6">
      <c r="A128" s="25"/>
      <c r="B128" s="26" t="s">
        <v>47</v>
      </c>
      <c r="C128" s="26">
        <v>899</v>
      </c>
      <c r="D128" s="26"/>
      <c r="E128" s="26">
        <v>0</v>
      </c>
      <c r="F128" s="26"/>
      <c r="G128" s="26">
        <v>805</v>
      </c>
      <c r="H128" s="26"/>
      <c r="I128" s="59">
        <v>836</v>
      </c>
      <c r="J128" s="26"/>
      <c r="K128" s="26"/>
      <c r="L128" s="26"/>
      <c r="M128" s="26"/>
      <c r="N128" s="26"/>
      <c r="O128" s="26"/>
      <c r="P128" s="189"/>
      <c r="Q128" s="189"/>
      <c r="R128" s="26"/>
      <c r="S128" s="26"/>
      <c r="T128" s="26"/>
      <c r="U128" s="60">
        <f>SUM(C128:I128)</f>
        <v>2540</v>
      </c>
      <c r="V128" s="196"/>
      <c r="W128" s="6"/>
    </row>
    <row r="129" spans="1:25" ht="15.6">
      <c r="A129" s="25"/>
      <c r="B129" s="26" t="s">
        <v>48</v>
      </c>
      <c r="C129" s="26"/>
      <c r="D129" s="26"/>
      <c r="E129" s="26"/>
      <c r="F129" s="26"/>
      <c r="G129" s="26"/>
      <c r="H129" s="26"/>
      <c r="I129" s="26"/>
      <c r="J129" s="26"/>
      <c r="K129" s="26"/>
      <c r="L129" s="26"/>
      <c r="M129" s="26"/>
      <c r="N129" s="26"/>
      <c r="O129" s="26"/>
      <c r="P129" s="26"/>
      <c r="Q129" s="26"/>
      <c r="R129" s="26"/>
      <c r="S129" s="26"/>
      <c r="T129" s="26"/>
      <c r="U129" s="60">
        <f>SUM(U127:U128)</f>
        <v>2817</v>
      </c>
      <c r="V129" s="196"/>
      <c r="W129" s="6"/>
    </row>
    <row r="130" spans="1:25" ht="15.6">
      <c r="A130" s="7"/>
      <c r="B130" s="153" t="s">
        <v>49</v>
      </c>
      <c r="C130" s="13"/>
      <c r="D130" s="13"/>
      <c r="E130" s="13"/>
      <c r="F130" s="13"/>
      <c r="G130" s="13"/>
      <c r="H130" s="13"/>
      <c r="I130" s="13"/>
      <c r="J130" s="13"/>
      <c r="K130" s="13"/>
      <c r="L130" s="13"/>
      <c r="M130" s="9"/>
      <c r="N130" s="9"/>
      <c r="O130" s="9"/>
      <c r="P130" s="9"/>
      <c r="Q130" s="9"/>
      <c r="R130" s="9"/>
      <c r="S130" s="9"/>
      <c r="T130" s="9"/>
      <c r="U130" s="58"/>
      <c r="V130" s="194"/>
      <c r="W130" s="6"/>
    </row>
    <row r="131" spans="1:25" ht="15.6">
      <c r="A131" s="25"/>
      <c r="B131" s="26" t="s">
        <v>50</v>
      </c>
      <c r="C131" s="77"/>
      <c r="D131" s="77"/>
      <c r="E131" s="77"/>
      <c r="F131" s="77"/>
      <c r="G131" s="77"/>
      <c r="H131" s="77"/>
      <c r="I131" s="77"/>
      <c r="J131" s="77"/>
      <c r="K131" s="77"/>
      <c r="L131" s="77"/>
      <c r="M131" s="26"/>
      <c r="N131" s="26"/>
      <c r="O131" s="26"/>
      <c r="P131" s="26"/>
      <c r="Q131" s="26"/>
      <c r="R131" s="26"/>
      <c r="S131" s="26"/>
      <c r="T131" s="26"/>
      <c r="U131" s="60">
        <f>U76+U78</f>
        <v>370256</v>
      </c>
      <c r="V131" s="196"/>
      <c r="W131" s="6"/>
      <c r="X131" s="182"/>
    </row>
    <row r="132" spans="1:25" ht="15.6">
      <c r="A132" s="25"/>
      <c r="B132" s="26" t="s">
        <v>51</v>
      </c>
      <c r="C132" s="77"/>
      <c r="D132" s="77"/>
      <c r="E132" s="77"/>
      <c r="F132" s="77"/>
      <c r="G132" s="77"/>
      <c r="H132" s="77"/>
      <c r="I132" s="77"/>
      <c r="J132" s="77"/>
      <c r="K132" s="77"/>
      <c r="L132" s="77"/>
      <c r="M132" s="26"/>
      <c r="N132" s="26"/>
      <c r="O132" s="26"/>
      <c r="P132" s="26"/>
      <c r="Q132" s="26"/>
      <c r="R132" s="26"/>
      <c r="S132" s="26"/>
      <c r="T132" s="26"/>
      <c r="U132" s="60">
        <f>U79</f>
        <v>79744</v>
      </c>
      <c r="V132" s="196"/>
      <c r="W132" s="6"/>
      <c r="Y132" s="182"/>
    </row>
    <row r="133" spans="1:25" ht="15.6">
      <c r="A133" s="25"/>
      <c r="B133" s="26" t="s">
        <v>52</v>
      </c>
      <c r="C133" s="77"/>
      <c r="D133" s="77"/>
      <c r="E133" s="77"/>
      <c r="F133" s="77"/>
      <c r="G133" s="77"/>
      <c r="H133" s="77"/>
      <c r="I133" s="77"/>
      <c r="J133" s="77"/>
      <c r="K133" s="77"/>
      <c r="L133" s="77"/>
      <c r="M133" s="26"/>
      <c r="N133" s="26"/>
      <c r="O133" s="26"/>
      <c r="P133" s="26"/>
      <c r="Q133" s="26"/>
      <c r="R133" s="26"/>
      <c r="S133" s="26"/>
      <c r="T133" s="26"/>
      <c r="U133" s="60">
        <f>+U131+U132</f>
        <v>450000</v>
      </c>
      <c r="V133" s="196"/>
      <c r="W133" s="6"/>
    </row>
    <row r="134" spans="1:25" ht="15.6">
      <c r="A134" s="25"/>
      <c r="B134" s="26" t="s">
        <v>53</v>
      </c>
      <c r="C134" s="77"/>
      <c r="D134" s="77"/>
      <c r="E134" s="77"/>
      <c r="F134" s="77"/>
      <c r="G134" s="77"/>
      <c r="H134" s="77"/>
      <c r="I134" s="77"/>
      <c r="J134" s="77"/>
      <c r="K134" s="77"/>
      <c r="L134" s="77"/>
      <c r="M134" s="26"/>
      <c r="N134" s="26"/>
      <c r="O134" s="26"/>
      <c r="P134" s="26"/>
      <c r="Q134" s="26"/>
      <c r="R134" s="26"/>
      <c r="S134" s="26"/>
      <c r="T134" s="26"/>
      <c r="U134" s="60">
        <f>U81</f>
        <v>450000</v>
      </c>
      <c r="V134" s="196"/>
      <c r="W134" s="6"/>
      <c r="X134" s="64"/>
    </row>
    <row r="135" spans="1:25" ht="15.6">
      <c r="A135" s="25"/>
      <c r="B135" s="26"/>
      <c r="C135" s="26"/>
      <c r="D135" s="26"/>
      <c r="E135" s="26"/>
      <c r="F135" s="26"/>
      <c r="G135" s="26"/>
      <c r="H135" s="26"/>
      <c r="I135" s="26"/>
      <c r="J135" s="26"/>
      <c r="K135" s="26"/>
      <c r="L135" s="26"/>
      <c r="M135" s="26"/>
      <c r="N135" s="26"/>
      <c r="O135" s="26"/>
      <c r="P135" s="26"/>
      <c r="Q135" s="26"/>
      <c r="R135" s="26"/>
      <c r="S135" s="26"/>
      <c r="T135" s="26"/>
      <c r="U135" s="78"/>
      <c r="V135" s="196"/>
      <c r="W135" s="6"/>
    </row>
    <row r="136" spans="1:25" ht="15.6">
      <c r="A136" s="7"/>
      <c r="B136" s="153" t="s">
        <v>54</v>
      </c>
      <c r="C136" s="141"/>
      <c r="D136" s="141"/>
      <c r="E136" s="141"/>
      <c r="F136" s="141"/>
      <c r="G136" s="141"/>
      <c r="H136" s="141"/>
      <c r="I136" s="141"/>
      <c r="J136" s="141"/>
      <c r="K136" s="141"/>
      <c r="L136" s="141"/>
      <c r="M136" s="141"/>
      <c r="N136" s="141"/>
      <c r="O136" s="141"/>
      <c r="P136" s="141"/>
      <c r="Q136" s="142" t="s">
        <v>112</v>
      </c>
      <c r="R136" s="154"/>
      <c r="S136" s="142" t="s">
        <v>114</v>
      </c>
      <c r="T136" s="141"/>
      <c r="U136" s="155" t="s">
        <v>90</v>
      </c>
      <c r="V136" s="194"/>
      <c r="W136" s="6"/>
    </row>
    <row r="137" spans="1:25" ht="15.6">
      <c r="A137" s="25"/>
      <c r="B137" s="26" t="s">
        <v>55</v>
      </c>
      <c r="C137" s="26"/>
      <c r="D137" s="26"/>
      <c r="E137" s="26"/>
      <c r="F137" s="26"/>
      <c r="G137" s="26"/>
      <c r="H137" s="26"/>
      <c r="I137" s="26"/>
      <c r="J137" s="26"/>
      <c r="K137" s="26"/>
      <c r="L137" s="26"/>
      <c r="M137" s="26"/>
      <c r="N137" s="26"/>
      <c r="O137" s="26"/>
      <c r="P137" s="26"/>
      <c r="Q137" s="60">
        <v>0</v>
      </c>
      <c r="R137" s="26"/>
      <c r="S137" s="79" t="s">
        <v>115</v>
      </c>
      <c r="T137" s="26"/>
      <c r="U137" s="60">
        <f>Q137</f>
        <v>0</v>
      </c>
      <c r="V137" s="196"/>
      <c r="W137" s="6"/>
    </row>
    <row r="138" spans="1:25" ht="15.6">
      <c r="A138" s="25"/>
      <c r="B138" s="26" t="s">
        <v>56</v>
      </c>
      <c r="C138" s="26"/>
      <c r="D138" s="26"/>
      <c r="E138" s="26"/>
      <c r="F138" s="26"/>
      <c r="G138" s="26"/>
      <c r="H138" s="26"/>
      <c r="I138" s="26"/>
      <c r="J138" s="26"/>
      <c r="K138" s="26"/>
      <c r="L138" s="26"/>
      <c r="M138" s="26"/>
      <c r="N138" s="26"/>
      <c r="O138" s="26"/>
      <c r="P138" s="26"/>
      <c r="Q138" s="60">
        <f>+'Dec 07'!Q140</f>
        <v>3391</v>
      </c>
      <c r="R138" s="26"/>
      <c r="S138" s="79" t="s">
        <v>115</v>
      </c>
      <c r="T138" s="26"/>
      <c r="U138" s="60">
        <f>Q138</f>
        <v>3391</v>
      </c>
      <c r="V138" s="196"/>
      <c r="W138" s="6"/>
    </row>
    <row r="139" spans="1:25" ht="15.6">
      <c r="A139" s="25"/>
      <c r="B139" s="26" t="s">
        <v>57</v>
      </c>
      <c r="C139" s="26"/>
      <c r="D139" s="26"/>
      <c r="E139" s="26"/>
      <c r="F139" s="26"/>
      <c r="G139" s="26"/>
      <c r="H139" s="26"/>
      <c r="I139" s="26"/>
      <c r="J139" s="26"/>
      <c r="K139" s="26"/>
      <c r="L139" s="26"/>
      <c r="M139" s="26"/>
      <c r="N139" s="26"/>
      <c r="O139" s="26"/>
      <c r="P139" s="26"/>
      <c r="Q139" s="60">
        <v>15</v>
      </c>
      <c r="R139" s="26"/>
      <c r="S139" s="79" t="s">
        <v>115</v>
      </c>
      <c r="T139" s="26"/>
      <c r="U139" s="60">
        <f>Q139</f>
        <v>15</v>
      </c>
      <c r="V139" s="196"/>
      <c r="W139" s="6"/>
    </row>
    <row r="140" spans="1:25" ht="15.6">
      <c r="A140" s="25"/>
      <c r="B140" s="26" t="s">
        <v>58</v>
      </c>
      <c r="C140" s="26"/>
      <c r="D140" s="26"/>
      <c r="E140" s="26"/>
      <c r="F140" s="26"/>
      <c r="G140" s="26"/>
      <c r="H140" s="26"/>
      <c r="I140" s="26"/>
      <c r="J140" s="26"/>
      <c r="K140" s="26"/>
      <c r="L140" s="26"/>
      <c r="M140" s="26"/>
      <c r="N140" s="26"/>
      <c r="O140" s="26"/>
      <c r="P140" s="26"/>
      <c r="Q140" s="60">
        <f>SUM(Q138:Q139)</f>
        <v>3406</v>
      </c>
      <c r="R140" s="26"/>
      <c r="S140" s="79" t="s">
        <v>115</v>
      </c>
      <c r="T140" s="26"/>
      <c r="U140" s="60">
        <f>Q140</f>
        <v>3406</v>
      </c>
      <c r="V140" s="196"/>
      <c r="W140" s="6"/>
    </row>
    <row r="141" spans="1:25" ht="15.6">
      <c r="A141" s="25"/>
      <c r="B141" s="26" t="s">
        <v>215</v>
      </c>
      <c r="C141" s="26"/>
      <c r="D141" s="26"/>
      <c r="E141" s="26"/>
      <c r="F141" s="26"/>
      <c r="G141" s="26"/>
      <c r="H141" s="26"/>
      <c r="I141" s="26"/>
      <c r="J141" s="26"/>
      <c r="K141" s="26"/>
      <c r="L141" s="26"/>
      <c r="M141" s="26"/>
      <c r="N141" s="26"/>
      <c r="O141" s="26"/>
      <c r="P141" s="26"/>
      <c r="Q141" s="60"/>
      <c r="R141" s="26"/>
      <c r="S141" s="79"/>
      <c r="T141" s="26"/>
      <c r="U141" s="60"/>
      <c r="V141" s="196"/>
      <c r="W141" s="6"/>
    </row>
    <row r="142" spans="1:25" ht="15.6">
      <c r="A142" s="25"/>
      <c r="B142" s="26"/>
      <c r="C142" s="26"/>
      <c r="D142" s="26"/>
      <c r="E142" s="26"/>
      <c r="F142" s="26"/>
      <c r="G142" s="26"/>
      <c r="H142" s="26"/>
      <c r="I142" s="26"/>
      <c r="J142" s="26"/>
      <c r="K142" s="26"/>
      <c r="L142" s="26"/>
      <c r="M142" s="26"/>
      <c r="N142" s="26"/>
      <c r="O142" s="26"/>
      <c r="P142" s="26"/>
      <c r="Q142" s="26"/>
      <c r="R142" s="26"/>
      <c r="S142" s="26"/>
      <c r="T142" s="26"/>
      <c r="U142" s="26"/>
      <c r="V142" s="196"/>
      <c r="W142" s="6"/>
    </row>
    <row r="143" spans="1:25" ht="15.6">
      <c r="A143" s="25"/>
      <c r="B143" s="29"/>
      <c r="C143" s="29"/>
      <c r="D143" s="29"/>
      <c r="E143" s="29"/>
      <c r="F143" s="29"/>
      <c r="G143" s="29"/>
      <c r="H143" s="29"/>
      <c r="I143" s="29"/>
      <c r="J143" s="29"/>
      <c r="K143" s="29"/>
      <c r="L143" s="29"/>
      <c r="M143" s="29"/>
      <c r="N143" s="29"/>
      <c r="O143" s="29"/>
      <c r="P143" s="29"/>
      <c r="Q143" s="29"/>
      <c r="R143" s="29"/>
      <c r="S143" s="29"/>
      <c r="T143" s="29"/>
      <c r="U143" s="29"/>
      <c r="V143" s="203"/>
      <c r="W143" s="6"/>
    </row>
    <row r="144" spans="1:25" ht="15.6">
      <c r="A144" s="80"/>
      <c r="B144" s="57" t="s">
        <v>59</v>
      </c>
      <c r="C144" s="81"/>
      <c r="D144" s="81"/>
      <c r="E144" s="81"/>
      <c r="F144" s="81"/>
      <c r="G144" s="81"/>
      <c r="H144" s="81"/>
      <c r="I144" s="81"/>
      <c r="J144" s="81"/>
      <c r="K144" s="81"/>
      <c r="L144" s="81"/>
      <c r="M144" s="81"/>
      <c r="N144" s="81"/>
      <c r="O144" s="81"/>
      <c r="P144" s="19"/>
      <c r="Q144" s="19"/>
      <c r="R144" s="19"/>
      <c r="S144" s="19">
        <v>39538</v>
      </c>
      <c r="T144" s="15"/>
      <c r="U144" s="15"/>
      <c r="V144" s="194"/>
      <c r="W144" s="6"/>
    </row>
    <row r="145" spans="1:23" ht="15.6">
      <c r="A145" s="82"/>
      <c r="B145" s="83" t="s">
        <v>60</v>
      </c>
      <c r="C145" s="84"/>
      <c r="D145" s="84"/>
      <c r="E145" s="84"/>
      <c r="F145" s="84"/>
      <c r="G145" s="84"/>
      <c r="H145" s="84"/>
      <c r="I145" s="84"/>
      <c r="J145" s="84"/>
      <c r="K145" s="84"/>
      <c r="L145" s="84"/>
      <c r="M145" s="84"/>
      <c r="N145" s="84"/>
      <c r="O145" s="84"/>
      <c r="P145" s="85"/>
      <c r="Q145" s="85"/>
      <c r="R145" s="85"/>
      <c r="S145" s="86">
        <v>0.10630000000000001</v>
      </c>
      <c r="T145" s="26"/>
      <c r="U145" s="26"/>
      <c r="V145" s="196"/>
      <c r="W145" s="6"/>
    </row>
    <row r="146" spans="1:23" ht="15.6">
      <c r="A146" s="82"/>
      <c r="B146" s="83" t="s">
        <v>61</v>
      </c>
      <c r="C146" s="84"/>
      <c r="D146" s="84"/>
      <c r="E146" s="84"/>
      <c r="F146" s="84"/>
      <c r="G146" s="84"/>
      <c r="H146" s="84"/>
      <c r="I146" s="84"/>
      <c r="J146" s="84"/>
      <c r="K146" s="84"/>
      <c r="L146" s="84"/>
      <c r="M146" s="84"/>
      <c r="N146" s="84"/>
      <c r="O146" s="84"/>
      <c r="P146" s="85"/>
      <c r="Q146" s="85"/>
      <c r="R146" s="85"/>
      <c r="S146" s="86">
        <v>5.2200000000000003E-2</v>
      </c>
      <c r="T146" s="86"/>
      <c r="U146" s="26"/>
      <c r="V146" s="196"/>
      <c r="W146" s="6"/>
    </row>
    <row r="147" spans="1:23" ht="15.6">
      <c r="A147" s="82"/>
      <c r="B147" s="83" t="s">
        <v>62</v>
      </c>
      <c r="C147" s="84"/>
      <c r="D147" s="84"/>
      <c r="E147" s="84"/>
      <c r="F147" s="84"/>
      <c r="G147" s="84"/>
      <c r="H147" s="84"/>
      <c r="I147" s="84"/>
      <c r="J147" s="84"/>
      <c r="K147" s="84"/>
      <c r="L147" s="84"/>
      <c r="M147" s="84"/>
      <c r="N147" s="84"/>
      <c r="O147" s="84"/>
      <c r="P147" s="85"/>
      <c r="Q147" s="85"/>
      <c r="R147" s="85"/>
      <c r="S147" s="86">
        <f>S145-S146</f>
        <v>5.4100000000000002E-2</v>
      </c>
      <c r="T147" s="26"/>
      <c r="U147" s="26"/>
      <c r="V147" s="196"/>
      <c r="W147" s="6"/>
    </row>
    <row r="148" spans="1:23" ht="15.6">
      <c r="A148" s="82"/>
      <c r="B148" s="83" t="s">
        <v>63</v>
      </c>
      <c r="C148" s="84"/>
      <c r="D148" s="84"/>
      <c r="E148" s="84"/>
      <c r="F148" s="84"/>
      <c r="G148" s="84"/>
      <c r="H148" s="84"/>
      <c r="I148" s="84"/>
      <c r="J148" s="84"/>
      <c r="K148" s="84"/>
      <c r="L148" s="84"/>
      <c r="M148" s="84"/>
      <c r="N148" s="84"/>
      <c r="O148" s="84"/>
      <c r="P148" s="85"/>
      <c r="Q148" s="85"/>
      <c r="R148" s="85"/>
      <c r="S148" s="86">
        <v>0.10753</v>
      </c>
      <c r="T148" s="26"/>
      <c r="U148" s="26"/>
      <c r="V148" s="196"/>
      <c r="W148" s="6"/>
    </row>
    <row r="149" spans="1:23" ht="15.6">
      <c r="A149" s="82"/>
      <c r="B149" s="83" t="s">
        <v>64</v>
      </c>
      <c r="C149" s="84"/>
      <c r="D149" s="84"/>
      <c r="E149" s="84"/>
      <c r="F149" s="84"/>
      <c r="G149" s="84"/>
      <c r="H149" s="84"/>
      <c r="I149" s="84"/>
      <c r="J149" s="84"/>
      <c r="K149" s="84"/>
      <c r="L149" s="84"/>
      <c r="M149" s="84"/>
      <c r="N149" s="84"/>
      <c r="O149" s="84"/>
      <c r="P149" s="85"/>
      <c r="Q149" s="85"/>
      <c r="R149" s="85"/>
      <c r="S149" s="86">
        <f>+U40</f>
        <v>6.020650744444446E-2</v>
      </c>
      <c r="T149" s="26"/>
      <c r="U149" s="26"/>
      <c r="V149" s="196"/>
      <c r="W149" s="6"/>
    </row>
    <row r="150" spans="1:23" ht="15.6">
      <c r="A150" s="82"/>
      <c r="B150" s="83" t="s">
        <v>65</v>
      </c>
      <c r="C150" s="84"/>
      <c r="D150" s="84"/>
      <c r="E150" s="84"/>
      <c r="F150" s="84"/>
      <c r="G150" s="84"/>
      <c r="H150" s="84"/>
      <c r="I150" s="84"/>
      <c r="J150" s="84"/>
      <c r="K150" s="84"/>
      <c r="L150" s="84"/>
      <c r="M150" s="84"/>
      <c r="N150" s="84"/>
      <c r="O150" s="84"/>
      <c r="P150" s="85"/>
      <c r="Q150" s="85"/>
      <c r="R150" s="85"/>
      <c r="S150" s="86">
        <f>S148-S149</f>
        <v>4.7323492555555541E-2</v>
      </c>
      <c r="T150" s="26"/>
      <c r="U150" s="26"/>
      <c r="V150" s="196"/>
      <c r="W150" s="6"/>
    </row>
    <row r="151" spans="1:23" ht="15.6">
      <c r="A151" s="82"/>
      <c r="B151" s="83" t="s">
        <v>204</v>
      </c>
      <c r="C151" s="84"/>
      <c r="D151" s="84"/>
      <c r="E151" s="84"/>
      <c r="F151" s="84"/>
      <c r="G151" s="84"/>
      <c r="H151" s="84"/>
      <c r="I151" s="84"/>
      <c r="J151" s="84"/>
      <c r="K151" s="84"/>
      <c r="L151" s="84"/>
      <c r="M151" s="84"/>
      <c r="N151" s="84"/>
      <c r="O151" s="84"/>
      <c r="P151" s="85"/>
      <c r="Q151" s="85"/>
      <c r="R151" s="85"/>
      <c r="S151" s="183">
        <v>49780</v>
      </c>
      <c r="T151" s="26"/>
      <c r="U151" s="26"/>
      <c r="V151" s="196"/>
      <c r="W151" s="6"/>
    </row>
    <row r="152" spans="1:23" ht="15.6">
      <c r="A152" s="82"/>
      <c r="B152" s="83" t="s">
        <v>205</v>
      </c>
      <c r="C152" s="84"/>
      <c r="D152" s="84"/>
      <c r="E152" s="84"/>
      <c r="F152" s="84"/>
      <c r="G152" s="84"/>
      <c r="H152" s="84"/>
      <c r="I152" s="84"/>
      <c r="J152" s="84"/>
      <c r="K152" s="84"/>
      <c r="L152" s="84"/>
      <c r="M152" s="84"/>
      <c r="N152" s="84"/>
      <c r="O152" s="84"/>
      <c r="P152" s="85"/>
      <c r="Q152" s="85"/>
      <c r="R152" s="85"/>
      <c r="S152" s="183">
        <v>49780</v>
      </c>
      <c r="T152" s="26"/>
      <c r="U152" s="26"/>
      <c r="V152" s="196"/>
      <c r="W152" s="6"/>
    </row>
    <row r="153" spans="1:23" ht="15.6">
      <c r="A153" s="82"/>
      <c r="B153" s="83" t="s">
        <v>206</v>
      </c>
      <c r="C153" s="84"/>
      <c r="D153" s="84"/>
      <c r="E153" s="84"/>
      <c r="F153" s="84"/>
      <c r="G153" s="84"/>
      <c r="H153" s="84"/>
      <c r="I153" s="84"/>
      <c r="J153" s="84"/>
      <c r="K153" s="84"/>
      <c r="L153" s="84"/>
      <c r="M153" s="84"/>
      <c r="N153" s="84"/>
      <c r="O153" s="84"/>
      <c r="P153" s="85"/>
      <c r="Q153" s="85"/>
      <c r="R153" s="85"/>
      <c r="S153" s="183">
        <v>49780</v>
      </c>
      <c r="T153" s="26"/>
      <c r="U153" s="26"/>
      <c r="V153" s="196"/>
      <c r="W153" s="6"/>
    </row>
    <row r="154" spans="1:23" ht="15.6">
      <c r="A154" s="82"/>
      <c r="B154" s="83" t="s">
        <v>207</v>
      </c>
      <c r="C154" s="84"/>
      <c r="D154" s="84"/>
      <c r="E154" s="84"/>
      <c r="F154" s="84"/>
      <c r="G154" s="84"/>
      <c r="H154" s="84"/>
      <c r="I154" s="84"/>
      <c r="J154" s="84"/>
      <c r="K154" s="84"/>
      <c r="L154" s="84"/>
      <c r="M154" s="84"/>
      <c r="N154" s="84"/>
      <c r="O154" s="84"/>
      <c r="P154" s="85"/>
      <c r="Q154" s="85"/>
      <c r="R154" s="85"/>
      <c r="S154" s="183">
        <v>49780</v>
      </c>
      <c r="T154" s="26"/>
      <c r="U154" s="26"/>
      <c r="V154" s="196"/>
      <c r="W154" s="6"/>
    </row>
    <row r="155" spans="1:23" ht="15.6">
      <c r="A155" s="82"/>
      <c r="B155" s="83" t="s">
        <v>221</v>
      </c>
      <c r="C155" s="84"/>
      <c r="D155" s="84"/>
      <c r="E155" s="84"/>
      <c r="F155" s="84"/>
      <c r="G155" s="84"/>
      <c r="H155" s="84"/>
      <c r="I155" s="84"/>
      <c r="J155" s="84"/>
      <c r="K155" s="84"/>
      <c r="L155" s="84"/>
      <c r="M155" s="84"/>
      <c r="N155" s="84"/>
      <c r="O155" s="84"/>
      <c r="P155" s="85"/>
      <c r="Q155" s="85"/>
      <c r="R155" s="85"/>
      <c r="S155" s="87">
        <v>111.34</v>
      </c>
      <c r="T155" s="26"/>
      <c r="U155" s="26"/>
      <c r="V155" s="196"/>
      <c r="W155" s="6"/>
    </row>
    <row r="156" spans="1:23" ht="15.6">
      <c r="A156" s="82"/>
      <c r="B156" s="83" t="s">
        <v>222</v>
      </c>
      <c r="C156" s="84"/>
      <c r="D156" s="84"/>
      <c r="E156" s="84"/>
      <c r="F156" s="84"/>
      <c r="G156" s="84"/>
      <c r="H156" s="84"/>
      <c r="I156" s="84"/>
      <c r="J156" s="84"/>
      <c r="K156" s="84"/>
      <c r="L156" s="84"/>
      <c r="M156" s="84"/>
      <c r="N156" s="84"/>
      <c r="O156" s="84"/>
      <c r="P156" s="85"/>
      <c r="Q156" s="85"/>
      <c r="R156" s="85"/>
      <c r="S156" s="87">
        <v>118.68</v>
      </c>
      <c r="T156" s="26"/>
      <c r="U156" s="26"/>
      <c r="V156" s="196"/>
      <c r="W156" s="6"/>
    </row>
    <row r="157" spans="1:23" ht="15.6">
      <c r="A157" s="82" t="s">
        <v>223</v>
      </c>
      <c r="B157" s="83" t="s">
        <v>66</v>
      </c>
      <c r="C157" s="84"/>
      <c r="D157" s="84"/>
      <c r="E157" s="84"/>
      <c r="F157" s="84"/>
      <c r="G157" s="84"/>
      <c r="H157" s="84"/>
      <c r="I157" s="84"/>
      <c r="J157" s="84"/>
      <c r="K157" s="84"/>
      <c r="L157" s="84"/>
      <c r="M157" s="84"/>
      <c r="N157" s="84"/>
      <c r="O157" s="84"/>
      <c r="P157" s="85"/>
      <c r="Q157" s="85"/>
      <c r="R157" s="85"/>
      <c r="S157" s="86">
        <v>0.1174</v>
      </c>
      <c r="T157" s="26"/>
      <c r="U157" s="26"/>
      <c r="V157" s="196"/>
      <c r="W157" s="6"/>
    </row>
    <row r="158" spans="1:23" ht="15.6">
      <c r="A158" s="82"/>
      <c r="B158" s="83" t="s">
        <v>67</v>
      </c>
      <c r="C158" s="84"/>
      <c r="D158" s="84"/>
      <c r="E158" s="84"/>
      <c r="F158" s="84"/>
      <c r="G158" s="84"/>
      <c r="H158" s="84"/>
      <c r="I158" s="84"/>
      <c r="J158" s="84"/>
      <c r="K158" s="84"/>
      <c r="L158" s="84"/>
      <c r="M158" s="84"/>
      <c r="N158" s="84"/>
      <c r="O158" s="84"/>
      <c r="P158" s="85"/>
      <c r="Q158" s="85"/>
      <c r="R158" s="85"/>
      <c r="S158" s="86">
        <v>0.41420000000000001</v>
      </c>
      <c r="T158" s="26"/>
      <c r="U158" s="26"/>
      <c r="V158" s="196"/>
      <c r="W158" s="6"/>
    </row>
    <row r="159" spans="1:23" ht="15.6">
      <c r="A159" s="82"/>
      <c r="B159" s="83"/>
      <c r="C159" s="83"/>
      <c r="D159" s="83"/>
      <c r="E159" s="83"/>
      <c r="F159" s="83"/>
      <c r="G159" s="83"/>
      <c r="H159" s="83"/>
      <c r="I159" s="83"/>
      <c r="J159" s="83"/>
      <c r="K159" s="83"/>
      <c r="L159" s="83"/>
      <c r="M159" s="83"/>
      <c r="N159" s="83"/>
      <c r="O159" s="83"/>
      <c r="P159" s="26"/>
      <c r="Q159" s="26"/>
      <c r="R159" s="33"/>
      <c r="S159" s="88"/>
      <c r="T159" s="26"/>
      <c r="U159" s="89"/>
      <c r="V159" s="196"/>
      <c r="W159" s="6"/>
    </row>
    <row r="160" spans="1:23" ht="15.6">
      <c r="A160" s="80"/>
      <c r="B160" s="90"/>
      <c r="C160" s="90"/>
      <c r="D160" s="90"/>
      <c r="E160" s="90"/>
      <c r="F160" s="90"/>
      <c r="G160" s="90"/>
      <c r="H160" s="90"/>
      <c r="I160" s="90"/>
      <c r="J160" s="90"/>
      <c r="K160" s="90"/>
      <c r="L160" s="90"/>
      <c r="M160" s="90"/>
      <c r="N160" s="90"/>
      <c r="O160" s="90"/>
      <c r="P160" s="9"/>
      <c r="Q160" s="9"/>
      <c r="R160" s="20"/>
      <c r="S160" s="91"/>
      <c r="T160" s="9"/>
      <c r="U160" s="92"/>
      <c r="V160" s="194"/>
      <c r="W160" s="6"/>
    </row>
    <row r="161" spans="1:23" ht="16.2" thickBot="1">
      <c r="A161" s="136"/>
      <c r="B161" s="131" t="str">
        <f>+B110</f>
        <v>PPAF3 INVESTOR REPORT QUARTER ENDING MARCH 2008</v>
      </c>
      <c r="C161" s="137"/>
      <c r="D161" s="137"/>
      <c r="E161" s="137"/>
      <c r="F161" s="137"/>
      <c r="G161" s="137"/>
      <c r="H161" s="137"/>
      <c r="I161" s="137"/>
      <c r="J161" s="137"/>
      <c r="K161" s="137"/>
      <c r="L161" s="137"/>
      <c r="M161" s="137"/>
      <c r="N161" s="137"/>
      <c r="O161" s="137"/>
      <c r="P161" s="132"/>
      <c r="Q161" s="132"/>
      <c r="R161" s="138"/>
      <c r="S161" s="139"/>
      <c r="T161" s="132"/>
      <c r="U161" s="140"/>
      <c r="V161" s="134"/>
      <c r="W161" s="6"/>
    </row>
    <row r="162" spans="1:23" ht="15.6">
      <c r="A162" s="93"/>
      <c r="B162" s="94" t="s">
        <v>68</v>
      </c>
      <c r="C162" s="95"/>
      <c r="D162" s="95"/>
      <c r="E162" s="95"/>
      <c r="F162" s="95"/>
      <c r="G162" s="95"/>
      <c r="H162" s="95"/>
      <c r="I162" s="95"/>
      <c r="J162" s="95"/>
      <c r="K162" s="95"/>
      <c r="L162" s="95"/>
      <c r="M162" s="96"/>
      <c r="N162" s="95"/>
      <c r="O162" s="96"/>
      <c r="P162" s="95"/>
      <c r="Q162" s="96"/>
      <c r="R162" s="95" t="s">
        <v>94</v>
      </c>
      <c r="S162" s="96" t="s">
        <v>116</v>
      </c>
      <c r="T162" s="97"/>
      <c r="U162" s="97"/>
      <c r="V162" s="193"/>
      <c r="W162" s="6"/>
    </row>
    <row r="163" spans="1:23" ht="15.6">
      <c r="A163" s="98"/>
      <c r="B163" s="83" t="s">
        <v>216</v>
      </c>
      <c r="C163" s="61"/>
      <c r="D163" s="61"/>
      <c r="E163" s="61"/>
      <c r="F163" s="61"/>
      <c r="G163" s="61"/>
      <c r="H163" s="61"/>
      <c r="I163" s="61"/>
      <c r="J163" s="61"/>
      <c r="K163" s="61"/>
      <c r="L163" s="61"/>
      <c r="M163" s="61"/>
      <c r="N163" s="61"/>
      <c r="O163" s="26"/>
      <c r="P163" s="26"/>
      <c r="Q163" s="26"/>
      <c r="R163" s="211">
        <v>434</v>
      </c>
      <c r="S163" s="210">
        <v>13581</v>
      </c>
      <c r="T163" s="60"/>
      <c r="U163" s="89"/>
      <c r="V163" s="204"/>
      <c r="W163" s="6"/>
    </row>
    <row r="164" spans="1:23" ht="15.6">
      <c r="A164" s="98"/>
      <c r="B164" s="83" t="s">
        <v>217</v>
      </c>
      <c r="C164" s="61"/>
      <c r="D164" s="61"/>
      <c r="E164" s="61"/>
      <c r="F164" s="61"/>
      <c r="G164" s="61"/>
      <c r="H164" s="61"/>
      <c r="I164" s="61"/>
      <c r="J164" s="61"/>
      <c r="K164" s="61"/>
      <c r="L164" s="61"/>
      <c r="M164" s="61"/>
      <c r="N164" s="61"/>
      <c r="O164" s="26"/>
      <c r="P164" s="26"/>
      <c r="Q164" s="26"/>
      <c r="R164" s="158">
        <v>71</v>
      </c>
      <c r="S164" s="210">
        <v>853</v>
      </c>
      <c r="T164" s="60"/>
      <c r="U164" s="89"/>
      <c r="V164" s="204"/>
      <c r="W164" s="6"/>
    </row>
    <row r="165" spans="1:23" ht="15.6">
      <c r="A165" s="98"/>
      <c r="B165" s="83" t="s">
        <v>218</v>
      </c>
      <c r="C165" s="61"/>
      <c r="D165" s="61"/>
      <c r="E165" s="61"/>
      <c r="F165" s="61"/>
      <c r="G165" s="61"/>
      <c r="H165" s="61"/>
      <c r="I165" s="61"/>
      <c r="J165" s="61"/>
      <c r="K165" s="61"/>
      <c r="L165" s="61"/>
      <c r="M165" s="61"/>
      <c r="N165" s="61"/>
      <c r="O165" s="26"/>
      <c r="P165" s="26"/>
      <c r="Q165" s="26"/>
      <c r="R165" s="158">
        <v>274</v>
      </c>
      <c r="S165" s="210">
        <v>433</v>
      </c>
      <c r="T165" s="60"/>
      <c r="U165" s="89"/>
      <c r="V165" s="204"/>
      <c r="W165" s="6"/>
    </row>
    <row r="166" spans="1:23" ht="15.6">
      <c r="A166" s="98"/>
      <c r="B166" s="83" t="s">
        <v>219</v>
      </c>
      <c r="C166" s="61"/>
      <c r="D166" s="61"/>
      <c r="E166" s="61"/>
      <c r="F166" s="61"/>
      <c r="G166" s="61"/>
      <c r="H166" s="61"/>
      <c r="I166" s="61"/>
      <c r="J166" s="61"/>
      <c r="K166" s="61"/>
      <c r="L166" s="61"/>
      <c r="M166" s="61"/>
      <c r="N166" s="61"/>
      <c r="O166" s="26"/>
      <c r="P166" s="26"/>
      <c r="Q166" s="26"/>
      <c r="R166" s="158">
        <v>331</v>
      </c>
      <c r="S166" s="210">
        <v>1384</v>
      </c>
      <c r="T166" s="60"/>
      <c r="U166" s="89"/>
      <c r="V166" s="204"/>
      <c r="W166" s="6"/>
    </row>
    <row r="167" spans="1:23" ht="15.6">
      <c r="A167" s="98"/>
      <c r="B167" s="83" t="s">
        <v>90</v>
      </c>
      <c r="C167" s="61"/>
      <c r="D167" s="61"/>
      <c r="E167" s="61"/>
      <c r="F167" s="61"/>
      <c r="G167" s="61"/>
      <c r="H167" s="61"/>
      <c r="I167" s="61"/>
      <c r="J167" s="61"/>
      <c r="K167" s="61"/>
      <c r="L167" s="61"/>
      <c r="M167" s="61"/>
      <c r="N167" s="61"/>
      <c r="O167" s="26"/>
      <c r="P167" s="26"/>
      <c r="Q167" s="26"/>
      <c r="R167" s="211">
        <f>SUM(R163:R166)</f>
        <v>1110</v>
      </c>
      <c r="S167" s="210">
        <f>SUM(S163:S166)</f>
        <v>16251</v>
      </c>
      <c r="T167" s="60"/>
      <c r="U167" s="89"/>
      <c r="V167" s="204"/>
      <c r="W167" s="6"/>
    </row>
    <row r="168" spans="1:23" ht="15.6">
      <c r="A168" s="98"/>
      <c r="B168" s="83"/>
      <c r="C168" s="61"/>
      <c r="D168" s="61"/>
      <c r="E168" s="61"/>
      <c r="F168" s="61"/>
      <c r="G168" s="61"/>
      <c r="H168" s="61"/>
      <c r="I168" s="61"/>
      <c r="J168" s="61"/>
      <c r="K168" s="61"/>
      <c r="L168" s="61"/>
      <c r="M168" s="61"/>
      <c r="N168" s="61"/>
      <c r="O168" s="26"/>
      <c r="P168" s="26"/>
      <c r="Q168" s="26"/>
      <c r="R168" s="158"/>
      <c r="S168" s="210"/>
      <c r="T168" s="60"/>
      <c r="U168" s="89"/>
      <c r="V168" s="204"/>
      <c r="W168" s="6"/>
    </row>
    <row r="169" spans="1:23" ht="15.6">
      <c r="A169" s="98"/>
      <c r="B169" s="83" t="s">
        <v>220</v>
      </c>
      <c r="C169" s="61"/>
      <c r="D169" s="61"/>
      <c r="E169" s="61"/>
      <c r="F169" s="61"/>
      <c r="G169" s="61"/>
      <c r="H169" s="61"/>
      <c r="I169" s="61"/>
      <c r="J169" s="61"/>
      <c r="K169" s="61"/>
      <c r="L169" s="61"/>
      <c r="M169" s="61"/>
      <c r="N169" s="61"/>
      <c r="O169" s="26"/>
      <c r="P169" s="26"/>
      <c r="Q169" s="26"/>
      <c r="R169" s="158">
        <v>37</v>
      </c>
      <c r="S169" s="210">
        <v>656</v>
      </c>
      <c r="T169" s="60"/>
      <c r="U169" s="89"/>
      <c r="V169" s="204"/>
      <c r="W169" s="6"/>
    </row>
    <row r="170" spans="1:23" ht="15.6">
      <c r="A170" s="98"/>
      <c r="B170" s="83" t="s">
        <v>224</v>
      </c>
      <c r="C170" s="61"/>
      <c r="D170" s="61"/>
      <c r="E170" s="61"/>
      <c r="F170" s="61"/>
      <c r="G170" s="61"/>
      <c r="H170" s="61"/>
      <c r="I170" s="61"/>
      <c r="J170" s="61"/>
      <c r="K170" s="61"/>
      <c r="L170" s="61"/>
      <c r="M170" s="61"/>
      <c r="N170" s="61"/>
      <c r="O170" s="26"/>
      <c r="P170" s="26"/>
      <c r="Q170" s="26"/>
      <c r="R170" s="158">
        <v>31</v>
      </c>
      <c r="S170" s="210">
        <v>1022</v>
      </c>
      <c r="T170" s="60"/>
      <c r="U170" s="89"/>
      <c r="V170" s="204"/>
      <c r="W170" s="6"/>
    </row>
    <row r="171" spans="1:23" ht="15.6">
      <c r="A171" s="98"/>
      <c r="B171" s="156" t="s">
        <v>69</v>
      </c>
      <c r="C171" s="61"/>
      <c r="D171" s="61"/>
      <c r="E171" s="61"/>
      <c r="F171" s="61"/>
      <c r="G171" s="61"/>
      <c r="H171" s="61"/>
      <c r="I171" s="61"/>
      <c r="J171" s="61"/>
      <c r="K171" s="61"/>
      <c r="L171" s="61"/>
      <c r="M171" s="61"/>
      <c r="N171" s="61"/>
      <c r="O171" s="26"/>
      <c r="P171" s="26"/>
      <c r="Q171" s="26"/>
      <c r="R171" s="26"/>
      <c r="S171" s="60">
        <v>0</v>
      </c>
      <c r="T171" s="26"/>
      <c r="U171" s="89"/>
      <c r="V171" s="204"/>
      <c r="W171" s="6"/>
    </row>
    <row r="172" spans="1:23" ht="15.6">
      <c r="A172" s="98"/>
      <c r="B172" s="156" t="s">
        <v>70</v>
      </c>
      <c r="C172" s="61"/>
      <c r="D172" s="61"/>
      <c r="E172" s="61"/>
      <c r="F172" s="61"/>
      <c r="G172" s="61"/>
      <c r="H172" s="61"/>
      <c r="I172" s="61"/>
      <c r="J172" s="61"/>
      <c r="K172" s="61"/>
      <c r="L172" s="61"/>
      <c r="M172" s="61"/>
      <c r="N172" s="61"/>
      <c r="O172" s="26"/>
      <c r="P172" s="26"/>
      <c r="Q172" s="26"/>
      <c r="R172" s="26"/>
      <c r="S172" s="60">
        <f>Q76</f>
        <v>53185</v>
      </c>
      <c r="T172" s="26"/>
      <c r="U172" s="89"/>
      <c r="V172" s="204"/>
      <c r="W172" s="6"/>
    </row>
    <row r="173" spans="1:23" ht="15.6">
      <c r="A173" s="101"/>
      <c r="B173" s="156" t="s">
        <v>71</v>
      </c>
      <c r="C173" s="61"/>
      <c r="D173" s="61"/>
      <c r="E173" s="61"/>
      <c r="F173" s="61"/>
      <c r="G173" s="61"/>
      <c r="H173" s="61"/>
      <c r="I173" s="61"/>
      <c r="J173" s="61"/>
      <c r="K173" s="61"/>
      <c r="L173" s="61"/>
      <c r="M173" s="83"/>
      <c r="N173" s="83"/>
      <c r="O173" s="83"/>
      <c r="P173" s="26"/>
      <c r="Q173" s="26"/>
      <c r="R173" s="26"/>
      <c r="S173" s="102"/>
      <c r="T173" s="26"/>
      <c r="U173" s="89"/>
      <c r="V173" s="205"/>
      <c r="W173" s="6"/>
    </row>
    <row r="174" spans="1:23" ht="15.6">
      <c r="A174" s="98"/>
      <c r="B174" s="83" t="s">
        <v>72</v>
      </c>
      <c r="C174" s="61"/>
      <c r="D174" s="61"/>
      <c r="E174" s="61"/>
      <c r="F174" s="61"/>
      <c r="G174" s="61"/>
      <c r="H174" s="61"/>
      <c r="I174" s="61"/>
      <c r="J174" s="61"/>
      <c r="K174" s="61"/>
      <c r="L174" s="61"/>
      <c r="M174" s="61"/>
      <c r="N174" s="61"/>
      <c r="O174" s="61"/>
      <c r="P174" s="26"/>
      <c r="Q174" s="26"/>
      <c r="R174" s="26"/>
      <c r="S174" s="60">
        <f>U129</f>
        <v>2817</v>
      </c>
      <c r="T174" s="26"/>
      <c r="U174" s="89"/>
      <c r="V174" s="205"/>
      <c r="W174" s="6"/>
    </row>
    <row r="175" spans="1:23" ht="15.6">
      <c r="A175" s="98"/>
      <c r="B175" s="83" t="s">
        <v>73</v>
      </c>
      <c r="C175" s="61"/>
      <c r="D175" s="61"/>
      <c r="E175" s="61"/>
      <c r="F175" s="61"/>
      <c r="G175" s="61"/>
      <c r="H175" s="61"/>
      <c r="I175" s="61"/>
      <c r="J175" s="61"/>
      <c r="K175" s="61"/>
      <c r="L175" s="61"/>
      <c r="M175" s="61"/>
      <c r="N175" s="61"/>
      <c r="O175" s="61"/>
      <c r="P175" s="26"/>
      <c r="Q175" s="26"/>
      <c r="R175" s="26"/>
      <c r="S175" s="60">
        <f>'Dec 07'!S175+S174</f>
        <v>42659</v>
      </c>
      <c r="T175" s="26"/>
      <c r="U175" s="89"/>
      <c r="V175" s="205"/>
      <c r="W175" s="6"/>
    </row>
    <row r="176" spans="1:23" ht="15.6">
      <c r="A176" s="98"/>
      <c r="B176" s="83" t="s">
        <v>74</v>
      </c>
      <c r="C176" s="61"/>
      <c r="D176" s="61"/>
      <c r="E176" s="61"/>
      <c r="F176" s="61"/>
      <c r="G176" s="61"/>
      <c r="H176" s="61"/>
      <c r="I176" s="61"/>
      <c r="J176" s="61"/>
      <c r="K176" s="61"/>
      <c r="L176" s="61"/>
      <c r="M176" s="61"/>
      <c r="N176" s="61"/>
      <c r="O176" s="61"/>
      <c r="P176" s="26"/>
      <c r="Q176" s="26"/>
      <c r="R176" s="26"/>
      <c r="S176" s="60">
        <f>'Dec 07'!S176+924</f>
        <v>7427</v>
      </c>
      <c r="T176" s="26"/>
      <c r="U176" s="89"/>
      <c r="V176" s="205"/>
      <c r="W176" s="6"/>
    </row>
    <row r="177" spans="1:23" ht="15.6">
      <c r="A177" s="98"/>
      <c r="B177" s="83"/>
      <c r="C177" s="61"/>
      <c r="D177" s="61"/>
      <c r="E177" s="61"/>
      <c r="F177" s="61"/>
      <c r="G177" s="61"/>
      <c r="H177" s="61"/>
      <c r="I177" s="61"/>
      <c r="J177" s="61"/>
      <c r="K177" s="61"/>
      <c r="L177" s="61"/>
      <c r="M177" s="61"/>
      <c r="N177" s="61"/>
      <c r="O177" s="61"/>
      <c r="P177" s="26"/>
      <c r="Q177" s="26"/>
      <c r="R177" s="26"/>
      <c r="S177" s="60"/>
      <c r="T177" s="26"/>
      <c r="U177" s="89"/>
      <c r="V177" s="205"/>
      <c r="W177" s="6"/>
    </row>
    <row r="178" spans="1:23" ht="15.6">
      <c r="A178" s="101"/>
      <c r="B178" s="156" t="s">
        <v>259</v>
      </c>
      <c r="C178" s="61"/>
      <c r="D178" s="61"/>
      <c r="E178" s="61"/>
      <c r="F178" s="61"/>
      <c r="G178" s="61"/>
      <c r="H178" s="61"/>
      <c r="I178" s="61"/>
      <c r="J178" s="61"/>
      <c r="K178" s="61"/>
      <c r="L178" s="61"/>
      <c r="M178" s="83"/>
      <c r="N178" s="83"/>
      <c r="O178" s="83"/>
      <c r="P178" s="26"/>
      <c r="Q178" s="26"/>
      <c r="R178" s="26"/>
      <c r="S178" s="79"/>
      <c r="T178" s="26"/>
      <c r="U178" s="89"/>
      <c r="V178" s="205"/>
      <c r="W178" s="6"/>
    </row>
    <row r="179" spans="1:23" ht="15.6">
      <c r="A179" s="101"/>
      <c r="B179" s="83" t="s">
        <v>254</v>
      </c>
      <c r="C179" s="61"/>
      <c r="D179" s="61"/>
      <c r="E179" s="61"/>
      <c r="F179" s="61"/>
      <c r="G179" s="61"/>
      <c r="H179" s="61"/>
      <c r="I179" s="61"/>
      <c r="J179" s="61"/>
      <c r="K179" s="61"/>
      <c r="L179" s="61"/>
      <c r="M179" s="83"/>
      <c r="N179" s="83"/>
      <c r="O179" s="83"/>
      <c r="P179" s="26"/>
      <c r="Q179" s="26"/>
      <c r="R179" s="26"/>
      <c r="S179" s="212">
        <v>10</v>
      </c>
      <c r="T179" s="26"/>
      <c r="U179" s="89"/>
      <c r="V179" s="205"/>
      <c r="W179" s="6"/>
    </row>
    <row r="180" spans="1:23" ht="15.6">
      <c r="A180" s="98"/>
      <c r="B180" s="83" t="s">
        <v>75</v>
      </c>
      <c r="C180" s="61"/>
      <c r="D180" s="61"/>
      <c r="E180" s="61"/>
      <c r="F180" s="61"/>
      <c r="G180" s="61"/>
      <c r="H180" s="61"/>
      <c r="I180" s="61"/>
      <c r="J180" s="61"/>
      <c r="K180" s="61"/>
      <c r="L180" s="61"/>
      <c r="M180" s="104"/>
      <c r="N180" s="104"/>
      <c r="O180" s="105"/>
      <c r="P180" s="26"/>
      <c r="Q180" s="26"/>
      <c r="R180" s="26"/>
      <c r="S180" s="213">
        <v>18.36</v>
      </c>
      <c r="T180" s="26"/>
      <c r="U180" s="89"/>
      <c r="V180" s="205"/>
      <c r="W180" s="6"/>
    </row>
    <row r="181" spans="1:23" ht="15.6">
      <c r="A181" s="98"/>
      <c r="B181" s="83" t="s">
        <v>76</v>
      </c>
      <c r="C181" s="61"/>
      <c r="D181" s="61"/>
      <c r="E181" s="61"/>
      <c r="F181" s="61"/>
      <c r="G181" s="61"/>
      <c r="H181" s="61"/>
      <c r="I181" s="61"/>
      <c r="J181" s="61"/>
      <c r="K181" s="61"/>
      <c r="L181" s="61"/>
      <c r="M181" s="104"/>
      <c r="N181" s="104"/>
      <c r="O181" s="105"/>
      <c r="P181" s="26"/>
      <c r="Q181" s="26"/>
      <c r="R181" s="26"/>
      <c r="S181" s="213">
        <v>190.4</v>
      </c>
      <c r="T181" s="26"/>
      <c r="U181" s="89"/>
      <c r="V181" s="205"/>
      <c r="W181" s="6"/>
    </row>
    <row r="182" spans="1:23" ht="15.6">
      <c r="A182" s="98"/>
      <c r="B182" s="83"/>
      <c r="C182" s="61"/>
      <c r="D182" s="61"/>
      <c r="E182" s="61"/>
      <c r="F182" s="61"/>
      <c r="G182" s="61"/>
      <c r="H182" s="61"/>
      <c r="I182" s="61"/>
      <c r="J182" s="61"/>
      <c r="K182" s="61"/>
      <c r="L182" s="61"/>
      <c r="M182" s="106"/>
      <c r="N182" s="104"/>
      <c r="O182" s="105"/>
      <c r="P182" s="26"/>
      <c r="Q182" s="26"/>
      <c r="R182" s="26"/>
      <c r="S182" s="212"/>
      <c r="T182" s="26"/>
      <c r="U182" s="89"/>
      <c r="V182" s="205"/>
      <c r="W182" s="6"/>
    </row>
    <row r="183" spans="1:23" ht="15.6">
      <c r="A183" s="98"/>
      <c r="B183" s="156" t="s">
        <v>77</v>
      </c>
      <c r="C183" s="61"/>
      <c r="D183" s="61"/>
      <c r="E183" s="61"/>
      <c r="F183" s="61"/>
      <c r="G183" s="61"/>
      <c r="H183" s="61"/>
      <c r="I183" s="61"/>
      <c r="J183" s="61"/>
      <c r="K183" s="61"/>
      <c r="L183" s="61"/>
      <c r="M183" s="61"/>
      <c r="N183" s="106"/>
      <c r="O183" s="104"/>
      <c r="P183" s="105"/>
      <c r="Q183" s="26"/>
      <c r="R183" s="33"/>
      <c r="S183" s="157"/>
      <c r="T183" s="107"/>
      <c r="U183" s="33"/>
      <c r="V183" s="206"/>
      <c r="W183" s="6"/>
    </row>
    <row r="184" spans="1:23" ht="15.6">
      <c r="A184" s="98"/>
      <c r="B184" s="83" t="s">
        <v>78</v>
      </c>
      <c r="C184" s="61"/>
      <c r="D184" s="61"/>
      <c r="E184" s="61"/>
      <c r="F184" s="61"/>
      <c r="G184" s="61"/>
      <c r="H184" s="61"/>
      <c r="I184" s="61"/>
      <c r="J184" s="61"/>
      <c r="K184" s="61"/>
      <c r="L184" s="61"/>
      <c r="M184" s="61"/>
      <c r="N184" s="106"/>
      <c r="O184" s="104"/>
      <c r="P184" s="105"/>
      <c r="Q184" s="26"/>
      <c r="R184" s="33"/>
      <c r="S184" s="214">
        <v>100</v>
      </c>
      <c r="T184" s="108"/>
      <c r="U184" s="33"/>
      <c r="V184" s="206"/>
      <c r="W184" s="6"/>
    </row>
    <row r="185" spans="1:23" ht="15.6">
      <c r="A185" s="98"/>
      <c r="B185" s="83" t="s">
        <v>75</v>
      </c>
      <c r="C185" s="61"/>
      <c r="D185" s="61"/>
      <c r="E185" s="61"/>
      <c r="F185" s="61"/>
      <c r="G185" s="61"/>
      <c r="H185" s="61"/>
      <c r="I185" s="61"/>
      <c r="J185" s="61"/>
      <c r="K185" s="61"/>
      <c r="L185" s="61"/>
      <c r="M185" s="61"/>
      <c r="N185" s="106"/>
      <c r="O185" s="104"/>
      <c r="P185" s="105"/>
      <c r="Q185" s="26"/>
      <c r="R185" s="33"/>
      <c r="S185" s="214">
        <v>5.13</v>
      </c>
      <c r="T185" s="108"/>
      <c r="U185" s="33"/>
      <c r="V185" s="206"/>
      <c r="W185" s="6"/>
    </row>
    <row r="186" spans="1:23" ht="15.6">
      <c r="A186" s="98"/>
      <c r="B186" s="83" t="s">
        <v>79</v>
      </c>
      <c r="C186" s="61"/>
      <c r="D186" s="61"/>
      <c r="E186" s="61"/>
      <c r="F186" s="61"/>
      <c r="G186" s="61"/>
      <c r="H186" s="61"/>
      <c r="I186" s="61"/>
      <c r="J186" s="61"/>
      <c r="K186" s="61"/>
      <c r="L186" s="61"/>
      <c r="M186" s="61"/>
      <c r="N186" s="106"/>
      <c r="O186" s="104"/>
      <c r="P186" s="105"/>
      <c r="Q186" s="26"/>
      <c r="R186" s="33"/>
      <c r="S186" s="214">
        <v>87.66</v>
      </c>
      <c r="T186" s="108"/>
      <c r="U186" s="33"/>
      <c r="V186" s="206"/>
      <c r="W186" s="6"/>
    </row>
    <row r="187" spans="1:23" ht="15.6">
      <c r="A187" s="98"/>
      <c r="B187" s="83"/>
      <c r="C187" s="61"/>
      <c r="D187" s="61"/>
      <c r="E187" s="61"/>
      <c r="F187" s="61"/>
      <c r="G187" s="61"/>
      <c r="H187" s="61"/>
      <c r="I187" s="61"/>
      <c r="J187" s="61"/>
      <c r="K187" s="61"/>
      <c r="L187" s="61"/>
      <c r="M187" s="106"/>
      <c r="N187" s="104"/>
      <c r="O187" s="105"/>
      <c r="P187" s="26"/>
      <c r="Q187" s="26"/>
      <c r="R187" s="26"/>
      <c r="S187" s="79"/>
      <c r="T187" s="26"/>
      <c r="U187" s="89"/>
      <c r="V187" s="205"/>
      <c r="W187" s="6"/>
    </row>
    <row r="188" spans="1:23" ht="17.399999999999999">
      <c r="A188" s="98"/>
      <c r="B188" s="180" t="s">
        <v>196</v>
      </c>
      <c r="C188" s="61"/>
      <c r="D188" s="61"/>
      <c r="E188" s="61"/>
      <c r="F188" s="61"/>
      <c r="G188" s="61"/>
      <c r="H188" s="61"/>
      <c r="I188" s="61"/>
      <c r="J188" s="61"/>
      <c r="K188" s="181" t="s">
        <v>195</v>
      </c>
      <c r="L188" s="61"/>
      <c r="M188" s="106"/>
      <c r="N188" s="104"/>
      <c r="O188" s="105"/>
      <c r="P188" s="26"/>
      <c r="Q188" s="26"/>
      <c r="R188" s="26"/>
      <c r="S188" s="79"/>
      <c r="T188" s="26"/>
      <c r="U188" s="89"/>
      <c r="V188" s="205"/>
      <c r="W188" s="6"/>
    </row>
    <row r="189" spans="1:23" ht="15.6">
      <c r="A189" s="25"/>
      <c r="B189" s="109" t="s">
        <v>80</v>
      </c>
      <c r="C189" s="110"/>
      <c r="D189" s="110"/>
      <c r="E189" s="110"/>
      <c r="F189" s="110"/>
      <c r="G189" s="110"/>
      <c r="H189" s="110"/>
      <c r="I189" s="110"/>
      <c r="J189" s="110"/>
      <c r="K189" s="110"/>
      <c r="L189" s="110"/>
      <c r="M189" s="111"/>
      <c r="N189" s="110"/>
      <c r="O189" s="111"/>
      <c r="P189" s="110"/>
      <c r="Q189" s="111"/>
      <c r="R189" s="110"/>
      <c r="S189" s="111"/>
      <c r="T189" s="110"/>
      <c r="U189" s="112"/>
      <c r="V189" s="205"/>
      <c r="W189" s="6"/>
    </row>
    <row r="190" spans="1:23" ht="15.6">
      <c r="A190" s="25"/>
      <c r="B190" s="30"/>
      <c r="C190" s="189"/>
      <c r="D190" s="189"/>
      <c r="E190" s="189"/>
      <c r="F190" s="189"/>
      <c r="G190" s="189"/>
      <c r="H190" s="189"/>
      <c r="I190" s="189"/>
      <c r="J190" s="189"/>
      <c r="K190" s="189"/>
      <c r="L190" s="189"/>
      <c r="M190" s="109" t="s">
        <v>100</v>
      </c>
      <c r="N190" s="110"/>
      <c r="O190" s="111"/>
      <c r="P190" s="110"/>
      <c r="Q190" s="109" t="s">
        <v>26</v>
      </c>
      <c r="R190" s="110"/>
      <c r="S190" s="111"/>
      <c r="T190" s="110"/>
      <c r="U190" s="112"/>
      <c r="V190" s="205"/>
      <c r="W190" s="6"/>
    </row>
    <row r="191" spans="1:23" ht="15.6">
      <c r="A191" s="25"/>
      <c r="B191" s="189"/>
      <c r="C191" s="111"/>
      <c r="D191" s="111"/>
      <c r="E191" s="111"/>
      <c r="F191" s="111"/>
      <c r="G191" s="111"/>
      <c r="H191" s="111"/>
      <c r="I191" s="111"/>
      <c r="J191" s="111"/>
      <c r="K191" s="111"/>
      <c r="L191" s="111" t="s">
        <v>94</v>
      </c>
      <c r="M191" s="110" t="s">
        <v>101</v>
      </c>
      <c r="N191" s="111" t="s">
        <v>103</v>
      </c>
      <c r="O191" s="110" t="s">
        <v>101</v>
      </c>
      <c r="P191" s="110"/>
      <c r="Q191" s="111" t="s">
        <v>94</v>
      </c>
      <c r="R191" s="110" t="s">
        <v>101</v>
      </c>
      <c r="S191" s="111" t="s">
        <v>103</v>
      </c>
      <c r="T191" s="110" t="s">
        <v>101</v>
      </c>
      <c r="U191" s="112"/>
      <c r="V191" s="205"/>
      <c r="W191" s="6"/>
    </row>
    <row r="192" spans="1:23" ht="15.6">
      <c r="A192" s="25"/>
      <c r="B192" s="61" t="s">
        <v>81</v>
      </c>
      <c r="C192" s="113"/>
      <c r="D192" s="113"/>
      <c r="E192" s="113"/>
      <c r="F192" s="113"/>
      <c r="G192" s="113"/>
      <c r="H192" s="113"/>
      <c r="I192" s="113"/>
      <c r="J192" s="113"/>
      <c r="K192" s="113"/>
      <c r="L192" s="113">
        <v>5891</v>
      </c>
      <c r="M192" s="86">
        <f t="shared" ref="M192:M198" si="0">+L192/$L$199</f>
        <v>0.90394353230013813</v>
      </c>
      <c r="N192" s="113">
        <v>21474</v>
      </c>
      <c r="O192" s="86">
        <f t="shared" ref="O192:O198" si="1">N192/$N$199</f>
        <v>0.88948720072901999</v>
      </c>
      <c r="P192" s="110"/>
      <c r="Q192" s="113">
        <v>35745</v>
      </c>
      <c r="R192" s="86">
        <f t="shared" ref="R192:R198" si="2">+Q192/$Q$199</f>
        <v>0.98522642705548358</v>
      </c>
      <c r="S192" s="113">
        <v>39113</v>
      </c>
      <c r="T192" s="86">
        <f t="shared" ref="T192:T198" si="3">+S192/$S$199</f>
        <v>0.97973548419417866</v>
      </c>
      <c r="U192" s="112"/>
      <c r="V192" s="205"/>
      <c r="W192" s="6"/>
    </row>
    <row r="193" spans="1:24" ht="15.6">
      <c r="A193" s="25"/>
      <c r="B193" s="61" t="s">
        <v>82</v>
      </c>
      <c r="C193" s="113"/>
      <c r="D193" s="113"/>
      <c r="E193" s="113"/>
      <c r="F193" s="113"/>
      <c r="G193" s="113"/>
      <c r="H193" s="113"/>
      <c r="I193" s="113"/>
      <c r="J193" s="113"/>
      <c r="K193" s="113"/>
      <c r="L193" s="113">
        <v>76</v>
      </c>
      <c r="M193" s="86">
        <f t="shared" si="0"/>
        <v>1.1661807580174927E-2</v>
      </c>
      <c r="N193" s="113">
        <v>340</v>
      </c>
      <c r="O193" s="86">
        <f t="shared" si="1"/>
        <v>1.4083340236931488E-2</v>
      </c>
      <c r="P193" s="110"/>
      <c r="Q193" s="113">
        <v>67</v>
      </c>
      <c r="R193" s="86">
        <f t="shared" si="2"/>
        <v>1.8466966180645517E-3</v>
      </c>
      <c r="S193" s="113">
        <v>91</v>
      </c>
      <c r="T193" s="86">
        <f t="shared" si="3"/>
        <v>2.2794449175892991E-3</v>
      </c>
      <c r="U193" s="112"/>
      <c r="V193" s="205"/>
      <c r="W193" s="6"/>
    </row>
    <row r="194" spans="1:24" ht="15.6">
      <c r="A194" s="25"/>
      <c r="B194" s="61" t="s">
        <v>83</v>
      </c>
      <c r="C194" s="113"/>
      <c r="D194" s="113"/>
      <c r="E194" s="113"/>
      <c r="F194" s="113"/>
      <c r="G194" s="113"/>
      <c r="H194" s="113"/>
      <c r="I194" s="113"/>
      <c r="J194" s="113"/>
      <c r="K194" s="113"/>
      <c r="L194" s="113">
        <v>63</v>
      </c>
      <c r="M194" s="86">
        <f t="shared" si="0"/>
        <v>9.6670247046186895E-3</v>
      </c>
      <c r="N194" s="113">
        <v>259</v>
      </c>
      <c r="O194" s="86">
        <f t="shared" si="1"/>
        <v>1.0728191533427222E-2</v>
      </c>
      <c r="P194" s="110"/>
      <c r="Q194" s="113">
        <v>60</v>
      </c>
      <c r="R194" s="86">
        <f t="shared" si="2"/>
        <v>1.6537581654309419E-3</v>
      </c>
      <c r="S194" s="113">
        <v>86</v>
      </c>
      <c r="T194" s="86">
        <f t="shared" si="3"/>
        <v>2.1542006913481287E-3</v>
      </c>
      <c r="U194" s="112"/>
      <c r="V194" s="205"/>
      <c r="W194" s="6"/>
    </row>
    <row r="195" spans="1:24" ht="15.6">
      <c r="A195" s="25"/>
      <c r="B195" s="61" t="s">
        <v>186</v>
      </c>
      <c r="C195" s="113"/>
      <c r="D195" s="113"/>
      <c r="E195" s="113"/>
      <c r="F195" s="113"/>
      <c r="G195" s="113"/>
      <c r="H195" s="113"/>
      <c r="I195" s="113"/>
      <c r="J195" s="113"/>
      <c r="K195" s="113"/>
      <c r="L195" s="113">
        <v>73</v>
      </c>
      <c r="M195" s="86">
        <f t="shared" si="0"/>
        <v>1.120147307043118E-2</v>
      </c>
      <c r="N195" s="113">
        <v>302</v>
      </c>
      <c r="O195" s="86">
        <f t="shared" si="1"/>
        <v>1.2509319857509735E-2</v>
      </c>
      <c r="P195" s="110"/>
      <c r="Q195" s="113">
        <v>52</v>
      </c>
      <c r="R195" s="86">
        <f t="shared" si="2"/>
        <v>1.4332570767068163E-3</v>
      </c>
      <c r="S195" s="113">
        <v>57</v>
      </c>
      <c r="T195" s="86">
        <f t="shared" si="3"/>
        <v>1.4277841791493413E-3</v>
      </c>
      <c r="U195" s="112"/>
      <c r="V195" s="205"/>
      <c r="W195" s="6"/>
    </row>
    <row r="196" spans="1:24" ht="15.6">
      <c r="A196" s="25"/>
      <c r="B196" s="61" t="s">
        <v>187</v>
      </c>
      <c r="C196" s="113"/>
      <c r="D196" s="113"/>
      <c r="E196" s="113"/>
      <c r="F196" s="113"/>
      <c r="G196" s="113"/>
      <c r="H196" s="113"/>
      <c r="I196" s="113"/>
      <c r="J196" s="113"/>
      <c r="K196" s="113"/>
      <c r="L196" s="113">
        <v>55</v>
      </c>
      <c r="M196" s="86">
        <f t="shared" si="0"/>
        <v>8.4394660119686965E-3</v>
      </c>
      <c r="N196" s="113">
        <v>246</v>
      </c>
      <c r="O196" s="86">
        <f t="shared" si="1"/>
        <v>1.0189710877309254E-2</v>
      </c>
      <c r="P196" s="110"/>
      <c r="Q196" s="113">
        <v>57</v>
      </c>
      <c r="R196" s="86">
        <f t="shared" si="2"/>
        <v>1.5710702571593946E-3</v>
      </c>
      <c r="S196" s="113">
        <v>112</v>
      </c>
      <c r="T196" s="86">
        <f t="shared" si="3"/>
        <v>2.8054706678022141E-3</v>
      </c>
      <c r="U196" s="112"/>
      <c r="V196" s="205"/>
      <c r="W196" s="6"/>
    </row>
    <row r="197" spans="1:24" ht="15.6">
      <c r="A197" s="25"/>
      <c r="B197" s="61" t="s">
        <v>188</v>
      </c>
      <c r="C197" s="113"/>
      <c r="D197" s="113"/>
      <c r="E197" s="113"/>
      <c r="F197" s="113"/>
      <c r="G197" s="113"/>
      <c r="H197" s="113"/>
      <c r="I197" s="113"/>
      <c r="J197" s="113"/>
      <c r="K197" s="113"/>
      <c r="L197" s="113">
        <v>52</v>
      </c>
      <c r="M197" s="86">
        <f t="shared" si="0"/>
        <v>7.9791315022249495E-3</v>
      </c>
      <c r="N197" s="113">
        <v>187</v>
      </c>
      <c r="O197" s="86">
        <f t="shared" si="1"/>
        <v>7.7458371303123184E-3</v>
      </c>
      <c r="P197" s="110"/>
      <c r="Q197" s="113">
        <v>38</v>
      </c>
      <c r="R197" s="86">
        <f t="shared" si="2"/>
        <v>1.0473801714395966E-3</v>
      </c>
      <c r="S197" s="113">
        <v>43</v>
      </c>
      <c r="T197" s="86">
        <f t="shared" si="3"/>
        <v>1.0771003456740643E-3</v>
      </c>
      <c r="U197" s="112"/>
      <c r="V197" s="205"/>
      <c r="W197" s="6"/>
    </row>
    <row r="198" spans="1:24" ht="15.6">
      <c r="A198" s="25"/>
      <c r="B198" s="61" t="s">
        <v>189</v>
      </c>
      <c r="C198" s="113"/>
      <c r="D198" s="113"/>
      <c r="E198" s="113"/>
      <c r="F198" s="113"/>
      <c r="G198" s="113"/>
      <c r="H198" s="113"/>
      <c r="I198" s="113"/>
      <c r="J198" s="113"/>
      <c r="K198" s="113"/>
      <c r="L198" s="113">
        <v>307</v>
      </c>
      <c r="M198" s="86">
        <f t="shared" si="0"/>
        <v>4.7107564830443455E-2</v>
      </c>
      <c r="N198" s="113">
        <v>1334</v>
      </c>
      <c r="O198" s="86">
        <f t="shared" si="1"/>
        <v>5.5256399635490019E-2</v>
      </c>
      <c r="P198" s="110"/>
      <c r="Q198" s="113">
        <v>262</v>
      </c>
      <c r="R198" s="86">
        <f t="shared" si="2"/>
        <v>7.2214106557151126E-3</v>
      </c>
      <c r="S198" s="113">
        <v>420</v>
      </c>
      <c r="T198" s="86">
        <f t="shared" si="3"/>
        <v>1.0520515004258303E-2</v>
      </c>
      <c r="U198" s="112"/>
      <c r="V198" s="205"/>
      <c r="W198" s="6"/>
    </row>
    <row r="199" spans="1:24" ht="15.6">
      <c r="A199" s="25"/>
      <c r="B199" s="61" t="s">
        <v>84</v>
      </c>
      <c r="C199" s="113"/>
      <c r="D199" s="113"/>
      <c r="E199" s="113"/>
      <c r="F199" s="113"/>
      <c r="G199" s="113"/>
      <c r="H199" s="113"/>
      <c r="I199" s="113"/>
      <c r="J199" s="113"/>
      <c r="K199" s="113"/>
      <c r="L199" s="113">
        <f>SUM(L192:L198)</f>
        <v>6517</v>
      </c>
      <c r="M199" s="86">
        <f>SUM(M192:M198)</f>
        <v>0.99999999999999989</v>
      </c>
      <c r="N199" s="113">
        <f>SUM(N192:N198)</f>
        <v>24142</v>
      </c>
      <c r="O199" s="86">
        <f>SUM(O192:O198)</f>
        <v>0.99999999999999989</v>
      </c>
      <c r="P199" s="110"/>
      <c r="Q199" s="113">
        <f>SUM(Q192:Q198)</f>
        <v>36281</v>
      </c>
      <c r="R199" s="86">
        <f>SUM(R192:R198)</f>
        <v>1</v>
      </c>
      <c r="S199" s="113">
        <f>SUM(S192:S198)</f>
        <v>39922</v>
      </c>
      <c r="T199" s="86">
        <f>SUM(T192:T198)</f>
        <v>1</v>
      </c>
      <c r="U199" s="112"/>
      <c r="V199" s="205"/>
      <c r="W199" s="6"/>
      <c r="X199" s="64"/>
    </row>
    <row r="200" spans="1:24" ht="15.6">
      <c r="A200" s="25"/>
      <c r="B200" s="61" t="s">
        <v>85</v>
      </c>
      <c r="C200" s="113"/>
      <c r="D200" s="113"/>
      <c r="E200" s="113"/>
      <c r="F200" s="113"/>
      <c r="G200" s="113"/>
      <c r="H200" s="113"/>
      <c r="I200" s="113"/>
      <c r="J200" s="113"/>
      <c r="K200" s="113"/>
      <c r="L200" s="113">
        <v>991</v>
      </c>
      <c r="M200" s="114"/>
      <c r="N200" s="113">
        <v>6940</v>
      </c>
      <c r="O200" s="114"/>
      <c r="P200" s="110"/>
      <c r="Q200" s="113">
        <v>380</v>
      </c>
      <c r="R200" s="114"/>
      <c r="S200" s="113">
        <v>682</v>
      </c>
      <c r="T200" s="114"/>
      <c r="U200" s="112"/>
      <c r="V200" s="205"/>
      <c r="W200" s="6"/>
      <c r="X200" s="64"/>
    </row>
    <row r="201" spans="1:24" ht="15.6">
      <c r="A201" s="25"/>
      <c r="B201" s="61" t="s">
        <v>86</v>
      </c>
      <c r="C201" s="113"/>
      <c r="D201" s="113"/>
      <c r="E201" s="113"/>
      <c r="F201" s="113"/>
      <c r="G201" s="113"/>
      <c r="H201" s="113"/>
      <c r="I201" s="113"/>
      <c r="J201" s="113"/>
      <c r="K201" s="113"/>
      <c r="L201" s="113">
        <f>SUM(L199:L200)</f>
        <v>7508</v>
      </c>
      <c r="M201" s="189"/>
      <c r="N201" s="113">
        <f>SUM(N199:N200)</f>
        <v>31082</v>
      </c>
      <c r="O201" s="115"/>
      <c r="P201" s="189"/>
      <c r="Q201" s="113">
        <f>SUM(Q199:Q200)</f>
        <v>36661</v>
      </c>
      <c r="R201" s="189"/>
      <c r="S201" s="113">
        <f>SUM(S199:S200)</f>
        <v>40604</v>
      </c>
      <c r="T201" s="189"/>
      <c r="U201" s="189"/>
      <c r="V201" s="205"/>
      <c r="W201" s="6"/>
      <c r="X201" s="64"/>
    </row>
    <row r="202" spans="1:24" ht="15.6">
      <c r="A202" s="25"/>
      <c r="B202" s="61"/>
      <c r="C202" s="113"/>
      <c r="D202" s="113"/>
      <c r="E202" s="113"/>
      <c r="F202" s="113"/>
      <c r="G202" s="113"/>
      <c r="H202" s="113"/>
      <c r="I202" s="113"/>
      <c r="J202" s="113"/>
      <c r="K202" s="113"/>
      <c r="L202" s="113"/>
      <c r="M202" s="115"/>
      <c r="N202" s="113"/>
      <c r="O202" s="115"/>
      <c r="P202" s="110"/>
      <c r="Q202" s="113"/>
      <c r="R202" s="115"/>
      <c r="S202" s="113"/>
      <c r="T202" s="115"/>
      <c r="U202" s="112"/>
      <c r="V202" s="205"/>
      <c r="W202" s="6"/>
    </row>
    <row r="203" spans="1:24" ht="15.6">
      <c r="A203" s="25"/>
      <c r="B203" s="61"/>
      <c r="C203" s="110"/>
      <c r="D203" s="110"/>
      <c r="E203" s="110"/>
      <c r="F203" s="110"/>
      <c r="G203" s="110"/>
      <c r="H203" s="110"/>
      <c r="I203" s="110"/>
      <c r="J203" s="110"/>
      <c r="K203" s="110"/>
      <c r="L203" s="110"/>
      <c r="M203" s="109" t="s">
        <v>27</v>
      </c>
      <c r="N203" s="110"/>
      <c r="O203" s="111"/>
      <c r="P203" s="110"/>
      <c r="Q203" s="109" t="s">
        <v>28</v>
      </c>
      <c r="R203" s="110"/>
      <c r="S203" s="111"/>
      <c r="T203" s="110"/>
      <c r="U203" s="112"/>
      <c r="V203" s="205"/>
      <c r="W203" s="6"/>
    </row>
    <row r="204" spans="1:24" ht="15.6">
      <c r="A204" s="25"/>
      <c r="B204" s="189"/>
      <c r="C204" s="111"/>
      <c r="D204" s="111"/>
      <c r="E204" s="111"/>
      <c r="F204" s="111"/>
      <c r="G204" s="111"/>
      <c r="H204" s="111"/>
      <c r="I204" s="111"/>
      <c r="J204" s="111"/>
      <c r="K204" s="111"/>
      <c r="L204" s="111" t="s">
        <v>94</v>
      </c>
      <c r="M204" s="110" t="s">
        <v>101</v>
      </c>
      <c r="N204" s="111" t="s">
        <v>103</v>
      </c>
      <c r="O204" s="110" t="s">
        <v>101</v>
      </c>
      <c r="P204" s="110"/>
      <c r="Q204" s="111" t="s">
        <v>94</v>
      </c>
      <c r="R204" s="110" t="s">
        <v>101</v>
      </c>
      <c r="S204" s="111" t="s">
        <v>103</v>
      </c>
      <c r="T204" s="110" t="s">
        <v>101</v>
      </c>
      <c r="U204" s="112"/>
      <c r="V204" s="205"/>
      <c r="W204" s="6"/>
    </row>
    <row r="205" spans="1:24" ht="15.6">
      <c r="A205" s="25"/>
      <c r="B205" s="61" t="s">
        <v>81</v>
      </c>
      <c r="C205" s="113"/>
      <c r="D205" s="113"/>
      <c r="E205" s="113"/>
      <c r="F205" s="113"/>
      <c r="G205" s="113"/>
      <c r="H205" s="113"/>
      <c r="I205" s="113"/>
      <c r="J205" s="113"/>
      <c r="K205" s="113"/>
      <c r="L205" s="113">
        <v>6852</v>
      </c>
      <c r="M205" s="86">
        <f t="shared" ref="M205:M211" si="4">+L205/$L$212</f>
        <v>0.94043370848202035</v>
      </c>
      <c r="N205" s="113">
        <v>185599</v>
      </c>
      <c r="O205" s="86">
        <f t="shared" ref="O205:O211" si="5">+N205/$N$212</f>
        <v>0.93181544331760213</v>
      </c>
      <c r="P205" s="110"/>
      <c r="Q205" s="113">
        <v>8040</v>
      </c>
      <c r="R205" s="86">
        <f t="shared" ref="R205:R211" si="6">Q205/$Q$212</f>
        <v>0.97608352555542066</v>
      </c>
      <c r="S205" s="113">
        <v>104287</v>
      </c>
      <c r="T205" s="86">
        <f t="shared" ref="T205:T211" si="7">+S205/$S$212</f>
        <v>0.97453556610473591</v>
      </c>
      <c r="U205" s="112"/>
      <c r="V205" s="205"/>
      <c r="W205" s="6"/>
    </row>
    <row r="206" spans="1:24" ht="15.6">
      <c r="A206" s="25"/>
      <c r="B206" s="61" t="s">
        <v>82</v>
      </c>
      <c r="C206" s="113"/>
      <c r="D206" s="113"/>
      <c r="E206" s="113"/>
      <c r="F206" s="113"/>
      <c r="G206" s="113"/>
      <c r="H206" s="113"/>
      <c r="I206" s="113"/>
      <c r="J206" s="113"/>
      <c r="K206" s="113"/>
      <c r="L206" s="113">
        <v>136</v>
      </c>
      <c r="M206" s="86">
        <f t="shared" si="4"/>
        <v>1.8665934669228657E-2</v>
      </c>
      <c r="N206" s="113">
        <v>3971</v>
      </c>
      <c r="O206" s="86">
        <f t="shared" si="5"/>
        <v>1.9936740636610103E-2</v>
      </c>
      <c r="P206" s="110"/>
      <c r="Q206" s="113">
        <v>63</v>
      </c>
      <c r="R206" s="86">
        <f t="shared" si="6"/>
        <v>7.6484156853223262E-3</v>
      </c>
      <c r="S206" s="113">
        <v>889</v>
      </c>
      <c r="T206" s="86">
        <f t="shared" si="7"/>
        <v>8.3074795350054197E-3</v>
      </c>
      <c r="U206" s="112"/>
      <c r="V206" s="205"/>
      <c r="W206" s="6"/>
    </row>
    <row r="207" spans="1:24" ht="15.6">
      <c r="A207" s="25"/>
      <c r="B207" s="61" t="s">
        <v>83</v>
      </c>
      <c r="C207" s="113"/>
      <c r="D207" s="113"/>
      <c r="E207" s="113"/>
      <c r="F207" s="113"/>
      <c r="G207" s="113"/>
      <c r="H207" s="113"/>
      <c r="I207" s="113"/>
      <c r="J207" s="113"/>
      <c r="K207" s="113"/>
      <c r="L207" s="113">
        <v>93</v>
      </c>
      <c r="M207" s="86">
        <f t="shared" si="4"/>
        <v>1.2764205325281362E-2</v>
      </c>
      <c r="N207" s="113">
        <v>2776</v>
      </c>
      <c r="O207" s="86">
        <f t="shared" si="5"/>
        <v>1.3937142283361783E-2</v>
      </c>
      <c r="P207" s="110"/>
      <c r="Q207" s="113">
        <v>39</v>
      </c>
      <c r="R207" s="86">
        <f t="shared" si="6"/>
        <v>4.7347335194852496E-3</v>
      </c>
      <c r="S207" s="113">
        <v>534</v>
      </c>
      <c r="T207" s="86">
        <f t="shared" si="7"/>
        <v>4.9900945688334019E-3</v>
      </c>
      <c r="U207" s="112"/>
      <c r="V207" s="205"/>
      <c r="W207" s="6"/>
    </row>
    <row r="208" spans="1:24" ht="15.6">
      <c r="A208" s="25"/>
      <c r="B208" s="61" t="s">
        <v>186</v>
      </c>
      <c r="C208" s="113"/>
      <c r="D208" s="113"/>
      <c r="E208" s="113"/>
      <c r="F208" s="113"/>
      <c r="G208" s="113"/>
      <c r="H208" s="113"/>
      <c r="I208" s="113"/>
      <c r="J208" s="113"/>
      <c r="K208" s="113"/>
      <c r="L208" s="113">
        <v>47</v>
      </c>
      <c r="M208" s="86">
        <f t="shared" si="4"/>
        <v>6.4507274224540213E-3</v>
      </c>
      <c r="N208" s="113">
        <v>1634</v>
      </c>
      <c r="O208" s="86">
        <f t="shared" si="5"/>
        <v>8.2036349031027207E-3</v>
      </c>
      <c r="P208" s="110"/>
      <c r="Q208" s="113">
        <v>26</v>
      </c>
      <c r="R208" s="86">
        <f t="shared" si="6"/>
        <v>3.1564890129901664E-3</v>
      </c>
      <c r="S208" s="113">
        <v>430</v>
      </c>
      <c r="T208" s="86">
        <f t="shared" si="7"/>
        <v>4.0182409449407543E-3</v>
      </c>
      <c r="U208" s="112"/>
      <c r="V208" s="205"/>
      <c r="W208" s="6"/>
    </row>
    <row r="209" spans="1:24" ht="15.6">
      <c r="A209" s="25"/>
      <c r="B209" s="61" t="s">
        <v>187</v>
      </c>
      <c r="C209" s="113"/>
      <c r="D209" s="113"/>
      <c r="E209" s="113"/>
      <c r="F209" s="113"/>
      <c r="G209" s="113"/>
      <c r="H209" s="113"/>
      <c r="I209" s="113"/>
      <c r="J209" s="113"/>
      <c r="K209" s="113"/>
      <c r="L209" s="113">
        <v>43</v>
      </c>
      <c r="M209" s="86">
        <f t="shared" si="4"/>
        <v>5.9017293439472965E-3</v>
      </c>
      <c r="N209" s="113">
        <v>1257</v>
      </c>
      <c r="O209" s="86">
        <f t="shared" si="5"/>
        <v>6.3108745858017875E-3</v>
      </c>
      <c r="P209" s="110"/>
      <c r="Q209" s="113">
        <v>20</v>
      </c>
      <c r="R209" s="86">
        <f t="shared" si="6"/>
        <v>2.428068471530897E-3</v>
      </c>
      <c r="S209" s="113">
        <v>274</v>
      </c>
      <c r="T209" s="86">
        <f t="shared" si="7"/>
        <v>2.5604605091017829E-3</v>
      </c>
      <c r="U209" s="112"/>
      <c r="V209" s="205"/>
      <c r="W209" s="6"/>
    </row>
    <row r="210" spans="1:24" ht="15.6">
      <c r="A210" s="25"/>
      <c r="B210" s="61" t="s">
        <v>188</v>
      </c>
      <c r="C210" s="113"/>
      <c r="D210" s="113"/>
      <c r="E210" s="113"/>
      <c r="F210" s="113"/>
      <c r="G210" s="113"/>
      <c r="H210" s="113"/>
      <c r="I210" s="113"/>
      <c r="J210" s="113"/>
      <c r="K210" s="113"/>
      <c r="L210" s="113">
        <v>24</v>
      </c>
      <c r="M210" s="86">
        <f t="shared" si="4"/>
        <v>3.2939884710403516E-3</v>
      </c>
      <c r="N210" s="113">
        <v>852</v>
      </c>
      <c r="O210" s="86">
        <f t="shared" si="5"/>
        <v>4.2775379054121902E-3</v>
      </c>
      <c r="P210" s="110"/>
      <c r="Q210" s="113">
        <v>14</v>
      </c>
      <c r="R210" s="86">
        <f t="shared" si="6"/>
        <v>1.6996479300716281E-3</v>
      </c>
      <c r="S210" s="113">
        <v>171</v>
      </c>
      <c r="T210" s="86">
        <f t="shared" si="7"/>
        <v>1.5979516315927187E-3</v>
      </c>
      <c r="U210" s="112"/>
      <c r="V210" s="205"/>
      <c r="W210" s="6"/>
    </row>
    <row r="211" spans="1:24" ht="15.6">
      <c r="A211" s="25"/>
      <c r="B211" s="61" t="s">
        <v>189</v>
      </c>
      <c r="C211" s="113"/>
      <c r="D211" s="113"/>
      <c r="E211" s="113"/>
      <c r="F211" s="113"/>
      <c r="G211" s="113"/>
      <c r="H211" s="113"/>
      <c r="I211" s="113"/>
      <c r="J211" s="113"/>
      <c r="K211" s="113"/>
      <c r="L211" s="113">
        <v>91</v>
      </c>
      <c r="M211" s="86">
        <f t="shared" si="4"/>
        <v>1.2489706286028E-2</v>
      </c>
      <c r="N211" s="113">
        <v>3091</v>
      </c>
      <c r="O211" s="86">
        <f t="shared" si="5"/>
        <v>1.5518626368109249E-2</v>
      </c>
      <c r="P211" s="110"/>
      <c r="Q211" s="113">
        <v>35</v>
      </c>
      <c r="R211" s="86">
        <f t="shared" si="6"/>
        <v>4.24911982517907E-3</v>
      </c>
      <c r="S211" s="113">
        <v>427</v>
      </c>
      <c r="T211" s="86">
        <f t="shared" si="7"/>
        <v>3.990206705790005E-3</v>
      </c>
      <c r="U211" s="112"/>
      <c r="V211" s="205"/>
      <c r="W211" s="6"/>
    </row>
    <row r="212" spans="1:24" ht="15.6">
      <c r="A212" s="25"/>
      <c r="B212" s="61" t="str">
        <f>B199</f>
        <v>Total Performing  Assets</v>
      </c>
      <c r="C212" s="113"/>
      <c r="D212" s="113"/>
      <c r="E212" s="113"/>
      <c r="F212" s="113"/>
      <c r="G212" s="113"/>
      <c r="H212" s="113"/>
      <c r="I212" s="113"/>
      <c r="J212" s="113"/>
      <c r="K212" s="113"/>
      <c r="L212" s="113">
        <f>SUM(L205:L211)</f>
        <v>7286</v>
      </c>
      <c r="M212" s="86">
        <f>SUM(M205:M211)</f>
        <v>0.99999999999999989</v>
      </c>
      <c r="N212" s="113">
        <f>SUM(N205:N211)</f>
        <v>199180</v>
      </c>
      <c r="O212" s="86">
        <f>SUM(O205:O211)</f>
        <v>1</v>
      </c>
      <c r="P212" s="110"/>
      <c r="Q212" s="113">
        <f>SUM(Q205:Q211)</f>
        <v>8237</v>
      </c>
      <c r="R212" s="86">
        <f>SUM(R205:R211)</f>
        <v>1</v>
      </c>
      <c r="S212" s="113">
        <f>SUM(S205:S211)</f>
        <v>107012</v>
      </c>
      <c r="T212" s="86">
        <f>SUM(T205:T211)</f>
        <v>0.99999999999999989</v>
      </c>
      <c r="U212" s="112"/>
      <c r="V212" s="205"/>
      <c r="W212" s="6"/>
    </row>
    <row r="213" spans="1:24" ht="15.6">
      <c r="A213" s="25"/>
      <c r="B213" s="61" t="s">
        <v>85</v>
      </c>
      <c r="C213" s="113"/>
      <c r="D213" s="113"/>
      <c r="E213" s="113"/>
      <c r="F213" s="113"/>
      <c r="G213" s="113"/>
      <c r="H213" s="113"/>
      <c r="I213" s="113"/>
      <c r="J213" s="113"/>
      <c r="K213" s="113"/>
      <c r="L213" s="113">
        <v>50</v>
      </c>
      <c r="M213" s="116"/>
      <c r="N213" s="113">
        <v>1861</v>
      </c>
      <c r="O213" s="114"/>
      <c r="P213" s="110"/>
      <c r="Q213" s="113">
        <v>29</v>
      </c>
      <c r="R213" s="116"/>
      <c r="S213" s="113">
        <v>384</v>
      </c>
      <c r="T213" s="116"/>
      <c r="U213" s="112"/>
      <c r="V213" s="205"/>
      <c r="W213" s="6"/>
    </row>
    <row r="214" spans="1:24" ht="15.6">
      <c r="A214" s="25"/>
      <c r="B214" s="61" t="s">
        <v>86</v>
      </c>
      <c r="C214" s="113"/>
      <c r="D214" s="113"/>
      <c r="E214" s="113"/>
      <c r="F214" s="113"/>
      <c r="G214" s="113"/>
      <c r="H214" s="113"/>
      <c r="I214" s="113"/>
      <c r="J214" s="113"/>
      <c r="K214" s="113"/>
      <c r="L214" s="113">
        <f>SUM(L212:L213)</f>
        <v>7336</v>
      </c>
      <c r="M214" s="189"/>
      <c r="N214" s="113">
        <f>SUM(N212:N213)</f>
        <v>201041</v>
      </c>
      <c r="O214" s="86"/>
      <c r="P214" s="189"/>
      <c r="Q214" s="113">
        <f>SUM(Q212:Q213)</f>
        <v>8266</v>
      </c>
      <c r="R214" s="189"/>
      <c r="S214" s="113">
        <f>SUM(S212:S213)</f>
        <v>107396</v>
      </c>
      <c r="T214" s="189"/>
      <c r="U214" s="189"/>
      <c r="V214" s="190"/>
    </row>
    <row r="215" spans="1:24" ht="15.6">
      <c r="A215" s="25"/>
      <c r="B215" s="61"/>
      <c r="C215" s="110"/>
      <c r="D215" s="110"/>
      <c r="E215" s="110"/>
      <c r="F215" s="110"/>
      <c r="G215" s="110"/>
      <c r="H215" s="110"/>
      <c r="I215" s="110"/>
      <c r="J215" s="110"/>
      <c r="K215" s="110"/>
      <c r="L215" s="110"/>
      <c r="M215" s="111"/>
      <c r="N215" s="110"/>
      <c r="O215" s="111"/>
      <c r="P215" s="110"/>
      <c r="Q215" s="117"/>
      <c r="R215" s="110"/>
      <c r="S215" s="113"/>
      <c r="T215" s="110"/>
      <c r="U215" s="112"/>
      <c r="V215" s="205"/>
      <c r="W215" s="6"/>
    </row>
    <row r="216" spans="1:24" ht="15.6">
      <c r="A216" s="25"/>
      <c r="B216" s="61" t="s">
        <v>86</v>
      </c>
      <c r="C216" s="110"/>
      <c r="D216" s="110"/>
      <c r="E216" s="110"/>
      <c r="F216" s="110"/>
      <c r="G216" s="110"/>
      <c r="H216" s="110"/>
      <c r="I216" s="110"/>
      <c r="J216" s="110"/>
      <c r="K216" s="110"/>
      <c r="L216" s="110"/>
      <c r="M216" s="111"/>
      <c r="N216" s="110"/>
      <c r="O216" s="111"/>
      <c r="P216" s="110"/>
      <c r="Q216" s="117"/>
      <c r="R216" s="116"/>
      <c r="S216" s="113">
        <f>+N201+S201+N214+S214</f>
        <v>380123</v>
      </c>
      <c r="T216" s="115"/>
      <c r="U216" s="112"/>
      <c r="V216" s="205"/>
      <c r="W216" s="6"/>
      <c r="X216" s="182"/>
    </row>
    <row r="217" spans="1:24" ht="15.6">
      <c r="A217" s="25"/>
      <c r="B217" s="61"/>
      <c r="C217" s="110"/>
      <c r="D217" s="110"/>
      <c r="E217" s="110"/>
      <c r="F217" s="110"/>
      <c r="G217" s="110"/>
      <c r="H217" s="110"/>
      <c r="I217" s="110"/>
      <c r="J217" s="110"/>
      <c r="K217" s="110"/>
      <c r="L217" s="110"/>
      <c r="M217" s="111"/>
      <c r="N217" s="110"/>
      <c r="O217" s="111"/>
      <c r="P217" s="110"/>
      <c r="Q217" s="111"/>
      <c r="R217" s="110"/>
      <c r="S217" s="113"/>
      <c r="T217" s="116"/>
      <c r="U217" s="112"/>
      <c r="V217" s="205"/>
      <c r="W217" s="6"/>
    </row>
    <row r="218" spans="1:24" ht="15.6">
      <c r="A218" s="25"/>
      <c r="B218" s="118" t="s">
        <v>87</v>
      </c>
      <c r="C218" s="110"/>
      <c r="D218" s="110"/>
      <c r="E218" s="110"/>
      <c r="F218" s="110"/>
      <c r="G218" s="110"/>
      <c r="H218" s="110"/>
      <c r="I218" s="110"/>
      <c r="J218" s="110"/>
      <c r="K218" s="110"/>
      <c r="L218" s="110"/>
      <c r="M218" s="111"/>
      <c r="N218" s="110"/>
      <c r="O218" s="111"/>
      <c r="P218" s="110"/>
      <c r="Q218" s="111"/>
      <c r="R218" s="110"/>
      <c r="S218" s="113"/>
      <c r="T218" s="110"/>
      <c r="U218" s="209"/>
      <c r="V218" s="205"/>
      <c r="W218" s="6"/>
    </row>
    <row r="219" spans="1:24" ht="15.6">
      <c r="A219" s="25"/>
      <c r="B219" s="61"/>
      <c r="C219" s="110"/>
      <c r="D219" s="110"/>
      <c r="E219" s="110"/>
      <c r="F219" s="110"/>
      <c r="G219" s="110"/>
      <c r="H219" s="110"/>
      <c r="I219" s="110"/>
      <c r="J219" s="110"/>
      <c r="K219" s="110"/>
      <c r="L219" s="110"/>
      <c r="M219" s="111"/>
      <c r="N219" s="110"/>
      <c r="O219" s="111"/>
      <c r="P219" s="110"/>
      <c r="Q219" s="111"/>
      <c r="R219" s="110"/>
      <c r="S219" s="113"/>
      <c r="T219" s="110"/>
      <c r="U219" s="112"/>
      <c r="V219" s="205"/>
      <c r="W219" s="6"/>
    </row>
    <row r="220" spans="1:24" ht="15.6">
      <c r="A220" s="25"/>
      <c r="B220" s="61" t="s">
        <v>88</v>
      </c>
      <c r="C220" s="110"/>
      <c r="D220" s="110"/>
      <c r="E220" s="110"/>
      <c r="F220" s="110"/>
      <c r="G220" s="110"/>
      <c r="H220" s="110"/>
      <c r="I220" s="110"/>
      <c r="J220" s="110"/>
      <c r="K220" s="110"/>
      <c r="L220" s="110"/>
      <c r="M220" s="111"/>
      <c r="N220" s="110"/>
      <c r="O220" s="111"/>
      <c r="P220" s="110"/>
      <c r="Q220" s="111"/>
      <c r="R220" s="110"/>
      <c r="S220" s="113">
        <f>N199+S199+N212+S212</f>
        <v>370256</v>
      </c>
      <c r="T220" s="110"/>
      <c r="U220" s="112"/>
      <c r="V220" s="205"/>
      <c r="W220" s="6"/>
      <c r="X220" s="182"/>
    </row>
    <row r="221" spans="1:24" ht="15.6">
      <c r="A221" s="25"/>
      <c r="B221" s="61" t="s">
        <v>89</v>
      </c>
      <c r="C221" s="110"/>
      <c r="D221" s="110"/>
      <c r="E221" s="110"/>
      <c r="F221" s="110"/>
      <c r="G221" s="110"/>
      <c r="H221" s="110"/>
      <c r="I221" s="110"/>
      <c r="J221" s="110"/>
      <c r="K221" s="110"/>
      <c r="L221" s="110"/>
      <c r="M221" s="111"/>
      <c r="N221" s="110"/>
      <c r="O221" s="111"/>
      <c r="P221" s="110"/>
      <c r="Q221" s="111"/>
      <c r="R221" s="110"/>
      <c r="S221" s="113">
        <f>-U103</f>
        <v>79744</v>
      </c>
      <c r="T221" s="110"/>
      <c r="U221" s="112"/>
      <c r="V221" s="205"/>
      <c r="W221" s="119"/>
    </row>
    <row r="222" spans="1:24" ht="15.6">
      <c r="A222" s="25"/>
      <c r="B222" s="61" t="s">
        <v>90</v>
      </c>
      <c r="C222" s="110"/>
      <c r="D222" s="110"/>
      <c r="E222" s="110"/>
      <c r="F222" s="110"/>
      <c r="G222" s="110"/>
      <c r="H222" s="110"/>
      <c r="I222" s="110"/>
      <c r="J222" s="110"/>
      <c r="K222" s="110"/>
      <c r="L222" s="110"/>
      <c r="M222" s="111"/>
      <c r="N222" s="110"/>
      <c r="O222" s="111"/>
      <c r="P222" s="110"/>
      <c r="Q222" s="111"/>
      <c r="R222" s="110"/>
      <c r="S222" s="113">
        <f>SUM(S220:S221)</f>
        <v>450000</v>
      </c>
      <c r="T222" s="110"/>
      <c r="U222" s="112"/>
      <c r="V222" s="205"/>
      <c r="W222" s="6"/>
    </row>
    <row r="223" spans="1:24" ht="15.6">
      <c r="A223" s="25"/>
      <c r="B223" s="61"/>
      <c r="C223" s="110"/>
      <c r="D223" s="110"/>
      <c r="E223" s="110"/>
      <c r="F223" s="110"/>
      <c r="G223" s="110"/>
      <c r="H223" s="110"/>
      <c r="I223" s="110"/>
      <c r="J223" s="110"/>
      <c r="K223" s="110"/>
      <c r="L223" s="110"/>
      <c r="M223" s="111"/>
      <c r="N223" s="110"/>
      <c r="O223" s="111"/>
      <c r="P223" s="110"/>
      <c r="Q223" s="111"/>
      <c r="R223" s="110"/>
      <c r="S223" s="113"/>
      <c r="T223" s="110"/>
      <c r="U223" s="112"/>
      <c r="V223" s="205"/>
      <c r="W223" s="6"/>
    </row>
    <row r="224" spans="1:24" ht="15.6">
      <c r="A224" s="25"/>
      <c r="B224" s="61" t="s">
        <v>91</v>
      </c>
      <c r="C224" s="110"/>
      <c r="D224" s="110"/>
      <c r="E224" s="110"/>
      <c r="F224" s="110"/>
      <c r="G224" s="110"/>
      <c r="H224" s="110"/>
      <c r="I224" s="110"/>
      <c r="J224" s="110"/>
      <c r="K224" s="110"/>
      <c r="L224" s="110"/>
      <c r="M224" s="111"/>
      <c r="N224" s="110"/>
      <c r="O224" s="111"/>
      <c r="P224" s="110"/>
      <c r="Q224" s="111"/>
      <c r="R224" s="110"/>
      <c r="S224" s="113">
        <f>U33</f>
        <v>450000</v>
      </c>
      <c r="T224" s="110"/>
      <c r="U224" s="112"/>
      <c r="V224" s="205"/>
      <c r="W224" s="6"/>
    </row>
    <row r="225" spans="1:23" ht="15.6">
      <c r="A225" s="25"/>
      <c r="B225" s="61"/>
      <c r="C225" s="110"/>
      <c r="D225" s="110"/>
      <c r="E225" s="110"/>
      <c r="F225" s="110"/>
      <c r="G225" s="110"/>
      <c r="H225" s="110"/>
      <c r="I225" s="110"/>
      <c r="J225" s="110"/>
      <c r="K225" s="110"/>
      <c r="L225" s="110"/>
      <c r="M225" s="111"/>
      <c r="N225" s="110"/>
      <c r="O225" s="111"/>
      <c r="P225" s="110"/>
      <c r="Q225" s="111"/>
      <c r="R225" s="110"/>
      <c r="S225" s="113"/>
      <c r="T225" s="110"/>
      <c r="U225" s="112"/>
      <c r="V225" s="205"/>
      <c r="W225" s="6"/>
    </row>
    <row r="226" spans="1:23" ht="15.6">
      <c r="A226" s="25"/>
      <c r="B226" s="61" t="s">
        <v>92</v>
      </c>
      <c r="C226" s="110"/>
      <c r="D226" s="110"/>
      <c r="E226" s="110"/>
      <c r="F226" s="110"/>
      <c r="G226" s="110"/>
      <c r="H226" s="110"/>
      <c r="I226" s="110"/>
      <c r="J226" s="110"/>
      <c r="K226" s="110"/>
      <c r="L226" s="110"/>
      <c r="M226" s="111"/>
      <c r="N226" s="110"/>
      <c r="O226" s="111"/>
      <c r="P226" s="110"/>
      <c r="Q226" s="111"/>
      <c r="R226" s="110"/>
      <c r="S226" s="113">
        <f>S222/S224</f>
        <v>1</v>
      </c>
      <c r="T226" s="110"/>
      <c r="U226" s="112"/>
      <c r="V226" s="205"/>
      <c r="W226" s="6"/>
    </row>
    <row r="227" spans="1:23" ht="15.6">
      <c r="A227" s="25"/>
      <c r="B227" s="26"/>
      <c r="C227" s="26"/>
      <c r="D227" s="26"/>
      <c r="E227" s="26"/>
      <c r="F227" s="26"/>
      <c r="G227" s="26"/>
      <c r="H227" s="26"/>
      <c r="I227" s="26"/>
      <c r="J227" s="26"/>
      <c r="K227" s="26"/>
      <c r="L227" s="26"/>
      <c r="M227" s="33"/>
      <c r="N227" s="26"/>
      <c r="O227" s="26"/>
      <c r="P227" s="26"/>
      <c r="Q227" s="59"/>
      <c r="R227" s="120"/>
      <c r="S227" s="60"/>
      <c r="T227" s="120"/>
      <c r="U227" s="89"/>
      <c r="V227" s="196"/>
      <c r="W227" s="6"/>
    </row>
    <row r="228" spans="1:23" ht="15.6">
      <c r="A228" s="121"/>
      <c r="B228" s="30" t="s">
        <v>127</v>
      </c>
      <c r="C228" s="122"/>
      <c r="D228" s="122"/>
      <c r="E228" s="122"/>
      <c r="F228" s="122"/>
      <c r="G228" s="122"/>
      <c r="H228" s="122"/>
      <c r="I228" s="122"/>
      <c r="J228" s="122"/>
      <c r="K228" s="122"/>
      <c r="L228" s="122"/>
      <c r="M228" s="110"/>
      <c r="N228" s="112"/>
      <c r="O228" s="30"/>
      <c r="P228" s="123"/>
      <c r="Q228" s="123"/>
      <c r="R228" s="123"/>
      <c r="S228" s="124"/>
      <c r="T228" s="29"/>
      <c r="U228" s="29"/>
      <c r="V228" s="203"/>
      <c r="W228" s="6"/>
    </row>
    <row r="229" spans="1:23" ht="15.6">
      <c r="A229" s="125"/>
      <c r="B229" s="13" t="s">
        <v>128</v>
      </c>
      <c r="C229" s="126"/>
      <c r="D229" s="126"/>
      <c r="E229" s="126"/>
      <c r="F229" s="126"/>
      <c r="G229" s="126"/>
      <c r="H229" s="126"/>
      <c r="I229" s="126"/>
      <c r="J229" s="126"/>
      <c r="K229" s="126"/>
      <c r="L229" s="126"/>
      <c r="M229" s="127"/>
      <c r="N229" s="13"/>
      <c r="O229" s="13"/>
      <c r="P229" s="126"/>
      <c r="Q229" s="126"/>
      <c r="R229" s="12"/>
      <c r="S229" s="12"/>
      <c r="T229" s="12"/>
      <c r="U229" s="12"/>
      <c r="V229" s="207"/>
      <c r="W229" s="6"/>
    </row>
    <row r="230" spans="1:23" ht="15.6">
      <c r="A230" s="125"/>
      <c r="B230" s="13" t="s">
        <v>246</v>
      </c>
      <c r="C230" s="13"/>
      <c r="D230" s="13"/>
      <c r="E230" s="13"/>
      <c r="F230" s="13"/>
      <c r="G230" s="13"/>
      <c r="H230" s="13"/>
      <c r="I230" s="13"/>
      <c r="J230" s="13"/>
      <c r="K230" s="13"/>
      <c r="L230" s="13"/>
      <c r="M230" s="13"/>
      <c r="N230" s="13"/>
      <c r="O230" s="13"/>
      <c r="P230" s="13"/>
      <c r="Q230" s="13"/>
      <c r="R230" s="13"/>
      <c r="S230" s="13"/>
      <c r="T230" s="13"/>
      <c r="U230" s="13"/>
      <c r="V230" s="207"/>
      <c r="W230" s="6"/>
    </row>
    <row r="231" spans="1:23" ht="15.6">
      <c r="A231" s="125"/>
      <c r="B231" s="13" t="s">
        <v>129</v>
      </c>
      <c r="C231" s="126"/>
      <c r="D231" s="126"/>
      <c r="E231" s="126"/>
      <c r="F231" s="126"/>
      <c r="G231" s="126"/>
      <c r="H231" s="126"/>
      <c r="I231" s="126"/>
      <c r="J231" s="126"/>
      <c r="K231" s="126"/>
      <c r="L231" s="126"/>
      <c r="M231" s="127"/>
      <c r="N231" s="13"/>
      <c r="O231" s="13"/>
      <c r="P231" s="126"/>
      <c r="Q231" s="126"/>
      <c r="R231" s="12"/>
      <c r="S231" s="12"/>
      <c r="T231" s="12"/>
      <c r="U231" s="12"/>
      <c r="V231" s="207"/>
      <c r="W231" s="6"/>
    </row>
    <row r="232" spans="1:23" ht="15.6">
      <c r="A232" s="125"/>
      <c r="B232" s="13"/>
      <c r="C232" s="126"/>
      <c r="D232" s="126"/>
      <c r="E232" s="126"/>
      <c r="F232" s="126"/>
      <c r="G232" s="126"/>
      <c r="H232" s="126"/>
      <c r="I232" s="126"/>
      <c r="J232" s="126"/>
      <c r="K232" s="126"/>
      <c r="L232" s="126"/>
      <c r="M232" s="127"/>
      <c r="N232" s="13"/>
      <c r="O232" s="13"/>
      <c r="P232" s="126"/>
      <c r="Q232" s="126"/>
      <c r="R232" s="12"/>
      <c r="S232" s="12"/>
      <c r="T232" s="12"/>
      <c r="U232" s="12"/>
      <c r="V232" s="207"/>
      <c r="W232" s="6"/>
    </row>
    <row r="233" spans="1:23" ht="15.6">
      <c r="A233" s="125"/>
      <c r="B233" s="13"/>
      <c r="C233" s="126"/>
      <c r="D233" s="126"/>
      <c r="E233" s="126"/>
      <c r="F233" s="126"/>
      <c r="G233" s="126"/>
      <c r="H233" s="126"/>
      <c r="I233" s="126"/>
      <c r="J233" s="126"/>
      <c r="K233" s="126"/>
      <c r="L233" s="126"/>
      <c r="M233" s="127"/>
      <c r="N233" s="13"/>
      <c r="O233" s="13"/>
      <c r="P233" s="126"/>
      <c r="Q233" s="126"/>
      <c r="R233" s="12"/>
      <c r="S233" s="12"/>
      <c r="T233" s="12"/>
      <c r="U233" s="12"/>
      <c r="V233" s="207"/>
      <c r="W233" s="6"/>
    </row>
    <row r="234" spans="1:23" ht="16.2" thickBot="1">
      <c r="A234" s="125"/>
      <c r="B234" s="13" t="str">
        <f>+B161</f>
        <v>PPAF3 INVESTOR REPORT QUARTER ENDING MARCH 2008</v>
      </c>
      <c r="C234" s="126"/>
      <c r="D234" s="126"/>
      <c r="E234" s="126"/>
      <c r="F234" s="126"/>
      <c r="G234" s="126"/>
      <c r="H234" s="126"/>
      <c r="I234" s="126"/>
      <c r="J234" s="126"/>
      <c r="K234" s="126"/>
      <c r="L234" s="126"/>
      <c r="M234" s="127"/>
      <c r="N234" s="13"/>
      <c r="O234" s="13"/>
      <c r="P234" s="126"/>
      <c r="Q234" s="126"/>
      <c r="R234" s="12"/>
      <c r="S234" s="12"/>
      <c r="T234" s="12"/>
      <c r="U234" s="12"/>
      <c r="V234" s="208"/>
      <c r="W234" s="6"/>
    </row>
    <row r="235" spans="1:23">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row>
  </sheetData>
  <phoneticPr fontId="0" type="noConversion"/>
  <hyperlinks>
    <hyperlink ref="I9" r:id="rId1"/>
    <hyperlink ref="K188"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16383" man="1"/>
    <brk id="110" max="16383" man="1"/>
    <brk id="161" max="21" man="1"/>
    <brk id="240" man="1"/>
  </rowBreaks>
  <colBreaks count="1" manualBreakCount="1">
    <brk id="23" max="1048575" man="1"/>
  </col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18"/>
  </sheetPr>
  <dimension ref="A1:Y235"/>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 t="s">
        <v>223</v>
      </c>
      <c r="B1" s="3" t="s">
        <v>123</v>
      </c>
      <c r="C1" s="4"/>
      <c r="D1" s="4"/>
      <c r="E1" s="4"/>
      <c r="F1" s="4"/>
      <c r="G1" s="4"/>
      <c r="H1" s="4"/>
      <c r="I1" s="4"/>
      <c r="J1" s="4"/>
      <c r="K1" s="4"/>
      <c r="L1" s="4"/>
      <c r="M1" s="5"/>
      <c r="N1" s="5"/>
      <c r="O1" s="5"/>
      <c r="P1" s="5"/>
      <c r="Q1" s="5"/>
      <c r="R1" s="5"/>
      <c r="S1" s="5"/>
      <c r="T1" s="5"/>
      <c r="U1" s="5"/>
      <c r="V1" s="193"/>
      <c r="W1" s="6"/>
    </row>
    <row r="2" spans="1:23" ht="15.6">
      <c r="A2" s="7"/>
      <c r="B2" s="8"/>
      <c r="C2" s="8"/>
      <c r="D2" s="8"/>
      <c r="E2" s="8"/>
      <c r="F2" s="8"/>
      <c r="G2" s="8"/>
      <c r="H2" s="8"/>
      <c r="I2" s="8"/>
      <c r="J2" s="8"/>
      <c r="K2" s="8"/>
      <c r="L2" s="8"/>
      <c r="M2" s="9"/>
      <c r="N2" s="9"/>
      <c r="O2" s="9"/>
      <c r="P2" s="9"/>
      <c r="Q2" s="9"/>
      <c r="R2" s="9"/>
      <c r="S2" s="9"/>
      <c r="T2" s="9"/>
      <c r="U2" s="9"/>
      <c r="V2" s="194"/>
      <c r="W2" s="6"/>
    </row>
    <row r="3" spans="1:23" ht="15.6">
      <c r="A3" s="10"/>
      <c r="B3" s="141" t="s">
        <v>125</v>
      </c>
      <c r="C3" s="9"/>
      <c r="D3" s="9"/>
      <c r="E3" s="9"/>
      <c r="F3" s="9"/>
      <c r="G3" s="9"/>
      <c r="H3" s="9"/>
      <c r="I3" s="9"/>
      <c r="J3" s="9"/>
      <c r="K3" s="9"/>
      <c r="L3" s="9"/>
      <c r="M3" s="9"/>
      <c r="N3" s="9"/>
      <c r="O3" s="9"/>
      <c r="P3" s="9"/>
      <c r="Q3" s="9"/>
      <c r="R3" s="9"/>
      <c r="S3" s="9"/>
      <c r="T3" s="9"/>
      <c r="U3" s="9"/>
      <c r="V3" s="194"/>
      <c r="W3" s="6"/>
    </row>
    <row r="4" spans="1:23" ht="15.6">
      <c r="A4" s="7"/>
      <c r="B4" s="8"/>
      <c r="C4" s="8"/>
      <c r="D4" s="8"/>
      <c r="E4" s="8"/>
      <c r="F4" s="8"/>
      <c r="G4" s="8"/>
      <c r="H4" s="8"/>
      <c r="I4" s="8"/>
      <c r="J4" s="8"/>
      <c r="K4" s="8"/>
      <c r="L4" s="8"/>
      <c r="M4" s="9"/>
      <c r="N4" s="9"/>
      <c r="O4" s="9"/>
      <c r="P4" s="9"/>
      <c r="Q4" s="9"/>
      <c r="R4" s="9"/>
      <c r="S4" s="9"/>
      <c r="T4" s="9"/>
      <c r="U4" s="9"/>
      <c r="V4" s="194"/>
      <c r="W4" s="6"/>
    </row>
    <row r="5" spans="1:23" ht="16.2">
      <c r="A5" s="7"/>
      <c r="B5" s="192" t="s">
        <v>0</v>
      </c>
      <c r="C5" s="11"/>
      <c r="D5" s="11"/>
      <c r="E5" s="11"/>
      <c r="F5" s="11"/>
      <c r="G5" s="11"/>
      <c r="H5" s="11"/>
      <c r="I5" s="11"/>
      <c r="J5" s="11"/>
      <c r="K5" s="11"/>
      <c r="L5" s="11"/>
      <c r="M5" s="9"/>
      <c r="N5" s="9"/>
      <c r="O5" s="9"/>
      <c r="P5" s="9"/>
      <c r="Q5" s="9"/>
      <c r="R5" s="9"/>
      <c r="S5" s="9"/>
      <c r="T5" s="9"/>
      <c r="U5" s="9"/>
      <c r="V5" s="194"/>
      <c r="W5" s="6"/>
    </row>
    <row r="6" spans="1:23" ht="16.2">
      <c r="A6" s="7"/>
      <c r="B6" s="192" t="s">
        <v>1</v>
      </c>
      <c r="C6" s="11"/>
      <c r="D6" s="11"/>
      <c r="E6" s="11"/>
      <c r="F6" s="11"/>
      <c r="G6" s="11"/>
      <c r="H6" s="11"/>
      <c r="I6" s="11"/>
      <c r="J6" s="11"/>
      <c r="K6" s="11"/>
      <c r="L6" s="11"/>
      <c r="M6" s="9"/>
      <c r="N6" s="9"/>
      <c r="O6" s="9"/>
      <c r="P6" s="9"/>
      <c r="Q6" s="9"/>
      <c r="R6" s="9"/>
      <c r="S6" s="9"/>
      <c r="T6" s="9"/>
      <c r="U6" s="9"/>
      <c r="V6" s="194"/>
      <c r="W6" s="6"/>
    </row>
    <row r="7" spans="1:23" ht="16.2">
      <c r="A7" s="7"/>
      <c r="B7" s="192" t="s">
        <v>2</v>
      </c>
      <c r="C7" s="11"/>
      <c r="D7" s="11"/>
      <c r="E7" s="11"/>
      <c r="F7" s="11"/>
      <c r="G7" s="11"/>
      <c r="H7" s="11"/>
      <c r="I7" s="11"/>
      <c r="J7" s="11"/>
      <c r="K7" s="11"/>
      <c r="L7" s="11"/>
      <c r="M7" s="9"/>
      <c r="N7" s="9"/>
      <c r="O7" s="9"/>
      <c r="P7" s="9"/>
      <c r="Q7" s="9"/>
      <c r="R7" s="9"/>
      <c r="S7" s="9"/>
      <c r="T7" s="9"/>
      <c r="U7" s="9"/>
      <c r="V7" s="194"/>
      <c r="W7" s="6"/>
    </row>
    <row r="8" spans="1:23" ht="16.2">
      <c r="A8" s="7"/>
      <c r="B8" s="12"/>
      <c r="C8" s="11"/>
      <c r="D8" s="11"/>
      <c r="E8" s="11"/>
      <c r="F8" s="11"/>
      <c r="G8" s="11"/>
      <c r="H8" s="11"/>
      <c r="I8" s="11"/>
      <c r="J8" s="11"/>
      <c r="K8" s="11"/>
      <c r="L8" s="11"/>
      <c r="M8" s="9"/>
      <c r="N8" s="9"/>
      <c r="O8" s="9"/>
      <c r="P8" s="9"/>
      <c r="Q8" s="9"/>
      <c r="R8" s="9"/>
      <c r="S8" s="9"/>
      <c r="T8" s="9"/>
      <c r="U8" s="9"/>
      <c r="V8" s="194"/>
      <c r="W8" s="6"/>
    </row>
    <row r="9" spans="1:23" ht="18">
      <c r="A9" s="7"/>
      <c r="B9" s="178" t="s">
        <v>194</v>
      </c>
      <c r="C9" s="11"/>
      <c r="D9" s="11"/>
      <c r="E9" s="11"/>
      <c r="F9" s="11"/>
      <c r="G9" s="11"/>
      <c r="H9" s="11"/>
      <c r="I9" s="179" t="s">
        <v>195</v>
      </c>
      <c r="J9" s="11"/>
      <c r="K9" s="11"/>
      <c r="L9" s="11"/>
      <c r="M9" s="9"/>
      <c r="N9" s="9"/>
      <c r="O9" s="9"/>
      <c r="P9" s="9"/>
      <c r="Q9" s="9"/>
      <c r="R9" s="9"/>
      <c r="S9" s="9"/>
      <c r="T9" s="9"/>
      <c r="U9" s="9"/>
      <c r="V9" s="194"/>
      <c r="W9" s="6"/>
    </row>
    <row r="10" spans="1:23" ht="16.2">
      <c r="A10" s="7"/>
      <c r="B10" s="11"/>
      <c r="C10" s="11"/>
      <c r="D10" s="11"/>
      <c r="E10" s="11"/>
      <c r="F10" s="11"/>
      <c r="G10" s="11"/>
      <c r="H10" s="11"/>
      <c r="I10" s="11"/>
      <c r="J10" s="11"/>
      <c r="K10" s="11"/>
      <c r="L10" s="11"/>
      <c r="M10" s="13"/>
      <c r="N10" s="13"/>
      <c r="O10" s="9"/>
      <c r="P10" s="9"/>
      <c r="Q10" s="9"/>
      <c r="R10" s="9"/>
      <c r="S10" s="9"/>
      <c r="T10" s="9"/>
      <c r="U10" s="9"/>
      <c r="V10" s="194"/>
      <c r="W10" s="6"/>
    </row>
    <row r="11" spans="1:23" ht="15.6">
      <c r="A11" s="7"/>
      <c r="B11" s="13" t="s">
        <v>3</v>
      </c>
      <c r="C11" s="13"/>
      <c r="D11" s="13"/>
      <c r="E11" s="13"/>
      <c r="F11" s="13"/>
      <c r="G11" s="13"/>
      <c r="H11" s="13"/>
      <c r="I11" s="13"/>
      <c r="J11" s="13"/>
      <c r="K11" s="13"/>
      <c r="L11" s="13"/>
      <c r="M11" s="9"/>
      <c r="N11" s="9"/>
      <c r="O11" s="9"/>
      <c r="P11" s="9"/>
      <c r="Q11" s="9"/>
      <c r="R11" s="9"/>
      <c r="S11" s="9"/>
      <c r="T11" s="9"/>
      <c r="U11" s="9"/>
      <c r="V11" s="194"/>
      <c r="W11" s="6"/>
    </row>
    <row r="12" spans="1:23" ht="16.2" thickBot="1">
      <c r="A12" s="7"/>
      <c r="B12" s="13"/>
      <c r="C12" s="13"/>
      <c r="D12" s="13"/>
      <c r="E12" s="13"/>
      <c r="F12" s="13"/>
      <c r="G12" s="13"/>
      <c r="H12" s="13"/>
      <c r="I12" s="13"/>
      <c r="J12" s="13"/>
      <c r="K12" s="13"/>
      <c r="L12" s="13"/>
      <c r="M12" s="9"/>
      <c r="N12" s="9"/>
      <c r="O12" s="9"/>
      <c r="P12" s="9"/>
      <c r="Q12" s="9"/>
      <c r="R12" s="9"/>
      <c r="S12" s="9"/>
      <c r="T12" s="9"/>
      <c r="U12" s="9"/>
      <c r="V12" s="194"/>
      <c r="W12" s="6"/>
    </row>
    <row r="13" spans="1:23" ht="15.6">
      <c r="A13" s="2"/>
      <c r="B13" s="5"/>
      <c r="C13" s="5"/>
      <c r="D13" s="5"/>
      <c r="E13" s="5"/>
      <c r="F13" s="5"/>
      <c r="G13" s="5"/>
      <c r="H13" s="5"/>
      <c r="I13" s="5"/>
      <c r="J13" s="5"/>
      <c r="K13" s="5"/>
      <c r="L13" s="5"/>
      <c r="M13" s="5"/>
      <c r="N13" s="5"/>
      <c r="O13" s="5"/>
      <c r="P13" s="5"/>
      <c r="Q13" s="5"/>
      <c r="R13" s="5"/>
      <c r="S13" s="5"/>
      <c r="T13" s="5"/>
      <c r="U13" s="5"/>
      <c r="V13" s="193"/>
      <c r="W13" s="6"/>
    </row>
    <row r="14" spans="1:23" ht="15.6">
      <c r="A14" s="7"/>
      <c r="B14" s="14" t="s">
        <v>4</v>
      </c>
      <c r="C14" s="14"/>
      <c r="D14" s="14"/>
      <c r="E14" s="14"/>
      <c r="F14" s="14"/>
      <c r="G14" s="14"/>
      <c r="H14" s="14"/>
      <c r="I14" s="14"/>
      <c r="J14" s="14"/>
      <c r="K14" s="14"/>
      <c r="L14" s="14"/>
      <c r="M14" s="15"/>
      <c r="N14" s="15"/>
      <c r="O14" s="15"/>
      <c r="P14" s="15"/>
      <c r="Q14" s="15"/>
      <c r="R14" s="15"/>
      <c r="S14" s="15"/>
      <c r="T14" s="15"/>
      <c r="U14" s="16" t="s">
        <v>126</v>
      </c>
      <c r="V14" s="194"/>
      <c r="W14" s="6"/>
    </row>
    <row r="15" spans="1:23" ht="15.6">
      <c r="A15" s="7"/>
      <c r="B15" s="14" t="s">
        <v>5</v>
      </c>
      <c r="C15" s="14"/>
      <c r="D15" s="14"/>
      <c r="E15" s="14"/>
      <c r="F15" s="14"/>
      <c r="G15" s="14"/>
      <c r="H15" s="14"/>
      <c r="I15" s="14"/>
      <c r="J15" s="14"/>
      <c r="K15" s="14"/>
      <c r="L15" s="14"/>
      <c r="M15" s="17" t="s">
        <v>93</v>
      </c>
      <c r="N15" s="18">
        <v>0.1492</v>
      </c>
      <c r="O15" s="17" t="s">
        <v>99</v>
      </c>
      <c r="P15" s="18">
        <v>5.4399999999999997E-2</v>
      </c>
      <c r="Q15" s="17" t="s">
        <v>102</v>
      </c>
      <c r="R15" s="18">
        <v>0.48899999999999999</v>
      </c>
      <c r="S15" s="17" t="s">
        <v>108</v>
      </c>
      <c r="T15" s="18">
        <v>0.30740000000000001</v>
      </c>
      <c r="U15" s="16"/>
      <c r="V15" s="195"/>
      <c r="W15" s="6"/>
    </row>
    <row r="16" spans="1:23" ht="15.6">
      <c r="A16" s="7"/>
      <c r="B16" s="14" t="s">
        <v>6</v>
      </c>
      <c r="C16" s="14"/>
      <c r="D16" s="14"/>
      <c r="E16" s="14"/>
      <c r="F16" s="14"/>
      <c r="G16" s="14"/>
      <c r="H16" s="14"/>
      <c r="I16" s="14"/>
      <c r="J16" s="14"/>
      <c r="K16" s="14"/>
      <c r="L16" s="14"/>
      <c r="M16" s="17" t="s">
        <v>93</v>
      </c>
      <c r="N16" s="18">
        <f>+N199/S222</f>
        <v>4.5364444444444443E-2</v>
      </c>
      <c r="O16" s="17" t="s">
        <v>99</v>
      </c>
      <c r="P16" s="18">
        <f>+S199/S222</f>
        <v>6.0597777777777778E-2</v>
      </c>
      <c r="Q16" s="17" t="s">
        <v>102</v>
      </c>
      <c r="R16" s="18">
        <f>+N212/S222</f>
        <v>0.48371111111111109</v>
      </c>
      <c r="S16" s="17" t="s">
        <v>108</v>
      </c>
      <c r="T16" s="18">
        <f>+S212/S222</f>
        <v>0.20462</v>
      </c>
      <c r="U16" s="16"/>
      <c r="V16" s="195"/>
      <c r="W16" s="6"/>
    </row>
    <row r="17" spans="1:23" ht="15.6">
      <c r="A17" s="7"/>
      <c r="B17" s="14" t="s">
        <v>7</v>
      </c>
      <c r="C17" s="14"/>
      <c r="D17" s="14"/>
      <c r="E17" s="14"/>
      <c r="F17" s="14"/>
      <c r="G17" s="14"/>
      <c r="H17" s="14"/>
      <c r="I17" s="14"/>
      <c r="J17" s="14"/>
      <c r="K17" s="14"/>
      <c r="L17" s="14"/>
      <c r="M17" s="15"/>
      <c r="N17" s="15"/>
      <c r="O17" s="15"/>
      <c r="P17" s="15"/>
      <c r="Q17" s="15"/>
      <c r="R17" s="15"/>
      <c r="S17" s="15"/>
      <c r="T17" s="15"/>
      <c r="U17" s="19">
        <v>38491</v>
      </c>
      <c r="V17" s="194"/>
      <c r="W17" s="6"/>
    </row>
    <row r="18" spans="1:23" ht="15.6">
      <c r="A18" s="7"/>
      <c r="B18" s="14" t="s">
        <v>8</v>
      </c>
      <c r="C18" s="14"/>
      <c r="D18" s="14"/>
      <c r="E18" s="14"/>
      <c r="F18" s="14"/>
      <c r="G18" s="14"/>
      <c r="H18" s="14"/>
      <c r="I18" s="14"/>
      <c r="J18" s="14"/>
      <c r="K18" s="14"/>
      <c r="L18" s="14"/>
      <c r="M18" s="15"/>
      <c r="N18" s="15"/>
      <c r="O18" s="15"/>
      <c r="P18" s="15"/>
      <c r="Q18" s="15"/>
      <c r="R18" s="15"/>
      <c r="S18" s="15"/>
      <c r="T18" s="15"/>
      <c r="U18" s="19">
        <v>39653</v>
      </c>
      <c r="V18" s="194"/>
      <c r="W18" s="6"/>
    </row>
    <row r="19" spans="1:23" ht="15.6">
      <c r="A19" s="7"/>
      <c r="B19" s="9"/>
      <c r="C19" s="9"/>
      <c r="D19" s="9"/>
      <c r="E19" s="9"/>
      <c r="F19" s="9"/>
      <c r="G19" s="9"/>
      <c r="H19" s="9"/>
      <c r="I19" s="9"/>
      <c r="J19" s="9"/>
      <c r="K19" s="9"/>
      <c r="L19" s="9"/>
      <c r="M19" s="9"/>
      <c r="N19" s="9"/>
      <c r="O19" s="9"/>
      <c r="P19" s="9"/>
      <c r="Q19" s="9"/>
      <c r="R19" s="9"/>
      <c r="S19" s="9"/>
      <c r="T19" s="9"/>
      <c r="U19" s="20"/>
      <c r="V19" s="194"/>
      <c r="W19" s="6"/>
    </row>
    <row r="20" spans="1:23" ht="15.6">
      <c r="A20" s="7"/>
      <c r="B20" s="21" t="s">
        <v>9</v>
      </c>
      <c r="C20" s="9"/>
      <c r="D20" s="9"/>
      <c r="E20" s="9"/>
      <c r="F20" s="9"/>
      <c r="G20" s="9"/>
      <c r="H20" s="9"/>
      <c r="I20" s="9"/>
      <c r="J20" s="9"/>
      <c r="K20" s="9"/>
      <c r="L20" s="9"/>
      <c r="M20" s="9"/>
      <c r="N20" s="9"/>
      <c r="O20" s="9"/>
      <c r="P20" s="9"/>
      <c r="Q20" s="9"/>
      <c r="R20" s="9"/>
      <c r="S20" s="20"/>
      <c r="T20" s="9"/>
      <c r="U20" s="12"/>
      <c r="V20" s="194"/>
      <c r="W20" s="6"/>
    </row>
    <row r="21" spans="1:23" ht="15.6">
      <c r="A21" s="7"/>
      <c r="B21" s="9"/>
      <c r="C21" s="9"/>
      <c r="D21" s="9"/>
      <c r="E21" s="9"/>
      <c r="F21" s="9"/>
      <c r="G21" s="9"/>
      <c r="H21" s="9"/>
      <c r="I21" s="9"/>
      <c r="J21" s="9"/>
      <c r="K21" s="9"/>
      <c r="L21" s="9"/>
      <c r="M21" s="9"/>
      <c r="N21" s="9"/>
      <c r="O21" s="9"/>
      <c r="P21" s="9"/>
      <c r="Q21" s="9"/>
      <c r="R21" s="9"/>
      <c r="S21" s="9"/>
      <c r="T21" s="9"/>
      <c r="U21" s="22"/>
      <c r="V21" s="194"/>
      <c r="W21" s="6"/>
    </row>
    <row r="22" spans="1:23" ht="15.6">
      <c r="A22" s="7"/>
      <c r="B22" s="9"/>
      <c r="C22" s="142" t="s">
        <v>130</v>
      </c>
      <c r="D22" s="142"/>
      <c r="E22" s="142" t="s">
        <v>131</v>
      </c>
      <c r="F22" s="142"/>
      <c r="G22" s="142" t="s">
        <v>132</v>
      </c>
      <c r="H22" s="142"/>
      <c r="I22" s="142" t="s">
        <v>133</v>
      </c>
      <c r="J22" s="142"/>
      <c r="K22" s="142" t="s">
        <v>134</v>
      </c>
      <c r="L22" s="142"/>
      <c r="M22" s="144" t="s">
        <v>135</v>
      </c>
      <c r="N22" s="144"/>
      <c r="O22" s="144" t="s">
        <v>136</v>
      </c>
      <c r="P22" s="144"/>
      <c r="Q22" s="144" t="s">
        <v>137</v>
      </c>
      <c r="R22" s="23"/>
      <c r="S22" s="24"/>
      <c r="T22" s="12"/>
      <c r="U22" s="12"/>
      <c r="V22" s="194"/>
      <c r="W22" s="6"/>
    </row>
    <row r="23" spans="1:23" ht="15.6">
      <c r="A23" s="25"/>
      <c r="B23" s="26" t="s">
        <v>10</v>
      </c>
      <c r="C23" s="157" t="s">
        <v>96</v>
      </c>
      <c r="D23" s="157"/>
      <c r="E23" s="157" t="s">
        <v>96</v>
      </c>
      <c r="F23" s="157"/>
      <c r="G23" s="157" t="s">
        <v>138</v>
      </c>
      <c r="H23" s="157"/>
      <c r="I23" s="157" t="s">
        <v>138</v>
      </c>
      <c r="J23" s="157"/>
      <c r="K23" s="157" t="s">
        <v>104</v>
      </c>
      <c r="L23" s="143"/>
      <c r="M23" s="28" t="s">
        <v>104</v>
      </c>
      <c r="N23" s="28"/>
      <c r="O23" s="28" t="s">
        <v>109</v>
      </c>
      <c r="P23" s="28"/>
      <c r="Q23" s="28" t="s">
        <v>109</v>
      </c>
      <c r="R23" s="28"/>
      <c r="S23" s="28"/>
      <c r="T23" s="29"/>
      <c r="U23" s="29"/>
      <c r="V23" s="196"/>
      <c r="W23" s="6"/>
    </row>
    <row r="24" spans="1:23" ht="15.6">
      <c r="A24" s="25"/>
      <c r="B24" s="26" t="s">
        <v>11</v>
      </c>
      <c r="C24" s="157" t="s">
        <v>97</v>
      </c>
      <c r="D24" s="157"/>
      <c r="E24" s="157" t="s">
        <v>97</v>
      </c>
      <c r="F24" s="157"/>
      <c r="G24" s="157" t="s">
        <v>139</v>
      </c>
      <c r="H24" s="157"/>
      <c r="I24" s="157" t="s">
        <v>139</v>
      </c>
      <c r="J24" s="157"/>
      <c r="K24" s="157" t="s">
        <v>105</v>
      </c>
      <c r="L24" s="27"/>
      <c r="M24" s="28" t="s">
        <v>105</v>
      </c>
      <c r="N24" s="28"/>
      <c r="O24" s="28" t="s">
        <v>110</v>
      </c>
      <c r="P24" s="28"/>
      <c r="Q24" s="28" t="s">
        <v>110</v>
      </c>
      <c r="R24" s="28"/>
      <c r="S24" s="28"/>
      <c r="T24" s="29"/>
      <c r="U24" s="29"/>
      <c r="V24" s="196"/>
      <c r="W24" s="6"/>
    </row>
    <row r="25" spans="1:23" ht="15.6">
      <c r="A25" s="25"/>
      <c r="B25" s="30" t="s">
        <v>12</v>
      </c>
      <c r="C25" s="110" t="s">
        <v>96</v>
      </c>
      <c r="D25" s="110"/>
      <c r="E25" s="110" t="s">
        <v>96</v>
      </c>
      <c r="F25" s="110"/>
      <c r="G25" s="110" t="s">
        <v>138</v>
      </c>
      <c r="H25" s="110"/>
      <c r="I25" s="110" t="s">
        <v>138</v>
      </c>
      <c r="J25" s="30"/>
      <c r="K25" s="110" t="s">
        <v>104</v>
      </c>
      <c r="L25" s="30"/>
      <c r="M25" s="31" t="s">
        <v>104</v>
      </c>
      <c r="N25" s="28"/>
      <c r="O25" s="31" t="s">
        <v>109</v>
      </c>
      <c r="P25" s="28"/>
      <c r="Q25" s="31" t="s">
        <v>109</v>
      </c>
      <c r="R25" s="31"/>
      <c r="S25" s="31"/>
      <c r="T25" s="32"/>
      <c r="U25" s="29"/>
      <c r="V25" s="196"/>
      <c r="W25" s="6"/>
    </row>
    <row r="26" spans="1:23" ht="15.6">
      <c r="A26" s="25"/>
      <c r="B26" s="30" t="s">
        <v>13</v>
      </c>
      <c r="C26" s="110" t="s">
        <v>97</v>
      </c>
      <c r="D26" s="110"/>
      <c r="E26" s="110" t="s">
        <v>97</v>
      </c>
      <c r="F26" s="110"/>
      <c r="G26" s="110" t="s">
        <v>139</v>
      </c>
      <c r="H26" s="110"/>
      <c r="I26" s="110" t="s">
        <v>139</v>
      </c>
      <c r="J26" s="30"/>
      <c r="K26" s="110" t="s">
        <v>105</v>
      </c>
      <c r="L26" s="30"/>
      <c r="M26" s="31" t="s">
        <v>105</v>
      </c>
      <c r="N26" s="28"/>
      <c r="O26" s="31" t="s">
        <v>110</v>
      </c>
      <c r="P26" s="28"/>
      <c r="Q26" s="31" t="s">
        <v>110</v>
      </c>
      <c r="R26" s="31"/>
      <c r="S26" s="31"/>
      <c r="T26" s="32"/>
      <c r="U26" s="29"/>
      <c r="V26" s="196"/>
      <c r="W26" s="6"/>
    </row>
    <row r="27" spans="1:23" ht="15.6">
      <c r="A27" s="25"/>
      <c r="B27" s="26" t="s">
        <v>14</v>
      </c>
      <c r="C27" s="33" t="s">
        <v>140</v>
      </c>
      <c r="D27" s="26"/>
      <c r="E27" s="33" t="s">
        <v>141</v>
      </c>
      <c r="F27" s="26"/>
      <c r="G27" s="33" t="s">
        <v>142</v>
      </c>
      <c r="H27" s="26"/>
      <c r="I27" s="33" t="s">
        <v>258</v>
      </c>
      <c r="J27" s="26"/>
      <c r="K27" s="33" t="s">
        <v>143</v>
      </c>
      <c r="L27" s="26"/>
      <c r="M27" s="26" t="s">
        <v>144</v>
      </c>
      <c r="N27" s="28"/>
      <c r="O27" s="26" t="s">
        <v>145</v>
      </c>
      <c r="P27" s="28"/>
      <c r="Q27" s="26" t="s">
        <v>146</v>
      </c>
      <c r="R27" s="28"/>
      <c r="S27" s="33"/>
      <c r="T27" s="29"/>
      <c r="U27" s="29"/>
      <c r="V27" s="196"/>
      <c r="W27" s="6"/>
    </row>
    <row r="28" spans="1:23" ht="15.6">
      <c r="A28" s="25"/>
      <c r="B28" s="26" t="s">
        <v>147</v>
      </c>
      <c r="C28" s="168">
        <v>146000</v>
      </c>
      <c r="D28" s="33"/>
      <c r="E28" s="165">
        <v>259500</v>
      </c>
      <c r="F28" s="33"/>
      <c r="G28" s="168">
        <v>16000</v>
      </c>
      <c r="H28" s="33"/>
      <c r="I28" s="165">
        <v>35500</v>
      </c>
      <c r="J28" s="26"/>
      <c r="K28" s="168">
        <v>18000</v>
      </c>
      <c r="L28" s="26"/>
      <c r="M28" s="165">
        <v>33000</v>
      </c>
      <c r="N28" s="35"/>
      <c r="O28" s="34">
        <v>24500</v>
      </c>
      <c r="P28" s="34"/>
      <c r="Q28" s="165">
        <v>30000</v>
      </c>
      <c r="R28" s="34"/>
      <c r="S28" s="34"/>
      <c r="T28" s="36"/>
      <c r="U28" s="34"/>
      <c r="V28" s="197"/>
      <c r="W28" s="6"/>
    </row>
    <row r="29" spans="1:23" ht="15.6">
      <c r="A29" s="25"/>
      <c r="B29" s="26" t="s">
        <v>15</v>
      </c>
      <c r="C29" s="168">
        <v>146000</v>
      </c>
      <c r="D29" s="169"/>
      <c r="E29" s="165">
        <v>259500</v>
      </c>
      <c r="F29" s="169"/>
      <c r="G29" s="168">
        <v>16000</v>
      </c>
      <c r="H29" s="169"/>
      <c r="I29" s="165">
        <v>35500</v>
      </c>
      <c r="J29" s="38"/>
      <c r="K29" s="168">
        <v>18000</v>
      </c>
      <c r="L29" s="38"/>
      <c r="M29" s="165">
        <v>33000</v>
      </c>
      <c r="N29" s="35"/>
      <c r="O29" s="34">
        <v>24500</v>
      </c>
      <c r="P29" s="34"/>
      <c r="Q29" s="165">
        <v>30000</v>
      </c>
      <c r="R29" s="39"/>
      <c r="S29" s="34"/>
      <c r="T29" s="36"/>
      <c r="U29" s="34"/>
      <c r="V29" s="197"/>
      <c r="W29" s="6"/>
    </row>
    <row r="30" spans="1:23" ht="15.6">
      <c r="A30" s="40"/>
      <c r="B30" s="30" t="s">
        <v>148</v>
      </c>
      <c r="C30" s="162">
        <v>146000</v>
      </c>
      <c r="D30" s="170"/>
      <c r="E30" s="171">
        <v>259500</v>
      </c>
      <c r="F30" s="170"/>
      <c r="G30" s="162">
        <v>16000</v>
      </c>
      <c r="H30" s="170"/>
      <c r="I30" s="171">
        <v>35500</v>
      </c>
      <c r="J30" s="159"/>
      <c r="K30" s="162">
        <v>18000</v>
      </c>
      <c r="L30" s="41"/>
      <c r="M30" s="166">
        <v>33000</v>
      </c>
      <c r="N30" s="43"/>
      <c r="O30" s="42">
        <v>24500</v>
      </c>
      <c r="P30" s="42"/>
      <c r="Q30" s="166">
        <v>30000</v>
      </c>
      <c r="R30" s="42"/>
      <c r="S30" s="42"/>
      <c r="T30" s="44"/>
      <c r="U30" s="42"/>
      <c r="V30" s="196"/>
      <c r="W30" s="6"/>
    </row>
    <row r="31" spans="1:23" ht="15.6">
      <c r="A31" s="40"/>
      <c r="B31" s="158" t="s">
        <v>260</v>
      </c>
      <c r="C31" s="172">
        <v>146000</v>
      </c>
      <c r="D31" s="173"/>
      <c r="E31" s="172">
        <v>178000</v>
      </c>
      <c r="F31" s="172"/>
      <c r="G31" s="172">
        <v>16000</v>
      </c>
      <c r="H31" s="172"/>
      <c r="I31" s="172">
        <v>24500</v>
      </c>
      <c r="J31" s="161"/>
      <c r="K31" s="172">
        <v>18000</v>
      </c>
      <c r="L31" s="161"/>
      <c r="M31" s="167">
        <v>22500</v>
      </c>
      <c r="N31" s="164"/>
      <c r="O31" s="167">
        <v>24500</v>
      </c>
      <c r="P31" s="163"/>
      <c r="Q31" s="167">
        <v>20500</v>
      </c>
      <c r="R31" s="42"/>
      <c r="S31" s="42"/>
      <c r="T31" s="44"/>
      <c r="U31" s="34">
        <f>+Q31+O31+M31+K31+I31+G31+E31+C31</f>
        <v>450000</v>
      </c>
      <c r="V31" s="196"/>
      <c r="W31" s="6"/>
    </row>
    <row r="32" spans="1:23" ht="15.6">
      <c r="A32" s="40"/>
      <c r="B32" s="158" t="s">
        <v>261</v>
      </c>
      <c r="C32" s="172">
        <v>146000</v>
      </c>
      <c r="D32" s="173"/>
      <c r="E32" s="172">
        <v>178000</v>
      </c>
      <c r="F32" s="172"/>
      <c r="G32" s="172">
        <v>16000</v>
      </c>
      <c r="H32" s="172"/>
      <c r="I32" s="172">
        <v>24500</v>
      </c>
      <c r="J32" s="161"/>
      <c r="K32" s="172">
        <v>18000</v>
      </c>
      <c r="L32" s="161"/>
      <c r="M32" s="167">
        <v>22500</v>
      </c>
      <c r="N32" s="164"/>
      <c r="O32" s="167">
        <v>24500</v>
      </c>
      <c r="P32" s="163"/>
      <c r="Q32" s="167">
        <v>20500</v>
      </c>
      <c r="R32" s="42"/>
      <c r="S32" s="42"/>
      <c r="T32" s="44"/>
      <c r="U32" s="34">
        <f>+Q32+O32+M32+K32+I32+G32+E32+C32</f>
        <v>450000</v>
      </c>
      <c r="V32" s="196"/>
      <c r="W32" s="6"/>
    </row>
    <row r="33" spans="1:23" ht="15.6">
      <c r="A33" s="40"/>
      <c r="B33" s="30" t="s">
        <v>262</v>
      </c>
      <c r="C33" s="162">
        <v>146000</v>
      </c>
      <c r="D33" s="162"/>
      <c r="E33" s="162">
        <v>178000</v>
      </c>
      <c r="F33" s="162"/>
      <c r="G33" s="162">
        <v>16000</v>
      </c>
      <c r="H33" s="162"/>
      <c r="I33" s="162">
        <v>24500</v>
      </c>
      <c r="J33" s="160"/>
      <c r="K33" s="162">
        <v>18000</v>
      </c>
      <c r="L33" s="160"/>
      <c r="M33" s="162">
        <v>22500</v>
      </c>
      <c r="N33" s="160"/>
      <c r="O33" s="162">
        <v>24500</v>
      </c>
      <c r="P33" s="162"/>
      <c r="Q33" s="162">
        <v>20500</v>
      </c>
      <c r="R33" s="42"/>
      <c r="S33" s="42"/>
      <c r="T33" s="44"/>
      <c r="U33" s="42">
        <f>+Q33+O33+M33+K33+I33+G33+E33+C33</f>
        <v>450000</v>
      </c>
      <c r="V33" s="196"/>
      <c r="W33" s="6"/>
    </row>
    <row r="34" spans="1:23" ht="15.6">
      <c r="A34" s="40"/>
      <c r="B34" s="174" t="s">
        <v>149</v>
      </c>
      <c r="C34" s="175">
        <v>1</v>
      </c>
      <c r="D34" s="175"/>
      <c r="E34" s="175">
        <v>1</v>
      </c>
      <c r="F34" s="175"/>
      <c r="G34" s="175">
        <v>1</v>
      </c>
      <c r="H34" s="175"/>
      <c r="I34" s="175">
        <v>1</v>
      </c>
      <c r="J34" s="175"/>
      <c r="K34" s="175">
        <v>1</v>
      </c>
      <c r="L34" s="175"/>
      <c r="M34" s="175">
        <v>1</v>
      </c>
      <c r="N34" s="175"/>
      <c r="O34" s="175">
        <v>1</v>
      </c>
      <c r="P34" s="175"/>
      <c r="Q34" s="175">
        <v>1</v>
      </c>
      <c r="R34" s="176"/>
      <c r="S34" s="42"/>
      <c r="T34" s="44"/>
      <c r="U34" s="42"/>
      <c r="V34" s="196"/>
      <c r="W34" s="6"/>
    </row>
    <row r="35" spans="1:23" ht="15.6">
      <c r="A35" s="40"/>
      <c r="B35" s="174" t="s">
        <v>150</v>
      </c>
      <c r="C35" s="175">
        <v>1</v>
      </c>
      <c r="D35" s="175"/>
      <c r="E35" s="175">
        <v>1</v>
      </c>
      <c r="F35" s="175"/>
      <c r="G35" s="175">
        <v>1</v>
      </c>
      <c r="H35" s="175"/>
      <c r="I35" s="175">
        <v>1</v>
      </c>
      <c r="J35" s="175"/>
      <c r="K35" s="175">
        <v>1</v>
      </c>
      <c r="L35" s="175"/>
      <c r="M35" s="175">
        <v>1</v>
      </c>
      <c r="N35" s="175"/>
      <c r="O35" s="175">
        <v>1</v>
      </c>
      <c r="P35" s="175"/>
      <c r="Q35" s="175">
        <v>1</v>
      </c>
      <c r="R35" s="176"/>
      <c r="S35" s="42"/>
      <c r="T35" s="44"/>
      <c r="U35" s="42"/>
      <c r="V35" s="196"/>
      <c r="W35" s="6"/>
    </row>
    <row r="36" spans="1:23" ht="15.6">
      <c r="A36" s="25"/>
      <c r="B36" s="26" t="s">
        <v>153</v>
      </c>
      <c r="C36" s="157" t="s">
        <v>157</v>
      </c>
      <c r="D36" s="157"/>
      <c r="E36" s="157" t="s">
        <v>157</v>
      </c>
      <c r="F36" s="157"/>
      <c r="G36" s="157" t="s">
        <v>158</v>
      </c>
      <c r="H36" s="157"/>
      <c r="I36" s="157" t="s">
        <v>158</v>
      </c>
      <c r="J36" s="157"/>
      <c r="K36" s="157" t="s">
        <v>159</v>
      </c>
      <c r="L36" s="184"/>
      <c r="M36" s="157" t="s">
        <v>160</v>
      </c>
      <c r="N36" s="158"/>
      <c r="O36" s="157" t="s">
        <v>161</v>
      </c>
      <c r="P36" s="157"/>
      <c r="Q36" s="157" t="s">
        <v>162</v>
      </c>
      <c r="R36" s="157"/>
      <c r="S36" s="157"/>
      <c r="T36" s="158"/>
      <c r="U36" s="29"/>
      <c r="V36" s="196"/>
      <c r="W36" s="6"/>
    </row>
    <row r="37" spans="1:23" ht="15.6">
      <c r="A37" s="25"/>
      <c r="B37" s="26" t="s">
        <v>151</v>
      </c>
      <c r="C37" s="185">
        <v>6.1493800000000001E-2</v>
      </c>
      <c r="D37" s="185"/>
      <c r="E37" s="185">
        <v>4.9669999999999999E-2</v>
      </c>
      <c r="F37" s="185"/>
      <c r="G37" s="185">
        <v>6.2593800000000005E-2</v>
      </c>
      <c r="H37" s="185"/>
      <c r="I37" s="185">
        <v>5.0770000000000003E-2</v>
      </c>
      <c r="J37" s="185"/>
      <c r="K37" s="185">
        <v>6.5293799999999999E-2</v>
      </c>
      <c r="L37" s="185"/>
      <c r="M37" s="185">
        <v>5.3170000000000002E-2</v>
      </c>
      <c r="N37" s="185"/>
      <c r="O37" s="185">
        <v>6.8793800000000002E-2</v>
      </c>
      <c r="P37" s="185"/>
      <c r="Q37" s="185">
        <v>5.6469999999999999E-2</v>
      </c>
      <c r="R37" s="186"/>
      <c r="S37" s="185"/>
      <c r="T37" s="158"/>
      <c r="U37" s="33"/>
      <c r="V37" s="196"/>
      <c r="W37" s="6"/>
    </row>
    <row r="38" spans="1:23" ht="15.6">
      <c r="A38" s="25"/>
      <c r="B38" s="26" t="s">
        <v>152</v>
      </c>
      <c r="C38" s="185">
        <v>5.8868799999999999E-2</v>
      </c>
      <c r="D38" s="185"/>
      <c r="E38" s="185">
        <v>4.7960000000000003E-2</v>
      </c>
      <c r="F38" s="185"/>
      <c r="G38" s="185">
        <v>5.9968800000000003E-2</v>
      </c>
      <c r="H38" s="185"/>
      <c r="I38" s="185">
        <v>4.9059999999999999E-2</v>
      </c>
      <c r="J38" s="185"/>
      <c r="K38" s="185">
        <v>6.2668799999999997E-2</v>
      </c>
      <c r="L38" s="185"/>
      <c r="M38" s="185">
        <v>5.1459999999999999E-2</v>
      </c>
      <c r="N38" s="185"/>
      <c r="O38" s="185">
        <v>6.61688E-2</v>
      </c>
      <c r="P38" s="185"/>
      <c r="Q38" s="185">
        <v>5.4760000000000003E-2</v>
      </c>
      <c r="R38" s="186"/>
      <c r="S38" s="185"/>
      <c r="T38" s="158"/>
      <c r="U38" s="29"/>
      <c r="V38" s="196"/>
      <c r="W38" s="6"/>
    </row>
    <row r="39" spans="1:23" ht="15.6">
      <c r="A39" s="25"/>
      <c r="B39" s="26" t="s">
        <v>263</v>
      </c>
      <c r="C39" s="157" t="s">
        <v>157</v>
      </c>
      <c r="D39" s="185"/>
      <c r="E39" s="185" t="s">
        <v>198</v>
      </c>
      <c r="F39" s="185"/>
      <c r="G39" s="157" t="s">
        <v>158</v>
      </c>
      <c r="H39" s="185"/>
      <c r="I39" s="185" t="s">
        <v>225</v>
      </c>
      <c r="J39" s="185"/>
      <c r="K39" s="157" t="s">
        <v>159</v>
      </c>
      <c r="L39" s="185"/>
      <c r="M39" s="185" t="s">
        <v>199</v>
      </c>
      <c r="N39" s="185"/>
      <c r="O39" s="157" t="s">
        <v>161</v>
      </c>
      <c r="P39" s="185"/>
      <c r="Q39" s="185" t="s">
        <v>200</v>
      </c>
      <c r="R39" s="186"/>
      <c r="S39" s="185"/>
      <c r="T39" s="158"/>
      <c r="U39" s="29"/>
      <c r="V39" s="196"/>
      <c r="W39" s="6"/>
    </row>
    <row r="40" spans="1:23" ht="15.6">
      <c r="A40" s="25"/>
      <c r="B40" s="26" t="s">
        <v>264</v>
      </c>
      <c r="C40" s="185">
        <f>+C37</f>
        <v>6.1493800000000001E-2</v>
      </c>
      <c r="D40" s="185"/>
      <c r="E40" s="185">
        <v>6.1781799999999998E-2</v>
      </c>
      <c r="F40" s="185"/>
      <c r="G40" s="185">
        <f>+G37</f>
        <v>6.2593800000000005E-2</v>
      </c>
      <c r="H40" s="185"/>
      <c r="I40" s="185">
        <v>6.2960299999999997E-2</v>
      </c>
      <c r="J40" s="185"/>
      <c r="K40" s="185">
        <f>+K37</f>
        <v>6.5293799999999999E-2</v>
      </c>
      <c r="L40" s="184"/>
      <c r="M40" s="185">
        <v>6.5573999999999993E-2</v>
      </c>
      <c r="N40" s="184"/>
      <c r="O40" s="185">
        <f>+O37</f>
        <v>6.8793800000000002E-2</v>
      </c>
      <c r="P40" s="185"/>
      <c r="Q40" s="185">
        <v>6.9207000000000005E-2</v>
      </c>
      <c r="R40" s="186"/>
      <c r="S40" s="185"/>
      <c r="T40" s="158"/>
      <c r="U40" s="45">
        <f>SUMPRODUCT(C40:Q40,C31:Q31)/U31</f>
        <v>6.2831507444444462E-2</v>
      </c>
      <c r="V40" s="196"/>
      <c r="W40" s="6"/>
    </row>
    <row r="41" spans="1:23" ht="15.6">
      <c r="A41" s="25"/>
      <c r="B41" s="26" t="s">
        <v>265</v>
      </c>
      <c r="C41" s="185">
        <f>+C38</f>
        <v>5.8868799999999999E-2</v>
      </c>
      <c r="D41" s="185"/>
      <c r="E41" s="185">
        <v>5.9156800000000002E-2</v>
      </c>
      <c r="F41" s="185"/>
      <c r="G41" s="185">
        <f>+G38</f>
        <v>5.9968800000000003E-2</v>
      </c>
      <c r="H41" s="185"/>
      <c r="I41" s="185">
        <v>6.0335300000000001E-2</v>
      </c>
      <c r="J41" s="185"/>
      <c r="K41" s="185">
        <f>+K38</f>
        <v>6.2668799999999997E-2</v>
      </c>
      <c r="L41" s="184"/>
      <c r="M41" s="185">
        <v>6.2949000000000005E-2</v>
      </c>
      <c r="N41" s="184"/>
      <c r="O41" s="185">
        <f>+O38</f>
        <v>6.61688E-2</v>
      </c>
      <c r="P41" s="185"/>
      <c r="Q41" s="185">
        <v>6.6582000000000002E-2</v>
      </c>
      <c r="R41" s="186"/>
      <c r="S41" s="185"/>
      <c r="T41" s="158"/>
      <c r="U41" s="29"/>
      <c r="V41" s="196"/>
      <c r="W41" s="6"/>
    </row>
    <row r="42" spans="1:23" ht="15.6">
      <c r="A42" s="25"/>
      <c r="B42" s="26" t="s">
        <v>17</v>
      </c>
      <c r="C42" s="187">
        <v>39918</v>
      </c>
      <c r="D42" s="187"/>
      <c r="E42" s="187">
        <v>39918</v>
      </c>
      <c r="F42" s="187"/>
      <c r="G42" s="187">
        <v>39918</v>
      </c>
      <c r="H42" s="187"/>
      <c r="I42" s="187">
        <v>39918</v>
      </c>
      <c r="J42" s="187"/>
      <c r="K42" s="187">
        <v>39918</v>
      </c>
      <c r="L42" s="187"/>
      <c r="M42" s="187">
        <v>39918</v>
      </c>
      <c r="N42" s="187"/>
      <c r="O42" s="187">
        <v>39918</v>
      </c>
      <c r="P42" s="187"/>
      <c r="Q42" s="187">
        <v>39918</v>
      </c>
      <c r="R42" s="157"/>
      <c r="S42" s="157"/>
      <c r="T42" s="158"/>
      <c r="U42" s="29"/>
      <c r="V42" s="196"/>
      <c r="W42" s="6"/>
    </row>
    <row r="43" spans="1:23" ht="15.6">
      <c r="A43" s="25"/>
      <c r="B43" s="26" t="s">
        <v>18</v>
      </c>
      <c r="C43" s="46">
        <v>40283</v>
      </c>
      <c r="D43" s="51"/>
      <c r="E43" s="46">
        <v>40283</v>
      </c>
      <c r="F43" s="51"/>
      <c r="G43" s="46">
        <v>40283</v>
      </c>
      <c r="H43" s="51"/>
      <c r="I43" s="46">
        <v>40283</v>
      </c>
      <c r="J43" s="51"/>
      <c r="K43" s="46">
        <v>40283</v>
      </c>
      <c r="L43" s="51"/>
      <c r="M43" s="46">
        <v>40283</v>
      </c>
      <c r="N43" s="51"/>
      <c r="O43" s="46">
        <v>40283</v>
      </c>
      <c r="P43" s="46"/>
      <c r="Q43" s="46">
        <v>40283</v>
      </c>
      <c r="R43" s="33"/>
      <c r="S43" s="33"/>
      <c r="T43" s="29"/>
      <c r="U43" s="29"/>
      <c r="V43" s="196"/>
      <c r="W43" s="6"/>
    </row>
    <row r="44" spans="1:23" ht="15.6">
      <c r="A44" s="25"/>
      <c r="B44" s="26" t="s">
        <v>154</v>
      </c>
      <c r="C44" s="33" t="s">
        <v>163</v>
      </c>
      <c r="D44" s="33"/>
      <c r="E44" s="33" t="s">
        <v>163</v>
      </c>
      <c r="F44" s="33"/>
      <c r="G44" s="33" t="s">
        <v>164</v>
      </c>
      <c r="H44" s="33"/>
      <c r="I44" s="33" t="s">
        <v>164</v>
      </c>
      <c r="J44" s="33"/>
      <c r="K44" s="33" t="s">
        <v>106</v>
      </c>
      <c r="L44" s="33"/>
      <c r="M44" s="33" t="s">
        <v>165</v>
      </c>
      <c r="N44" s="33"/>
      <c r="O44" s="33" t="s">
        <v>166</v>
      </c>
      <c r="P44" s="33"/>
      <c r="Q44" s="33" t="s">
        <v>167</v>
      </c>
      <c r="R44" s="33"/>
      <c r="S44" s="33"/>
      <c r="T44" s="29"/>
      <c r="U44" s="29"/>
      <c r="V44" s="196"/>
      <c r="W44" s="6"/>
    </row>
    <row r="45" spans="1:23" ht="15.6">
      <c r="A45" s="25"/>
      <c r="B45" s="26" t="s">
        <v>266</v>
      </c>
      <c r="C45" s="33" t="s">
        <v>163</v>
      </c>
      <c r="D45" s="26"/>
      <c r="E45" s="33" t="s">
        <v>228</v>
      </c>
      <c r="F45" s="26"/>
      <c r="G45" s="33" t="s">
        <v>164</v>
      </c>
      <c r="H45" s="26"/>
      <c r="I45" s="33" t="s">
        <v>226</v>
      </c>
      <c r="J45" s="26"/>
      <c r="K45" s="33" t="s">
        <v>106</v>
      </c>
      <c r="L45" s="26"/>
      <c r="M45" s="33" t="s">
        <v>227</v>
      </c>
      <c r="N45" s="26"/>
      <c r="O45" s="33" t="s">
        <v>166</v>
      </c>
      <c r="P45" s="33"/>
      <c r="Q45" s="33" t="s">
        <v>229</v>
      </c>
      <c r="R45" s="33"/>
      <c r="S45" s="33"/>
      <c r="T45" s="29"/>
      <c r="U45" s="29"/>
      <c r="V45" s="196"/>
      <c r="W45" s="6"/>
    </row>
    <row r="46" spans="1:23" ht="15.6">
      <c r="A46" s="25"/>
      <c r="B46" s="26"/>
      <c r="C46" s="26"/>
      <c r="D46" s="26"/>
      <c r="E46" s="26"/>
      <c r="F46" s="26"/>
      <c r="G46" s="26"/>
      <c r="H46" s="26"/>
      <c r="I46" s="26"/>
      <c r="J46" s="26"/>
      <c r="K46" s="26"/>
      <c r="L46" s="26"/>
      <c r="M46" s="47"/>
      <c r="N46" s="47"/>
      <c r="O46" s="26"/>
      <c r="P46" s="47"/>
      <c r="Q46" s="47"/>
      <c r="R46" s="47"/>
      <c r="S46" s="47"/>
      <c r="T46" s="47"/>
      <c r="U46" s="47"/>
      <c r="V46" s="196"/>
      <c r="W46" s="6"/>
    </row>
    <row r="47" spans="1:23" ht="15.6">
      <c r="A47" s="25"/>
      <c r="B47" s="26" t="s">
        <v>201</v>
      </c>
      <c r="C47" s="26"/>
      <c r="D47" s="26"/>
      <c r="E47" s="26"/>
      <c r="F47" s="26"/>
      <c r="G47" s="26"/>
      <c r="H47" s="26"/>
      <c r="I47" s="26"/>
      <c r="J47" s="26"/>
      <c r="K47" s="26"/>
      <c r="L47" s="26"/>
      <c r="M47" s="26"/>
      <c r="N47" s="26"/>
      <c r="O47" s="26"/>
      <c r="P47" s="26"/>
      <c r="Q47" s="26"/>
      <c r="R47" s="26"/>
      <c r="S47" s="26"/>
      <c r="T47" s="26"/>
      <c r="U47" s="45">
        <f>SUM(G31:Q31)/(C31+E31)</f>
        <v>0.3888888888888889</v>
      </c>
      <c r="V47" s="196"/>
      <c r="W47" s="6"/>
    </row>
    <row r="48" spans="1:23" ht="15.6">
      <c r="A48" s="25"/>
      <c r="B48" s="26" t="s">
        <v>202</v>
      </c>
      <c r="C48" s="26"/>
      <c r="D48" s="26"/>
      <c r="E48" s="26"/>
      <c r="F48" s="26"/>
      <c r="G48" s="26"/>
      <c r="H48" s="26"/>
      <c r="I48" s="26"/>
      <c r="J48" s="26"/>
      <c r="K48" s="26"/>
      <c r="L48" s="26"/>
      <c r="M48" s="26"/>
      <c r="N48" s="26"/>
      <c r="O48" s="26"/>
      <c r="P48" s="26"/>
      <c r="Q48" s="26"/>
      <c r="R48" s="26"/>
      <c r="S48" s="26"/>
      <c r="T48" s="26"/>
      <c r="U48" s="45">
        <f>SUM(F33:Q33)/(C33+E33)</f>
        <v>0.3888888888888889</v>
      </c>
      <c r="V48" s="196"/>
      <c r="W48" s="6"/>
    </row>
    <row r="49" spans="1:23" ht="15.6">
      <c r="A49" s="25"/>
      <c r="B49" s="26" t="s">
        <v>203</v>
      </c>
      <c r="C49" s="26"/>
      <c r="D49" s="26"/>
      <c r="E49" s="26"/>
      <c r="F49" s="26"/>
      <c r="G49" s="26"/>
      <c r="H49" s="26"/>
      <c r="I49" s="26"/>
      <c r="J49" s="26"/>
      <c r="K49" s="26"/>
      <c r="L49" s="26"/>
      <c r="M49" s="26"/>
      <c r="N49" s="26"/>
      <c r="O49" s="26"/>
      <c r="P49" s="26"/>
      <c r="Q49" s="26"/>
      <c r="R49" s="26"/>
      <c r="S49" s="33" t="s">
        <v>95</v>
      </c>
      <c r="T49" s="33" t="s">
        <v>117</v>
      </c>
      <c r="U49" s="34">
        <v>99000</v>
      </c>
      <c r="V49" s="196"/>
      <c r="W49" s="6"/>
    </row>
    <row r="50" spans="1:23" ht="15.6">
      <c r="A50" s="25"/>
      <c r="B50" s="26"/>
      <c r="C50" s="26"/>
      <c r="D50" s="26"/>
      <c r="E50" s="26"/>
      <c r="F50" s="26"/>
      <c r="G50" s="26"/>
      <c r="H50" s="26"/>
      <c r="I50" s="26"/>
      <c r="J50" s="26"/>
      <c r="K50" s="26"/>
      <c r="L50" s="26"/>
      <c r="M50" s="26"/>
      <c r="N50" s="26"/>
      <c r="O50" s="26"/>
      <c r="P50" s="26"/>
      <c r="Q50" s="26"/>
      <c r="R50" s="26"/>
      <c r="S50" s="26" t="s">
        <v>213</v>
      </c>
      <c r="T50" s="26"/>
      <c r="U50" s="48"/>
      <c r="V50" s="196"/>
      <c r="W50" s="6"/>
    </row>
    <row r="51" spans="1:23" ht="15.6">
      <c r="A51" s="25"/>
      <c r="B51" s="26" t="s">
        <v>19</v>
      </c>
      <c r="C51" s="26"/>
      <c r="D51" s="26"/>
      <c r="E51" s="26"/>
      <c r="F51" s="26"/>
      <c r="G51" s="26"/>
      <c r="H51" s="26"/>
      <c r="I51" s="26"/>
      <c r="J51" s="26"/>
      <c r="K51" s="26"/>
      <c r="L51" s="26"/>
      <c r="M51" s="26"/>
      <c r="N51" s="26"/>
      <c r="O51" s="26"/>
      <c r="P51" s="26"/>
      <c r="Q51" s="26"/>
      <c r="R51" s="26"/>
      <c r="S51" s="33"/>
      <c r="T51" s="33"/>
      <c r="U51" s="33" t="s">
        <v>118</v>
      </c>
      <c r="V51" s="196"/>
      <c r="W51" s="6"/>
    </row>
    <row r="52" spans="1:23" ht="15.6">
      <c r="A52" s="40"/>
      <c r="B52" s="30" t="s">
        <v>20</v>
      </c>
      <c r="C52" s="30"/>
      <c r="D52" s="30"/>
      <c r="E52" s="30"/>
      <c r="F52" s="30"/>
      <c r="G52" s="30"/>
      <c r="H52" s="30"/>
      <c r="I52" s="30"/>
      <c r="J52" s="30"/>
      <c r="K52" s="30"/>
      <c r="L52" s="30"/>
      <c r="M52" s="30"/>
      <c r="N52" s="30"/>
      <c r="O52" s="30"/>
      <c r="P52" s="30"/>
      <c r="Q52" s="30"/>
      <c r="R52" s="30"/>
      <c r="S52" s="49"/>
      <c r="T52" s="49"/>
      <c r="U52" s="50">
        <v>39644</v>
      </c>
      <c r="V52" s="198"/>
      <c r="W52" s="6"/>
    </row>
    <row r="53" spans="1:23" ht="15.6">
      <c r="A53" s="25"/>
      <c r="B53" s="26" t="s">
        <v>155</v>
      </c>
      <c r="C53" s="26"/>
      <c r="D53" s="26"/>
      <c r="E53" s="26"/>
      <c r="F53" s="26"/>
      <c r="G53" s="26"/>
      <c r="H53" s="26"/>
      <c r="I53" s="26"/>
      <c r="J53" s="26"/>
      <c r="K53" s="26"/>
      <c r="L53" s="26"/>
      <c r="M53" s="26"/>
      <c r="N53" s="26"/>
      <c r="O53" s="26"/>
      <c r="P53" s="26"/>
      <c r="Q53" s="29"/>
      <c r="R53" s="26">
        <f>U53-S53+1</f>
        <v>91</v>
      </c>
      <c r="S53" s="52">
        <v>39462</v>
      </c>
      <c r="T53" s="53"/>
      <c r="U53" s="52">
        <v>39552</v>
      </c>
      <c r="V53" s="196"/>
      <c r="W53" s="6"/>
    </row>
    <row r="54" spans="1:23" ht="15.6">
      <c r="A54" s="25"/>
      <c r="B54" s="26" t="s">
        <v>156</v>
      </c>
      <c r="C54" s="26"/>
      <c r="D54" s="26"/>
      <c r="E54" s="26"/>
      <c r="F54" s="26"/>
      <c r="G54" s="26"/>
      <c r="H54" s="26"/>
      <c r="I54" s="26"/>
      <c r="J54" s="26"/>
      <c r="K54" s="26"/>
      <c r="L54" s="26"/>
      <c r="M54" s="26"/>
      <c r="N54" s="26"/>
      <c r="O54" s="26"/>
      <c r="P54" s="26"/>
      <c r="Q54" s="29"/>
      <c r="R54" s="26">
        <f>U54-S54+1</f>
        <v>91</v>
      </c>
      <c r="S54" s="52">
        <v>39553</v>
      </c>
      <c r="T54" s="53"/>
      <c r="U54" s="52">
        <v>39643</v>
      </c>
      <c r="V54" s="196"/>
      <c r="W54" s="6"/>
    </row>
    <row r="55" spans="1:23" ht="15.6">
      <c r="A55" s="25"/>
      <c r="B55" s="26" t="s">
        <v>21</v>
      </c>
      <c r="C55" s="26"/>
      <c r="D55" s="26"/>
      <c r="E55" s="26"/>
      <c r="F55" s="26"/>
      <c r="G55" s="26"/>
      <c r="H55" s="26"/>
      <c r="I55" s="26"/>
      <c r="J55" s="26"/>
      <c r="K55" s="26"/>
      <c r="L55" s="26"/>
      <c r="M55" s="26"/>
      <c r="N55" s="26"/>
      <c r="O55" s="26"/>
      <c r="P55" s="26"/>
      <c r="Q55" s="26"/>
      <c r="R55" s="26"/>
      <c r="S55" s="52"/>
      <c r="T55" s="53"/>
      <c r="U55" s="52" t="s">
        <v>119</v>
      </c>
      <c r="V55" s="196"/>
      <c r="W55" s="6"/>
    </row>
    <row r="56" spans="1:23" ht="15.6">
      <c r="A56" s="25"/>
      <c r="B56" s="26" t="s">
        <v>22</v>
      </c>
      <c r="C56" s="26"/>
      <c r="D56" s="26"/>
      <c r="E56" s="26"/>
      <c r="F56" s="26"/>
      <c r="G56" s="26"/>
      <c r="H56" s="26"/>
      <c r="I56" s="26"/>
      <c r="J56" s="26"/>
      <c r="K56" s="26"/>
      <c r="L56" s="26"/>
      <c r="M56" s="26"/>
      <c r="N56" s="26"/>
      <c r="O56" s="26"/>
      <c r="P56" s="26"/>
      <c r="Q56" s="26"/>
      <c r="R56" s="26"/>
      <c r="S56" s="52"/>
      <c r="T56" s="53"/>
      <c r="U56" s="52">
        <v>39630</v>
      </c>
      <c r="V56" s="196"/>
      <c r="W56" s="6"/>
    </row>
    <row r="57" spans="1:23" ht="15.6">
      <c r="A57" s="25"/>
      <c r="B57" s="26"/>
      <c r="C57" s="26"/>
      <c r="D57" s="26"/>
      <c r="E57" s="26"/>
      <c r="F57" s="26"/>
      <c r="G57" s="26"/>
      <c r="H57" s="26"/>
      <c r="I57" s="26"/>
      <c r="J57" s="26"/>
      <c r="K57" s="26"/>
      <c r="L57" s="26"/>
      <c r="M57" s="26"/>
      <c r="N57" s="26"/>
      <c r="O57" s="26"/>
      <c r="P57" s="26"/>
      <c r="Q57" s="26"/>
      <c r="R57" s="26"/>
      <c r="S57" s="26"/>
      <c r="T57" s="26"/>
      <c r="U57" s="54"/>
      <c r="V57" s="196"/>
      <c r="W57" s="6"/>
    </row>
    <row r="58" spans="1:23" ht="15.6">
      <c r="A58" s="7"/>
      <c r="B58" s="9"/>
      <c r="C58" s="9"/>
      <c r="D58" s="9"/>
      <c r="E58" s="9"/>
      <c r="F58" s="9"/>
      <c r="G58" s="9"/>
      <c r="H58" s="9"/>
      <c r="I58" s="9"/>
      <c r="J58" s="9"/>
      <c r="K58" s="9"/>
      <c r="L58" s="9"/>
      <c r="M58" s="9"/>
      <c r="N58" s="9"/>
      <c r="O58" s="9"/>
      <c r="P58" s="9"/>
      <c r="Q58" s="9"/>
      <c r="R58" s="9"/>
      <c r="S58" s="9"/>
      <c r="T58" s="9"/>
      <c r="U58" s="55"/>
      <c r="V58" s="194"/>
      <c r="W58" s="6"/>
    </row>
    <row r="59" spans="1:23" ht="16.2" thickBot="1">
      <c r="A59" s="130"/>
      <c r="B59" s="131" t="s">
        <v>249</v>
      </c>
      <c r="C59" s="132"/>
      <c r="D59" s="132"/>
      <c r="E59" s="132"/>
      <c r="F59" s="132"/>
      <c r="G59" s="132"/>
      <c r="H59" s="132"/>
      <c r="I59" s="132"/>
      <c r="J59" s="132"/>
      <c r="K59" s="132"/>
      <c r="L59" s="132"/>
      <c r="M59" s="132"/>
      <c r="N59" s="132"/>
      <c r="O59" s="132"/>
      <c r="P59" s="132"/>
      <c r="Q59" s="132"/>
      <c r="R59" s="132"/>
      <c r="S59" s="132"/>
      <c r="T59" s="132"/>
      <c r="U59" s="133"/>
      <c r="V59" s="134"/>
      <c r="W59" s="6"/>
    </row>
    <row r="60" spans="1:23" ht="15.6">
      <c r="A60" s="2"/>
      <c r="B60" s="5" t="s">
        <v>237</v>
      </c>
      <c r="C60" s="5"/>
      <c r="D60" s="5"/>
      <c r="E60" s="5"/>
      <c r="F60" s="5"/>
      <c r="G60" s="5"/>
      <c r="H60" s="5"/>
      <c r="I60" s="5"/>
      <c r="J60" s="5"/>
      <c r="K60" s="5"/>
      <c r="L60" s="5"/>
      <c r="M60" s="5"/>
      <c r="N60" s="5"/>
      <c r="O60" s="5"/>
      <c r="P60" s="5"/>
      <c r="Q60" s="5"/>
      <c r="R60" s="5"/>
      <c r="S60" s="5"/>
      <c r="T60" s="5"/>
      <c r="U60" s="56"/>
      <c r="V60" s="193"/>
      <c r="W60" s="6"/>
    </row>
    <row r="61" spans="1:23" ht="15.6">
      <c r="A61" s="7"/>
      <c r="B61" s="57" t="s">
        <v>23</v>
      </c>
      <c r="C61" s="13"/>
      <c r="D61" s="13"/>
      <c r="E61" s="13"/>
      <c r="F61" s="13"/>
      <c r="G61" s="13"/>
      <c r="H61" s="13"/>
      <c r="I61" s="13"/>
      <c r="J61" s="13"/>
      <c r="K61" s="13"/>
      <c r="L61" s="13"/>
      <c r="M61" s="9"/>
      <c r="N61" s="9"/>
      <c r="O61" s="9"/>
      <c r="P61" s="9"/>
      <c r="Q61" s="9"/>
      <c r="R61" s="9"/>
      <c r="S61" s="9"/>
      <c r="T61" s="9"/>
      <c r="U61" s="58"/>
      <c r="V61" s="194"/>
      <c r="W61" s="6"/>
    </row>
    <row r="62" spans="1:23" ht="15.6">
      <c r="A62" s="7"/>
      <c r="B62" s="13"/>
      <c r="C62" s="13"/>
      <c r="D62" s="13"/>
      <c r="E62" s="13"/>
      <c r="F62" s="13"/>
      <c r="G62" s="13"/>
      <c r="H62" s="13"/>
      <c r="I62" s="13"/>
      <c r="J62" s="13"/>
      <c r="K62" s="13"/>
      <c r="L62" s="13"/>
      <c r="M62" s="9"/>
      <c r="N62" s="9"/>
      <c r="O62" s="9"/>
      <c r="P62" s="9"/>
      <c r="Q62" s="9"/>
      <c r="R62" s="9"/>
      <c r="S62" s="9"/>
      <c r="T62" s="9"/>
      <c r="U62" s="58"/>
      <c r="V62" s="194"/>
      <c r="W62" s="6"/>
    </row>
    <row r="63" spans="1:23" s="151" customFormat="1" ht="46.8">
      <c r="A63" s="145"/>
      <c r="B63" s="146"/>
      <c r="C63" s="147"/>
      <c r="D63" s="147"/>
      <c r="E63" s="147"/>
      <c r="F63" s="147"/>
      <c r="G63" s="147"/>
      <c r="H63" s="147"/>
      <c r="I63" s="147"/>
      <c r="J63" s="147"/>
      <c r="K63" s="147" t="s">
        <v>197</v>
      </c>
      <c r="L63" s="147"/>
      <c r="M63" s="147" t="s">
        <v>98</v>
      </c>
      <c r="N63" s="147"/>
      <c r="O63" s="147" t="s">
        <v>107</v>
      </c>
      <c r="P63" s="147"/>
      <c r="Q63" s="147" t="s">
        <v>111</v>
      </c>
      <c r="R63" s="147"/>
      <c r="S63" s="147" t="s">
        <v>113</v>
      </c>
      <c r="T63" s="147"/>
      <c r="U63" s="148" t="s">
        <v>120</v>
      </c>
      <c r="V63" s="199"/>
      <c r="W63" s="150"/>
    </row>
    <row r="64" spans="1:23" ht="15.6">
      <c r="A64" s="25"/>
      <c r="B64" s="26" t="s">
        <v>24</v>
      </c>
      <c r="C64" s="59"/>
      <c r="D64" s="59"/>
      <c r="E64" s="59"/>
      <c r="F64" s="59"/>
      <c r="G64" s="59"/>
      <c r="H64" s="59"/>
      <c r="I64" s="59"/>
      <c r="J64" s="59"/>
      <c r="K64" s="59">
        <f>265+63566+3306</f>
        <v>67137</v>
      </c>
      <c r="L64" s="59"/>
      <c r="M64" s="59">
        <v>31081</v>
      </c>
      <c r="N64" s="59"/>
      <c r="O64" s="59">
        <f>5+3102+16+413</f>
        <v>3536</v>
      </c>
      <c r="P64" s="59"/>
      <c r="Q64" s="59">
        <v>0</v>
      </c>
      <c r="R64" s="59"/>
      <c r="S64" s="59">
        <v>0</v>
      </c>
      <c r="T64" s="59"/>
      <c r="U64" s="60">
        <f>+M64-O64+Q64-S64</f>
        <v>27545</v>
      </c>
      <c r="V64" s="196"/>
      <c r="W64" s="6"/>
    </row>
    <row r="65" spans="1:24" ht="15.6">
      <c r="A65" s="25"/>
      <c r="B65" s="26" t="s">
        <v>25</v>
      </c>
      <c r="C65" s="59"/>
      <c r="D65" s="59"/>
      <c r="E65" s="59"/>
      <c r="F65" s="59"/>
      <c r="G65" s="59"/>
      <c r="H65" s="59"/>
      <c r="I65" s="59"/>
      <c r="J65" s="59"/>
      <c r="K65" s="59"/>
      <c r="L65" s="59"/>
      <c r="M65" s="59"/>
      <c r="N65" s="59"/>
      <c r="O65" s="59"/>
      <c r="P65" s="59"/>
      <c r="Q65" s="59">
        <v>0</v>
      </c>
      <c r="R65" s="59"/>
      <c r="S65" s="59">
        <v>0</v>
      </c>
      <c r="T65" s="59"/>
      <c r="U65" s="60">
        <f>M65-O65</f>
        <v>0</v>
      </c>
      <c r="V65" s="196"/>
      <c r="W65" s="6"/>
    </row>
    <row r="66" spans="1:24" ht="15.6">
      <c r="A66" s="25"/>
      <c r="B66" s="26"/>
      <c r="C66" s="59"/>
      <c r="D66" s="59"/>
      <c r="E66" s="59"/>
      <c r="F66" s="59"/>
      <c r="G66" s="59"/>
      <c r="H66" s="59"/>
      <c r="I66" s="59"/>
      <c r="J66" s="59"/>
      <c r="K66" s="59"/>
      <c r="L66" s="59"/>
      <c r="M66" s="59"/>
      <c r="N66" s="59"/>
      <c r="O66" s="59"/>
      <c r="P66" s="59"/>
      <c r="Q66" s="59"/>
      <c r="R66" s="59"/>
      <c r="S66" s="59"/>
      <c r="T66" s="59"/>
      <c r="U66" s="60"/>
      <c r="V66" s="196"/>
      <c r="W66" s="6"/>
    </row>
    <row r="67" spans="1:24" ht="15.6">
      <c r="A67" s="25"/>
      <c r="B67" s="26" t="s">
        <v>26</v>
      </c>
      <c r="C67" s="59"/>
      <c r="D67" s="59"/>
      <c r="E67" s="59"/>
      <c r="F67" s="59"/>
      <c r="G67" s="59"/>
      <c r="H67" s="59"/>
      <c r="I67" s="59"/>
      <c r="J67" s="59"/>
      <c r="K67" s="59">
        <v>24470</v>
      </c>
      <c r="L67" s="59"/>
      <c r="M67" s="59">
        <v>40604</v>
      </c>
      <c r="N67" s="59"/>
      <c r="O67" s="59">
        <v>12583</v>
      </c>
      <c r="P67" s="59"/>
      <c r="Q67" s="59">
        <v>0</v>
      </c>
      <c r="R67" s="59"/>
      <c r="S67" s="59">
        <f>SUM(S64:S66)</f>
        <v>0</v>
      </c>
      <c r="T67" s="59"/>
      <c r="U67" s="60">
        <f>+M67-O67+Q67-S67</f>
        <v>28021</v>
      </c>
      <c r="V67" s="196"/>
      <c r="W67" s="6"/>
    </row>
    <row r="68" spans="1:24" ht="15.6">
      <c r="A68" s="25"/>
      <c r="B68" s="26" t="s">
        <v>25</v>
      </c>
      <c r="C68" s="59"/>
      <c r="D68" s="59"/>
      <c r="E68" s="59"/>
      <c r="F68" s="59"/>
      <c r="G68" s="59"/>
      <c r="H68" s="59"/>
      <c r="I68" s="59"/>
      <c r="J68" s="59"/>
      <c r="K68" s="59"/>
      <c r="L68" s="59"/>
      <c r="M68" s="59"/>
      <c r="N68" s="59"/>
      <c r="O68" s="59"/>
      <c r="P68" s="59"/>
      <c r="Q68" s="59">
        <v>0</v>
      </c>
      <c r="R68" s="59"/>
      <c r="S68" s="59">
        <v>0</v>
      </c>
      <c r="T68" s="59"/>
      <c r="U68" s="61"/>
      <c r="V68" s="196"/>
      <c r="W68" s="6"/>
    </row>
    <row r="69" spans="1:24" ht="15.6">
      <c r="A69" s="25"/>
      <c r="B69" s="62"/>
      <c r="C69" s="59"/>
      <c r="D69" s="59"/>
      <c r="E69" s="59"/>
      <c r="F69" s="59"/>
      <c r="G69" s="59"/>
      <c r="H69" s="59"/>
      <c r="I69" s="59"/>
      <c r="J69" s="59"/>
      <c r="K69" s="59"/>
      <c r="L69" s="59"/>
      <c r="M69" s="59"/>
      <c r="N69" s="59"/>
      <c r="O69" s="63"/>
      <c r="P69" s="59"/>
      <c r="Q69" s="59"/>
      <c r="R69" s="59"/>
      <c r="S69" s="59"/>
      <c r="T69" s="59"/>
      <c r="U69" s="61"/>
      <c r="V69" s="196"/>
      <c r="W69" s="6"/>
    </row>
    <row r="70" spans="1:24" ht="15.6">
      <c r="A70" s="25"/>
      <c r="B70" s="26" t="s">
        <v>27</v>
      </c>
      <c r="C70" s="59"/>
      <c r="D70" s="59"/>
      <c r="E70" s="59"/>
      <c r="F70" s="59"/>
      <c r="G70" s="59"/>
      <c r="H70" s="59"/>
      <c r="I70" s="59"/>
      <c r="J70" s="59"/>
      <c r="K70" s="59">
        <v>220072</v>
      </c>
      <c r="L70" s="59"/>
      <c r="M70" s="59">
        <v>201041</v>
      </c>
      <c r="N70" s="59"/>
      <c r="O70" s="59">
        <f>13774+627-1</f>
        <v>14400</v>
      </c>
      <c r="P70" s="59"/>
      <c r="Q70" s="59">
        <f>32887+166</f>
        <v>33053</v>
      </c>
      <c r="R70" s="59"/>
      <c r="S70" s="59">
        <v>0</v>
      </c>
      <c r="T70" s="59"/>
      <c r="U70" s="60">
        <f>+M70-O70+Q70-S70</f>
        <v>219694</v>
      </c>
      <c r="V70" s="196"/>
      <c r="W70" s="6"/>
    </row>
    <row r="71" spans="1:24" ht="15.6">
      <c r="A71" s="25"/>
      <c r="B71" s="26" t="s">
        <v>25</v>
      </c>
      <c r="C71" s="59"/>
      <c r="D71" s="59"/>
      <c r="E71" s="59"/>
      <c r="F71" s="59"/>
      <c r="G71" s="59"/>
      <c r="H71" s="59"/>
      <c r="I71" s="59"/>
      <c r="J71" s="59"/>
      <c r="K71" s="59"/>
      <c r="L71" s="59"/>
      <c r="M71" s="59"/>
      <c r="N71" s="59"/>
      <c r="O71" s="59"/>
      <c r="P71" s="59"/>
      <c r="Q71" s="59">
        <v>0</v>
      </c>
      <c r="R71" s="59"/>
      <c r="S71" s="59">
        <v>0</v>
      </c>
      <c r="T71" s="59"/>
      <c r="U71" s="60">
        <f>M71-O71+Q71-S71</f>
        <v>0</v>
      </c>
      <c r="V71" s="196"/>
      <c r="W71" s="6"/>
    </row>
    <row r="72" spans="1:24" ht="15.6">
      <c r="A72" s="25"/>
      <c r="B72" s="26"/>
      <c r="C72" s="59"/>
      <c r="D72" s="59"/>
      <c r="E72" s="59"/>
      <c r="F72" s="59"/>
      <c r="G72" s="59"/>
      <c r="H72" s="59"/>
      <c r="I72" s="59"/>
      <c r="J72" s="59"/>
      <c r="K72" s="59"/>
      <c r="L72" s="59"/>
      <c r="M72" s="59"/>
      <c r="N72" s="59"/>
      <c r="O72" s="59"/>
      <c r="P72" s="59"/>
      <c r="Q72" s="59"/>
      <c r="R72" s="59"/>
      <c r="S72" s="59"/>
      <c r="T72" s="59"/>
      <c r="U72" s="60"/>
      <c r="V72" s="196"/>
      <c r="W72" s="6"/>
    </row>
    <row r="73" spans="1:24" ht="15.6">
      <c r="A73" s="25"/>
      <c r="B73" s="26" t="s">
        <v>28</v>
      </c>
      <c r="C73" s="59"/>
      <c r="D73" s="59"/>
      <c r="E73" s="59"/>
      <c r="F73" s="59"/>
      <c r="G73" s="59"/>
      <c r="H73" s="59"/>
      <c r="I73" s="59"/>
      <c r="J73" s="59"/>
      <c r="K73" s="59">
        <v>138321</v>
      </c>
      <c r="L73" s="59"/>
      <c r="M73" s="59">
        <v>107397</v>
      </c>
      <c r="N73" s="59"/>
      <c r="O73" s="59">
        <f>956+14056</f>
        <v>15012</v>
      </c>
      <c r="P73" s="59"/>
      <c r="Q73" s="59">
        <v>0</v>
      </c>
      <c r="R73" s="59"/>
      <c r="S73" s="59">
        <v>0</v>
      </c>
      <c r="T73" s="59"/>
      <c r="U73" s="60">
        <f>+M73-O73+Q73-S73</f>
        <v>92385</v>
      </c>
      <c r="V73" s="196"/>
      <c r="W73" s="6"/>
    </row>
    <row r="74" spans="1:24" ht="15.6">
      <c r="A74" s="25"/>
      <c r="B74" s="26" t="s">
        <v>25</v>
      </c>
      <c r="C74" s="59"/>
      <c r="D74" s="59"/>
      <c r="E74" s="59"/>
      <c r="F74" s="59"/>
      <c r="G74" s="59"/>
      <c r="H74" s="59"/>
      <c r="I74" s="59"/>
      <c r="J74" s="59"/>
      <c r="K74" s="59"/>
      <c r="L74" s="59"/>
      <c r="M74" s="59"/>
      <c r="N74" s="59"/>
      <c r="O74" s="59"/>
      <c r="P74" s="59"/>
      <c r="Q74" s="59">
        <v>0</v>
      </c>
      <c r="R74" s="59"/>
      <c r="S74" s="59">
        <v>0</v>
      </c>
      <c r="T74" s="59"/>
      <c r="U74" s="60"/>
      <c r="V74" s="196"/>
      <c r="W74" s="6"/>
    </row>
    <row r="75" spans="1:24" ht="15.6">
      <c r="A75" s="25"/>
      <c r="B75" s="59"/>
      <c r="C75" s="59"/>
      <c r="D75" s="59"/>
      <c r="E75" s="59"/>
      <c r="F75" s="59"/>
      <c r="G75" s="59"/>
      <c r="H75" s="59"/>
      <c r="I75" s="59"/>
      <c r="J75" s="59"/>
      <c r="K75" s="59"/>
      <c r="L75" s="59"/>
      <c r="M75" s="59"/>
      <c r="N75" s="59"/>
      <c r="O75" s="59"/>
      <c r="P75" s="59"/>
      <c r="Q75" s="59"/>
      <c r="R75" s="59"/>
      <c r="S75" s="59"/>
      <c r="T75" s="59"/>
      <c r="U75" s="60"/>
      <c r="V75" s="196"/>
      <c r="W75" s="6"/>
    </row>
    <row r="76" spans="1:24" ht="15.6">
      <c r="A76" s="25"/>
      <c r="B76" s="26" t="s">
        <v>29</v>
      </c>
      <c r="C76" s="59"/>
      <c r="D76" s="59"/>
      <c r="E76" s="59"/>
      <c r="F76" s="59"/>
      <c r="G76" s="59"/>
      <c r="H76" s="59"/>
      <c r="I76" s="59"/>
      <c r="J76" s="59"/>
      <c r="K76" s="59">
        <f>SUM(K64:K73)</f>
        <v>450000</v>
      </c>
      <c r="L76" s="59"/>
      <c r="M76" s="59">
        <f>SUM(M64:M73)</f>
        <v>380123</v>
      </c>
      <c r="N76" s="59"/>
      <c r="O76" s="59">
        <f>SUM(O64:O74)</f>
        <v>45531</v>
      </c>
      <c r="P76" s="59"/>
      <c r="Q76" s="59">
        <f>SUM(Q64:Q74)</f>
        <v>33053</v>
      </c>
      <c r="R76" s="59"/>
      <c r="S76" s="59">
        <f>SUM(S71:S75)</f>
        <v>0</v>
      </c>
      <c r="T76" s="59"/>
      <c r="U76" s="59">
        <f>SUM(U64:U74)</f>
        <v>367645</v>
      </c>
      <c r="V76" s="196"/>
      <c r="W76" s="6"/>
      <c r="X76" s="182"/>
    </row>
    <row r="77" spans="1:24" ht="15.6">
      <c r="A77" s="25"/>
      <c r="B77" s="26"/>
      <c r="C77" s="59"/>
      <c r="D77" s="59"/>
      <c r="E77" s="59"/>
      <c r="F77" s="59"/>
      <c r="G77" s="59"/>
      <c r="H77" s="59"/>
      <c r="I77" s="59"/>
      <c r="J77" s="59"/>
      <c r="K77" s="59"/>
      <c r="L77" s="59"/>
      <c r="M77" s="59"/>
      <c r="N77" s="59"/>
      <c r="O77" s="59"/>
      <c r="P77" s="59"/>
      <c r="Q77" s="59"/>
      <c r="R77" s="59"/>
      <c r="S77" s="59"/>
      <c r="T77" s="59"/>
      <c r="U77" s="61"/>
      <c r="V77" s="196"/>
      <c r="W77" s="6"/>
    </row>
    <row r="78" spans="1:24" ht="15.6">
      <c r="A78" s="25"/>
      <c r="B78" s="26" t="s">
        <v>214</v>
      </c>
      <c r="C78" s="59"/>
      <c r="D78" s="59"/>
      <c r="E78" s="59"/>
      <c r="F78" s="59"/>
      <c r="G78" s="59"/>
      <c r="H78" s="59"/>
      <c r="I78" s="59"/>
      <c r="J78" s="59"/>
      <c r="K78" s="59">
        <v>0</v>
      </c>
      <c r="L78" s="59"/>
      <c r="M78" s="59">
        <v>-9867</v>
      </c>
      <c r="N78" s="59"/>
      <c r="O78" s="59">
        <v>346</v>
      </c>
      <c r="P78" s="59"/>
      <c r="Q78" s="59"/>
      <c r="R78" s="59"/>
      <c r="S78" s="59"/>
      <c r="T78" s="59"/>
      <c r="U78" s="60">
        <f>+M78-O78</f>
        <v>-10213</v>
      </c>
      <c r="V78" s="196"/>
      <c r="W78" s="6"/>
    </row>
    <row r="79" spans="1:24" ht="15.6">
      <c r="A79" s="25"/>
      <c r="B79" s="26" t="s">
        <v>30</v>
      </c>
      <c r="C79" s="59"/>
      <c r="D79" s="59"/>
      <c r="E79" s="59"/>
      <c r="F79" s="59"/>
      <c r="G79" s="59"/>
      <c r="H79" s="59"/>
      <c r="I79" s="59"/>
      <c r="J79" s="59"/>
      <c r="K79" s="59">
        <v>0</v>
      </c>
      <c r="L79" s="59"/>
      <c r="M79" s="59">
        <v>79744</v>
      </c>
      <c r="N79" s="59"/>
      <c r="O79" s="59">
        <f>SUM(O76:O78)</f>
        <v>45877</v>
      </c>
      <c r="P79" s="59"/>
      <c r="Q79" s="59">
        <f>-Q76</f>
        <v>-33053</v>
      </c>
      <c r="R79" s="59"/>
      <c r="S79" s="59"/>
      <c r="T79" s="59"/>
      <c r="U79" s="61">
        <f>+M79+O79+Q79</f>
        <v>92568</v>
      </c>
      <c r="V79" s="196"/>
      <c r="W79" s="6"/>
      <c r="X79" s="182"/>
    </row>
    <row r="80" spans="1:24" ht="15.6">
      <c r="A80" s="25"/>
      <c r="B80" s="26" t="s">
        <v>31</v>
      </c>
      <c r="C80" s="59"/>
      <c r="D80" s="59"/>
      <c r="E80" s="59"/>
      <c r="F80" s="59"/>
      <c r="G80" s="59"/>
      <c r="H80" s="59"/>
      <c r="I80" s="59"/>
      <c r="J80" s="59"/>
      <c r="K80" s="59">
        <v>0</v>
      </c>
      <c r="L80" s="59"/>
      <c r="M80" s="59">
        <v>0</v>
      </c>
      <c r="N80" s="59"/>
      <c r="O80" s="59"/>
      <c r="P80" s="59"/>
      <c r="Q80" s="59">
        <v>0</v>
      </c>
      <c r="R80" s="59"/>
      <c r="S80" s="59"/>
      <c r="T80" s="59"/>
      <c r="U80" s="61">
        <f>Q80+M80</f>
        <v>0</v>
      </c>
      <c r="V80" s="196"/>
      <c r="W80" s="6"/>
    </row>
    <row r="81" spans="1:24" ht="15.6">
      <c r="A81" s="25"/>
      <c r="B81" s="26" t="s">
        <v>16</v>
      </c>
      <c r="C81" s="61"/>
      <c r="D81" s="61"/>
      <c r="E81" s="61"/>
      <c r="F81" s="61"/>
      <c r="G81" s="61"/>
      <c r="H81" s="61"/>
      <c r="I81" s="61"/>
      <c r="J81" s="61"/>
      <c r="K81" s="61">
        <f>SUM(K76:K80)</f>
        <v>450000</v>
      </c>
      <c r="L81" s="61"/>
      <c r="M81" s="61">
        <f>SUM(M76:M80)</f>
        <v>450000</v>
      </c>
      <c r="N81" s="59"/>
      <c r="O81" s="59">
        <f>O79-O80</f>
        <v>45877</v>
      </c>
      <c r="P81" s="59"/>
      <c r="Q81" s="59"/>
      <c r="R81" s="59"/>
      <c r="S81" s="59"/>
      <c r="T81" s="59"/>
      <c r="U81" s="61">
        <f>SUM(U76:U80)</f>
        <v>450000</v>
      </c>
      <c r="V81" s="196"/>
      <c r="W81" s="6"/>
    </row>
    <row r="82" spans="1:24" ht="15.6">
      <c r="A82" s="25"/>
      <c r="B82" s="59"/>
      <c r="C82" s="26"/>
      <c r="D82" s="26"/>
      <c r="E82" s="26"/>
      <c r="F82" s="26"/>
      <c r="G82" s="26"/>
      <c r="H82" s="26"/>
      <c r="I82" s="26"/>
      <c r="J82" s="26"/>
      <c r="K82" s="26"/>
      <c r="L82" s="26"/>
      <c r="M82" s="26"/>
      <c r="N82" s="26"/>
      <c r="O82" s="26"/>
      <c r="P82" s="26"/>
      <c r="Q82" s="26"/>
      <c r="R82" s="26"/>
      <c r="S82" s="33"/>
      <c r="T82" s="26"/>
      <c r="U82" s="33"/>
      <c r="V82" s="196"/>
      <c r="W82" s="6"/>
    </row>
    <row r="83" spans="1:24" ht="15.6">
      <c r="A83" s="7"/>
      <c r="B83" s="57" t="s">
        <v>32</v>
      </c>
      <c r="C83" s="14"/>
      <c r="D83" s="14"/>
      <c r="E83" s="14"/>
      <c r="F83" s="14"/>
      <c r="G83" s="14"/>
      <c r="H83" s="14"/>
      <c r="I83" s="14"/>
      <c r="J83" s="14"/>
      <c r="K83" s="14"/>
      <c r="L83" s="14"/>
      <c r="M83" s="14"/>
      <c r="N83" s="14"/>
      <c r="O83" s="14"/>
      <c r="P83" s="14"/>
      <c r="Q83" s="14"/>
      <c r="R83" s="17"/>
      <c r="S83" s="17"/>
      <c r="T83" s="17"/>
      <c r="U83" s="17" t="s">
        <v>121</v>
      </c>
      <c r="V83" s="200"/>
      <c r="W83" s="6"/>
    </row>
    <row r="84" spans="1:24" ht="15.6">
      <c r="A84" s="25"/>
      <c r="B84" s="26" t="s">
        <v>33</v>
      </c>
      <c r="C84" s="26"/>
      <c r="D84" s="26"/>
      <c r="E84" s="26"/>
      <c r="F84" s="26"/>
      <c r="G84" s="26"/>
      <c r="H84" s="26"/>
      <c r="I84" s="26"/>
      <c r="J84" s="26"/>
      <c r="K84" s="26"/>
      <c r="L84" s="26"/>
      <c r="M84" s="26"/>
      <c r="N84" s="26"/>
      <c r="O84" s="59"/>
      <c r="P84" s="26"/>
      <c r="Q84" s="26"/>
      <c r="R84" s="26"/>
      <c r="S84" s="59"/>
      <c r="T84" s="26"/>
      <c r="U84" s="60">
        <v>142074</v>
      </c>
      <c r="V84" s="196"/>
      <c r="W84" s="6"/>
    </row>
    <row r="85" spans="1:24" ht="15.6">
      <c r="A85" s="25"/>
      <c r="B85" s="26" t="s">
        <v>34</v>
      </c>
      <c r="C85" s="47"/>
      <c r="D85" s="47"/>
      <c r="E85" s="47"/>
      <c r="F85" s="47"/>
      <c r="G85" s="47"/>
      <c r="H85" s="47"/>
      <c r="I85" s="47"/>
      <c r="J85" s="47"/>
      <c r="K85" s="47"/>
      <c r="L85" s="47"/>
      <c r="M85" s="51"/>
      <c r="N85" s="26"/>
      <c r="O85" s="26"/>
      <c r="P85" s="26"/>
      <c r="Q85" s="26"/>
      <c r="R85" s="26"/>
      <c r="S85" s="59"/>
      <c r="T85" s="26"/>
      <c r="U85" s="60">
        <f>1455+265+44-59-32</f>
        <v>1673</v>
      </c>
      <c r="V85" s="196"/>
      <c r="W85" s="6"/>
    </row>
    <row r="86" spans="1:24" ht="15.6">
      <c r="A86" s="25"/>
      <c r="B86" s="26" t="s">
        <v>230</v>
      </c>
      <c r="C86" s="26"/>
      <c r="D86" s="26"/>
      <c r="E86" s="26"/>
      <c r="F86" s="26"/>
      <c r="G86" s="26"/>
      <c r="H86" s="26"/>
      <c r="I86" s="26"/>
      <c r="J86" s="26"/>
      <c r="K86" s="26"/>
      <c r="L86" s="26"/>
      <c r="M86" s="26"/>
      <c r="N86" s="26"/>
      <c r="O86" s="26"/>
      <c r="P86" s="26"/>
      <c r="Q86" s="26"/>
      <c r="R86" s="26"/>
      <c r="S86" s="59"/>
      <c r="T86" s="26"/>
      <c r="U86" s="60">
        <v>0</v>
      </c>
      <c r="V86" s="196"/>
      <c r="W86" s="6"/>
      <c r="X86" s="64"/>
    </row>
    <row r="87" spans="1:24" ht="15.6">
      <c r="A87" s="25"/>
      <c r="B87" s="26" t="s">
        <v>231</v>
      </c>
      <c r="C87" s="26"/>
      <c r="D87" s="26"/>
      <c r="E87" s="26"/>
      <c r="F87" s="26"/>
      <c r="G87" s="26"/>
      <c r="H87" s="26"/>
      <c r="I87" s="26"/>
      <c r="J87" s="26"/>
      <c r="K87" s="26"/>
      <c r="L87" s="26"/>
      <c r="M87" s="26"/>
      <c r="N87" s="26"/>
      <c r="O87" s="26"/>
      <c r="P87" s="26"/>
      <c r="Q87" s="26"/>
      <c r="R87" s="26"/>
      <c r="S87" s="59"/>
      <c r="T87" s="26"/>
      <c r="U87" s="60">
        <v>0</v>
      </c>
      <c r="V87" s="196"/>
      <c r="W87" s="6"/>
      <c r="X87" s="64"/>
    </row>
    <row r="88" spans="1:24" ht="15.6">
      <c r="A88" s="25"/>
      <c r="B88" s="26" t="s">
        <v>35</v>
      </c>
      <c r="C88" s="26"/>
      <c r="D88" s="26"/>
      <c r="E88" s="26"/>
      <c r="F88" s="26"/>
      <c r="G88" s="26"/>
      <c r="H88" s="26"/>
      <c r="I88" s="26"/>
      <c r="J88" s="26"/>
      <c r="K88" s="26"/>
      <c r="L88" s="26"/>
      <c r="M88" s="26"/>
      <c r="N88" s="26"/>
      <c r="O88" s="26"/>
      <c r="P88" s="26"/>
      <c r="Q88" s="26"/>
      <c r="R88" s="26"/>
      <c r="S88" s="59"/>
      <c r="T88" s="26"/>
      <c r="U88" s="60">
        <f>SUM(U84:U87)</f>
        <v>143747</v>
      </c>
      <c r="V88" s="196"/>
      <c r="W88" s="6"/>
      <c r="X88" s="64"/>
    </row>
    <row r="89" spans="1:24" ht="15.6">
      <c r="A89" s="25"/>
      <c r="B89" s="26"/>
      <c r="C89" s="26"/>
      <c r="D89" s="26"/>
      <c r="E89" s="26"/>
      <c r="F89" s="26"/>
      <c r="G89" s="26"/>
      <c r="H89" s="26"/>
      <c r="I89" s="26"/>
      <c r="J89" s="26"/>
      <c r="K89" s="26"/>
      <c r="L89" s="26"/>
      <c r="M89" s="26"/>
      <c r="N89" s="26"/>
      <c r="O89" s="26"/>
      <c r="P89" s="26"/>
      <c r="Q89" s="26"/>
      <c r="R89" s="26"/>
      <c r="S89" s="59"/>
      <c r="T89" s="26"/>
      <c r="U89" s="61"/>
      <c r="V89" s="196"/>
      <c r="W89" s="6"/>
    </row>
    <row r="90" spans="1:24" ht="15.6">
      <c r="A90" s="25"/>
      <c r="B90" s="152" t="s">
        <v>36</v>
      </c>
      <c r="C90" s="65"/>
      <c r="D90" s="65"/>
      <c r="E90" s="65"/>
      <c r="F90" s="65"/>
      <c r="G90" s="65"/>
      <c r="H90" s="65"/>
      <c r="I90" s="65"/>
      <c r="J90" s="65"/>
      <c r="K90" s="65"/>
      <c r="L90" s="65"/>
      <c r="M90" s="26"/>
      <c r="N90" s="26"/>
      <c r="O90" s="26"/>
      <c r="P90" s="26"/>
      <c r="Q90" s="26"/>
      <c r="R90" s="26"/>
      <c r="S90" s="59"/>
      <c r="T90" s="26"/>
      <c r="U90" s="60"/>
      <c r="V90" s="196"/>
      <c r="W90" s="6"/>
      <c r="X90" s="64"/>
    </row>
    <row r="91" spans="1:24" ht="15.6">
      <c r="A91" s="25">
        <v>1</v>
      </c>
      <c r="B91" s="26" t="s">
        <v>37</v>
      </c>
      <c r="C91" s="26"/>
      <c r="D91" s="26"/>
      <c r="E91" s="26"/>
      <c r="F91" s="26"/>
      <c r="G91" s="26"/>
      <c r="H91" s="26"/>
      <c r="I91" s="26"/>
      <c r="J91" s="26"/>
      <c r="K91" s="26"/>
      <c r="L91" s="26"/>
      <c r="M91" s="26"/>
      <c r="N91" s="26"/>
      <c r="O91" s="26"/>
      <c r="P91" s="26"/>
      <c r="Q91" s="26"/>
      <c r="R91" s="26"/>
      <c r="S91" s="26"/>
      <c r="T91" s="26"/>
      <c r="U91" s="60">
        <v>-2</v>
      </c>
      <c r="V91" s="196"/>
      <c r="W91" s="6"/>
    </row>
    <row r="92" spans="1:24" ht="15.6">
      <c r="A92" s="25">
        <f>A91+1</f>
        <v>2</v>
      </c>
      <c r="B92" s="26" t="s">
        <v>168</v>
      </c>
      <c r="C92" s="26"/>
      <c r="D92" s="26"/>
      <c r="E92" s="26"/>
      <c r="F92" s="26"/>
      <c r="G92" s="26"/>
      <c r="H92" s="26"/>
      <c r="I92" s="26"/>
      <c r="J92" s="26"/>
      <c r="K92" s="26"/>
      <c r="L92" s="26"/>
      <c r="M92" s="26"/>
      <c r="N92" s="26"/>
      <c r="O92" s="26"/>
      <c r="P92" s="26"/>
      <c r="Q92" s="26"/>
      <c r="R92" s="26"/>
      <c r="S92" s="26"/>
      <c r="T92" s="26"/>
      <c r="U92" s="60">
        <f>-378-175-10</f>
        <v>-563</v>
      </c>
      <c r="V92" s="196"/>
      <c r="W92" s="6"/>
      <c r="X92" s="64"/>
    </row>
    <row r="93" spans="1:24" ht="15.6">
      <c r="A93" s="25">
        <v>3</v>
      </c>
      <c r="B93" s="26" t="s">
        <v>38</v>
      </c>
      <c r="C93" s="26"/>
      <c r="D93" s="26"/>
      <c r="E93" s="26"/>
      <c r="F93" s="26"/>
      <c r="G93" s="26"/>
      <c r="H93" s="26"/>
      <c r="I93" s="26"/>
      <c r="J93" s="26"/>
      <c r="K93" s="26"/>
      <c r="L93" s="26"/>
      <c r="M93" s="26"/>
      <c r="N93" s="26"/>
      <c r="O93" s="26"/>
      <c r="P93" s="26"/>
      <c r="Q93" s="26"/>
      <c r="R93" s="26"/>
      <c r="S93" s="26"/>
      <c r="T93" s="26"/>
      <c r="U93" s="60">
        <v>-237</v>
      </c>
      <c r="V93" s="196"/>
      <c r="W93" s="6"/>
      <c r="X93" s="64"/>
    </row>
    <row r="94" spans="1:24" ht="15.6">
      <c r="A94" s="177" t="s">
        <v>190</v>
      </c>
      <c r="B94" s="26" t="s">
        <v>169</v>
      </c>
      <c r="C94" s="26"/>
      <c r="D94" s="26"/>
      <c r="E94" s="26"/>
      <c r="F94" s="26"/>
      <c r="G94" s="26"/>
      <c r="H94" s="26"/>
      <c r="I94" s="26"/>
      <c r="J94" s="26"/>
      <c r="K94" s="26"/>
      <c r="L94" s="26"/>
      <c r="M94" s="26"/>
      <c r="N94" s="26"/>
      <c r="O94" s="26"/>
      <c r="P94" s="26"/>
      <c r="Q94" s="26"/>
      <c r="R94" s="26"/>
      <c r="S94" s="26"/>
      <c r="T94" s="26"/>
      <c r="U94" s="60">
        <v>-2232</v>
      </c>
      <c r="V94" s="196"/>
      <c r="W94" s="6"/>
      <c r="X94" s="64"/>
    </row>
    <row r="95" spans="1:24" ht="15.6">
      <c r="A95" s="177" t="s">
        <v>191</v>
      </c>
      <c r="B95" s="26" t="s">
        <v>170</v>
      </c>
      <c r="C95" s="26"/>
      <c r="D95" s="26"/>
      <c r="E95" s="26"/>
      <c r="F95" s="26"/>
      <c r="G95" s="26"/>
      <c r="H95" s="26"/>
      <c r="I95" s="26"/>
      <c r="J95" s="26"/>
      <c r="K95" s="26"/>
      <c r="L95" s="26"/>
      <c r="M95" s="26"/>
      <c r="N95" s="26"/>
      <c r="O95" s="26"/>
      <c r="P95" s="26"/>
      <c r="Q95" s="26"/>
      <c r="R95" s="26"/>
      <c r="S95" s="26"/>
      <c r="T95" s="26"/>
      <c r="U95" s="60">
        <v>-2742</v>
      </c>
      <c r="V95" s="196"/>
      <c r="W95" s="6"/>
      <c r="X95" s="182"/>
    </row>
    <row r="96" spans="1:24" ht="15.6">
      <c r="A96" s="25">
        <v>5</v>
      </c>
      <c r="B96" s="26" t="s">
        <v>171</v>
      </c>
      <c r="C96" s="26"/>
      <c r="D96" s="26"/>
      <c r="E96" s="26"/>
      <c r="F96" s="26"/>
      <c r="G96" s="26"/>
      <c r="H96" s="26"/>
      <c r="I96" s="26"/>
      <c r="J96" s="26"/>
      <c r="K96" s="26"/>
      <c r="L96" s="26"/>
      <c r="M96" s="26"/>
      <c r="N96" s="26"/>
      <c r="O96" s="26"/>
      <c r="P96" s="26"/>
      <c r="Q96" s="26"/>
      <c r="R96" s="26"/>
      <c r="S96" s="26"/>
      <c r="T96" s="26"/>
      <c r="U96" s="60">
        <v>-7</v>
      </c>
      <c r="V96" s="196"/>
      <c r="W96" s="6"/>
    </row>
    <row r="97" spans="1:24" ht="15.6">
      <c r="A97" s="177" t="s">
        <v>174</v>
      </c>
      <c r="B97" s="26" t="s">
        <v>172</v>
      </c>
      <c r="C97" s="26"/>
      <c r="D97" s="26"/>
      <c r="E97" s="26"/>
      <c r="F97" s="26"/>
      <c r="G97" s="26"/>
      <c r="H97" s="26"/>
      <c r="I97" s="26"/>
      <c r="J97" s="26"/>
      <c r="K97" s="26"/>
      <c r="L97" s="26"/>
      <c r="M97" s="26"/>
      <c r="N97" s="26"/>
      <c r="O97" s="26"/>
      <c r="P97" s="26"/>
      <c r="Q97" s="26"/>
      <c r="R97" s="26"/>
      <c r="S97" s="26"/>
      <c r="T97" s="26"/>
      <c r="U97" s="60">
        <v>-249</v>
      </c>
      <c r="V97" s="196"/>
      <c r="W97" s="6"/>
      <c r="X97" s="182"/>
    </row>
    <row r="98" spans="1:24" ht="15.6">
      <c r="A98" s="177" t="s">
        <v>176</v>
      </c>
      <c r="B98" s="26" t="s">
        <v>173</v>
      </c>
      <c r="C98" s="26"/>
      <c r="D98" s="26"/>
      <c r="E98" s="26"/>
      <c r="F98" s="26"/>
      <c r="G98" s="26"/>
      <c r="H98" s="26"/>
      <c r="I98" s="26"/>
      <c r="J98" s="26"/>
      <c r="K98" s="26"/>
      <c r="L98" s="26"/>
      <c r="M98" s="26"/>
      <c r="N98" s="26"/>
      <c r="O98" s="26"/>
      <c r="P98" s="26"/>
      <c r="Q98" s="26"/>
      <c r="R98" s="26"/>
      <c r="S98" s="26"/>
      <c r="T98" s="26"/>
      <c r="U98" s="60">
        <v>-385</v>
      </c>
      <c r="V98" s="196"/>
      <c r="W98" s="119"/>
      <c r="X98" s="182"/>
    </row>
    <row r="99" spans="1:24" ht="15.6">
      <c r="A99" s="177" t="s">
        <v>178</v>
      </c>
      <c r="B99" s="26" t="s">
        <v>175</v>
      </c>
      <c r="C99" s="26"/>
      <c r="D99" s="26"/>
      <c r="E99" s="26"/>
      <c r="F99" s="26"/>
      <c r="G99" s="26"/>
      <c r="H99" s="26"/>
      <c r="I99" s="26"/>
      <c r="J99" s="26"/>
      <c r="K99" s="26"/>
      <c r="L99" s="26"/>
      <c r="M99" s="26"/>
      <c r="N99" s="26"/>
      <c r="O99" s="26"/>
      <c r="P99" s="26"/>
      <c r="Q99" s="26"/>
      <c r="R99" s="26"/>
      <c r="S99" s="26"/>
      <c r="T99" s="26"/>
      <c r="U99" s="60">
        <v>-292</v>
      </c>
      <c r="V99" s="196"/>
      <c r="W99" s="6"/>
      <c r="X99" s="182"/>
    </row>
    <row r="100" spans="1:24" ht="15.6">
      <c r="A100" s="177" t="s">
        <v>180</v>
      </c>
      <c r="B100" s="26" t="s">
        <v>177</v>
      </c>
      <c r="C100" s="26"/>
      <c r="D100" s="26"/>
      <c r="E100" s="26"/>
      <c r="F100" s="26"/>
      <c r="G100" s="26"/>
      <c r="H100" s="26"/>
      <c r="I100" s="26"/>
      <c r="J100" s="26"/>
      <c r="K100" s="26"/>
      <c r="L100" s="26"/>
      <c r="M100" s="26"/>
      <c r="N100" s="26"/>
      <c r="O100" s="26"/>
      <c r="P100" s="26"/>
      <c r="Q100" s="26"/>
      <c r="R100" s="26"/>
      <c r="S100" s="26"/>
      <c r="T100" s="26"/>
      <c r="U100" s="60">
        <v>-368</v>
      </c>
      <c r="V100" s="196"/>
      <c r="W100" s="119"/>
      <c r="X100" s="182"/>
    </row>
    <row r="101" spans="1:24" ht="15.6">
      <c r="A101" s="177" t="s">
        <v>192</v>
      </c>
      <c r="B101" s="26" t="s">
        <v>179</v>
      </c>
      <c r="C101" s="26"/>
      <c r="D101" s="26"/>
      <c r="E101" s="26"/>
      <c r="F101" s="26"/>
      <c r="G101" s="26"/>
      <c r="H101" s="26"/>
      <c r="I101" s="26"/>
      <c r="J101" s="26"/>
      <c r="K101" s="26"/>
      <c r="L101" s="26"/>
      <c r="M101" s="26"/>
      <c r="N101" s="26"/>
      <c r="O101" s="26"/>
      <c r="P101" s="26"/>
      <c r="Q101" s="26"/>
      <c r="R101" s="26"/>
      <c r="S101" s="26"/>
      <c r="T101" s="26"/>
      <c r="U101" s="60">
        <v>-419</v>
      </c>
      <c r="V101" s="196"/>
      <c r="W101" s="6"/>
      <c r="X101" s="182"/>
    </row>
    <row r="102" spans="1:24" ht="15.6">
      <c r="A102" s="177" t="s">
        <v>193</v>
      </c>
      <c r="B102" s="26" t="s">
        <v>181</v>
      </c>
      <c r="C102" s="26"/>
      <c r="D102" s="26"/>
      <c r="E102" s="26"/>
      <c r="F102" s="26"/>
      <c r="G102" s="26"/>
      <c r="H102" s="26"/>
      <c r="I102" s="26"/>
      <c r="J102" s="26"/>
      <c r="K102" s="26"/>
      <c r="L102" s="26"/>
      <c r="M102" s="26"/>
      <c r="N102" s="26"/>
      <c r="O102" s="26"/>
      <c r="P102" s="26"/>
      <c r="Q102" s="26"/>
      <c r="R102" s="26"/>
      <c r="S102" s="26"/>
      <c r="T102" s="26"/>
      <c r="U102" s="60">
        <v>-353</v>
      </c>
      <c r="V102" s="196"/>
      <c r="W102" s="119"/>
      <c r="X102" s="182"/>
    </row>
    <row r="103" spans="1:24" ht="15.6">
      <c r="A103" s="25">
        <v>9</v>
      </c>
      <c r="B103" s="26" t="s">
        <v>182</v>
      </c>
      <c r="C103" s="26"/>
      <c r="D103" s="26"/>
      <c r="E103" s="26"/>
      <c r="F103" s="26"/>
      <c r="G103" s="26"/>
      <c r="H103" s="26"/>
      <c r="I103" s="26"/>
      <c r="J103" s="26"/>
      <c r="K103" s="26"/>
      <c r="L103" s="26"/>
      <c r="M103" s="26"/>
      <c r="N103" s="26"/>
      <c r="O103" s="26"/>
      <c r="P103" s="26"/>
      <c r="Q103" s="26"/>
      <c r="R103" s="26"/>
      <c r="S103" s="26"/>
      <c r="T103" s="26"/>
      <c r="U103" s="60">
        <f>+S220-U32</f>
        <v>-92568</v>
      </c>
      <c r="V103" s="196"/>
      <c r="W103" s="6"/>
      <c r="X103" s="182"/>
    </row>
    <row r="104" spans="1:24" ht="15.6">
      <c r="A104" s="25">
        <v>10</v>
      </c>
      <c r="B104" s="26" t="s">
        <v>234</v>
      </c>
      <c r="C104" s="26"/>
      <c r="D104" s="26"/>
      <c r="E104" s="26"/>
      <c r="F104" s="26"/>
      <c r="G104" s="26"/>
      <c r="H104" s="26"/>
      <c r="I104" s="26"/>
      <c r="J104" s="26"/>
      <c r="K104" s="26"/>
      <c r="L104" s="26"/>
      <c r="M104" s="26"/>
      <c r="N104" s="26"/>
      <c r="O104" s="26"/>
      <c r="P104" s="26"/>
      <c r="Q104" s="26"/>
      <c r="R104" s="26"/>
      <c r="S104" s="26"/>
      <c r="T104" s="26"/>
      <c r="U104" s="60">
        <v>-40500</v>
      </c>
      <c r="V104" s="196"/>
      <c r="W104" s="6"/>
      <c r="X104" s="64"/>
    </row>
    <row r="105" spans="1:24" ht="15.6">
      <c r="A105" s="25">
        <v>11</v>
      </c>
      <c r="B105" s="26" t="s">
        <v>183</v>
      </c>
      <c r="C105" s="26"/>
      <c r="D105" s="26"/>
      <c r="E105" s="26"/>
      <c r="F105" s="26"/>
      <c r="G105" s="26"/>
      <c r="H105" s="26"/>
      <c r="I105" s="26"/>
      <c r="J105" s="26"/>
      <c r="K105" s="26"/>
      <c r="L105" s="26"/>
      <c r="M105" s="26"/>
      <c r="N105" s="26"/>
      <c r="O105" s="26"/>
      <c r="P105" s="26"/>
      <c r="Q105" s="26"/>
      <c r="R105" s="26"/>
      <c r="S105" s="26"/>
      <c r="T105" s="26"/>
      <c r="U105" s="60">
        <v>0</v>
      </c>
      <c r="V105" s="196"/>
      <c r="W105" s="6"/>
      <c r="X105" s="64"/>
    </row>
    <row r="106" spans="1:24" ht="15.6">
      <c r="A106" s="25">
        <v>12</v>
      </c>
      <c r="B106" s="26" t="s">
        <v>184</v>
      </c>
      <c r="C106" s="26"/>
      <c r="D106" s="26"/>
      <c r="E106" s="26"/>
      <c r="F106" s="26"/>
      <c r="G106" s="26"/>
      <c r="H106" s="26"/>
      <c r="I106" s="26"/>
      <c r="J106" s="26"/>
      <c r="K106" s="26"/>
      <c r="L106" s="26"/>
      <c r="M106" s="26"/>
      <c r="N106" s="26"/>
      <c r="O106" s="26"/>
      <c r="P106" s="26"/>
      <c r="Q106" s="26"/>
      <c r="R106" s="26"/>
      <c r="S106" s="26"/>
      <c r="T106" s="26"/>
      <c r="U106" s="60">
        <v>-425</v>
      </c>
      <c r="V106" s="196"/>
      <c r="W106" s="6"/>
      <c r="X106" s="182"/>
    </row>
    <row r="107" spans="1:24" ht="15.6">
      <c r="A107" s="25">
        <v>13</v>
      </c>
      <c r="B107" s="26" t="s">
        <v>40</v>
      </c>
      <c r="C107" s="26"/>
      <c r="D107" s="26"/>
      <c r="E107" s="26"/>
      <c r="F107" s="26"/>
      <c r="G107" s="26"/>
      <c r="H107" s="26"/>
      <c r="I107" s="26"/>
      <c r="J107" s="26"/>
      <c r="K107" s="26"/>
      <c r="L107" s="26"/>
      <c r="M107" s="26"/>
      <c r="N107" s="26"/>
      <c r="O107" s="26"/>
      <c r="P107" s="26"/>
      <c r="Q107" s="26"/>
      <c r="R107" s="26"/>
      <c r="S107" s="26"/>
      <c r="T107" s="26"/>
      <c r="U107" s="60">
        <f>-SUM(U88:U106)</f>
        <v>-2405</v>
      </c>
      <c r="V107" s="196"/>
      <c r="W107" s="6"/>
      <c r="X107" s="182"/>
    </row>
    <row r="108" spans="1:24" ht="15.6">
      <c r="A108" s="25"/>
      <c r="B108" s="29"/>
      <c r="C108" s="26"/>
      <c r="D108" s="26"/>
      <c r="E108" s="26"/>
      <c r="F108" s="26"/>
      <c r="G108" s="26"/>
      <c r="H108" s="26"/>
      <c r="I108" s="26"/>
      <c r="J108" s="26"/>
      <c r="K108" s="26"/>
      <c r="L108" s="26"/>
      <c r="M108" s="26"/>
      <c r="N108" s="26"/>
      <c r="O108" s="26"/>
      <c r="P108" s="26"/>
      <c r="Q108" s="26"/>
      <c r="R108" s="26"/>
      <c r="S108" s="59"/>
      <c r="T108" s="59"/>
      <c r="U108" s="59"/>
      <c r="V108" s="196"/>
      <c r="W108" s="6"/>
      <c r="X108" s="182"/>
    </row>
    <row r="109" spans="1:24" ht="15.6">
      <c r="A109" s="7"/>
      <c r="B109" s="12"/>
      <c r="C109" s="9"/>
      <c r="D109" s="9"/>
      <c r="E109" s="9"/>
      <c r="F109" s="9"/>
      <c r="G109" s="9"/>
      <c r="H109" s="9"/>
      <c r="I109" s="9"/>
      <c r="J109" s="9"/>
      <c r="K109" s="9"/>
      <c r="L109" s="9"/>
      <c r="M109" s="9"/>
      <c r="N109" s="9"/>
      <c r="O109" s="9"/>
      <c r="P109" s="9"/>
      <c r="Q109" s="9"/>
      <c r="R109" s="9"/>
      <c r="S109" s="66"/>
      <c r="T109" s="66"/>
      <c r="U109" s="66"/>
      <c r="V109" s="194"/>
      <c r="W109" s="6"/>
    </row>
    <row r="110" spans="1:24" ht="16.2" thickBot="1">
      <c r="A110" s="130"/>
      <c r="B110" s="131" t="str">
        <f>+B59</f>
        <v>PPAF3 INVESTOR REPORT QUARTER ENDING JUNE 2008</v>
      </c>
      <c r="C110" s="132"/>
      <c r="D110" s="132"/>
      <c r="E110" s="132"/>
      <c r="F110" s="132"/>
      <c r="G110" s="132"/>
      <c r="H110" s="132"/>
      <c r="I110" s="132"/>
      <c r="J110" s="132"/>
      <c r="K110" s="132"/>
      <c r="L110" s="132"/>
      <c r="M110" s="132"/>
      <c r="N110" s="132"/>
      <c r="O110" s="132"/>
      <c r="P110" s="132"/>
      <c r="Q110" s="132"/>
      <c r="R110" s="132"/>
      <c r="S110" s="135"/>
      <c r="T110" s="135"/>
      <c r="U110" s="135"/>
      <c r="V110" s="134"/>
      <c r="W110" s="6"/>
    </row>
    <row r="111" spans="1:24" ht="15.6">
      <c r="A111" s="2"/>
      <c r="B111" s="5"/>
      <c r="C111" s="5"/>
      <c r="D111" s="5"/>
      <c r="E111" s="5"/>
      <c r="F111" s="5"/>
      <c r="G111" s="5"/>
      <c r="H111" s="5"/>
      <c r="I111" s="5"/>
      <c r="J111" s="5"/>
      <c r="K111" s="5"/>
      <c r="L111" s="5"/>
      <c r="M111" s="5"/>
      <c r="N111" s="5"/>
      <c r="O111" s="5"/>
      <c r="P111" s="5"/>
      <c r="Q111" s="5"/>
      <c r="R111" s="5"/>
      <c r="S111" s="67"/>
      <c r="T111" s="67"/>
      <c r="U111" s="67"/>
      <c r="V111" s="193"/>
      <c r="W111" s="6"/>
    </row>
    <row r="112" spans="1:24" ht="15.6">
      <c r="A112" s="68"/>
      <c r="B112" s="69" t="s">
        <v>41</v>
      </c>
      <c r="C112" s="70"/>
      <c r="D112" s="70"/>
      <c r="E112" s="70"/>
      <c r="F112" s="70"/>
      <c r="G112" s="70"/>
      <c r="H112" s="70"/>
      <c r="I112" s="70"/>
      <c r="J112" s="70"/>
      <c r="K112" s="70"/>
      <c r="L112" s="70"/>
      <c r="M112" s="70"/>
      <c r="N112" s="70"/>
      <c r="O112" s="70"/>
      <c r="P112" s="70"/>
      <c r="Q112" s="70"/>
      <c r="R112" s="70"/>
      <c r="S112" s="70"/>
      <c r="T112" s="70"/>
      <c r="U112" s="71"/>
      <c r="V112" s="201"/>
      <c r="W112" s="6"/>
    </row>
    <row r="113" spans="1:23" ht="15.6">
      <c r="A113" s="68"/>
      <c r="B113" s="70"/>
      <c r="C113" s="70"/>
      <c r="D113" s="70"/>
      <c r="E113" s="70"/>
      <c r="F113" s="70"/>
      <c r="G113" s="70"/>
      <c r="H113" s="70"/>
      <c r="I113" s="70"/>
      <c r="J113" s="70"/>
      <c r="K113" s="70"/>
      <c r="L113" s="70"/>
      <c r="M113" s="70"/>
      <c r="N113" s="70"/>
      <c r="O113" s="70"/>
      <c r="P113" s="70"/>
      <c r="Q113" s="70"/>
      <c r="R113" s="70"/>
      <c r="S113" s="70"/>
      <c r="T113" s="70"/>
      <c r="U113" s="71"/>
      <c r="V113" s="202"/>
      <c r="W113" s="6"/>
    </row>
    <row r="114" spans="1:23" ht="15.6">
      <c r="A114" s="7"/>
      <c r="B114" s="153" t="s">
        <v>42</v>
      </c>
      <c r="C114" s="13"/>
      <c r="D114" s="13"/>
      <c r="E114" s="13"/>
      <c r="F114" s="13"/>
      <c r="G114" s="13"/>
      <c r="H114" s="13"/>
      <c r="I114" s="13"/>
      <c r="J114" s="13"/>
      <c r="K114" s="13"/>
      <c r="L114" s="13"/>
      <c r="M114" s="9"/>
      <c r="N114" s="9"/>
      <c r="O114" s="9"/>
      <c r="P114" s="9"/>
      <c r="Q114" s="9"/>
      <c r="R114" s="9"/>
      <c r="S114" s="9"/>
      <c r="T114" s="9"/>
      <c r="U114" s="58"/>
      <c r="V114" s="194"/>
      <c r="W114" s="6"/>
    </row>
    <row r="115" spans="1:23" ht="15.6">
      <c r="A115" s="25"/>
      <c r="B115" s="26" t="s">
        <v>43</v>
      </c>
      <c r="C115" s="26"/>
      <c r="D115" s="26"/>
      <c r="E115" s="26"/>
      <c r="F115" s="26"/>
      <c r="G115" s="26"/>
      <c r="H115" s="26"/>
      <c r="I115" s="26"/>
      <c r="J115" s="26"/>
      <c r="K115" s="26"/>
      <c r="L115" s="26"/>
      <c r="M115" s="26"/>
      <c r="N115" s="26"/>
      <c r="O115" s="26"/>
      <c r="P115" s="26"/>
      <c r="Q115" s="26"/>
      <c r="R115" s="26"/>
      <c r="S115" s="26"/>
      <c r="T115" s="26"/>
      <c r="U115" s="60">
        <v>40500</v>
      </c>
      <c r="V115" s="196"/>
      <c r="W115" s="6"/>
    </row>
    <row r="116" spans="1:23" ht="15.6">
      <c r="A116" s="25"/>
      <c r="B116" s="26" t="s">
        <v>240</v>
      </c>
      <c r="C116" s="26"/>
      <c r="D116" s="26"/>
      <c r="E116" s="26"/>
      <c r="F116" s="26"/>
      <c r="G116" s="26"/>
      <c r="H116" s="26"/>
      <c r="I116" s="26"/>
      <c r="J116" s="26"/>
      <c r="K116" s="26"/>
      <c r="L116" s="26"/>
      <c r="M116" s="26"/>
      <c r="N116" s="26"/>
      <c r="O116" s="26"/>
      <c r="P116" s="26"/>
      <c r="Q116" s="26"/>
      <c r="R116" s="26"/>
      <c r="S116" s="26"/>
      <c r="T116" s="26"/>
      <c r="U116" s="60">
        <v>40500</v>
      </c>
      <c r="V116" s="196"/>
      <c r="W116" s="6"/>
    </row>
    <row r="117" spans="1:23" ht="15.6">
      <c r="A117" s="25"/>
      <c r="B117" s="26" t="s">
        <v>241</v>
      </c>
      <c r="C117" s="26"/>
      <c r="D117" s="26"/>
      <c r="E117" s="26"/>
      <c r="F117" s="26"/>
      <c r="G117" s="26"/>
      <c r="H117" s="26"/>
      <c r="I117" s="26"/>
      <c r="J117" s="26"/>
      <c r="K117" s="26"/>
      <c r="L117" s="26"/>
      <c r="M117" s="26"/>
      <c r="N117" s="26"/>
      <c r="O117" s="26"/>
      <c r="P117" s="26"/>
      <c r="Q117" s="26"/>
      <c r="R117" s="26"/>
      <c r="S117" s="26"/>
      <c r="T117" s="26"/>
      <c r="U117" s="60">
        <v>0</v>
      </c>
      <c r="V117" s="196"/>
      <c r="W117" s="6"/>
    </row>
    <row r="118" spans="1:23" ht="15.6">
      <c r="A118" s="25"/>
      <c r="B118" s="26" t="s">
        <v>209</v>
      </c>
      <c r="C118" s="26"/>
      <c r="D118" s="26"/>
      <c r="E118" s="26"/>
      <c r="F118" s="26"/>
      <c r="G118" s="26"/>
      <c r="H118" s="26"/>
      <c r="I118" s="26"/>
      <c r="J118" s="26"/>
      <c r="K118" s="26"/>
      <c r="L118" s="26"/>
      <c r="M118" s="26"/>
      <c r="N118" s="26"/>
      <c r="O118" s="26"/>
      <c r="P118" s="26"/>
      <c r="Q118" s="26"/>
      <c r="R118" s="26"/>
      <c r="S118" s="26"/>
      <c r="T118" s="26"/>
      <c r="U118" s="60">
        <v>0</v>
      </c>
      <c r="V118" s="196"/>
      <c r="W118" s="6"/>
    </row>
    <row r="119" spans="1:23" ht="15.6">
      <c r="A119" s="25"/>
      <c r="B119" s="26" t="s">
        <v>210</v>
      </c>
      <c r="C119" s="26"/>
      <c r="D119" s="26"/>
      <c r="E119" s="26"/>
      <c r="F119" s="26"/>
      <c r="G119" s="26"/>
      <c r="H119" s="26"/>
      <c r="I119" s="26"/>
      <c r="J119" s="26"/>
      <c r="K119" s="26"/>
      <c r="L119" s="26"/>
      <c r="M119" s="26"/>
      <c r="N119" s="26"/>
      <c r="O119" s="26"/>
      <c r="P119" s="26"/>
      <c r="Q119" s="26"/>
      <c r="R119" s="26"/>
      <c r="S119" s="26"/>
      <c r="T119" s="26"/>
      <c r="U119" s="60">
        <v>0</v>
      </c>
      <c r="V119" s="196"/>
      <c r="W119" s="6"/>
    </row>
    <row r="120" spans="1:23" ht="15.6">
      <c r="A120" s="25"/>
      <c r="B120" s="26" t="s">
        <v>211</v>
      </c>
      <c r="C120" s="26"/>
      <c r="D120" s="26"/>
      <c r="E120" s="26"/>
      <c r="F120" s="26"/>
      <c r="G120" s="26"/>
      <c r="H120" s="26"/>
      <c r="I120" s="26"/>
      <c r="J120" s="26"/>
      <c r="K120" s="26"/>
      <c r="L120" s="26"/>
      <c r="M120" s="26"/>
      <c r="N120" s="26"/>
      <c r="O120" s="26"/>
      <c r="P120" s="26"/>
      <c r="Q120" s="26"/>
      <c r="R120" s="26"/>
      <c r="S120" s="26"/>
      <c r="T120" s="26"/>
      <c r="U120" s="60">
        <v>0</v>
      </c>
      <c r="V120" s="196"/>
      <c r="W120" s="6"/>
    </row>
    <row r="121" spans="1:23" ht="15.6">
      <c r="A121" s="25"/>
      <c r="B121" s="26" t="s">
        <v>212</v>
      </c>
      <c r="C121" s="26"/>
      <c r="D121" s="26"/>
      <c r="E121" s="26"/>
      <c r="F121" s="26"/>
      <c r="G121" s="26"/>
      <c r="H121" s="26"/>
      <c r="I121" s="26"/>
      <c r="J121" s="26"/>
      <c r="K121" s="26"/>
      <c r="L121" s="26"/>
      <c r="M121" s="26"/>
      <c r="N121" s="26"/>
      <c r="O121" s="26"/>
      <c r="P121" s="26"/>
      <c r="Q121" s="26"/>
      <c r="R121" s="26"/>
      <c r="S121" s="26"/>
      <c r="T121" s="26"/>
      <c r="U121" s="60">
        <v>0</v>
      </c>
      <c r="V121" s="196"/>
      <c r="W121" s="6"/>
    </row>
    <row r="122" spans="1:23" ht="15.6">
      <c r="A122" s="25"/>
      <c r="B122" s="26" t="s">
        <v>242</v>
      </c>
      <c r="C122" s="26"/>
      <c r="D122" s="26"/>
      <c r="E122" s="26"/>
      <c r="F122" s="26"/>
      <c r="G122" s="26"/>
      <c r="H122" s="26"/>
      <c r="I122" s="26"/>
      <c r="J122" s="26"/>
      <c r="K122" s="26"/>
      <c r="L122" s="26"/>
      <c r="M122" s="26"/>
      <c r="N122" s="26"/>
      <c r="O122" s="26"/>
      <c r="P122" s="26"/>
      <c r="Q122" s="26"/>
      <c r="R122" s="26"/>
      <c r="S122" s="26"/>
      <c r="T122" s="26"/>
      <c r="U122" s="60">
        <v>0</v>
      </c>
      <c r="V122" s="196"/>
      <c r="W122" s="6"/>
    </row>
    <row r="123" spans="1:23" ht="15.6">
      <c r="A123" s="25"/>
      <c r="B123" s="26" t="s">
        <v>45</v>
      </c>
      <c r="C123" s="26"/>
      <c r="D123" s="26"/>
      <c r="E123" s="26"/>
      <c r="F123" s="26"/>
      <c r="G123" s="26"/>
      <c r="H123" s="26"/>
      <c r="I123" s="26"/>
      <c r="J123" s="26"/>
      <c r="K123" s="26"/>
      <c r="L123" s="26"/>
      <c r="M123" s="26"/>
      <c r="N123" s="26"/>
      <c r="O123" s="26"/>
      <c r="P123" s="26"/>
      <c r="Q123" s="26"/>
      <c r="R123" s="26"/>
      <c r="S123" s="26"/>
      <c r="T123" s="26"/>
      <c r="U123" s="60">
        <f>SUM(U116:U122)</f>
        <v>40500</v>
      </c>
      <c r="V123" s="196"/>
      <c r="W123" s="6"/>
    </row>
    <row r="124" spans="1:23" ht="15.6">
      <c r="A124" s="25"/>
      <c r="B124" s="26"/>
      <c r="C124" s="26"/>
      <c r="D124" s="26"/>
      <c r="E124" s="26"/>
      <c r="F124" s="26"/>
      <c r="G124" s="26"/>
      <c r="H124" s="26"/>
      <c r="I124" s="26"/>
      <c r="J124" s="26"/>
      <c r="K124" s="26"/>
      <c r="L124" s="26"/>
      <c r="M124" s="26"/>
      <c r="N124" s="26"/>
      <c r="O124" s="26"/>
      <c r="P124" s="26"/>
      <c r="Q124" s="26"/>
      <c r="R124" s="26"/>
      <c r="S124" s="26"/>
      <c r="T124" s="26"/>
      <c r="U124" s="73"/>
      <c r="V124" s="196"/>
      <c r="W124" s="6"/>
    </row>
    <row r="125" spans="1:23" ht="15.6">
      <c r="A125" s="7"/>
      <c r="B125" s="153" t="s">
        <v>46</v>
      </c>
      <c r="C125" s="13"/>
      <c r="D125" s="13"/>
      <c r="E125" s="13"/>
      <c r="F125" s="13"/>
      <c r="G125" s="13"/>
      <c r="H125" s="13"/>
      <c r="I125" s="13"/>
      <c r="J125" s="13"/>
      <c r="K125" s="13"/>
      <c r="L125" s="13"/>
      <c r="M125" s="9"/>
      <c r="N125" s="9"/>
      <c r="O125" s="9"/>
      <c r="P125" s="188"/>
      <c r="Q125" s="9"/>
      <c r="R125" s="9"/>
      <c r="S125" s="9"/>
      <c r="T125" s="9"/>
      <c r="U125" s="75"/>
      <c r="V125" s="194"/>
      <c r="W125" s="6"/>
    </row>
    <row r="126" spans="1:23" ht="15.6">
      <c r="A126" s="7"/>
      <c r="B126" s="13"/>
      <c r="C126" s="17" t="s">
        <v>185</v>
      </c>
      <c r="D126" s="17"/>
      <c r="E126" s="17" t="s">
        <v>99</v>
      </c>
      <c r="F126" s="17"/>
      <c r="G126" s="17" t="s">
        <v>102</v>
      </c>
      <c r="H126" s="17"/>
      <c r="I126" s="17" t="s">
        <v>108</v>
      </c>
      <c r="J126" s="17"/>
      <c r="K126" s="17"/>
      <c r="L126" s="17"/>
      <c r="M126" s="17"/>
      <c r="N126" s="17"/>
      <c r="O126" s="17"/>
      <c r="P126" s="188"/>
      <c r="Q126" s="188"/>
      <c r="R126" s="9"/>
      <c r="S126" s="9"/>
      <c r="T126" s="9"/>
      <c r="U126" s="75"/>
      <c r="V126" s="194"/>
      <c r="W126" s="6"/>
    </row>
    <row r="127" spans="1:23" ht="15.6">
      <c r="A127" s="25"/>
      <c r="B127" s="26" t="s">
        <v>122</v>
      </c>
      <c r="C127" s="59">
        <f>+N200-'March 08'!N200</f>
        <v>191</v>
      </c>
      <c r="D127" s="26"/>
      <c r="E127" s="59">
        <f>+S200-'March 08'!S200</f>
        <v>70</v>
      </c>
      <c r="F127" s="26"/>
      <c r="G127" s="59">
        <f>+N213-'March 08'!N213</f>
        <v>163</v>
      </c>
      <c r="H127" s="26"/>
      <c r="I127" s="59">
        <f>+S213-'March 08'!S213</f>
        <v>-78</v>
      </c>
      <c r="J127" s="26"/>
      <c r="K127" s="26"/>
      <c r="L127" s="26"/>
      <c r="M127" s="26"/>
      <c r="N127" s="26"/>
      <c r="O127" s="26"/>
      <c r="P127" s="189"/>
      <c r="Q127" s="189"/>
      <c r="R127" s="26"/>
      <c r="S127" s="26"/>
      <c r="T127" s="26"/>
      <c r="U127" s="60">
        <f>SUM(C127:I127)</f>
        <v>346</v>
      </c>
      <c r="V127" s="196"/>
      <c r="W127" s="6"/>
    </row>
    <row r="128" spans="1:23" ht="15.6">
      <c r="A128" s="25"/>
      <c r="B128" s="26" t="s">
        <v>47</v>
      </c>
      <c r="C128" s="26">
        <v>413</v>
      </c>
      <c r="D128" s="26"/>
      <c r="E128" s="26">
        <v>0</v>
      </c>
      <c r="F128" s="26"/>
      <c r="G128" s="26">
        <v>627</v>
      </c>
      <c r="H128" s="26"/>
      <c r="I128" s="59">
        <v>956</v>
      </c>
      <c r="J128" s="26"/>
      <c r="K128" s="26"/>
      <c r="L128" s="26"/>
      <c r="M128" s="26"/>
      <c r="N128" s="26"/>
      <c r="O128" s="26"/>
      <c r="P128" s="189"/>
      <c r="Q128" s="189"/>
      <c r="R128" s="26"/>
      <c r="S128" s="26"/>
      <c r="T128" s="26"/>
      <c r="U128" s="60">
        <f>SUM(C128:I128)</f>
        <v>1996</v>
      </c>
      <c r="V128" s="196"/>
      <c r="W128" s="6"/>
    </row>
    <row r="129" spans="1:25" ht="15.6">
      <c r="A129" s="25"/>
      <c r="B129" s="26" t="s">
        <v>48</v>
      </c>
      <c r="C129" s="26"/>
      <c r="D129" s="26"/>
      <c r="E129" s="26"/>
      <c r="F129" s="26"/>
      <c r="G129" s="26"/>
      <c r="H129" s="26"/>
      <c r="I129" s="26"/>
      <c r="J129" s="26"/>
      <c r="K129" s="26"/>
      <c r="L129" s="26"/>
      <c r="M129" s="26"/>
      <c r="N129" s="26"/>
      <c r="O129" s="26"/>
      <c r="P129" s="26"/>
      <c r="Q129" s="26"/>
      <c r="R129" s="26"/>
      <c r="S129" s="26"/>
      <c r="T129" s="26"/>
      <c r="U129" s="60">
        <f>SUM(U127:U128)</f>
        <v>2342</v>
      </c>
      <c r="V129" s="196"/>
      <c r="W129" s="6"/>
    </row>
    <row r="130" spans="1:25" ht="15.6">
      <c r="A130" s="7"/>
      <c r="B130" s="153" t="s">
        <v>49</v>
      </c>
      <c r="C130" s="13"/>
      <c r="D130" s="13"/>
      <c r="E130" s="13"/>
      <c r="F130" s="13"/>
      <c r="G130" s="13"/>
      <c r="H130" s="13"/>
      <c r="I130" s="13"/>
      <c r="J130" s="13"/>
      <c r="K130" s="13"/>
      <c r="L130" s="13"/>
      <c r="M130" s="9"/>
      <c r="N130" s="9"/>
      <c r="O130" s="9"/>
      <c r="P130" s="9"/>
      <c r="Q130" s="9"/>
      <c r="R130" s="9"/>
      <c r="S130" s="9"/>
      <c r="T130" s="9"/>
      <c r="U130" s="58"/>
      <c r="V130" s="194"/>
      <c r="W130" s="6"/>
    </row>
    <row r="131" spans="1:25" ht="15.6">
      <c r="A131" s="25"/>
      <c r="B131" s="26" t="s">
        <v>50</v>
      </c>
      <c r="C131" s="77"/>
      <c r="D131" s="77"/>
      <c r="E131" s="77"/>
      <c r="F131" s="77"/>
      <c r="G131" s="77"/>
      <c r="H131" s="77"/>
      <c r="I131" s="77"/>
      <c r="J131" s="77"/>
      <c r="K131" s="77"/>
      <c r="L131" s="77"/>
      <c r="M131" s="26"/>
      <c r="N131" s="26"/>
      <c r="O131" s="26"/>
      <c r="P131" s="26"/>
      <c r="Q131" s="26"/>
      <c r="R131" s="26"/>
      <c r="S131" s="26"/>
      <c r="T131" s="26"/>
      <c r="U131" s="60">
        <f>U76+U78</f>
        <v>357432</v>
      </c>
      <c r="V131" s="196"/>
      <c r="W131" s="6"/>
      <c r="X131" s="182"/>
    </row>
    <row r="132" spans="1:25" ht="15.6">
      <c r="A132" s="25"/>
      <c r="B132" s="26" t="s">
        <v>51</v>
      </c>
      <c r="C132" s="77"/>
      <c r="D132" s="77"/>
      <c r="E132" s="77"/>
      <c r="F132" s="77"/>
      <c r="G132" s="77"/>
      <c r="H132" s="77"/>
      <c r="I132" s="77"/>
      <c r="J132" s="77"/>
      <c r="K132" s="77"/>
      <c r="L132" s="77"/>
      <c r="M132" s="26"/>
      <c r="N132" s="26"/>
      <c r="O132" s="26"/>
      <c r="P132" s="26"/>
      <c r="Q132" s="26"/>
      <c r="R132" s="26"/>
      <c r="S132" s="26"/>
      <c r="T132" s="26"/>
      <c r="U132" s="60">
        <f>U79</f>
        <v>92568</v>
      </c>
      <c r="V132" s="196"/>
      <c r="W132" s="6"/>
      <c r="Y132" s="182"/>
    </row>
    <row r="133" spans="1:25" ht="15.6">
      <c r="A133" s="25"/>
      <c r="B133" s="26" t="s">
        <v>52</v>
      </c>
      <c r="C133" s="77"/>
      <c r="D133" s="77"/>
      <c r="E133" s="77"/>
      <c r="F133" s="77"/>
      <c r="G133" s="77"/>
      <c r="H133" s="77"/>
      <c r="I133" s="77"/>
      <c r="J133" s="77"/>
      <c r="K133" s="77"/>
      <c r="L133" s="77"/>
      <c r="M133" s="26"/>
      <c r="N133" s="26"/>
      <c r="O133" s="26"/>
      <c r="P133" s="26"/>
      <c r="Q133" s="26"/>
      <c r="R133" s="26"/>
      <c r="S133" s="26"/>
      <c r="T133" s="26"/>
      <c r="U133" s="60">
        <f>+U131+U132</f>
        <v>450000</v>
      </c>
      <c r="V133" s="196"/>
      <c r="W133" s="6"/>
    </row>
    <row r="134" spans="1:25" ht="15.6">
      <c r="A134" s="25"/>
      <c r="B134" s="26" t="s">
        <v>53</v>
      </c>
      <c r="C134" s="77"/>
      <c r="D134" s="77"/>
      <c r="E134" s="77"/>
      <c r="F134" s="77"/>
      <c r="G134" s="77"/>
      <c r="H134" s="77"/>
      <c r="I134" s="77"/>
      <c r="J134" s="77"/>
      <c r="K134" s="77"/>
      <c r="L134" s="77"/>
      <c r="M134" s="26"/>
      <c r="N134" s="26"/>
      <c r="O134" s="26"/>
      <c r="P134" s="26"/>
      <c r="Q134" s="26"/>
      <c r="R134" s="26"/>
      <c r="S134" s="26"/>
      <c r="T134" s="26"/>
      <c r="U134" s="60">
        <f>U81</f>
        <v>450000</v>
      </c>
      <c r="V134" s="196"/>
      <c r="W134" s="6"/>
      <c r="X134" s="64"/>
    </row>
    <row r="135" spans="1:25" ht="15.6">
      <c r="A135" s="25"/>
      <c r="B135" s="26"/>
      <c r="C135" s="26"/>
      <c r="D135" s="26"/>
      <c r="E135" s="26"/>
      <c r="F135" s="26"/>
      <c r="G135" s="26"/>
      <c r="H135" s="26"/>
      <c r="I135" s="26"/>
      <c r="J135" s="26"/>
      <c r="K135" s="26"/>
      <c r="L135" s="26"/>
      <c r="M135" s="26"/>
      <c r="N135" s="26"/>
      <c r="O135" s="26"/>
      <c r="P135" s="26"/>
      <c r="Q135" s="26"/>
      <c r="R135" s="26"/>
      <c r="S135" s="26"/>
      <c r="T135" s="26"/>
      <c r="U135" s="78"/>
      <c r="V135" s="196"/>
      <c r="W135" s="6"/>
    </row>
    <row r="136" spans="1:25" ht="15.6">
      <c r="A136" s="7"/>
      <c r="B136" s="153" t="s">
        <v>54</v>
      </c>
      <c r="C136" s="141"/>
      <c r="D136" s="141"/>
      <c r="E136" s="141"/>
      <c r="F136" s="141"/>
      <c r="G136" s="141"/>
      <c r="H136" s="141"/>
      <c r="I136" s="141"/>
      <c r="J136" s="141"/>
      <c r="K136" s="141"/>
      <c r="L136" s="141"/>
      <c r="M136" s="141"/>
      <c r="N136" s="141"/>
      <c r="O136" s="141"/>
      <c r="P136" s="141"/>
      <c r="Q136" s="142" t="s">
        <v>112</v>
      </c>
      <c r="R136" s="154"/>
      <c r="S136" s="142" t="s">
        <v>114</v>
      </c>
      <c r="T136" s="141"/>
      <c r="U136" s="155" t="s">
        <v>90</v>
      </c>
      <c r="V136" s="194"/>
      <c r="W136" s="6"/>
    </row>
    <row r="137" spans="1:25" ht="15.6">
      <c r="A137" s="25"/>
      <c r="B137" s="26" t="s">
        <v>55</v>
      </c>
      <c r="C137" s="26"/>
      <c r="D137" s="26"/>
      <c r="E137" s="26"/>
      <c r="F137" s="26"/>
      <c r="G137" s="26"/>
      <c r="H137" s="26"/>
      <c r="I137" s="26"/>
      <c r="J137" s="26"/>
      <c r="K137" s="26"/>
      <c r="L137" s="26"/>
      <c r="M137" s="26"/>
      <c r="N137" s="26"/>
      <c r="O137" s="26"/>
      <c r="P137" s="26"/>
      <c r="Q137" s="60">
        <v>0</v>
      </c>
      <c r="R137" s="26"/>
      <c r="S137" s="79" t="s">
        <v>115</v>
      </c>
      <c r="T137" s="26"/>
      <c r="U137" s="60">
        <f>Q137</f>
        <v>0</v>
      </c>
      <c r="V137" s="196"/>
      <c r="W137" s="6"/>
    </row>
    <row r="138" spans="1:25" ht="15.6">
      <c r="A138" s="25"/>
      <c r="B138" s="26" t="s">
        <v>56</v>
      </c>
      <c r="C138" s="26"/>
      <c r="D138" s="26"/>
      <c r="E138" s="26"/>
      <c r="F138" s="26"/>
      <c r="G138" s="26"/>
      <c r="H138" s="26"/>
      <c r="I138" s="26"/>
      <c r="J138" s="26"/>
      <c r="K138" s="26"/>
      <c r="L138" s="26"/>
      <c r="M138" s="26"/>
      <c r="N138" s="26"/>
      <c r="O138" s="26"/>
      <c r="P138" s="26"/>
      <c r="Q138" s="60">
        <f>+'March 08'!Q140</f>
        <v>3406</v>
      </c>
      <c r="R138" s="26"/>
      <c r="S138" s="79" t="s">
        <v>115</v>
      </c>
      <c r="T138" s="26"/>
      <c r="U138" s="60">
        <f>Q138</f>
        <v>3406</v>
      </c>
      <c r="V138" s="196"/>
      <c r="W138" s="6"/>
    </row>
    <row r="139" spans="1:25" ht="15.6">
      <c r="A139" s="25"/>
      <c r="B139" s="26" t="s">
        <v>57</v>
      </c>
      <c r="C139" s="26"/>
      <c r="D139" s="26"/>
      <c r="E139" s="26"/>
      <c r="F139" s="26"/>
      <c r="G139" s="26"/>
      <c r="H139" s="26"/>
      <c r="I139" s="26"/>
      <c r="J139" s="26"/>
      <c r="K139" s="26"/>
      <c r="L139" s="26"/>
      <c r="M139" s="26"/>
      <c r="N139" s="26"/>
      <c r="O139" s="26"/>
      <c r="P139" s="26"/>
      <c r="Q139" s="60">
        <v>166</v>
      </c>
      <c r="R139" s="26"/>
      <c r="S139" s="79" t="s">
        <v>115</v>
      </c>
      <c r="T139" s="26"/>
      <c r="U139" s="60">
        <f>Q139</f>
        <v>166</v>
      </c>
      <c r="V139" s="196"/>
      <c r="W139" s="6"/>
    </row>
    <row r="140" spans="1:25" ht="15.6">
      <c r="A140" s="25"/>
      <c r="B140" s="26" t="s">
        <v>58</v>
      </c>
      <c r="C140" s="26"/>
      <c r="D140" s="26"/>
      <c r="E140" s="26"/>
      <c r="F140" s="26"/>
      <c r="G140" s="26"/>
      <c r="H140" s="26"/>
      <c r="I140" s="26"/>
      <c r="J140" s="26"/>
      <c r="K140" s="26"/>
      <c r="L140" s="26"/>
      <c r="M140" s="26"/>
      <c r="N140" s="26"/>
      <c r="O140" s="26"/>
      <c r="P140" s="26"/>
      <c r="Q140" s="60">
        <f>SUM(Q138:Q139)</f>
        <v>3572</v>
      </c>
      <c r="R140" s="26"/>
      <c r="S140" s="79" t="s">
        <v>115</v>
      </c>
      <c r="T140" s="26"/>
      <c r="U140" s="60">
        <f>Q140</f>
        <v>3572</v>
      </c>
      <c r="V140" s="196"/>
      <c r="W140" s="6"/>
    </row>
    <row r="141" spans="1:25" ht="15.6">
      <c r="A141" s="25"/>
      <c r="B141" s="26" t="s">
        <v>215</v>
      </c>
      <c r="C141" s="26"/>
      <c r="D141" s="26"/>
      <c r="E141" s="26"/>
      <c r="F141" s="26"/>
      <c r="G141" s="26"/>
      <c r="H141" s="26"/>
      <c r="I141" s="26"/>
      <c r="J141" s="26"/>
      <c r="K141" s="26"/>
      <c r="L141" s="26"/>
      <c r="M141" s="26"/>
      <c r="N141" s="26"/>
      <c r="O141" s="26"/>
      <c r="P141" s="26"/>
      <c r="Q141" s="60"/>
      <c r="R141" s="26"/>
      <c r="S141" s="79"/>
      <c r="T141" s="26"/>
      <c r="U141" s="60"/>
      <c r="V141" s="196"/>
      <c r="W141" s="6"/>
    </row>
    <row r="142" spans="1:25" ht="15.6">
      <c r="A142" s="25"/>
      <c r="B142" s="26"/>
      <c r="C142" s="26"/>
      <c r="D142" s="26"/>
      <c r="E142" s="26"/>
      <c r="F142" s="26"/>
      <c r="G142" s="26"/>
      <c r="H142" s="26"/>
      <c r="I142" s="26"/>
      <c r="J142" s="26"/>
      <c r="K142" s="26"/>
      <c r="L142" s="26"/>
      <c r="M142" s="26"/>
      <c r="N142" s="26"/>
      <c r="O142" s="26"/>
      <c r="P142" s="26"/>
      <c r="Q142" s="26"/>
      <c r="R142" s="26"/>
      <c r="S142" s="26"/>
      <c r="T142" s="26"/>
      <c r="U142" s="26"/>
      <c r="V142" s="196"/>
      <c r="W142" s="6"/>
    </row>
    <row r="143" spans="1:25" ht="15.6">
      <c r="A143" s="25"/>
      <c r="B143" s="29"/>
      <c r="C143" s="29"/>
      <c r="D143" s="29"/>
      <c r="E143" s="29"/>
      <c r="F143" s="29"/>
      <c r="G143" s="29"/>
      <c r="H143" s="29"/>
      <c r="I143" s="29"/>
      <c r="J143" s="29"/>
      <c r="K143" s="29"/>
      <c r="L143" s="29"/>
      <c r="M143" s="29"/>
      <c r="N143" s="29"/>
      <c r="O143" s="29"/>
      <c r="P143" s="29"/>
      <c r="Q143" s="29"/>
      <c r="R143" s="29"/>
      <c r="S143" s="29"/>
      <c r="T143" s="29"/>
      <c r="U143" s="29"/>
      <c r="V143" s="203"/>
      <c r="W143" s="6"/>
    </row>
    <row r="144" spans="1:25" ht="15.6">
      <c r="A144" s="80"/>
      <c r="B144" s="57" t="s">
        <v>59</v>
      </c>
      <c r="C144" s="81"/>
      <c r="D144" s="81"/>
      <c r="E144" s="81"/>
      <c r="F144" s="81"/>
      <c r="G144" s="81"/>
      <c r="H144" s="81"/>
      <c r="I144" s="81"/>
      <c r="J144" s="81"/>
      <c r="K144" s="81"/>
      <c r="L144" s="81"/>
      <c r="M144" s="81"/>
      <c r="N144" s="81"/>
      <c r="O144" s="81"/>
      <c r="P144" s="19"/>
      <c r="Q144" s="19"/>
      <c r="R144" s="19"/>
      <c r="S144" s="19">
        <v>39629</v>
      </c>
      <c r="T144" s="15"/>
      <c r="U144" s="15"/>
      <c r="V144" s="194"/>
      <c r="W144" s="6"/>
    </row>
    <row r="145" spans="1:23" ht="15.6">
      <c r="A145" s="82"/>
      <c r="B145" s="83" t="s">
        <v>60</v>
      </c>
      <c r="C145" s="84"/>
      <c r="D145" s="84"/>
      <c r="E145" s="84"/>
      <c r="F145" s="84"/>
      <c r="G145" s="84"/>
      <c r="H145" s="84"/>
      <c r="I145" s="84"/>
      <c r="J145" s="84"/>
      <c r="K145" s="84"/>
      <c r="L145" s="84"/>
      <c r="M145" s="84"/>
      <c r="N145" s="84"/>
      <c r="O145" s="84"/>
      <c r="P145" s="85"/>
      <c r="Q145" s="85"/>
      <c r="R145" s="85"/>
      <c r="S145" s="86">
        <v>0.10630000000000001</v>
      </c>
      <c r="T145" s="26"/>
      <c r="U145" s="26"/>
      <c r="V145" s="196"/>
      <c r="W145" s="6"/>
    </row>
    <row r="146" spans="1:23" ht="15.6">
      <c r="A146" s="82"/>
      <c r="B146" s="83" t="s">
        <v>61</v>
      </c>
      <c r="C146" s="84"/>
      <c r="D146" s="84"/>
      <c r="E146" s="84"/>
      <c r="F146" s="84"/>
      <c r="G146" s="84"/>
      <c r="H146" s="84"/>
      <c r="I146" s="84"/>
      <c r="J146" s="84"/>
      <c r="K146" s="84"/>
      <c r="L146" s="84"/>
      <c r="M146" s="84"/>
      <c r="N146" s="84"/>
      <c r="O146" s="84"/>
      <c r="P146" s="85"/>
      <c r="Q146" s="85"/>
      <c r="R146" s="85"/>
      <c r="S146" s="86">
        <v>5.2200000000000003E-2</v>
      </c>
      <c r="T146" s="86"/>
      <c r="U146" s="26"/>
      <c r="V146" s="196"/>
      <c r="W146" s="6"/>
    </row>
    <row r="147" spans="1:23" ht="15.6">
      <c r="A147" s="82"/>
      <c r="B147" s="83" t="s">
        <v>62</v>
      </c>
      <c r="C147" s="84"/>
      <c r="D147" s="84"/>
      <c r="E147" s="84"/>
      <c r="F147" s="84"/>
      <c r="G147" s="84"/>
      <c r="H147" s="84"/>
      <c r="I147" s="84"/>
      <c r="J147" s="84"/>
      <c r="K147" s="84"/>
      <c r="L147" s="84"/>
      <c r="M147" s="84"/>
      <c r="N147" s="84"/>
      <c r="O147" s="84"/>
      <c r="P147" s="85"/>
      <c r="Q147" s="85"/>
      <c r="R147" s="85"/>
      <c r="S147" s="86">
        <f>S145-S146</f>
        <v>5.4100000000000002E-2</v>
      </c>
      <c r="T147" s="26"/>
      <c r="U147" s="26"/>
      <c r="V147" s="196"/>
      <c r="W147" s="6"/>
    </row>
    <row r="148" spans="1:23" ht="15.6">
      <c r="A148" s="82"/>
      <c r="B148" s="83" t="s">
        <v>63</v>
      </c>
      <c r="C148" s="84"/>
      <c r="D148" s="84"/>
      <c r="E148" s="84"/>
      <c r="F148" s="84"/>
      <c r="G148" s="84"/>
      <c r="H148" s="84"/>
      <c r="I148" s="84"/>
      <c r="J148" s="84"/>
      <c r="K148" s="84"/>
      <c r="L148" s="84"/>
      <c r="M148" s="84"/>
      <c r="N148" s="84"/>
      <c r="O148" s="84"/>
      <c r="P148" s="85"/>
      <c r="Q148" s="85"/>
      <c r="R148" s="85"/>
      <c r="S148" s="86">
        <v>0.10551000000000001</v>
      </c>
      <c r="T148" s="26"/>
      <c r="U148" s="26"/>
      <c r="V148" s="196"/>
      <c r="W148" s="6"/>
    </row>
    <row r="149" spans="1:23" ht="15.6">
      <c r="A149" s="82"/>
      <c r="B149" s="83" t="s">
        <v>64</v>
      </c>
      <c r="C149" s="84"/>
      <c r="D149" s="84"/>
      <c r="E149" s="84"/>
      <c r="F149" s="84"/>
      <c r="G149" s="84"/>
      <c r="H149" s="84"/>
      <c r="I149" s="84"/>
      <c r="J149" s="84"/>
      <c r="K149" s="84"/>
      <c r="L149" s="84"/>
      <c r="M149" s="84"/>
      <c r="N149" s="84"/>
      <c r="O149" s="84"/>
      <c r="P149" s="85"/>
      <c r="Q149" s="85"/>
      <c r="R149" s="85"/>
      <c r="S149" s="86">
        <f>+U40</f>
        <v>6.2831507444444462E-2</v>
      </c>
      <c r="T149" s="26"/>
      <c r="U149" s="26"/>
      <c r="V149" s="196"/>
      <c r="W149" s="6"/>
    </row>
    <row r="150" spans="1:23" ht="15.6">
      <c r="A150" s="82"/>
      <c r="B150" s="83" t="s">
        <v>65</v>
      </c>
      <c r="C150" s="84"/>
      <c r="D150" s="84"/>
      <c r="E150" s="84"/>
      <c r="F150" s="84"/>
      <c r="G150" s="84"/>
      <c r="H150" s="84"/>
      <c r="I150" s="84"/>
      <c r="J150" s="84"/>
      <c r="K150" s="84"/>
      <c r="L150" s="84"/>
      <c r="M150" s="84"/>
      <c r="N150" s="84"/>
      <c r="O150" s="84"/>
      <c r="P150" s="85"/>
      <c r="Q150" s="85"/>
      <c r="R150" s="85"/>
      <c r="S150" s="86">
        <f>S148-S149</f>
        <v>4.2678492555555544E-2</v>
      </c>
      <c r="T150" s="26"/>
      <c r="U150" s="26"/>
      <c r="V150" s="196"/>
      <c r="W150" s="6"/>
    </row>
    <row r="151" spans="1:23" ht="15.6">
      <c r="A151" s="82"/>
      <c r="B151" s="83" t="s">
        <v>204</v>
      </c>
      <c r="C151" s="84"/>
      <c r="D151" s="84"/>
      <c r="E151" s="84"/>
      <c r="F151" s="84"/>
      <c r="G151" s="84"/>
      <c r="H151" s="84"/>
      <c r="I151" s="84"/>
      <c r="J151" s="84"/>
      <c r="K151" s="84"/>
      <c r="L151" s="84"/>
      <c r="M151" s="84"/>
      <c r="N151" s="84"/>
      <c r="O151" s="84"/>
      <c r="P151" s="85"/>
      <c r="Q151" s="85"/>
      <c r="R151" s="85"/>
      <c r="S151" s="183">
        <v>49780</v>
      </c>
      <c r="T151" s="26"/>
      <c r="U151" s="26"/>
      <c r="V151" s="196"/>
      <c r="W151" s="6"/>
    </row>
    <row r="152" spans="1:23" ht="15.6">
      <c r="A152" s="82"/>
      <c r="B152" s="83" t="s">
        <v>205</v>
      </c>
      <c r="C152" s="84"/>
      <c r="D152" s="84"/>
      <c r="E152" s="84"/>
      <c r="F152" s="84"/>
      <c r="G152" s="84"/>
      <c r="H152" s="84"/>
      <c r="I152" s="84"/>
      <c r="J152" s="84"/>
      <c r="K152" s="84"/>
      <c r="L152" s="84"/>
      <c r="M152" s="84"/>
      <c r="N152" s="84"/>
      <c r="O152" s="84"/>
      <c r="P152" s="85"/>
      <c r="Q152" s="85"/>
      <c r="R152" s="85"/>
      <c r="S152" s="183">
        <v>49780</v>
      </c>
      <c r="T152" s="26"/>
      <c r="U152" s="26"/>
      <c r="V152" s="196"/>
      <c r="W152" s="6"/>
    </row>
    <row r="153" spans="1:23" ht="15.6">
      <c r="A153" s="82"/>
      <c r="B153" s="83" t="s">
        <v>206</v>
      </c>
      <c r="C153" s="84"/>
      <c r="D153" s="84"/>
      <c r="E153" s="84"/>
      <c r="F153" s="84"/>
      <c r="G153" s="84"/>
      <c r="H153" s="84"/>
      <c r="I153" s="84"/>
      <c r="J153" s="84"/>
      <c r="K153" s="84"/>
      <c r="L153" s="84"/>
      <c r="M153" s="84"/>
      <c r="N153" s="84"/>
      <c r="O153" s="84"/>
      <c r="P153" s="85"/>
      <c r="Q153" s="85"/>
      <c r="R153" s="85"/>
      <c r="S153" s="183">
        <v>49780</v>
      </c>
      <c r="T153" s="26"/>
      <c r="U153" s="26"/>
      <c r="V153" s="196"/>
      <c r="W153" s="6"/>
    </row>
    <row r="154" spans="1:23" ht="15.6">
      <c r="A154" s="82"/>
      <c r="B154" s="83" t="s">
        <v>207</v>
      </c>
      <c r="C154" s="84"/>
      <c r="D154" s="84"/>
      <c r="E154" s="84"/>
      <c r="F154" s="84"/>
      <c r="G154" s="84"/>
      <c r="H154" s="84"/>
      <c r="I154" s="84"/>
      <c r="J154" s="84"/>
      <c r="K154" s="84"/>
      <c r="L154" s="84"/>
      <c r="M154" s="84"/>
      <c r="N154" s="84"/>
      <c r="O154" s="84"/>
      <c r="P154" s="85"/>
      <c r="Q154" s="85"/>
      <c r="R154" s="85"/>
      <c r="S154" s="183">
        <v>49780</v>
      </c>
      <c r="T154" s="26"/>
      <c r="U154" s="26"/>
      <c r="V154" s="196"/>
      <c r="W154" s="6"/>
    </row>
    <row r="155" spans="1:23" ht="15.6">
      <c r="A155" s="82"/>
      <c r="B155" s="83" t="s">
        <v>221</v>
      </c>
      <c r="C155" s="84"/>
      <c r="D155" s="84"/>
      <c r="E155" s="84"/>
      <c r="F155" s="84"/>
      <c r="G155" s="84"/>
      <c r="H155" s="84"/>
      <c r="I155" s="84"/>
      <c r="J155" s="84"/>
      <c r="K155" s="84"/>
      <c r="L155" s="84"/>
      <c r="M155" s="84"/>
      <c r="N155" s="84"/>
      <c r="O155" s="84"/>
      <c r="P155" s="85"/>
      <c r="Q155" s="85"/>
      <c r="R155" s="85"/>
      <c r="S155" s="87">
        <v>111.34</v>
      </c>
      <c r="T155" s="26"/>
      <c r="U155" s="26"/>
      <c r="V155" s="196"/>
      <c r="W155" s="6"/>
    </row>
    <row r="156" spans="1:23" ht="15.6">
      <c r="A156" s="82"/>
      <c r="B156" s="83" t="s">
        <v>222</v>
      </c>
      <c r="C156" s="84"/>
      <c r="D156" s="84"/>
      <c r="E156" s="84"/>
      <c r="F156" s="84"/>
      <c r="G156" s="84"/>
      <c r="H156" s="84"/>
      <c r="I156" s="84"/>
      <c r="J156" s="84"/>
      <c r="K156" s="84"/>
      <c r="L156" s="84"/>
      <c r="M156" s="84"/>
      <c r="N156" s="84"/>
      <c r="O156" s="84"/>
      <c r="P156" s="85"/>
      <c r="Q156" s="85"/>
      <c r="R156" s="85"/>
      <c r="S156" s="87">
        <v>128.78</v>
      </c>
      <c r="T156" s="26"/>
      <c r="U156" s="26"/>
      <c r="V156" s="196"/>
      <c r="W156" s="6"/>
    </row>
    <row r="157" spans="1:23" ht="15.6">
      <c r="A157" s="82" t="s">
        <v>223</v>
      </c>
      <c r="B157" s="83" t="s">
        <v>66</v>
      </c>
      <c r="C157" s="84"/>
      <c r="D157" s="84"/>
      <c r="E157" s="84"/>
      <c r="F157" s="84"/>
      <c r="G157" s="84"/>
      <c r="H157" s="84"/>
      <c r="I157" s="84"/>
      <c r="J157" s="84"/>
      <c r="K157" s="84"/>
      <c r="L157" s="84"/>
      <c r="M157" s="84"/>
      <c r="N157" s="84"/>
      <c r="O157" s="84"/>
      <c r="P157" s="85"/>
      <c r="Q157" s="85"/>
      <c r="R157" s="85"/>
      <c r="S157" s="86">
        <v>0.1077</v>
      </c>
      <c r="T157" s="26"/>
      <c r="U157" s="26"/>
      <c r="V157" s="196"/>
      <c r="W157" s="6"/>
    </row>
    <row r="158" spans="1:23" ht="15.6">
      <c r="A158" s="82"/>
      <c r="B158" s="83" t="s">
        <v>67</v>
      </c>
      <c r="C158" s="84"/>
      <c r="D158" s="84"/>
      <c r="E158" s="84"/>
      <c r="F158" s="84"/>
      <c r="G158" s="84"/>
      <c r="H158" s="84"/>
      <c r="I158" s="84"/>
      <c r="J158" s="84"/>
      <c r="K158" s="84"/>
      <c r="L158" s="84"/>
      <c r="M158" s="84"/>
      <c r="N158" s="84"/>
      <c r="O158" s="84"/>
      <c r="P158" s="85"/>
      <c r="Q158" s="85"/>
      <c r="R158" s="85"/>
      <c r="S158" s="86">
        <v>0.41039999999999999</v>
      </c>
      <c r="T158" s="26"/>
      <c r="U158" s="26"/>
      <c r="V158" s="196"/>
      <c r="W158" s="6"/>
    </row>
    <row r="159" spans="1:23" ht="15.6">
      <c r="A159" s="82"/>
      <c r="B159" s="83"/>
      <c r="C159" s="83"/>
      <c r="D159" s="83"/>
      <c r="E159" s="83"/>
      <c r="F159" s="83"/>
      <c r="G159" s="83"/>
      <c r="H159" s="83"/>
      <c r="I159" s="83"/>
      <c r="J159" s="83"/>
      <c r="K159" s="83"/>
      <c r="L159" s="83"/>
      <c r="M159" s="83"/>
      <c r="N159" s="83"/>
      <c r="O159" s="83"/>
      <c r="P159" s="26"/>
      <c r="Q159" s="26"/>
      <c r="R159" s="33"/>
      <c r="S159" s="88"/>
      <c r="T159" s="26"/>
      <c r="U159" s="89"/>
      <c r="V159" s="196"/>
      <c r="W159" s="6"/>
    </row>
    <row r="160" spans="1:23" ht="15.6">
      <c r="A160" s="80"/>
      <c r="B160" s="90"/>
      <c r="C160" s="90"/>
      <c r="D160" s="90"/>
      <c r="E160" s="90"/>
      <c r="F160" s="90"/>
      <c r="G160" s="90"/>
      <c r="H160" s="90"/>
      <c r="I160" s="90"/>
      <c r="J160" s="90"/>
      <c r="K160" s="90"/>
      <c r="L160" s="90"/>
      <c r="M160" s="90"/>
      <c r="N160" s="90"/>
      <c r="O160" s="90"/>
      <c r="P160" s="9"/>
      <c r="Q160" s="9"/>
      <c r="R160" s="20"/>
      <c r="S160" s="91"/>
      <c r="T160" s="9"/>
      <c r="U160" s="92"/>
      <c r="V160" s="194"/>
      <c r="W160" s="6"/>
    </row>
    <row r="161" spans="1:23" ht="16.2" thickBot="1">
      <c r="A161" s="136"/>
      <c r="B161" s="131" t="str">
        <f>+B110</f>
        <v>PPAF3 INVESTOR REPORT QUARTER ENDING JUNE 2008</v>
      </c>
      <c r="C161" s="137"/>
      <c r="D161" s="137"/>
      <c r="E161" s="137"/>
      <c r="F161" s="137"/>
      <c r="G161" s="137"/>
      <c r="H161" s="137"/>
      <c r="I161" s="137"/>
      <c r="J161" s="137"/>
      <c r="K161" s="137"/>
      <c r="L161" s="137"/>
      <c r="M161" s="137"/>
      <c r="N161" s="137"/>
      <c r="O161" s="137"/>
      <c r="P161" s="132"/>
      <c r="Q161" s="132"/>
      <c r="R161" s="138"/>
      <c r="S161" s="139"/>
      <c r="T161" s="132"/>
      <c r="U161" s="140"/>
      <c r="V161" s="134"/>
      <c r="W161" s="6"/>
    </row>
    <row r="162" spans="1:23" ht="15.6">
      <c r="A162" s="93"/>
      <c r="B162" s="94" t="s">
        <v>68</v>
      </c>
      <c r="C162" s="95"/>
      <c r="D162" s="95"/>
      <c r="E162" s="95"/>
      <c r="F162" s="95"/>
      <c r="G162" s="95"/>
      <c r="H162" s="95"/>
      <c r="I162" s="95"/>
      <c r="J162" s="95"/>
      <c r="K162" s="95"/>
      <c r="L162" s="95"/>
      <c r="M162" s="96"/>
      <c r="N162" s="95"/>
      <c r="O162" s="96"/>
      <c r="P162" s="95"/>
      <c r="Q162" s="96"/>
      <c r="R162" s="95" t="s">
        <v>94</v>
      </c>
      <c r="S162" s="96" t="s">
        <v>116</v>
      </c>
      <c r="T162" s="97"/>
      <c r="U162" s="97"/>
      <c r="V162" s="193"/>
      <c r="W162" s="6"/>
    </row>
    <row r="163" spans="1:23" ht="15.6">
      <c r="A163" s="98"/>
      <c r="B163" s="83" t="s">
        <v>216</v>
      </c>
      <c r="C163" s="61"/>
      <c r="D163" s="61"/>
      <c r="E163" s="61"/>
      <c r="F163" s="61"/>
      <c r="G163" s="61"/>
      <c r="H163" s="61"/>
      <c r="I163" s="61"/>
      <c r="J163" s="61"/>
      <c r="K163" s="61"/>
      <c r="L163" s="61"/>
      <c r="M163" s="61"/>
      <c r="N163" s="61"/>
      <c r="O163" s="26"/>
      <c r="P163" s="26"/>
      <c r="Q163" s="26"/>
      <c r="R163" s="211">
        <v>505</v>
      </c>
      <c r="S163" s="210">
        <v>15783</v>
      </c>
      <c r="T163" s="60"/>
      <c r="U163" s="89"/>
      <c r="V163" s="204"/>
      <c r="W163" s="6"/>
    </row>
    <row r="164" spans="1:23" ht="15.6">
      <c r="A164" s="98"/>
      <c r="B164" s="83" t="s">
        <v>217</v>
      </c>
      <c r="C164" s="61"/>
      <c r="D164" s="61"/>
      <c r="E164" s="61"/>
      <c r="F164" s="61"/>
      <c r="G164" s="61"/>
      <c r="H164" s="61"/>
      <c r="I164" s="61"/>
      <c r="J164" s="61"/>
      <c r="K164" s="61"/>
      <c r="L164" s="61"/>
      <c r="M164" s="61"/>
      <c r="N164" s="61"/>
      <c r="O164" s="26"/>
      <c r="P164" s="26"/>
      <c r="Q164" s="26"/>
      <c r="R164" s="158">
        <v>71</v>
      </c>
      <c r="S164" s="210">
        <v>833</v>
      </c>
      <c r="T164" s="60"/>
      <c r="U164" s="89"/>
      <c r="V164" s="204"/>
      <c r="W164" s="6"/>
    </row>
    <row r="165" spans="1:23" ht="15.6">
      <c r="A165" s="98"/>
      <c r="B165" s="83" t="s">
        <v>218</v>
      </c>
      <c r="C165" s="61"/>
      <c r="D165" s="61"/>
      <c r="E165" s="61"/>
      <c r="F165" s="61"/>
      <c r="G165" s="61"/>
      <c r="H165" s="61"/>
      <c r="I165" s="61"/>
      <c r="J165" s="61"/>
      <c r="K165" s="61"/>
      <c r="L165" s="61"/>
      <c r="M165" s="61"/>
      <c r="N165" s="61"/>
      <c r="O165" s="26"/>
      <c r="P165" s="26"/>
      <c r="Q165" s="26"/>
      <c r="R165" s="158">
        <v>270</v>
      </c>
      <c r="S165" s="210">
        <v>467</v>
      </c>
      <c r="T165" s="60"/>
      <c r="U165" s="89"/>
      <c r="V165" s="204"/>
      <c r="W165" s="6"/>
    </row>
    <row r="166" spans="1:23" ht="15.6">
      <c r="A166" s="98"/>
      <c r="B166" s="83" t="s">
        <v>219</v>
      </c>
      <c r="C166" s="61"/>
      <c r="D166" s="61"/>
      <c r="E166" s="61"/>
      <c r="F166" s="61"/>
      <c r="G166" s="61"/>
      <c r="H166" s="61"/>
      <c r="I166" s="61"/>
      <c r="J166" s="61"/>
      <c r="K166" s="61"/>
      <c r="L166" s="61"/>
      <c r="M166" s="61"/>
      <c r="N166" s="61"/>
      <c r="O166" s="26"/>
      <c r="P166" s="26"/>
      <c r="Q166" s="26"/>
      <c r="R166" s="158">
        <v>319</v>
      </c>
      <c r="S166" s="210">
        <v>1295</v>
      </c>
      <c r="T166" s="60"/>
      <c r="U166" s="89"/>
      <c r="V166" s="204"/>
      <c r="W166" s="6"/>
    </row>
    <row r="167" spans="1:23" ht="15.6">
      <c r="A167" s="98"/>
      <c r="B167" s="83" t="s">
        <v>90</v>
      </c>
      <c r="C167" s="61"/>
      <c r="D167" s="61"/>
      <c r="E167" s="61"/>
      <c r="F167" s="61"/>
      <c r="G167" s="61"/>
      <c r="H167" s="61"/>
      <c r="I167" s="61"/>
      <c r="J167" s="61"/>
      <c r="K167" s="61"/>
      <c r="L167" s="61"/>
      <c r="M167" s="61"/>
      <c r="N167" s="61"/>
      <c r="O167" s="26"/>
      <c r="P167" s="26"/>
      <c r="Q167" s="26"/>
      <c r="R167" s="211">
        <f>SUM(R163:R166)</f>
        <v>1165</v>
      </c>
      <c r="S167" s="210">
        <f>SUM(S163:S166)</f>
        <v>18378</v>
      </c>
      <c r="T167" s="60"/>
      <c r="U167" s="89"/>
      <c r="V167" s="204"/>
      <c r="W167" s="6"/>
    </row>
    <row r="168" spans="1:23" ht="15.6">
      <c r="A168" s="98"/>
      <c r="B168" s="83"/>
      <c r="C168" s="61"/>
      <c r="D168" s="61"/>
      <c r="E168" s="61"/>
      <c r="F168" s="61"/>
      <c r="G168" s="61"/>
      <c r="H168" s="61"/>
      <c r="I168" s="61"/>
      <c r="J168" s="61"/>
      <c r="K168" s="61"/>
      <c r="L168" s="61"/>
      <c r="M168" s="61"/>
      <c r="N168" s="61"/>
      <c r="O168" s="26"/>
      <c r="P168" s="26"/>
      <c r="Q168" s="26"/>
      <c r="R168" s="158"/>
      <c r="S168" s="210"/>
      <c r="T168" s="60"/>
      <c r="U168" s="89"/>
      <c r="V168" s="204"/>
      <c r="W168" s="6"/>
    </row>
    <row r="169" spans="1:23" ht="15.6">
      <c r="A169" s="98"/>
      <c r="B169" s="83" t="s">
        <v>220</v>
      </c>
      <c r="C169" s="61"/>
      <c r="D169" s="61"/>
      <c r="E169" s="61"/>
      <c r="F169" s="61"/>
      <c r="G169" s="61"/>
      <c r="H169" s="61"/>
      <c r="I169" s="61"/>
      <c r="J169" s="61"/>
      <c r="K169" s="61"/>
      <c r="L169" s="61"/>
      <c r="M169" s="61"/>
      <c r="N169" s="61"/>
      <c r="O169" s="26"/>
      <c r="P169" s="26"/>
      <c r="Q169" s="26"/>
      <c r="R169" s="158">
        <v>42</v>
      </c>
      <c r="S169" s="210">
        <v>761</v>
      </c>
      <c r="T169" s="60"/>
      <c r="U169" s="89"/>
      <c r="V169" s="204"/>
      <c r="W169" s="6"/>
    </row>
    <row r="170" spans="1:23" ht="15.6">
      <c r="A170" s="98"/>
      <c r="B170" s="83" t="s">
        <v>224</v>
      </c>
      <c r="C170" s="61"/>
      <c r="D170" s="61"/>
      <c r="E170" s="61"/>
      <c r="F170" s="61"/>
      <c r="G170" s="61"/>
      <c r="H170" s="61"/>
      <c r="I170" s="61"/>
      <c r="J170" s="61"/>
      <c r="K170" s="61"/>
      <c r="L170" s="61"/>
      <c r="M170" s="61"/>
      <c r="N170" s="61"/>
      <c r="O170" s="26"/>
      <c r="P170" s="26"/>
      <c r="Q170" s="26"/>
      <c r="R170" s="158">
        <v>36</v>
      </c>
      <c r="S170" s="210">
        <v>1205</v>
      </c>
      <c r="T170" s="60"/>
      <c r="U170" s="89"/>
      <c r="V170" s="204"/>
      <c r="W170" s="6"/>
    </row>
    <row r="171" spans="1:23" ht="15.6">
      <c r="A171" s="98"/>
      <c r="B171" s="156" t="s">
        <v>69</v>
      </c>
      <c r="C171" s="61"/>
      <c r="D171" s="61"/>
      <c r="E171" s="61"/>
      <c r="F171" s="61"/>
      <c r="G171" s="61"/>
      <c r="H171" s="61"/>
      <c r="I171" s="61"/>
      <c r="J171" s="61"/>
      <c r="K171" s="61"/>
      <c r="L171" s="61"/>
      <c r="M171" s="61"/>
      <c r="N171" s="61"/>
      <c r="O171" s="26"/>
      <c r="P171" s="26"/>
      <c r="Q171" s="26"/>
      <c r="R171" s="26"/>
      <c r="S171" s="60">
        <v>0</v>
      </c>
      <c r="T171" s="26"/>
      <c r="U171" s="89"/>
      <c r="V171" s="204"/>
      <c r="W171" s="6"/>
    </row>
    <row r="172" spans="1:23" ht="15.6">
      <c r="A172" s="98"/>
      <c r="B172" s="156" t="s">
        <v>70</v>
      </c>
      <c r="C172" s="61"/>
      <c r="D172" s="61"/>
      <c r="E172" s="61"/>
      <c r="F172" s="61"/>
      <c r="G172" s="61"/>
      <c r="H172" s="61"/>
      <c r="I172" s="61"/>
      <c r="J172" s="61"/>
      <c r="K172" s="61"/>
      <c r="L172" s="61"/>
      <c r="M172" s="61"/>
      <c r="N172" s="61"/>
      <c r="O172" s="26"/>
      <c r="P172" s="26"/>
      <c r="Q172" s="26"/>
      <c r="R172" s="26"/>
      <c r="S172" s="60">
        <f>Q76</f>
        <v>33053</v>
      </c>
      <c r="T172" s="26"/>
      <c r="U172" s="89"/>
      <c r="V172" s="204"/>
      <c r="W172" s="6"/>
    </row>
    <row r="173" spans="1:23" ht="15.6">
      <c r="A173" s="101"/>
      <c r="B173" s="156" t="s">
        <v>71</v>
      </c>
      <c r="C173" s="61"/>
      <c r="D173" s="61"/>
      <c r="E173" s="61"/>
      <c r="F173" s="61"/>
      <c r="G173" s="61"/>
      <c r="H173" s="61"/>
      <c r="I173" s="61"/>
      <c r="J173" s="61"/>
      <c r="K173" s="61"/>
      <c r="L173" s="61"/>
      <c r="M173" s="83"/>
      <c r="N173" s="83"/>
      <c r="O173" s="83"/>
      <c r="P173" s="26"/>
      <c r="Q173" s="26"/>
      <c r="R173" s="26"/>
      <c r="S173" s="102"/>
      <c r="T173" s="26"/>
      <c r="U173" s="89"/>
      <c r="V173" s="205"/>
      <c r="W173" s="6"/>
    </row>
    <row r="174" spans="1:23" ht="15.6">
      <c r="A174" s="98"/>
      <c r="B174" s="83" t="s">
        <v>72</v>
      </c>
      <c r="C174" s="61"/>
      <c r="D174" s="61"/>
      <c r="E174" s="61"/>
      <c r="F174" s="61"/>
      <c r="G174" s="61"/>
      <c r="H174" s="61"/>
      <c r="I174" s="61"/>
      <c r="J174" s="61"/>
      <c r="K174" s="61"/>
      <c r="L174" s="61"/>
      <c r="M174" s="61"/>
      <c r="N174" s="61"/>
      <c r="O174" s="61"/>
      <c r="P174" s="26"/>
      <c r="Q174" s="26"/>
      <c r="R174" s="26"/>
      <c r="S174" s="60">
        <f>U129</f>
        <v>2342</v>
      </c>
      <c r="T174" s="26"/>
      <c r="U174" s="89"/>
      <c r="V174" s="205"/>
      <c r="W174" s="6"/>
    </row>
    <row r="175" spans="1:23" ht="15.6">
      <c r="A175" s="98"/>
      <c r="B175" s="83" t="s">
        <v>73</v>
      </c>
      <c r="C175" s="61"/>
      <c r="D175" s="61"/>
      <c r="E175" s="61"/>
      <c r="F175" s="61"/>
      <c r="G175" s="61"/>
      <c r="H175" s="61"/>
      <c r="I175" s="61"/>
      <c r="J175" s="61"/>
      <c r="K175" s="61"/>
      <c r="L175" s="61"/>
      <c r="M175" s="61"/>
      <c r="N175" s="61"/>
      <c r="O175" s="61"/>
      <c r="P175" s="26"/>
      <c r="Q175" s="26"/>
      <c r="R175" s="26"/>
      <c r="S175" s="60">
        <f>'March 08'!S175+S174</f>
        <v>45001</v>
      </c>
      <c r="T175" s="26"/>
      <c r="U175" s="89"/>
      <c r="V175" s="205"/>
      <c r="W175" s="6"/>
    </row>
    <row r="176" spans="1:23" ht="15.6">
      <c r="A176" s="98"/>
      <c r="B176" s="83" t="s">
        <v>74</v>
      </c>
      <c r="C176" s="61"/>
      <c r="D176" s="61"/>
      <c r="E176" s="61"/>
      <c r="F176" s="61"/>
      <c r="G176" s="61"/>
      <c r="H176" s="61"/>
      <c r="I176" s="61"/>
      <c r="J176" s="61"/>
      <c r="K176" s="61"/>
      <c r="L176" s="61"/>
      <c r="M176" s="61"/>
      <c r="N176" s="61"/>
      <c r="O176" s="61"/>
      <c r="P176" s="26"/>
      <c r="Q176" s="26"/>
      <c r="R176" s="26"/>
      <c r="S176" s="60">
        <f>'March 08'!S176+834</f>
        <v>8261</v>
      </c>
      <c r="T176" s="26"/>
      <c r="U176" s="89"/>
      <c r="V176" s="205"/>
      <c r="W176" s="6"/>
    </row>
    <row r="177" spans="1:23" ht="15.6">
      <c r="A177" s="98"/>
      <c r="B177" s="83"/>
      <c r="C177" s="61"/>
      <c r="D177" s="61"/>
      <c r="E177" s="61"/>
      <c r="F177" s="61"/>
      <c r="G177" s="61"/>
      <c r="H177" s="61"/>
      <c r="I177" s="61"/>
      <c r="J177" s="61"/>
      <c r="K177" s="61"/>
      <c r="L177" s="61"/>
      <c r="M177" s="61"/>
      <c r="N177" s="61"/>
      <c r="O177" s="61"/>
      <c r="P177" s="26"/>
      <c r="Q177" s="26"/>
      <c r="R177" s="26"/>
      <c r="S177" s="60"/>
      <c r="T177" s="26"/>
      <c r="U177" s="89"/>
      <c r="V177" s="205"/>
      <c r="W177" s="6"/>
    </row>
    <row r="178" spans="1:23" ht="15.6">
      <c r="A178" s="101"/>
      <c r="B178" s="156" t="s">
        <v>259</v>
      </c>
      <c r="C178" s="61"/>
      <c r="D178" s="61"/>
      <c r="E178" s="61"/>
      <c r="F178" s="61"/>
      <c r="G178" s="61"/>
      <c r="H178" s="61"/>
      <c r="I178" s="61"/>
      <c r="J178" s="61"/>
      <c r="K178" s="61"/>
      <c r="L178" s="61"/>
      <c r="M178" s="83"/>
      <c r="N178" s="83"/>
      <c r="O178" s="83"/>
      <c r="P178" s="26"/>
      <c r="Q178" s="26"/>
      <c r="R178" s="26"/>
      <c r="S178" s="79"/>
      <c r="T178" s="26"/>
      <c r="U178" s="89"/>
      <c r="V178" s="205"/>
      <c r="W178" s="6"/>
    </row>
    <row r="179" spans="1:23" ht="15.6">
      <c r="A179" s="101"/>
      <c r="B179" s="83" t="s">
        <v>254</v>
      </c>
      <c r="C179" s="61"/>
      <c r="D179" s="61"/>
      <c r="E179" s="61"/>
      <c r="F179" s="61"/>
      <c r="G179" s="61"/>
      <c r="H179" s="61"/>
      <c r="I179" s="61"/>
      <c r="J179" s="61"/>
      <c r="K179" s="61"/>
      <c r="L179" s="61"/>
      <c r="M179" s="83"/>
      <c r="N179" s="83"/>
      <c r="O179" s="83"/>
      <c r="P179" s="26"/>
      <c r="Q179" s="26"/>
      <c r="R179" s="26"/>
      <c r="S179" s="212">
        <v>8</v>
      </c>
      <c r="T179" s="26"/>
      <c r="U179" s="89"/>
      <c r="V179" s="205"/>
      <c r="W179" s="6"/>
    </row>
    <row r="180" spans="1:23" ht="15.6">
      <c r="A180" s="98"/>
      <c r="B180" s="83" t="s">
        <v>75</v>
      </c>
      <c r="C180" s="61"/>
      <c r="D180" s="61"/>
      <c r="E180" s="61"/>
      <c r="F180" s="61"/>
      <c r="G180" s="61"/>
      <c r="H180" s="61"/>
      <c r="I180" s="61"/>
      <c r="J180" s="61"/>
      <c r="K180" s="61"/>
      <c r="L180" s="61"/>
      <c r="M180" s="104"/>
      <c r="N180" s="104"/>
      <c r="O180" s="105"/>
      <c r="P180" s="26"/>
      <c r="Q180" s="26"/>
      <c r="R180" s="26"/>
      <c r="S180" s="213">
        <v>13.45</v>
      </c>
      <c r="T180" s="26"/>
      <c r="U180" s="89"/>
      <c r="V180" s="205"/>
      <c r="W180" s="6"/>
    </row>
    <row r="181" spans="1:23" ht="15.6">
      <c r="A181" s="98"/>
      <c r="B181" s="83" t="s">
        <v>76</v>
      </c>
      <c r="C181" s="61"/>
      <c r="D181" s="61"/>
      <c r="E181" s="61"/>
      <c r="F181" s="61"/>
      <c r="G181" s="61"/>
      <c r="H181" s="61"/>
      <c r="I181" s="61"/>
      <c r="J181" s="61"/>
      <c r="K181" s="61"/>
      <c r="L181" s="61"/>
      <c r="M181" s="104"/>
      <c r="N181" s="104"/>
      <c r="O181" s="105"/>
      <c r="P181" s="26"/>
      <c r="Q181" s="26"/>
      <c r="R181" s="26"/>
      <c r="S181" s="213">
        <v>231.75</v>
      </c>
      <c r="T181" s="26"/>
      <c r="U181" s="89"/>
      <c r="V181" s="205"/>
      <c r="W181" s="6"/>
    </row>
    <row r="182" spans="1:23" ht="15.6">
      <c r="A182" s="98"/>
      <c r="B182" s="83"/>
      <c r="C182" s="61"/>
      <c r="D182" s="61"/>
      <c r="E182" s="61"/>
      <c r="F182" s="61"/>
      <c r="G182" s="61"/>
      <c r="H182" s="61"/>
      <c r="I182" s="61"/>
      <c r="J182" s="61"/>
      <c r="K182" s="61"/>
      <c r="L182" s="61"/>
      <c r="M182" s="106"/>
      <c r="N182" s="104"/>
      <c r="O182" s="105"/>
      <c r="P182" s="26"/>
      <c r="Q182" s="26"/>
      <c r="R182" s="26"/>
      <c r="S182" s="212"/>
      <c r="T182" s="26"/>
      <c r="U182" s="89"/>
      <c r="V182" s="205"/>
      <c r="W182" s="6"/>
    </row>
    <row r="183" spans="1:23" ht="15.6">
      <c r="A183" s="98"/>
      <c r="B183" s="156" t="s">
        <v>77</v>
      </c>
      <c r="C183" s="61"/>
      <c r="D183" s="61"/>
      <c r="E183" s="61"/>
      <c r="F183" s="61"/>
      <c r="G183" s="61"/>
      <c r="H183" s="61"/>
      <c r="I183" s="61"/>
      <c r="J183" s="61"/>
      <c r="K183" s="61"/>
      <c r="L183" s="61"/>
      <c r="M183" s="61"/>
      <c r="N183" s="106"/>
      <c r="O183" s="104"/>
      <c r="P183" s="105"/>
      <c r="Q183" s="26"/>
      <c r="R183" s="33"/>
      <c r="S183" s="157"/>
      <c r="T183" s="107"/>
      <c r="U183" s="33"/>
      <c r="V183" s="206"/>
      <c r="W183" s="6"/>
    </row>
    <row r="184" spans="1:23" ht="15.6">
      <c r="A184" s="98"/>
      <c r="B184" s="83" t="s">
        <v>78</v>
      </c>
      <c r="C184" s="61"/>
      <c r="D184" s="61"/>
      <c r="E184" s="61"/>
      <c r="F184" s="61"/>
      <c r="G184" s="61"/>
      <c r="H184" s="61"/>
      <c r="I184" s="61"/>
      <c r="J184" s="61"/>
      <c r="K184" s="61"/>
      <c r="L184" s="61"/>
      <c r="M184" s="61"/>
      <c r="N184" s="106"/>
      <c r="O184" s="104"/>
      <c r="P184" s="105"/>
      <c r="Q184" s="26"/>
      <c r="R184" s="33"/>
      <c r="S184" s="214">
        <v>120</v>
      </c>
      <c r="T184" s="108"/>
      <c r="U184" s="33"/>
      <c r="V184" s="206"/>
      <c r="W184" s="6"/>
    </row>
    <row r="185" spans="1:23" ht="15.6">
      <c r="A185" s="98"/>
      <c r="B185" s="83" t="s">
        <v>75</v>
      </c>
      <c r="C185" s="61"/>
      <c r="D185" s="61"/>
      <c r="E185" s="61"/>
      <c r="F185" s="61"/>
      <c r="G185" s="61"/>
      <c r="H185" s="61"/>
      <c r="I185" s="61"/>
      <c r="J185" s="61"/>
      <c r="K185" s="61"/>
      <c r="L185" s="61"/>
      <c r="M185" s="61"/>
      <c r="N185" s="106"/>
      <c r="O185" s="104"/>
      <c r="P185" s="105"/>
      <c r="Q185" s="26"/>
      <c r="R185" s="33"/>
      <c r="S185" s="214">
        <v>4.6900000000000004</v>
      </c>
      <c r="T185" s="108"/>
      <c r="U185" s="33"/>
      <c r="V185" s="206"/>
      <c r="W185" s="6"/>
    </row>
    <row r="186" spans="1:23" ht="15.6">
      <c r="A186" s="98"/>
      <c r="B186" s="83" t="s">
        <v>79</v>
      </c>
      <c r="C186" s="61"/>
      <c r="D186" s="61"/>
      <c r="E186" s="61"/>
      <c r="F186" s="61"/>
      <c r="G186" s="61"/>
      <c r="H186" s="61"/>
      <c r="I186" s="61"/>
      <c r="J186" s="61"/>
      <c r="K186" s="61"/>
      <c r="L186" s="61"/>
      <c r="M186" s="61"/>
      <c r="N186" s="106"/>
      <c r="O186" s="104"/>
      <c r="P186" s="105"/>
      <c r="Q186" s="26"/>
      <c r="R186" s="33"/>
      <c r="S186" s="214">
        <v>93.36</v>
      </c>
      <c r="T186" s="108"/>
      <c r="U186" s="33"/>
      <c r="V186" s="206"/>
      <c r="W186" s="6"/>
    </row>
    <row r="187" spans="1:23" ht="15.6">
      <c r="A187" s="98"/>
      <c r="B187" s="83"/>
      <c r="C187" s="61"/>
      <c r="D187" s="61"/>
      <c r="E187" s="61"/>
      <c r="F187" s="61"/>
      <c r="G187" s="61"/>
      <c r="H187" s="61"/>
      <c r="I187" s="61"/>
      <c r="J187" s="61"/>
      <c r="K187" s="61"/>
      <c r="L187" s="61"/>
      <c r="M187" s="106"/>
      <c r="N187" s="104"/>
      <c r="O187" s="105"/>
      <c r="P187" s="26"/>
      <c r="Q187" s="26"/>
      <c r="R187" s="26"/>
      <c r="S187" s="79"/>
      <c r="T187" s="26"/>
      <c r="U187" s="89"/>
      <c r="V187" s="205"/>
      <c r="W187" s="6"/>
    </row>
    <row r="188" spans="1:23" ht="17.399999999999999">
      <c r="A188" s="98"/>
      <c r="B188" s="180" t="s">
        <v>196</v>
      </c>
      <c r="C188" s="61"/>
      <c r="D188" s="61"/>
      <c r="E188" s="61"/>
      <c r="F188" s="61"/>
      <c r="G188" s="61"/>
      <c r="H188" s="61"/>
      <c r="I188" s="61"/>
      <c r="J188" s="61"/>
      <c r="K188" s="181" t="s">
        <v>195</v>
      </c>
      <c r="L188" s="61"/>
      <c r="M188" s="106"/>
      <c r="N188" s="104"/>
      <c r="O188" s="105"/>
      <c r="P188" s="26"/>
      <c r="Q188" s="26"/>
      <c r="R188" s="26"/>
      <c r="S188" s="79"/>
      <c r="T188" s="26"/>
      <c r="U188" s="89"/>
      <c r="V188" s="205"/>
      <c r="W188" s="6"/>
    </row>
    <row r="189" spans="1:23" ht="15.6">
      <c r="A189" s="25"/>
      <c r="B189" s="109" t="s">
        <v>80</v>
      </c>
      <c r="C189" s="110"/>
      <c r="D189" s="110"/>
      <c r="E189" s="110"/>
      <c r="F189" s="110"/>
      <c r="G189" s="110"/>
      <c r="H189" s="110"/>
      <c r="I189" s="110"/>
      <c r="J189" s="110"/>
      <c r="K189" s="110"/>
      <c r="L189" s="110"/>
      <c r="M189" s="111"/>
      <c r="N189" s="110"/>
      <c r="O189" s="111"/>
      <c r="P189" s="110"/>
      <c r="Q189" s="111"/>
      <c r="R189" s="110"/>
      <c r="S189" s="111"/>
      <c r="T189" s="110"/>
      <c r="U189" s="112"/>
      <c r="V189" s="205"/>
      <c r="W189" s="6"/>
    </row>
    <row r="190" spans="1:23" ht="15.6">
      <c r="A190" s="25"/>
      <c r="B190" s="30"/>
      <c r="C190" s="189"/>
      <c r="D190" s="189"/>
      <c r="E190" s="189"/>
      <c r="F190" s="189"/>
      <c r="G190" s="189"/>
      <c r="H190" s="189"/>
      <c r="I190" s="189"/>
      <c r="J190" s="189"/>
      <c r="K190" s="189"/>
      <c r="L190" s="189"/>
      <c r="M190" s="109" t="s">
        <v>100</v>
      </c>
      <c r="N190" s="110"/>
      <c r="O190" s="111"/>
      <c r="P190" s="110"/>
      <c r="Q190" s="109" t="s">
        <v>26</v>
      </c>
      <c r="R190" s="110"/>
      <c r="S190" s="111"/>
      <c r="T190" s="110"/>
      <c r="U190" s="112"/>
      <c r="V190" s="205"/>
      <c r="W190" s="6"/>
    </row>
    <row r="191" spans="1:23" ht="15.6">
      <c r="A191" s="25"/>
      <c r="B191" s="189"/>
      <c r="C191" s="111"/>
      <c r="D191" s="111"/>
      <c r="E191" s="111"/>
      <c r="F191" s="111"/>
      <c r="G191" s="111"/>
      <c r="H191" s="111"/>
      <c r="I191" s="111"/>
      <c r="J191" s="111"/>
      <c r="K191" s="111"/>
      <c r="L191" s="111" t="s">
        <v>94</v>
      </c>
      <c r="M191" s="110" t="s">
        <v>101</v>
      </c>
      <c r="N191" s="111" t="s">
        <v>103</v>
      </c>
      <c r="O191" s="110" t="s">
        <v>101</v>
      </c>
      <c r="P191" s="110"/>
      <c r="Q191" s="111" t="s">
        <v>94</v>
      </c>
      <c r="R191" s="110" t="s">
        <v>101</v>
      </c>
      <c r="S191" s="111" t="s">
        <v>103</v>
      </c>
      <c r="T191" s="110" t="s">
        <v>101</v>
      </c>
      <c r="U191" s="112"/>
      <c r="V191" s="205"/>
      <c r="W191" s="6"/>
    </row>
    <row r="192" spans="1:23" ht="15.6">
      <c r="A192" s="25"/>
      <c r="B192" s="61" t="s">
        <v>81</v>
      </c>
      <c r="C192" s="113"/>
      <c r="D192" s="113"/>
      <c r="E192" s="113"/>
      <c r="F192" s="113"/>
      <c r="G192" s="113"/>
      <c r="H192" s="113"/>
      <c r="I192" s="113"/>
      <c r="J192" s="113"/>
      <c r="K192" s="113"/>
      <c r="L192" s="113">
        <v>5251</v>
      </c>
      <c r="M192" s="86">
        <f t="shared" ref="M192:M198" si="0">+L192/$L$199</f>
        <v>0.90347556779077776</v>
      </c>
      <c r="N192" s="113">
        <v>18073</v>
      </c>
      <c r="O192" s="86">
        <f t="shared" ref="O192:O198" si="1">N192/$N$199</f>
        <v>0.88532379739394529</v>
      </c>
      <c r="P192" s="110"/>
      <c r="Q192" s="113">
        <v>27273</v>
      </c>
      <c r="R192" s="86">
        <f t="shared" ref="R192:R198" si="2">+Q192/$Q$199</f>
        <v>0.97966880994288585</v>
      </c>
      <c r="S192" s="113">
        <v>26412</v>
      </c>
      <c r="T192" s="86">
        <f t="shared" ref="T192:T198" si="3">+S192/$S$199</f>
        <v>0.96857237155744613</v>
      </c>
      <c r="U192" s="112"/>
      <c r="V192" s="205"/>
      <c r="W192" s="6"/>
    </row>
    <row r="193" spans="1:24" ht="15.6">
      <c r="A193" s="25"/>
      <c r="B193" s="61" t="s">
        <v>82</v>
      </c>
      <c r="C193" s="113"/>
      <c r="D193" s="113"/>
      <c r="E193" s="113"/>
      <c r="F193" s="113"/>
      <c r="G193" s="113"/>
      <c r="H193" s="113"/>
      <c r="I193" s="113"/>
      <c r="J193" s="113"/>
      <c r="K193" s="113"/>
      <c r="L193" s="113">
        <v>64</v>
      </c>
      <c r="M193" s="86">
        <f t="shared" si="0"/>
        <v>1.1011699931176875E-2</v>
      </c>
      <c r="N193" s="113">
        <v>339</v>
      </c>
      <c r="O193" s="86">
        <f t="shared" si="1"/>
        <v>1.6606250612324874E-2</v>
      </c>
      <c r="P193" s="110"/>
      <c r="Q193" s="113">
        <v>91</v>
      </c>
      <c r="R193" s="86">
        <f t="shared" si="2"/>
        <v>3.2687955745536838E-3</v>
      </c>
      <c r="S193" s="113">
        <v>123</v>
      </c>
      <c r="T193" s="86">
        <f t="shared" si="3"/>
        <v>4.5106164509149584E-3</v>
      </c>
      <c r="U193" s="112"/>
      <c r="V193" s="205"/>
      <c r="W193" s="6"/>
    </row>
    <row r="194" spans="1:24" ht="15.6">
      <c r="A194" s="25"/>
      <c r="B194" s="61" t="s">
        <v>83</v>
      </c>
      <c r="C194" s="113"/>
      <c r="D194" s="113"/>
      <c r="E194" s="113"/>
      <c r="F194" s="113"/>
      <c r="G194" s="113"/>
      <c r="H194" s="113"/>
      <c r="I194" s="113"/>
      <c r="J194" s="113"/>
      <c r="K194" s="113"/>
      <c r="L194" s="113">
        <v>57</v>
      </c>
      <c r="M194" s="86">
        <f t="shared" si="0"/>
        <v>9.8072952512044051E-3</v>
      </c>
      <c r="N194" s="113">
        <v>211</v>
      </c>
      <c r="O194" s="86">
        <f t="shared" si="1"/>
        <v>1.0336043891447046E-2</v>
      </c>
      <c r="P194" s="110"/>
      <c r="Q194" s="113">
        <v>64</v>
      </c>
      <c r="R194" s="86">
        <f t="shared" si="2"/>
        <v>2.2989331513344588E-3</v>
      </c>
      <c r="S194" s="113">
        <v>91</v>
      </c>
      <c r="T194" s="86">
        <f t="shared" si="3"/>
        <v>3.3371227401078145E-3</v>
      </c>
      <c r="U194" s="112"/>
      <c r="V194" s="205"/>
      <c r="W194" s="6"/>
    </row>
    <row r="195" spans="1:24" ht="15.6">
      <c r="A195" s="25"/>
      <c r="B195" s="61" t="s">
        <v>186</v>
      </c>
      <c r="C195" s="113"/>
      <c r="D195" s="113"/>
      <c r="E195" s="113"/>
      <c r="F195" s="113"/>
      <c r="G195" s="113"/>
      <c r="H195" s="113"/>
      <c r="I195" s="113"/>
      <c r="J195" s="113"/>
      <c r="K195" s="113"/>
      <c r="L195" s="113">
        <v>41</v>
      </c>
      <c r="M195" s="86">
        <f t="shared" si="0"/>
        <v>7.0543702684101855E-3</v>
      </c>
      <c r="N195" s="113">
        <v>137</v>
      </c>
      <c r="O195" s="86">
        <f t="shared" si="1"/>
        <v>6.7110806309395509E-3</v>
      </c>
      <c r="P195" s="110"/>
      <c r="Q195" s="113">
        <v>53</v>
      </c>
      <c r="R195" s="86">
        <f t="shared" si="2"/>
        <v>1.9038040159488488E-3</v>
      </c>
      <c r="S195" s="113">
        <v>61</v>
      </c>
      <c r="T195" s="86">
        <f t="shared" si="3"/>
        <v>2.2369723862261178E-3</v>
      </c>
      <c r="U195" s="112"/>
      <c r="V195" s="205"/>
      <c r="W195" s="6"/>
    </row>
    <row r="196" spans="1:24" ht="15.6">
      <c r="A196" s="25"/>
      <c r="B196" s="61" t="s">
        <v>187</v>
      </c>
      <c r="C196" s="113"/>
      <c r="D196" s="113"/>
      <c r="E196" s="113"/>
      <c r="F196" s="113"/>
      <c r="G196" s="113"/>
      <c r="H196" s="113"/>
      <c r="I196" s="113"/>
      <c r="J196" s="113"/>
      <c r="K196" s="113"/>
      <c r="L196" s="113">
        <v>49</v>
      </c>
      <c r="M196" s="86">
        <f t="shared" si="0"/>
        <v>8.4308327598072944E-3</v>
      </c>
      <c r="N196" s="113">
        <v>229</v>
      </c>
      <c r="O196" s="86">
        <f t="shared" si="1"/>
        <v>1.1217791711570491E-2</v>
      </c>
      <c r="P196" s="110"/>
      <c r="Q196" s="113">
        <v>61</v>
      </c>
      <c r="R196" s="86">
        <f t="shared" si="2"/>
        <v>2.1911706598656561E-3</v>
      </c>
      <c r="S196" s="113">
        <v>73</v>
      </c>
      <c r="T196" s="86">
        <f t="shared" si="3"/>
        <v>2.6770325277787966E-3</v>
      </c>
      <c r="U196" s="112"/>
      <c r="V196" s="205"/>
      <c r="W196" s="6"/>
    </row>
    <row r="197" spans="1:24" ht="15.6">
      <c r="A197" s="25"/>
      <c r="B197" s="61" t="s">
        <v>188</v>
      </c>
      <c r="C197" s="113"/>
      <c r="D197" s="113"/>
      <c r="E197" s="113"/>
      <c r="F197" s="113"/>
      <c r="G197" s="113"/>
      <c r="H197" s="113"/>
      <c r="I197" s="113"/>
      <c r="J197" s="113"/>
      <c r="K197" s="113"/>
      <c r="L197" s="113">
        <v>48</v>
      </c>
      <c r="M197" s="86">
        <f t="shared" si="0"/>
        <v>8.2587749483826571E-3</v>
      </c>
      <c r="N197" s="113">
        <v>179</v>
      </c>
      <c r="O197" s="86">
        <f t="shared" si="1"/>
        <v>8.7684922112275885E-3</v>
      </c>
      <c r="P197" s="110"/>
      <c r="Q197" s="113">
        <v>37</v>
      </c>
      <c r="R197" s="86">
        <f t="shared" si="2"/>
        <v>1.329070728115234E-3</v>
      </c>
      <c r="S197" s="113">
        <v>52</v>
      </c>
      <c r="T197" s="86">
        <f t="shared" si="3"/>
        <v>1.9069272800616083E-3</v>
      </c>
      <c r="U197" s="112"/>
      <c r="V197" s="205"/>
      <c r="W197" s="6"/>
    </row>
    <row r="198" spans="1:24" ht="15.6">
      <c r="A198" s="25"/>
      <c r="B198" s="61" t="s">
        <v>189</v>
      </c>
      <c r="C198" s="113"/>
      <c r="D198" s="113"/>
      <c r="E198" s="113"/>
      <c r="F198" s="113"/>
      <c r="G198" s="113"/>
      <c r="H198" s="113"/>
      <c r="I198" s="113"/>
      <c r="J198" s="113"/>
      <c r="K198" s="113"/>
      <c r="L198" s="113">
        <v>302</v>
      </c>
      <c r="M198" s="86">
        <f t="shared" si="0"/>
        <v>5.1961459050240882E-2</v>
      </c>
      <c r="N198" s="113">
        <v>1246</v>
      </c>
      <c r="O198" s="86">
        <f t="shared" si="1"/>
        <v>6.1036543548545118E-2</v>
      </c>
      <c r="P198" s="110"/>
      <c r="Q198" s="113">
        <v>260</v>
      </c>
      <c r="R198" s="86">
        <f t="shared" si="2"/>
        <v>9.3394159272962383E-3</v>
      </c>
      <c r="S198" s="113">
        <v>457</v>
      </c>
      <c r="T198" s="86">
        <f t="shared" si="3"/>
        <v>1.6758957057464521E-2</v>
      </c>
      <c r="U198" s="112"/>
      <c r="V198" s="205"/>
      <c r="W198" s="6"/>
    </row>
    <row r="199" spans="1:24" ht="15.6">
      <c r="A199" s="25"/>
      <c r="B199" s="61" t="s">
        <v>84</v>
      </c>
      <c r="C199" s="113"/>
      <c r="D199" s="113"/>
      <c r="E199" s="113"/>
      <c r="F199" s="113"/>
      <c r="G199" s="113"/>
      <c r="H199" s="113"/>
      <c r="I199" s="113"/>
      <c r="J199" s="113"/>
      <c r="K199" s="113"/>
      <c r="L199" s="113">
        <f>SUM(L192:L198)</f>
        <v>5812</v>
      </c>
      <c r="M199" s="86">
        <f>SUM(M192:M198)</f>
        <v>1</v>
      </c>
      <c r="N199" s="113">
        <f>SUM(N192:N198)</f>
        <v>20414</v>
      </c>
      <c r="O199" s="86">
        <f>SUM(O192:O198)</f>
        <v>0.99999999999999989</v>
      </c>
      <c r="P199" s="110"/>
      <c r="Q199" s="113">
        <f>SUM(Q192:Q198)</f>
        <v>27839</v>
      </c>
      <c r="R199" s="86">
        <f>SUM(R192:R198)</f>
        <v>1</v>
      </c>
      <c r="S199" s="113">
        <f>SUM(S192:S198)</f>
        <v>27269</v>
      </c>
      <c r="T199" s="86">
        <f>SUM(T192:T198)</f>
        <v>1</v>
      </c>
      <c r="U199" s="112"/>
      <c r="V199" s="205"/>
      <c r="W199" s="6"/>
      <c r="X199" s="64"/>
    </row>
    <row r="200" spans="1:24" ht="15.6">
      <c r="A200" s="25"/>
      <c r="B200" s="61" t="s">
        <v>85</v>
      </c>
      <c r="C200" s="113"/>
      <c r="D200" s="113"/>
      <c r="E200" s="113"/>
      <c r="F200" s="113"/>
      <c r="G200" s="113"/>
      <c r="H200" s="113"/>
      <c r="I200" s="113"/>
      <c r="J200" s="113"/>
      <c r="K200" s="113"/>
      <c r="L200" s="113">
        <v>1044</v>
      </c>
      <c r="M200" s="114"/>
      <c r="N200" s="113">
        <v>7131</v>
      </c>
      <c r="O200" s="114"/>
      <c r="P200" s="110"/>
      <c r="Q200" s="113">
        <v>408</v>
      </c>
      <c r="R200" s="114"/>
      <c r="S200" s="113">
        <v>752</v>
      </c>
      <c r="T200" s="114"/>
      <c r="U200" s="112"/>
      <c r="V200" s="205"/>
      <c r="W200" s="6"/>
      <c r="X200" s="64"/>
    </row>
    <row r="201" spans="1:24" ht="15.6">
      <c r="A201" s="25"/>
      <c r="B201" s="61" t="s">
        <v>86</v>
      </c>
      <c r="C201" s="113"/>
      <c r="D201" s="113"/>
      <c r="E201" s="113"/>
      <c r="F201" s="113"/>
      <c r="G201" s="113"/>
      <c r="H201" s="113"/>
      <c r="I201" s="113"/>
      <c r="J201" s="113"/>
      <c r="K201" s="113"/>
      <c r="L201" s="113">
        <f>SUM(L199:L200)</f>
        <v>6856</v>
      </c>
      <c r="M201" s="189"/>
      <c r="N201" s="113">
        <f>SUM(N199:N200)</f>
        <v>27545</v>
      </c>
      <c r="O201" s="115"/>
      <c r="P201" s="189"/>
      <c r="Q201" s="113">
        <f>SUM(Q199:Q200)</f>
        <v>28247</v>
      </c>
      <c r="R201" s="189"/>
      <c r="S201" s="113">
        <f>SUM(S199:S200)</f>
        <v>28021</v>
      </c>
      <c r="T201" s="189"/>
      <c r="U201" s="189"/>
      <c r="V201" s="205"/>
      <c r="W201" s="6"/>
      <c r="X201" s="64"/>
    </row>
    <row r="202" spans="1:24" ht="15.6">
      <c r="A202" s="25"/>
      <c r="B202" s="61"/>
      <c r="C202" s="113"/>
      <c r="D202" s="113"/>
      <c r="E202" s="113"/>
      <c r="F202" s="113"/>
      <c r="G202" s="113"/>
      <c r="H202" s="113"/>
      <c r="I202" s="113"/>
      <c r="J202" s="113"/>
      <c r="K202" s="113"/>
      <c r="L202" s="113"/>
      <c r="M202" s="115"/>
      <c r="N202" s="113"/>
      <c r="O202" s="115"/>
      <c r="P202" s="110"/>
      <c r="Q202" s="113"/>
      <c r="R202" s="115"/>
      <c r="S202" s="113"/>
      <c r="T202" s="115"/>
      <c r="U202" s="112"/>
      <c r="V202" s="205"/>
      <c r="W202" s="6"/>
    </row>
    <row r="203" spans="1:24" ht="15.6">
      <c r="A203" s="25"/>
      <c r="B203" s="61"/>
      <c r="C203" s="110"/>
      <c r="D203" s="110"/>
      <c r="E203" s="110"/>
      <c r="F203" s="110"/>
      <c r="G203" s="110"/>
      <c r="H203" s="110"/>
      <c r="I203" s="110"/>
      <c r="J203" s="110"/>
      <c r="K203" s="110"/>
      <c r="L203" s="110"/>
      <c r="M203" s="109" t="s">
        <v>27</v>
      </c>
      <c r="N203" s="110"/>
      <c r="O203" s="111"/>
      <c r="P203" s="110"/>
      <c r="Q203" s="109" t="s">
        <v>28</v>
      </c>
      <c r="R203" s="110"/>
      <c r="S203" s="111"/>
      <c r="T203" s="110"/>
      <c r="U203" s="112"/>
      <c r="V203" s="205"/>
      <c r="W203" s="6"/>
    </row>
    <row r="204" spans="1:24" ht="15.6">
      <c r="A204" s="25"/>
      <c r="B204" s="189"/>
      <c r="C204" s="111"/>
      <c r="D204" s="111"/>
      <c r="E204" s="111"/>
      <c r="F204" s="111"/>
      <c r="G204" s="111"/>
      <c r="H204" s="111"/>
      <c r="I204" s="111"/>
      <c r="J204" s="111"/>
      <c r="K204" s="111"/>
      <c r="L204" s="111" t="s">
        <v>94</v>
      </c>
      <c r="M204" s="110" t="s">
        <v>101</v>
      </c>
      <c r="N204" s="111" t="s">
        <v>103</v>
      </c>
      <c r="O204" s="110" t="s">
        <v>101</v>
      </c>
      <c r="P204" s="110"/>
      <c r="Q204" s="111" t="s">
        <v>94</v>
      </c>
      <c r="R204" s="110" t="s">
        <v>101</v>
      </c>
      <c r="S204" s="111" t="s">
        <v>103</v>
      </c>
      <c r="T204" s="110" t="s">
        <v>101</v>
      </c>
      <c r="U204" s="112"/>
      <c r="V204" s="205"/>
      <c r="W204" s="6"/>
    </row>
    <row r="205" spans="1:24" ht="15.6">
      <c r="A205" s="25"/>
      <c r="B205" s="61" t="s">
        <v>81</v>
      </c>
      <c r="C205" s="113"/>
      <c r="D205" s="113"/>
      <c r="E205" s="113"/>
      <c r="F205" s="113"/>
      <c r="G205" s="113"/>
      <c r="H205" s="113"/>
      <c r="I205" s="113"/>
      <c r="J205" s="113"/>
      <c r="K205" s="113"/>
      <c r="L205" s="113">
        <v>7525</v>
      </c>
      <c r="M205" s="86">
        <f t="shared" ref="M205:M211" si="4">+L205/$L$212</f>
        <v>0.93711083437110831</v>
      </c>
      <c r="N205" s="113">
        <v>201887</v>
      </c>
      <c r="O205" s="86">
        <f t="shared" ref="O205:O211" si="5">+N205/$N$212</f>
        <v>0.92749115633757517</v>
      </c>
      <c r="P205" s="110"/>
      <c r="Q205" s="113">
        <v>6977</v>
      </c>
      <c r="R205" s="86">
        <f t="shared" ref="R205:R211" si="6">Q205/$Q$212</f>
        <v>0.9707805760400724</v>
      </c>
      <c r="S205" s="113">
        <v>89298</v>
      </c>
      <c r="T205" s="86">
        <f t="shared" ref="T205:T211" si="7">+S205/$S$212</f>
        <v>0.96979767373668269</v>
      </c>
      <c r="U205" s="112"/>
      <c r="V205" s="205"/>
      <c r="W205" s="6"/>
    </row>
    <row r="206" spans="1:24" ht="15.6">
      <c r="A206" s="25"/>
      <c r="B206" s="61" t="s">
        <v>82</v>
      </c>
      <c r="C206" s="113"/>
      <c r="D206" s="113"/>
      <c r="E206" s="113"/>
      <c r="F206" s="113"/>
      <c r="G206" s="113"/>
      <c r="H206" s="113"/>
      <c r="I206" s="113"/>
      <c r="J206" s="113"/>
      <c r="K206" s="113"/>
      <c r="L206" s="113">
        <v>173</v>
      </c>
      <c r="M206" s="86">
        <f t="shared" si="4"/>
        <v>2.1544209215442093E-2</v>
      </c>
      <c r="N206" s="113">
        <v>5505</v>
      </c>
      <c r="O206" s="86">
        <f t="shared" si="5"/>
        <v>2.5290577479671061E-2</v>
      </c>
      <c r="P206" s="110"/>
      <c r="Q206" s="113">
        <v>67</v>
      </c>
      <c r="R206" s="86">
        <f t="shared" si="6"/>
        <v>9.3223876443578688E-3</v>
      </c>
      <c r="S206" s="113">
        <v>880</v>
      </c>
      <c r="T206" s="86">
        <f t="shared" si="7"/>
        <v>9.5570108276588576E-3</v>
      </c>
      <c r="U206" s="112"/>
      <c r="V206" s="205"/>
      <c r="W206" s="6"/>
    </row>
    <row r="207" spans="1:24" ht="15.6">
      <c r="A207" s="25"/>
      <c r="B207" s="61" t="s">
        <v>83</v>
      </c>
      <c r="C207" s="113"/>
      <c r="D207" s="113"/>
      <c r="E207" s="113"/>
      <c r="F207" s="113"/>
      <c r="G207" s="113"/>
      <c r="H207" s="113"/>
      <c r="I207" s="113"/>
      <c r="J207" s="113"/>
      <c r="K207" s="113"/>
      <c r="L207" s="113">
        <v>111</v>
      </c>
      <c r="M207" s="86">
        <f t="shared" si="4"/>
        <v>1.3823163138231632E-2</v>
      </c>
      <c r="N207" s="113">
        <v>3252</v>
      </c>
      <c r="O207" s="86">
        <f t="shared" si="5"/>
        <v>1.4940046859925575E-2</v>
      </c>
      <c r="P207" s="110"/>
      <c r="Q207" s="113">
        <v>43</v>
      </c>
      <c r="R207" s="86">
        <f t="shared" si="6"/>
        <v>5.9830249060804233E-3</v>
      </c>
      <c r="S207" s="113">
        <v>675</v>
      </c>
      <c r="T207" s="86">
        <f t="shared" si="7"/>
        <v>7.3306617143974193E-3</v>
      </c>
      <c r="U207" s="112"/>
      <c r="V207" s="205"/>
      <c r="W207" s="6"/>
    </row>
    <row r="208" spans="1:24" ht="15.6">
      <c r="A208" s="25"/>
      <c r="B208" s="61" t="s">
        <v>186</v>
      </c>
      <c r="C208" s="113"/>
      <c r="D208" s="113"/>
      <c r="E208" s="113"/>
      <c r="F208" s="113"/>
      <c r="G208" s="113"/>
      <c r="H208" s="113"/>
      <c r="I208" s="113"/>
      <c r="J208" s="113"/>
      <c r="K208" s="113"/>
      <c r="L208" s="113">
        <v>65</v>
      </c>
      <c r="M208" s="86">
        <f t="shared" si="4"/>
        <v>8.0946450809464502E-3</v>
      </c>
      <c r="N208" s="113">
        <v>1710</v>
      </c>
      <c r="O208" s="86">
        <f t="shared" si="5"/>
        <v>7.85592869940736E-3</v>
      </c>
      <c r="P208" s="110"/>
      <c r="Q208" s="113">
        <v>26</v>
      </c>
      <c r="R208" s="86">
        <f t="shared" si="6"/>
        <v>3.6176429664672325E-3</v>
      </c>
      <c r="S208" s="113">
        <v>326</v>
      </c>
      <c r="T208" s="86">
        <f t="shared" si="7"/>
        <v>3.5404381020645317E-3</v>
      </c>
      <c r="U208" s="112"/>
      <c r="V208" s="205"/>
      <c r="W208" s="6"/>
    </row>
    <row r="209" spans="1:24" ht="15.6">
      <c r="A209" s="25"/>
      <c r="B209" s="61" t="s">
        <v>187</v>
      </c>
      <c r="C209" s="113"/>
      <c r="D209" s="113"/>
      <c r="E209" s="113"/>
      <c r="F209" s="113"/>
      <c r="G209" s="113"/>
      <c r="H209" s="113"/>
      <c r="I209" s="113"/>
      <c r="J209" s="113"/>
      <c r="K209" s="113"/>
      <c r="L209" s="113">
        <v>32</v>
      </c>
      <c r="M209" s="86">
        <f t="shared" si="4"/>
        <v>3.9850560398505602E-3</v>
      </c>
      <c r="N209" s="113">
        <v>1022</v>
      </c>
      <c r="O209" s="86">
        <f t="shared" si="5"/>
        <v>4.6951807782422937E-3</v>
      </c>
      <c r="P209" s="110"/>
      <c r="Q209" s="113">
        <v>19</v>
      </c>
      <c r="R209" s="86">
        <f t="shared" si="6"/>
        <v>2.6436621678029774E-3</v>
      </c>
      <c r="S209" s="113">
        <v>272</v>
      </c>
      <c r="T209" s="86">
        <f t="shared" si="7"/>
        <v>2.9539851649127381E-3</v>
      </c>
      <c r="U209" s="112"/>
      <c r="V209" s="205"/>
      <c r="W209" s="6"/>
    </row>
    <row r="210" spans="1:24" ht="15.6">
      <c r="A210" s="25"/>
      <c r="B210" s="61" t="s">
        <v>188</v>
      </c>
      <c r="C210" s="113"/>
      <c r="D210" s="113"/>
      <c r="E210" s="113"/>
      <c r="F210" s="113"/>
      <c r="G210" s="113"/>
      <c r="H210" s="113"/>
      <c r="I210" s="113"/>
      <c r="J210" s="113"/>
      <c r="K210" s="113"/>
      <c r="L210" s="113">
        <v>31</v>
      </c>
      <c r="M210" s="86">
        <f t="shared" si="4"/>
        <v>3.8605230386052304E-3</v>
      </c>
      <c r="N210" s="113">
        <v>1017</v>
      </c>
      <c r="O210" s="86">
        <f t="shared" si="5"/>
        <v>4.67221022648964E-3</v>
      </c>
      <c r="P210" s="110"/>
      <c r="Q210" s="113">
        <v>14</v>
      </c>
      <c r="R210" s="86">
        <f t="shared" si="6"/>
        <v>1.9479615973285098E-3</v>
      </c>
      <c r="S210" s="113">
        <v>130</v>
      </c>
      <c r="T210" s="86">
        <f t="shared" si="7"/>
        <v>1.4118311449950586E-3</v>
      </c>
      <c r="U210" s="112"/>
      <c r="V210" s="205"/>
      <c r="W210" s="6"/>
    </row>
    <row r="211" spans="1:24" ht="15.6">
      <c r="A211" s="25"/>
      <c r="B211" s="61" t="s">
        <v>189</v>
      </c>
      <c r="C211" s="113"/>
      <c r="D211" s="113"/>
      <c r="E211" s="113"/>
      <c r="F211" s="113"/>
      <c r="G211" s="113"/>
      <c r="H211" s="113"/>
      <c r="I211" s="113"/>
      <c r="J211" s="113"/>
      <c r="K211" s="113"/>
      <c r="L211" s="113">
        <v>93</v>
      </c>
      <c r="M211" s="86">
        <f t="shared" si="4"/>
        <v>1.1581569115815692E-2</v>
      </c>
      <c r="N211" s="113">
        <v>3277</v>
      </c>
      <c r="O211" s="86">
        <f t="shared" si="5"/>
        <v>1.5054899618688842E-2</v>
      </c>
      <c r="P211" s="110"/>
      <c r="Q211" s="113">
        <v>41</v>
      </c>
      <c r="R211" s="86">
        <f t="shared" si="6"/>
        <v>5.7047446778906363E-3</v>
      </c>
      <c r="S211" s="113">
        <v>498</v>
      </c>
      <c r="T211" s="86">
        <f t="shared" si="7"/>
        <v>5.4083993092887625E-3</v>
      </c>
      <c r="U211" s="112"/>
      <c r="V211" s="205"/>
      <c r="W211" s="6"/>
    </row>
    <row r="212" spans="1:24" ht="15.6">
      <c r="A212" s="25"/>
      <c r="B212" s="61" t="str">
        <f>B199</f>
        <v>Total Performing  Assets</v>
      </c>
      <c r="C212" s="113"/>
      <c r="D212" s="113"/>
      <c r="E212" s="113"/>
      <c r="F212" s="113"/>
      <c r="G212" s="113"/>
      <c r="H212" s="113"/>
      <c r="I212" s="113"/>
      <c r="J212" s="113"/>
      <c r="K212" s="113"/>
      <c r="L212" s="113">
        <f>SUM(L205:L211)</f>
        <v>8030</v>
      </c>
      <c r="M212" s="86">
        <f>SUM(M205:M211)</f>
        <v>0.99999999999999989</v>
      </c>
      <c r="N212" s="113">
        <f>SUM(N205:N211)</f>
        <v>217670</v>
      </c>
      <c r="O212" s="86">
        <f>SUM(O205:O211)</f>
        <v>0.99999999999999989</v>
      </c>
      <c r="P212" s="110"/>
      <c r="Q212" s="113">
        <f>SUM(Q205:Q211)</f>
        <v>7187</v>
      </c>
      <c r="R212" s="86">
        <f>SUM(R205:R211)</f>
        <v>1</v>
      </c>
      <c r="S212" s="113">
        <f>SUM(S205:S211)</f>
        <v>92079</v>
      </c>
      <c r="T212" s="86">
        <f>SUM(T205:T211)</f>
        <v>1</v>
      </c>
      <c r="U212" s="112"/>
      <c r="V212" s="205"/>
      <c r="W212" s="6"/>
    </row>
    <row r="213" spans="1:24" ht="15.6">
      <c r="A213" s="25"/>
      <c r="B213" s="61" t="s">
        <v>85</v>
      </c>
      <c r="C213" s="113"/>
      <c r="D213" s="113"/>
      <c r="E213" s="113"/>
      <c r="F213" s="113"/>
      <c r="G213" s="113"/>
      <c r="H213" s="113"/>
      <c r="I213" s="113"/>
      <c r="J213" s="113"/>
      <c r="K213" s="113"/>
      <c r="L213" s="113">
        <v>57</v>
      </c>
      <c r="M213" s="116"/>
      <c r="N213" s="113">
        <v>2024</v>
      </c>
      <c r="O213" s="114"/>
      <c r="P213" s="110"/>
      <c r="Q213" s="113">
        <v>25</v>
      </c>
      <c r="R213" s="116"/>
      <c r="S213" s="113">
        <v>306</v>
      </c>
      <c r="T213" s="116"/>
      <c r="U213" s="112"/>
      <c r="V213" s="205"/>
      <c r="W213" s="6"/>
    </row>
    <row r="214" spans="1:24" ht="15.6">
      <c r="A214" s="25"/>
      <c r="B214" s="61" t="s">
        <v>86</v>
      </c>
      <c r="C214" s="113"/>
      <c r="D214" s="113"/>
      <c r="E214" s="113"/>
      <c r="F214" s="113"/>
      <c r="G214" s="113"/>
      <c r="H214" s="113"/>
      <c r="I214" s="113"/>
      <c r="J214" s="113"/>
      <c r="K214" s="113"/>
      <c r="L214" s="113">
        <f>SUM(L212:L213)</f>
        <v>8087</v>
      </c>
      <c r="M214" s="189"/>
      <c r="N214" s="113">
        <f>SUM(N212:N213)</f>
        <v>219694</v>
      </c>
      <c r="O214" s="86"/>
      <c r="P214" s="189"/>
      <c r="Q214" s="113">
        <f>SUM(Q212:Q213)</f>
        <v>7212</v>
      </c>
      <c r="R214" s="189"/>
      <c r="S214" s="113">
        <f>SUM(S212:S213)</f>
        <v>92385</v>
      </c>
      <c r="T214" s="189"/>
      <c r="U214" s="189"/>
      <c r="V214" s="190"/>
    </row>
    <row r="215" spans="1:24" ht="15.6">
      <c r="A215" s="25"/>
      <c r="B215" s="61"/>
      <c r="C215" s="110"/>
      <c r="D215" s="110"/>
      <c r="E215" s="110"/>
      <c r="F215" s="110"/>
      <c r="G215" s="110"/>
      <c r="H215" s="110"/>
      <c r="I215" s="110"/>
      <c r="J215" s="110"/>
      <c r="K215" s="110"/>
      <c r="L215" s="110"/>
      <c r="M215" s="111"/>
      <c r="N215" s="110"/>
      <c r="O215" s="111"/>
      <c r="P215" s="110"/>
      <c r="Q215" s="117"/>
      <c r="R215" s="110"/>
      <c r="S215" s="113"/>
      <c r="T215" s="110"/>
      <c r="U215" s="112"/>
      <c r="V215" s="205"/>
      <c r="W215" s="6"/>
    </row>
    <row r="216" spans="1:24" ht="15.6">
      <c r="A216" s="25"/>
      <c r="B216" s="61" t="s">
        <v>86</v>
      </c>
      <c r="C216" s="110"/>
      <c r="D216" s="110"/>
      <c r="E216" s="110"/>
      <c r="F216" s="110"/>
      <c r="G216" s="110"/>
      <c r="H216" s="110"/>
      <c r="I216" s="110"/>
      <c r="J216" s="110"/>
      <c r="K216" s="110"/>
      <c r="L216" s="110"/>
      <c r="M216" s="111"/>
      <c r="N216" s="110"/>
      <c r="O216" s="111"/>
      <c r="P216" s="110"/>
      <c r="Q216" s="117"/>
      <c r="R216" s="116"/>
      <c r="S216" s="113">
        <f>+N201+S201+N214+S214</f>
        <v>367645</v>
      </c>
      <c r="T216" s="115"/>
      <c r="U216" s="112"/>
      <c r="V216" s="205"/>
      <c r="W216" s="6"/>
      <c r="X216" s="182"/>
    </row>
    <row r="217" spans="1:24" ht="15.6">
      <c r="A217" s="25"/>
      <c r="B217" s="61"/>
      <c r="C217" s="110"/>
      <c r="D217" s="110"/>
      <c r="E217" s="110"/>
      <c r="F217" s="110"/>
      <c r="G217" s="110"/>
      <c r="H217" s="110"/>
      <c r="I217" s="110"/>
      <c r="J217" s="110"/>
      <c r="K217" s="110"/>
      <c r="L217" s="110"/>
      <c r="M217" s="111"/>
      <c r="N217" s="110"/>
      <c r="O217" s="111"/>
      <c r="P217" s="110"/>
      <c r="Q217" s="111"/>
      <c r="R217" s="110"/>
      <c r="S217" s="113"/>
      <c r="T217" s="116"/>
      <c r="U217" s="112"/>
      <c r="V217" s="205"/>
      <c r="W217" s="6"/>
    </row>
    <row r="218" spans="1:24" ht="15.6">
      <c r="A218" s="25"/>
      <c r="B218" s="118" t="s">
        <v>87</v>
      </c>
      <c r="C218" s="110"/>
      <c r="D218" s="110"/>
      <c r="E218" s="110"/>
      <c r="F218" s="110"/>
      <c r="G218" s="110"/>
      <c r="H218" s="110"/>
      <c r="I218" s="110"/>
      <c r="J218" s="110"/>
      <c r="K218" s="110"/>
      <c r="L218" s="110"/>
      <c r="M218" s="111"/>
      <c r="N218" s="110"/>
      <c r="O218" s="111"/>
      <c r="P218" s="110"/>
      <c r="Q218" s="111"/>
      <c r="R218" s="110"/>
      <c r="S218" s="113"/>
      <c r="T218" s="110"/>
      <c r="U218" s="209"/>
      <c r="V218" s="205"/>
      <c r="W218" s="6"/>
    </row>
    <row r="219" spans="1:24" ht="15.6">
      <c r="A219" s="25"/>
      <c r="B219" s="61"/>
      <c r="C219" s="110"/>
      <c r="D219" s="110"/>
      <c r="E219" s="110"/>
      <c r="F219" s="110"/>
      <c r="G219" s="110"/>
      <c r="H219" s="110"/>
      <c r="I219" s="110"/>
      <c r="J219" s="110"/>
      <c r="K219" s="110"/>
      <c r="L219" s="110"/>
      <c r="M219" s="111"/>
      <c r="N219" s="110"/>
      <c r="O219" s="111"/>
      <c r="P219" s="110"/>
      <c r="Q219" s="111"/>
      <c r="R219" s="110"/>
      <c r="S219" s="113"/>
      <c r="T219" s="110"/>
      <c r="U219" s="112"/>
      <c r="V219" s="205"/>
      <c r="W219" s="6"/>
    </row>
    <row r="220" spans="1:24" ht="15.6">
      <c r="A220" s="25"/>
      <c r="B220" s="61" t="s">
        <v>88</v>
      </c>
      <c r="C220" s="110"/>
      <c r="D220" s="110"/>
      <c r="E220" s="110"/>
      <c r="F220" s="110"/>
      <c r="G220" s="110"/>
      <c r="H220" s="110"/>
      <c r="I220" s="110"/>
      <c r="J220" s="110"/>
      <c r="K220" s="110"/>
      <c r="L220" s="110"/>
      <c r="M220" s="111"/>
      <c r="N220" s="110"/>
      <c r="O220" s="111"/>
      <c r="P220" s="110"/>
      <c r="Q220" s="111"/>
      <c r="R220" s="110"/>
      <c r="S220" s="113">
        <v>357432</v>
      </c>
      <c r="T220" s="110"/>
      <c r="U220" s="112"/>
      <c r="V220" s="205"/>
      <c r="W220" s="6"/>
      <c r="X220" s="182"/>
    </row>
    <row r="221" spans="1:24" ht="15.6">
      <c r="A221" s="25"/>
      <c r="B221" s="61" t="s">
        <v>89</v>
      </c>
      <c r="C221" s="110"/>
      <c r="D221" s="110"/>
      <c r="E221" s="110"/>
      <c r="F221" s="110"/>
      <c r="G221" s="110"/>
      <c r="H221" s="110"/>
      <c r="I221" s="110"/>
      <c r="J221" s="110"/>
      <c r="K221" s="110"/>
      <c r="L221" s="110"/>
      <c r="M221" s="111"/>
      <c r="N221" s="110"/>
      <c r="O221" s="111"/>
      <c r="P221" s="110"/>
      <c r="Q221" s="111"/>
      <c r="R221" s="110"/>
      <c r="S221" s="113">
        <f>-U103</f>
        <v>92568</v>
      </c>
      <c r="T221" s="110"/>
      <c r="U221" s="112"/>
      <c r="V221" s="205"/>
      <c r="W221" s="119"/>
    </row>
    <row r="222" spans="1:24" ht="15.6">
      <c r="A222" s="25"/>
      <c r="B222" s="61" t="s">
        <v>90</v>
      </c>
      <c r="C222" s="110"/>
      <c r="D222" s="110"/>
      <c r="E222" s="110"/>
      <c r="F222" s="110"/>
      <c r="G222" s="110"/>
      <c r="H222" s="110"/>
      <c r="I222" s="110"/>
      <c r="J222" s="110"/>
      <c r="K222" s="110"/>
      <c r="L222" s="110"/>
      <c r="M222" s="111"/>
      <c r="N222" s="110"/>
      <c r="O222" s="111"/>
      <c r="P222" s="110"/>
      <c r="Q222" s="111"/>
      <c r="R222" s="110"/>
      <c r="S222" s="113">
        <f>SUM(S220:S221)</f>
        <v>450000</v>
      </c>
      <c r="T222" s="110"/>
      <c r="U222" s="112"/>
      <c r="V222" s="205"/>
      <c r="W222" s="6"/>
    </row>
    <row r="223" spans="1:24" ht="15.6">
      <c r="A223" s="25"/>
      <c r="B223" s="61"/>
      <c r="C223" s="110"/>
      <c r="D223" s="110"/>
      <c r="E223" s="110"/>
      <c r="F223" s="110"/>
      <c r="G223" s="110"/>
      <c r="H223" s="110"/>
      <c r="I223" s="110"/>
      <c r="J223" s="110"/>
      <c r="K223" s="110"/>
      <c r="L223" s="110"/>
      <c r="M223" s="111"/>
      <c r="N223" s="110"/>
      <c r="O223" s="111"/>
      <c r="P223" s="110"/>
      <c r="Q223" s="111"/>
      <c r="R223" s="110"/>
      <c r="S223" s="113"/>
      <c r="T223" s="110"/>
      <c r="U223" s="112"/>
      <c r="V223" s="205"/>
      <c r="W223" s="6"/>
    </row>
    <row r="224" spans="1:24" ht="15.6">
      <c r="A224" s="25"/>
      <c r="B224" s="61" t="s">
        <v>91</v>
      </c>
      <c r="C224" s="110"/>
      <c r="D224" s="110"/>
      <c r="E224" s="110"/>
      <c r="F224" s="110"/>
      <c r="G224" s="110"/>
      <c r="H224" s="110"/>
      <c r="I224" s="110"/>
      <c r="J224" s="110"/>
      <c r="K224" s="110"/>
      <c r="L224" s="110"/>
      <c r="M224" s="111"/>
      <c r="N224" s="110"/>
      <c r="O224" s="111"/>
      <c r="P224" s="110"/>
      <c r="Q224" s="111"/>
      <c r="R224" s="110"/>
      <c r="S224" s="113">
        <f>U33</f>
        <v>450000</v>
      </c>
      <c r="T224" s="110"/>
      <c r="U224" s="112"/>
      <c r="V224" s="205"/>
      <c r="W224" s="6"/>
    </row>
    <row r="225" spans="1:23" ht="15.6">
      <c r="A225" s="25"/>
      <c r="B225" s="61"/>
      <c r="C225" s="110"/>
      <c r="D225" s="110"/>
      <c r="E225" s="110"/>
      <c r="F225" s="110"/>
      <c r="G225" s="110"/>
      <c r="H225" s="110"/>
      <c r="I225" s="110"/>
      <c r="J225" s="110"/>
      <c r="K225" s="110"/>
      <c r="L225" s="110"/>
      <c r="M225" s="111"/>
      <c r="N225" s="110"/>
      <c r="O225" s="111"/>
      <c r="P225" s="110"/>
      <c r="Q225" s="111"/>
      <c r="R225" s="110"/>
      <c r="S225" s="113"/>
      <c r="T225" s="110"/>
      <c r="U225" s="112"/>
      <c r="V225" s="205"/>
      <c r="W225" s="6"/>
    </row>
    <row r="226" spans="1:23" ht="15.6">
      <c r="A226" s="25"/>
      <c r="B226" s="61" t="s">
        <v>92</v>
      </c>
      <c r="C226" s="110"/>
      <c r="D226" s="110"/>
      <c r="E226" s="110"/>
      <c r="F226" s="110"/>
      <c r="G226" s="110"/>
      <c r="H226" s="110"/>
      <c r="I226" s="110"/>
      <c r="J226" s="110"/>
      <c r="K226" s="110"/>
      <c r="L226" s="110"/>
      <c r="M226" s="111"/>
      <c r="N226" s="110"/>
      <c r="O226" s="111"/>
      <c r="P226" s="110"/>
      <c r="Q226" s="111"/>
      <c r="R226" s="110"/>
      <c r="S226" s="113">
        <f>S222/S224</f>
        <v>1</v>
      </c>
      <c r="T226" s="110"/>
      <c r="U226" s="112"/>
      <c r="V226" s="205"/>
      <c r="W226" s="6"/>
    </row>
    <row r="227" spans="1:23" ht="15.6">
      <c r="A227" s="25"/>
      <c r="B227" s="26"/>
      <c r="C227" s="26"/>
      <c r="D227" s="26"/>
      <c r="E227" s="26"/>
      <c r="F227" s="26"/>
      <c r="G227" s="26"/>
      <c r="H227" s="26"/>
      <c r="I227" s="26"/>
      <c r="J227" s="26"/>
      <c r="K227" s="26"/>
      <c r="L227" s="26"/>
      <c r="M227" s="33"/>
      <c r="N227" s="26"/>
      <c r="O227" s="26"/>
      <c r="P227" s="26"/>
      <c r="Q227" s="59"/>
      <c r="R227" s="120"/>
      <c r="S227" s="60"/>
      <c r="T227" s="120"/>
      <c r="U227" s="89"/>
      <c r="V227" s="196"/>
      <c r="W227" s="6"/>
    </row>
    <row r="228" spans="1:23" ht="15.6">
      <c r="A228" s="121"/>
      <c r="B228" s="30" t="s">
        <v>127</v>
      </c>
      <c r="C228" s="122"/>
      <c r="D228" s="122"/>
      <c r="E228" s="122"/>
      <c r="F228" s="122"/>
      <c r="G228" s="122"/>
      <c r="H228" s="122"/>
      <c r="I228" s="122"/>
      <c r="J228" s="122"/>
      <c r="K228" s="122"/>
      <c r="L228" s="122"/>
      <c r="M228" s="110"/>
      <c r="N228" s="112"/>
      <c r="O228" s="30"/>
      <c r="P228" s="123"/>
      <c r="Q228" s="123"/>
      <c r="R228" s="123"/>
      <c r="S228" s="124"/>
      <c r="T228" s="29"/>
      <c r="U228" s="29"/>
      <c r="V228" s="203"/>
      <c r="W228" s="6"/>
    </row>
    <row r="229" spans="1:23" ht="15.6">
      <c r="A229" s="125"/>
      <c r="B229" s="13" t="s">
        <v>128</v>
      </c>
      <c r="C229" s="126"/>
      <c r="D229" s="126"/>
      <c r="E229" s="126"/>
      <c r="F229" s="126"/>
      <c r="G229" s="126"/>
      <c r="H229" s="126"/>
      <c r="I229" s="126"/>
      <c r="J229" s="126"/>
      <c r="K229" s="126"/>
      <c r="L229" s="126"/>
      <c r="M229" s="127"/>
      <c r="N229" s="13"/>
      <c r="O229" s="13"/>
      <c r="P229" s="126"/>
      <c r="Q229" s="126"/>
      <c r="R229" s="12"/>
      <c r="S229" s="12"/>
      <c r="T229" s="12"/>
      <c r="U229" s="12"/>
      <c r="V229" s="207"/>
      <c r="W229" s="6"/>
    </row>
    <row r="230" spans="1:23" ht="15.6">
      <c r="A230" s="125"/>
      <c r="B230" s="13" t="s">
        <v>246</v>
      </c>
      <c r="C230" s="13"/>
      <c r="D230" s="13"/>
      <c r="E230" s="13"/>
      <c r="F230" s="13"/>
      <c r="G230" s="13"/>
      <c r="H230" s="13"/>
      <c r="I230" s="13"/>
      <c r="J230" s="13"/>
      <c r="K230" s="13"/>
      <c r="L230" s="13"/>
      <c r="M230" s="13"/>
      <c r="N230" s="13"/>
      <c r="O230" s="13"/>
      <c r="P230" s="13"/>
      <c r="Q230" s="13"/>
      <c r="R230" s="13"/>
      <c r="S230" s="13"/>
      <c r="T230" s="13"/>
      <c r="U230" s="13"/>
      <c r="V230" s="207"/>
      <c r="W230" s="6"/>
    </row>
    <row r="231" spans="1:23" ht="15.6">
      <c r="A231" s="125"/>
      <c r="B231" s="13" t="s">
        <v>129</v>
      </c>
      <c r="C231" s="126"/>
      <c r="D231" s="126"/>
      <c r="E231" s="126"/>
      <c r="F231" s="126"/>
      <c r="G231" s="126"/>
      <c r="H231" s="126"/>
      <c r="I231" s="126"/>
      <c r="J231" s="126"/>
      <c r="K231" s="126"/>
      <c r="L231" s="126"/>
      <c r="M231" s="127"/>
      <c r="N231" s="13"/>
      <c r="O231" s="13"/>
      <c r="P231" s="126"/>
      <c r="Q231" s="126"/>
      <c r="R231" s="12"/>
      <c r="S231" s="12"/>
      <c r="T231" s="12"/>
      <c r="U231" s="12"/>
      <c r="V231" s="207"/>
      <c r="W231" s="6"/>
    </row>
    <row r="232" spans="1:23" ht="15.6">
      <c r="A232" s="125"/>
      <c r="B232" s="13"/>
      <c r="C232" s="126"/>
      <c r="D232" s="126"/>
      <c r="E232" s="126"/>
      <c r="F232" s="126"/>
      <c r="G232" s="126"/>
      <c r="H232" s="126"/>
      <c r="I232" s="126"/>
      <c r="J232" s="126"/>
      <c r="K232" s="126"/>
      <c r="L232" s="126"/>
      <c r="M232" s="127"/>
      <c r="N232" s="13"/>
      <c r="O232" s="13"/>
      <c r="P232" s="126"/>
      <c r="Q232" s="126"/>
      <c r="R232" s="12"/>
      <c r="S232" s="12"/>
      <c r="T232" s="12"/>
      <c r="U232" s="12"/>
      <c r="V232" s="207"/>
      <c r="W232" s="6"/>
    </row>
    <row r="233" spans="1:23" ht="15.6">
      <c r="A233" s="125"/>
      <c r="B233" s="13"/>
      <c r="C233" s="126"/>
      <c r="D233" s="126"/>
      <c r="E233" s="126"/>
      <c r="F233" s="126"/>
      <c r="G233" s="126"/>
      <c r="H233" s="126"/>
      <c r="I233" s="126"/>
      <c r="J233" s="126"/>
      <c r="K233" s="126"/>
      <c r="L233" s="126"/>
      <c r="M233" s="127"/>
      <c r="N233" s="13"/>
      <c r="O233" s="13"/>
      <c r="P233" s="126"/>
      <c r="Q233" s="126"/>
      <c r="R233" s="12"/>
      <c r="S233" s="12"/>
      <c r="T233" s="12"/>
      <c r="U233" s="12"/>
      <c r="V233" s="207"/>
      <c r="W233" s="6"/>
    </row>
    <row r="234" spans="1:23" ht="16.2" thickBot="1">
      <c r="A234" s="125"/>
      <c r="B234" s="13" t="str">
        <f>+B161</f>
        <v>PPAF3 INVESTOR REPORT QUARTER ENDING JUNE 2008</v>
      </c>
      <c r="C234" s="126"/>
      <c r="D234" s="126"/>
      <c r="E234" s="126"/>
      <c r="F234" s="126"/>
      <c r="G234" s="126"/>
      <c r="H234" s="126"/>
      <c r="I234" s="126"/>
      <c r="J234" s="126"/>
      <c r="K234" s="126"/>
      <c r="L234" s="126"/>
      <c r="M234" s="127"/>
      <c r="N234" s="13"/>
      <c r="O234" s="13"/>
      <c r="P234" s="126"/>
      <c r="Q234" s="126"/>
      <c r="R234" s="12"/>
      <c r="S234" s="12"/>
      <c r="T234" s="12"/>
      <c r="U234" s="12"/>
      <c r="V234" s="208"/>
      <c r="W234" s="6"/>
    </row>
    <row r="235" spans="1:23">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row>
  </sheetData>
  <phoneticPr fontId="0" type="noConversion"/>
  <hyperlinks>
    <hyperlink ref="I9" r:id="rId1"/>
    <hyperlink ref="K188"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16383" man="1"/>
    <brk id="110" max="16383" man="1"/>
    <brk id="161" max="21" man="1"/>
    <brk id="240" man="1"/>
  </rowBreaks>
  <colBreaks count="1" manualBreakCount="1">
    <brk id="23" max="1048575" man="1"/>
  </col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23"/>
  </sheetPr>
  <dimension ref="A1:Y235"/>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 t="s">
        <v>223</v>
      </c>
      <c r="B1" s="3" t="s">
        <v>123</v>
      </c>
      <c r="C1" s="4"/>
      <c r="D1" s="4"/>
      <c r="E1" s="4"/>
      <c r="F1" s="4"/>
      <c r="G1" s="4"/>
      <c r="H1" s="4"/>
      <c r="I1" s="4"/>
      <c r="J1" s="4"/>
      <c r="K1" s="4"/>
      <c r="L1" s="4"/>
      <c r="M1" s="5"/>
      <c r="N1" s="5"/>
      <c r="O1" s="5"/>
      <c r="P1" s="5"/>
      <c r="Q1" s="5"/>
      <c r="R1" s="5"/>
      <c r="S1" s="5"/>
      <c r="T1" s="5"/>
      <c r="U1" s="5"/>
      <c r="V1" s="193"/>
      <c r="W1" s="6"/>
    </row>
    <row r="2" spans="1:23" ht="15.6">
      <c r="A2" s="7"/>
      <c r="B2" s="8"/>
      <c r="C2" s="8"/>
      <c r="D2" s="8"/>
      <c r="E2" s="8"/>
      <c r="F2" s="8"/>
      <c r="G2" s="8"/>
      <c r="H2" s="8"/>
      <c r="I2" s="8"/>
      <c r="J2" s="8"/>
      <c r="K2" s="8"/>
      <c r="L2" s="8"/>
      <c r="M2" s="9"/>
      <c r="N2" s="9"/>
      <c r="O2" s="9"/>
      <c r="P2" s="9"/>
      <c r="Q2" s="9"/>
      <c r="R2" s="9"/>
      <c r="S2" s="9"/>
      <c r="T2" s="9"/>
      <c r="U2" s="9"/>
      <c r="V2" s="194"/>
      <c r="W2" s="6"/>
    </row>
    <row r="3" spans="1:23" ht="15.6">
      <c r="A3" s="10"/>
      <c r="B3" s="141" t="s">
        <v>125</v>
      </c>
      <c r="C3" s="9"/>
      <c r="D3" s="9"/>
      <c r="E3" s="9"/>
      <c r="F3" s="9"/>
      <c r="G3" s="9"/>
      <c r="H3" s="9"/>
      <c r="I3" s="9"/>
      <c r="J3" s="9"/>
      <c r="K3" s="9"/>
      <c r="L3" s="9"/>
      <c r="M3" s="9"/>
      <c r="N3" s="9"/>
      <c r="O3" s="9"/>
      <c r="P3" s="9"/>
      <c r="Q3" s="9"/>
      <c r="R3" s="9"/>
      <c r="S3" s="9"/>
      <c r="T3" s="9"/>
      <c r="U3" s="9"/>
      <c r="V3" s="194"/>
      <c r="W3" s="6"/>
    </row>
    <row r="4" spans="1:23" ht="15.6">
      <c r="A4" s="7"/>
      <c r="B4" s="8"/>
      <c r="C4" s="8"/>
      <c r="D4" s="8"/>
      <c r="E4" s="8"/>
      <c r="F4" s="8"/>
      <c r="G4" s="8"/>
      <c r="H4" s="8"/>
      <c r="I4" s="8"/>
      <c r="J4" s="8"/>
      <c r="K4" s="8"/>
      <c r="L4" s="8"/>
      <c r="M4" s="9"/>
      <c r="N4" s="9"/>
      <c r="O4" s="9"/>
      <c r="P4" s="9"/>
      <c r="Q4" s="9"/>
      <c r="R4" s="9"/>
      <c r="S4" s="9"/>
      <c r="T4" s="9"/>
      <c r="U4" s="9"/>
      <c r="V4" s="194"/>
      <c r="W4" s="6"/>
    </row>
    <row r="5" spans="1:23" ht="16.2">
      <c r="A5" s="7"/>
      <c r="B5" s="192" t="s">
        <v>0</v>
      </c>
      <c r="C5" s="11"/>
      <c r="D5" s="11"/>
      <c r="E5" s="11"/>
      <c r="F5" s="11"/>
      <c r="G5" s="11"/>
      <c r="H5" s="11"/>
      <c r="I5" s="11"/>
      <c r="J5" s="11"/>
      <c r="K5" s="11"/>
      <c r="L5" s="11"/>
      <c r="M5" s="9"/>
      <c r="N5" s="9"/>
      <c r="O5" s="9"/>
      <c r="P5" s="9"/>
      <c r="Q5" s="9"/>
      <c r="R5" s="9"/>
      <c r="S5" s="9"/>
      <c r="T5" s="9"/>
      <c r="U5" s="9"/>
      <c r="V5" s="194"/>
      <c r="W5" s="6"/>
    </row>
    <row r="6" spans="1:23" ht="16.2">
      <c r="A6" s="7"/>
      <c r="B6" s="192" t="s">
        <v>1</v>
      </c>
      <c r="C6" s="11"/>
      <c r="D6" s="11"/>
      <c r="E6" s="11"/>
      <c r="F6" s="11"/>
      <c r="G6" s="11"/>
      <c r="H6" s="11"/>
      <c r="I6" s="11"/>
      <c r="J6" s="11"/>
      <c r="K6" s="11"/>
      <c r="L6" s="11"/>
      <c r="M6" s="9"/>
      <c r="N6" s="9"/>
      <c r="O6" s="9"/>
      <c r="P6" s="9"/>
      <c r="Q6" s="9"/>
      <c r="R6" s="9"/>
      <c r="S6" s="9"/>
      <c r="T6" s="9"/>
      <c r="U6" s="9"/>
      <c r="V6" s="194"/>
      <c r="W6" s="6"/>
    </row>
    <row r="7" spans="1:23" ht="16.2">
      <c r="A7" s="7"/>
      <c r="B7" s="192" t="s">
        <v>2</v>
      </c>
      <c r="C7" s="11"/>
      <c r="D7" s="11"/>
      <c r="E7" s="11"/>
      <c r="F7" s="11"/>
      <c r="G7" s="11"/>
      <c r="H7" s="11"/>
      <c r="I7" s="11"/>
      <c r="J7" s="11"/>
      <c r="K7" s="11"/>
      <c r="L7" s="11"/>
      <c r="M7" s="9"/>
      <c r="N7" s="9"/>
      <c r="O7" s="9"/>
      <c r="P7" s="9"/>
      <c r="Q7" s="9"/>
      <c r="R7" s="9"/>
      <c r="S7" s="9"/>
      <c r="T7" s="9"/>
      <c r="U7" s="9"/>
      <c r="V7" s="194"/>
      <c r="W7" s="6"/>
    </row>
    <row r="8" spans="1:23" ht="16.2">
      <c r="A8" s="7"/>
      <c r="B8" s="12"/>
      <c r="C8" s="11"/>
      <c r="D8" s="11"/>
      <c r="E8" s="11"/>
      <c r="F8" s="11"/>
      <c r="G8" s="11"/>
      <c r="H8" s="11"/>
      <c r="I8" s="11"/>
      <c r="J8" s="11"/>
      <c r="K8" s="11"/>
      <c r="L8" s="11"/>
      <c r="M8" s="9"/>
      <c r="N8" s="9"/>
      <c r="O8" s="9"/>
      <c r="P8" s="9"/>
      <c r="Q8" s="9"/>
      <c r="R8" s="9"/>
      <c r="S8" s="9"/>
      <c r="T8" s="9"/>
      <c r="U8" s="9"/>
      <c r="V8" s="194"/>
      <c r="W8" s="6"/>
    </row>
    <row r="9" spans="1:23" ht="18">
      <c r="A9" s="7"/>
      <c r="B9" s="178" t="s">
        <v>194</v>
      </c>
      <c r="C9" s="11"/>
      <c r="D9" s="11"/>
      <c r="E9" s="11"/>
      <c r="F9" s="11"/>
      <c r="G9" s="11"/>
      <c r="H9" s="11"/>
      <c r="I9" s="179" t="s">
        <v>195</v>
      </c>
      <c r="J9" s="11"/>
      <c r="K9" s="11"/>
      <c r="L9" s="11"/>
      <c r="M9" s="9"/>
      <c r="N9" s="9"/>
      <c r="O9" s="9"/>
      <c r="P9" s="9"/>
      <c r="Q9" s="9"/>
      <c r="R9" s="9"/>
      <c r="S9" s="9"/>
      <c r="T9" s="9"/>
      <c r="U9" s="9"/>
      <c r="V9" s="194"/>
      <c r="W9" s="6"/>
    </row>
    <row r="10" spans="1:23" ht="16.2">
      <c r="A10" s="7"/>
      <c r="B10" s="11"/>
      <c r="C10" s="11"/>
      <c r="D10" s="11"/>
      <c r="E10" s="11"/>
      <c r="F10" s="11"/>
      <c r="G10" s="11"/>
      <c r="H10" s="11"/>
      <c r="I10" s="11"/>
      <c r="J10" s="11"/>
      <c r="K10" s="11"/>
      <c r="L10" s="11"/>
      <c r="M10" s="13"/>
      <c r="N10" s="13"/>
      <c r="O10" s="9"/>
      <c r="P10" s="9"/>
      <c r="Q10" s="9"/>
      <c r="R10" s="9"/>
      <c r="S10" s="9"/>
      <c r="T10" s="9"/>
      <c r="U10" s="9"/>
      <c r="V10" s="194"/>
      <c r="W10" s="6"/>
    </row>
    <row r="11" spans="1:23" ht="15.6">
      <c r="A11" s="7"/>
      <c r="B11" s="13" t="s">
        <v>3</v>
      </c>
      <c r="C11" s="13"/>
      <c r="D11" s="13"/>
      <c r="E11" s="13"/>
      <c r="F11" s="13"/>
      <c r="G11" s="13"/>
      <c r="H11" s="13"/>
      <c r="I11" s="13"/>
      <c r="J11" s="13"/>
      <c r="K11" s="13"/>
      <c r="L11" s="13"/>
      <c r="M11" s="9"/>
      <c r="N11" s="9"/>
      <c r="O11" s="9"/>
      <c r="P11" s="9"/>
      <c r="Q11" s="9"/>
      <c r="R11" s="9"/>
      <c r="S11" s="9"/>
      <c r="T11" s="9"/>
      <c r="U11" s="9"/>
      <c r="V11" s="194"/>
      <c r="W11" s="6"/>
    </row>
    <row r="12" spans="1:23" ht="16.2" thickBot="1">
      <c r="A12" s="7"/>
      <c r="B12" s="13"/>
      <c r="C12" s="13"/>
      <c r="D12" s="13"/>
      <c r="E12" s="13"/>
      <c r="F12" s="13"/>
      <c r="G12" s="13"/>
      <c r="H12" s="13"/>
      <c r="I12" s="13"/>
      <c r="J12" s="13"/>
      <c r="K12" s="13"/>
      <c r="L12" s="13"/>
      <c r="M12" s="9"/>
      <c r="N12" s="9"/>
      <c r="O12" s="9"/>
      <c r="P12" s="9"/>
      <c r="Q12" s="9"/>
      <c r="R12" s="9"/>
      <c r="S12" s="9"/>
      <c r="T12" s="9"/>
      <c r="U12" s="9"/>
      <c r="V12" s="194"/>
      <c r="W12" s="6"/>
    </row>
    <row r="13" spans="1:23" ht="15.6">
      <c r="A13" s="2"/>
      <c r="B13" s="5"/>
      <c r="C13" s="5"/>
      <c r="D13" s="5"/>
      <c r="E13" s="5"/>
      <c r="F13" s="5"/>
      <c r="G13" s="5"/>
      <c r="H13" s="5"/>
      <c r="I13" s="5"/>
      <c r="J13" s="5"/>
      <c r="K13" s="5"/>
      <c r="L13" s="5"/>
      <c r="M13" s="5"/>
      <c r="N13" s="5"/>
      <c r="O13" s="5"/>
      <c r="P13" s="5"/>
      <c r="Q13" s="5"/>
      <c r="R13" s="5"/>
      <c r="S13" s="5"/>
      <c r="T13" s="5"/>
      <c r="U13" s="5"/>
      <c r="V13" s="193"/>
      <c r="W13" s="6"/>
    </row>
    <row r="14" spans="1:23" ht="15.6">
      <c r="A14" s="7"/>
      <c r="B14" s="14" t="s">
        <v>4</v>
      </c>
      <c r="C14" s="14"/>
      <c r="D14" s="14"/>
      <c r="E14" s="14"/>
      <c r="F14" s="14"/>
      <c r="G14" s="14"/>
      <c r="H14" s="14"/>
      <c r="I14" s="14"/>
      <c r="J14" s="14"/>
      <c r="K14" s="14"/>
      <c r="L14" s="14"/>
      <c r="M14" s="15"/>
      <c r="N14" s="15"/>
      <c r="O14" s="15"/>
      <c r="P14" s="15"/>
      <c r="Q14" s="15"/>
      <c r="R14" s="15"/>
      <c r="S14" s="15"/>
      <c r="T14" s="15"/>
      <c r="U14" s="16" t="s">
        <v>126</v>
      </c>
      <c r="V14" s="194"/>
      <c r="W14" s="6"/>
    </row>
    <row r="15" spans="1:23" ht="15.6">
      <c r="A15" s="7"/>
      <c r="B15" s="14" t="s">
        <v>5</v>
      </c>
      <c r="C15" s="14"/>
      <c r="D15" s="14"/>
      <c r="E15" s="14"/>
      <c r="F15" s="14"/>
      <c r="G15" s="14"/>
      <c r="H15" s="14"/>
      <c r="I15" s="14"/>
      <c r="J15" s="14"/>
      <c r="K15" s="14"/>
      <c r="L15" s="14"/>
      <c r="M15" s="17" t="s">
        <v>93</v>
      </c>
      <c r="N15" s="18">
        <v>0.1492</v>
      </c>
      <c r="O15" s="17" t="s">
        <v>99</v>
      </c>
      <c r="P15" s="18">
        <v>5.4399999999999997E-2</v>
      </c>
      <c r="Q15" s="17" t="s">
        <v>102</v>
      </c>
      <c r="R15" s="18">
        <v>0.48899999999999999</v>
      </c>
      <c r="S15" s="17" t="s">
        <v>108</v>
      </c>
      <c r="T15" s="18">
        <v>0.30740000000000001</v>
      </c>
      <c r="U15" s="16"/>
      <c r="V15" s="195"/>
      <c r="W15" s="6"/>
    </row>
    <row r="16" spans="1:23" ht="15.6">
      <c r="A16" s="7"/>
      <c r="B16" s="14" t="s">
        <v>6</v>
      </c>
      <c r="C16" s="14"/>
      <c r="D16" s="14"/>
      <c r="E16" s="14"/>
      <c r="F16" s="14"/>
      <c r="G16" s="14"/>
      <c r="H16" s="14"/>
      <c r="I16" s="14"/>
      <c r="J16" s="14"/>
      <c r="K16" s="14"/>
      <c r="L16" s="14"/>
      <c r="M16" s="17" t="s">
        <v>93</v>
      </c>
      <c r="N16" s="18">
        <f>+N199/S222</f>
        <v>3.6724444444444442E-2</v>
      </c>
      <c r="O16" s="17" t="s">
        <v>99</v>
      </c>
      <c r="P16" s="18">
        <f>+S199/S222</f>
        <v>4.0046666666666668E-2</v>
      </c>
      <c r="Q16" s="17" t="s">
        <v>102</v>
      </c>
      <c r="R16" s="18">
        <f>+N212/S222</f>
        <v>0.53099555555555555</v>
      </c>
      <c r="S16" s="17" t="s">
        <v>108</v>
      </c>
      <c r="T16" s="18">
        <f>+S212/S222</f>
        <v>0.17760222222222222</v>
      </c>
      <c r="U16" s="16"/>
      <c r="V16" s="195"/>
      <c r="W16" s="6"/>
    </row>
    <row r="17" spans="1:23" ht="15.6">
      <c r="A17" s="7"/>
      <c r="B17" s="14" t="s">
        <v>7</v>
      </c>
      <c r="C17" s="14"/>
      <c r="D17" s="14"/>
      <c r="E17" s="14"/>
      <c r="F17" s="14"/>
      <c r="G17" s="14"/>
      <c r="H17" s="14"/>
      <c r="I17" s="14"/>
      <c r="J17" s="14"/>
      <c r="K17" s="14"/>
      <c r="L17" s="14"/>
      <c r="M17" s="15"/>
      <c r="N17" s="15"/>
      <c r="O17" s="15"/>
      <c r="P17" s="15"/>
      <c r="Q17" s="15"/>
      <c r="R17" s="15"/>
      <c r="S17" s="15"/>
      <c r="T17" s="15"/>
      <c r="U17" s="19">
        <v>38491</v>
      </c>
      <c r="V17" s="194"/>
      <c r="W17" s="6"/>
    </row>
    <row r="18" spans="1:23" ht="15.6">
      <c r="A18" s="7"/>
      <c r="B18" s="14" t="s">
        <v>8</v>
      </c>
      <c r="C18" s="14"/>
      <c r="D18" s="14"/>
      <c r="E18" s="14"/>
      <c r="F18" s="14"/>
      <c r="G18" s="14"/>
      <c r="H18" s="14"/>
      <c r="I18" s="14"/>
      <c r="J18" s="14"/>
      <c r="K18" s="14"/>
      <c r="L18" s="14"/>
      <c r="M18" s="15"/>
      <c r="N18" s="15"/>
      <c r="O18" s="15"/>
      <c r="P18" s="15"/>
      <c r="Q18" s="15"/>
      <c r="R18" s="15"/>
      <c r="S18" s="15"/>
      <c r="T18" s="15"/>
      <c r="U18" s="19">
        <v>39743</v>
      </c>
      <c r="V18" s="194"/>
      <c r="W18" s="6"/>
    </row>
    <row r="19" spans="1:23" ht="15.6">
      <c r="A19" s="7"/>
      <c r="B19" s="9"/>
      <c r="C19" s="9"/>
      <c r="D19" s="9"/>
      <c r="E19" s="9"/>
      <c r="F19" s="9"/>
      <c r="G19" s="9"/>
      <c r="H19" s="9"/>
      <c r="I19" s="9"/>
      <c r="J19" s="9"/>
      <c r="K19" s="9"/>
      <c r="L19" s="9"/>
      <c r="M19" s="9"/>
      <c r="N19" s="9"/>
      <c r="O19" s="9"/>
      <c r="P19" s="9"/>
      <c r="Q19" s="9"/>
      <c r="R19" s="9"/>
      <c r="S19" s="9"/>
      <c r="T19" s="9"/>
      <c r="U19" s="20"/>
      <c r="V19" s="194"/>
      <c r="W19" s="6"/>
    </row>
    <row r="20" spans="1:23" ht="15.6">
      <c r="A20" s="7"/>
      <c r="B20" s="21" t="s">
        <v>9</v>
      </c>
      <c r="C20" s="9"/>
      <c r="D20" s="9"/>
      <c r="E20" s="9"/>
      <c r="F20" s="9"/>
      <c r="G20" s="9"/>
      <c r="H20" s="9"/>
      <c r="I20" s="9"/>
      <c r="J20" s="9"/>
      <c r="K20" s="9"/>
      <c r="L20" s="9"/>
      <c r="M20" s="9"/>
      <c r="N20" s="9"/>
      <c r="O20" s="9"/>
      <c r="P20" s="9"/>
      <c r="Q20" s="9"/>
      <c r="R20" s="9"/>
      <c r="S20" s="20"/>
      <c r="T20" s="9"/>
      <c r="U20" s="12"/>
      <c r="V20" s="194"/>
      <c r="W20" s="6"/>
    </row>
    <row r="21" spans="1:23" ht="15.6">
      <c r="A21" s="7"/>
      <c r="B21" s="9"/>
      <c r="C21" s="9"/>
      <c r="D21" s="9"/>
      <c r="E21" s="9"/>
      <c r="F21" s="9"/>
      <c r="G21" s="9"/>
      <c r="H21" s="9"/>
      <c r="I21" s="9"/>
      <c r="J21" s="9"/>
      <c r="K21" s="9"/>
      <c r="L21" s="9"/>
      <c r="M21" s="9"/>
      <c r="N21" s="9"/>
      <c r="O21" s="9"/>
      <c r="P21" s="9"/>
      <c r="Q21" s="9"/>
      <c r="R21" s="9"/>
      <c r="S21" s="9"/>
      <c r="T21" s="9"/>
      <c r="U21" s="22"/>
      <c r="V21" s="194"/>
      <c r="W21" s="6"/>
    </row>
    <row r="22" spans="1:23" ht="15.6">
      <c r="A22" s="7"/>
      <c r="B22" s="9"/>
      <c r="C22" s="142" t="s">
        <v>130</v>
      </c>
      <c r="D22" s="142"/>
      <c r="E22" s="142" t="s">
        <v>131</v>
      </c>
      <c r="F22" s="142"/>
      <c r="G22" s="142" t="s">
        <v>132</v>
      </c>
      <c r="H22" s="142"/>
      <c r="I22" s="142" t="s">
        <v>133</v>
      </c>
      <c r="J22" s="142"/>
      <c r="K22" s="142" t="s">
        <v>134</v>
      </c>
      <c r="L22" s="142"/>
      <c r="M22" s="144" t="s">
        <v>135</v>
      </c>
      <c r="N22" s="144"/>
      <c r="O22" s="144" t="s">
        <v>136</v>
      </c>
      <c r="P22" s="144"/>
      <c r="Q22" s="144" t="s">
        <v>137</v>
      </c>
      <c r="R22" s="23"/>
      <c r="S22" s="24"/>
      <c r="T22" s="12"/>
      <c r="U22" s="12"/>
      <c r="V22" s="194"/>
      <c r="W22" s="6"/>
    </row>
    <row r="23" spans="1:23" ht="15.6">
      <c r="A23" s="25"/>
      <c r="B23" s="26" t="s">
        <v>10</v>
      </c>
      <c r="C23" s="157" t="s">
        <v>96</v>
      </c>
      <c r="D23" s="157"/>
      <c r="E23" s="157" t="s">
        <v>96</v>
      </c>
      <c r="F23" s="157"/>
      <c r="G23" s="157" t="s">
        <v>138</v>
      </c>
      <c r="H23" s="157"/>
      <c r="I23" s="157" t="s">
        <v>138</v>
      </c>
      <c r="J23" s="157"/>
      <c r="K23" s="157" t="s">
        <v>104</v>
      </c>
      <c r="L23" s="143"/>
      <c r="M23" s="28" t="s">
        <v>104</v>
      </c>
      <c r="N23" s="28"/>
      <c r="O23" s="28" t="s">
        <v>109</v>
      </c>
      <c r="P23" s="28"/>
      <c r="Q23" s="28" t="s">
        <v>109</v>
      </c>
      <c r="R23" s="28"/>
      <c r="S23" s="28"/>
      <c r="T23" s="29"/>
      <c r="U23" s="29"/>
      <c r="V23" s="196"/>
      <c r="W23" s="6"/>
    </row>
    <row r="24" spans="1:23" ht="15.6">
      <c r="A24" s="25"/>
      <c r="B24" s="26" t="s">
        <v>11</v>
      </c>
      <c r="C24" s="157" t="s">
        <v>97</v>
      </c>
      <c r="D24" s="157"/>
      <c r="E24" s="157" t="s">
        <v>97</v>
      </c>
      <c r="F24" s="157"/>
      <c r="G24" s="157" t="s">
        <v>139</v>
      </c>
      <c r="H24" s="157"/>
      <c r="I24" s="157" t="s">
        <v>139</v>
      </c>
      <c r="J24" s="157"/>
      <c r="K24" s="157" t="s">
        <v>105</v>
      </c>
      <c r="L24" s="27"/>
      <c r="M24" s="28" t="s">
        <v>105</v>
      </c>
      <c r="N24" s="28"/>
      <c r="O24" s="28" t="s">
        <v>110</v>
      </c>
      <c r="P24" s="28"/>
      <c r="Q24" s="28" t="s">
        <v>110</v>
      </c>
      <c r="R24" s="28"/>
      <c r="S24" s="28"/>
      <c r="T24" s="29"/>
      <c r="U24" s="29"/>
      <c r="V24" s="196"/>
      <c r="W24" s="6"/>
    </row>
    <row r="25" spans="1:23" ht="15.6">
      <c r="A25" s="25"/>
      <c r="B25" s="30" t="s">
        <v>12</v>
      </c>
      <c r="C25" s="110" t="s">
        <v>96</v>
      </c>
      <c r="D25" s="110"/>
      <c r="E25" s="110" t="s">
        <v>96</v>
      </c>
      <c r="F25" s="110"/>
      <c r="G25" s="110" t="s">
        <v>138</v>
      </c>
      <c r="H25" s="110"/>
      <c r="I25" s="110" t="s">
        <v>138</v>
      </c>
      <c r="J25" s="30"/>
      <c r="K25" s="110" t="s">
        <v>104</v>
      </c>
      <c r="L25" s="30"/>
      <c r="M25" s="31" t="s">
        <v>104</v>
      </c>
      <c r="N25" s="28"/>
      <c r="O25" s="31" t="s">
        <v>109</v>
      </c>
      <c r="P25" s="28"/>
      <c r="Q25" s="31" t="s">
        <v>109</v>
      </c>
      <c r="R25" s="31"/>
      <c r="S25" s="31"/>
      <c r="T25" s="32"/>
      <c r="U25" s="29"/>
      <c r="V25" s="196"/>
      <c r="W25" s="6"/>
    </row>
    <row r="26" spans="1:23" ht="15.6">
      <c r="A26" s="25"/>
      <c r="B26" s="30" t="s">
        <v>13</v>
      </c>
      <c r="C26" s="110" t="s">
        <v>97</v>
      </c>
      <c r="D26" s="110"/>
      <c r="E26" s="110" t="s">
        <v>97</v>
      </c>
      <c r="F26" s="110"/>
      <c r="G26" s="110" t="s">
        <v>139</v>
      </c>
      <c r="H26" s="110"/>
      <c r="I26" s="110" t="s">
        <v>139</v>
      </c>
      <c r="J26" s="30"/>
      <c r="K26" s="110" t="s">
        <v>105</v>
      </c>
      <c r="L26" s="30"/>
      <c r="M26" s="31" t="s">
        <v>105</v>
      </c>
      <c r="N26" s="28"/>
      <c r="O26" s="31" t="s">
        <v>110</v>
      </c>
      <c r="P26" s="28"/>
      <c r="Q26" s="31" t="s">
        <v>110</v>
      </c>
      <c r="R26" s="31"/>
      <c r="S26" s="31"/>
      <c r="T26" s="32"/>
      <c r="U26" s="29"/>
      <c r="V26" s="196"/>
      <c r="W26" s="6"/>
    </row>
    <row r="27" spans="1:23" ht="15.6">
      <c r="A27" s="25"/>
      <c r="B27" s="26" t="s">
        <v>14</v>
      </c>
      <c r="C27" s="33" t="s">
        <v>140</v>
      </c>
      <c r="D27" s="26"/>
      <c r="E27" s="33" t="s">
        <v>141</v>
      </c>
      <c r="F27" s="26"/>
      <c r="G27" s="33" t="s">
        <v>142</v>
      </c>
      <c r="H27" s="26"/>
      <c r="I27" s="33" t="s">
        <v>258</v>
      </c>
      <c r="J27" s="26"/>
      <c r="K27" s="33" t="s">
        <v>143</v>
      </c>
      <c r="L27" s="26"/>
      <c r="M27" s="26" t="s">
        <v>144</v>
      </c>
      <c r="N27" s="28"/>
      <c r="O27" s="26" t="s">
        <v>145</v>
      </c>
      <c r="P27" s="28"/>
      <c r="Q27" s="26" t="s">
        <v>146</v>
      </c>
      <c r="R27" s="28"/>
      <c r="S27" s="33"/>
      <c r="T27" s="29"/>
      <c r="U27" s="29"/>
      <c r="V27" s="196"/>
      <c r="W27" s="6"/>
    </row>
    <row r="28" spans="1:23" ht="15.6">
      <c r="A28" s="25"/>
      <c r="B28" s="26" t="s">
        <v>147</v>
      </c>
      <c r="C28" s="168">
        <v>146000</v>
      </c>
      <c r="D28" s="33"/>
      <c r="E28" s="165">
        <v>259500</v>
      </c>
      <c r="F28" s="33"/>
      <c r="G28" s="168">
        <v>16000</v>
      </c>
      <c r="H28" s="33"/>
      <c r="I28" s="165">
        <v>35500</v>
      </c>
      <c r="J28" s="26"/>
      <c r="K28" s="168">
        <v>18000</v>
      </c>
      <c r="L28" s="26"/>
      <c r="M28" s="165">
        <v>33000</v>
      </c>
      <c r="N28" s="35"/>
      <c r="O28" s="34">
        <v>24500</v>
      </c>
      <c r="P28" s="34"/>
      <c r="Q28" s="165">
        <v>30000</v>
      </c>
      <c r="R28" s="34"/>
      <c r="S28" s="34"/>
      <c r="T28" s="36"/>
      <c r="U28" s="34"/>
      <c r="V28" s="197"/>
      <c r="W28" s="6"/>
    </row>
    <row r="29" spans="1:23" ht="15.6">
      <c r="A29" s="25"/>
      <c r="B29" s="26" t="s">
        <v>15</v>
      </c>
      <c r="C29" s="168">
        <v>146000</v>
      </c>
      <c r="D29" s="169"/>
      <c r="E29" s="165">
        <v>259500</v>
      </c>
      <c r="F29" s="169"/>
      <c r="G29" s="168">
        <v>16000</v>
      </c>
      <c r="H29" s="169"/>
      <c r="I29" s="165">
        <v>35500</v>
      </c>
      <c r="J29" s="38"/>
      <c r="K29" s="168">
        <v>18000</v>
      </c>
      <c r="L29" s="38"/>
      <c r="M29" s="165">
        <v>33000</v>
      </c>
      <c r="N29" s="35"/>
      <c r="O29" s="34">
        <v>24500</v>
      </c>
      <c r="P29" s="34"/>
      <c r="Q29" s="165">
        <v>30000</v>
      </c>
      <c r="R29" s="39"/>
      <c r="S29" s="34"/>
      <c r="T29" s="36"/>
      <c r="U29" s="34"/>
      <c r="V29" s="197"/>
      <c r="W29" s="6"/>
    </row>
    <row r="30" spans="1:23" ht="15.6">
      <c r="A30" s="40"/>
      <c r="B30" s="30" t="s">
        <v>148</v>
      </c>
      <c r="C30" s="162">
        <v>146000</v>
      </c>
      <c r="D30" s="170"/>
      <c r="E30" s="171">
        <v>259500</v>
      </c>
      <c r="F30" s="170"/>
      <c r="G30" s="162">
        <v>16000</v>
      </c>
      <c r="H30" s="170"/>
      <c r="I30" s="171">
        <v>35500</v>
      </c>
      <c r="J30" s="159"/>
      <c r="K30" s="162">
        <v>18000</v>
      </c>
      <c r="L30" s="41"/>
      <c r="M30" s="166">
        <v>33000</v>
      </c>
      <c r="N30" s="43"/>
      <c r="O30" s="42">
        <v>24500</v>
      </c>
      <c r="P30" s="42"/>
      <c r="Q30" s="166">
        <v>30000</v>
      </c>
      <c r="R30" s="42"/>
      <c r="S30" s="42"/>
      <c r="T30" s="44"/>
      <c r="U30" s="42"/>
      <c r="V30" s="196"/>
      <c r="W30" s="6"/>
    </row>
    <row r="31" spans="1:23" ht="15.6">
      <c r="A31" s="40"/>
      <c r="B31" s="158" t="s">
        <v>260</v>
      </c>
      <c r="C31" s="172">
        <v>146000</v>
      </c>
      <c r="D31" s="173"/>
      <c r="E31" s="172">
        <v>178000</v>
      </c>
      <c r="F31" s="172"/>
      <c r="G31" s="172">
        <v>16000</v>
      </c>
      <c r="H31" s="172"/>
      <c r="I31" s="172">
        <v>24500</v>
      </c>
      <c r="J31" s="161"/>
      <c r="K31" s="172">
        <v>18000</v>
      </c>
      <c r="L31" s="161"/>
      <c r="M31" s="167">
        <v>22500</v>
      </c>
      <c r="N31" s="164"/>
      <c r="O31" s="167">
        <v>24500</v>
      </c>
      <c r="P31" s="163"/>
      <c r="Q31" s="167">
        <v>20500</v>
      </c>
      <c r="R31" s="42"/>
      <c r="S31" s="42"/>
      <c r="T31" s="44"/>
      <c r="U31" s="34">
        <f>+Q31+O31+M31+K31+I31+G31+E31+C31</f>
        <v>450000</v>
      </c>
      <c r="V31" s="196"/>
      <c r="W31" s="6"/>
    </row>
    <row r="32" spans="1:23" ht="15.6">
      <c r="A32" s="40"/>
      <c r="B32" s="158" t="s">
        <v>261</v>
      </c>
      <c r="C32" s="172">
        <v>146000</v>
      </c>
      <c r="D32" s="173"/>
      <c r="E32" s="172">
        <v>178000</v>
      </c>
      <c r="F32" s="172"/>
      <c r="G32" s="172">
        <v>16000</v>
      </c>
      <c r="H32" s="172"/>
      <c r="I32" s="172">
        <v>24500</v>
      </c>
      <c r="J32" s="161"/>
      <c r="K32" s="172">
        <v>18000</v>
      </c>
      <c r="L32" s="161"/>
      <c r="M32" s="167">
        <v>22500</v>
      </c>
      <c r="N32" s="164"/>
      <c r="O32" s="167">
        <v>24500</v>
      </c>
      <c r="P32" s="163"/>
      <c r="Q32" s="167">
        <v>20500</v>
      </c>
      <c r="R32" s="42"/>
      <c r="S32" s="42"/>
      <c r="T32" s="44"/>
      <c r="U32" s="34">
        <f>+Q32+O32+M32+K32+I32+G32+E32+C32</f>
        <v>450000</v>
      </c>
      <c r="V32" s="196"/>
      <c r="W32" s="6"/>
    </row>
    <row r="33" spans="1:23" ht="15.6">
      <c r="A33" s="40"/>
      <c r="B33" s="30" t="s">
        <v>262</v>
      </c>
      <c r="C33" s="162">
        <v>146000</v>
      </c>
      <c r="D33" s="162"/>
      <c r="E33" s="162">
        <v>178000</v>
      </c>
      <c r="F33" s="162"/>
      <c r="G33" s="162">
        <v>16000</v>
      </c>
      <c r="H33" s="162"/>
      <c r="I33" s="162">
        <v>24500</v>
      </c>
      <c r="J33" s="160"/>
      <c r="K33" s="162">
        <v>18000</v>
      </c>
      <c r="L33" s="160"/>
      <c r="M33" s="162">
        <v>22500</v>
      </c>
      <c r="N33" s="160"/>
      <c r="O33" s="162">
        <v>24500</v>
      </c>
      <c r="P33" s="162"/>
      <c r="Q33" s="162">
        <v>20500</v>
      </c>
      <c r="R33" s="42"/>
      <c r="S33" s="42"/>
      <c r="T33" s="44"/>
      <c r="U33" s="42">
        <f>+Q33+O33+M33+K33+I33+G33+E33+C33</f>
        <v>450000</v>
      </c>
      <c r="V33" s="196"/>
      <c r="W33" s="6"/>
    </row>
    <row r="34" spans="1:23" ht="15.6">
      <c r="A34" s="40"/>
      <c r="B34" s="174" t="s">
        <v>149</v>
      </c>
      <c r="C34" s="175">
        <v>1</v>
      </c>
      <c r="D34" s="175"/>
      <c r="E34" s="175">
        <v>1</v>
      </c>
      <c r="F34" s="175"/>
      <c r="G34" s="175">
        <v>1</v>
      </c>
      <c r="H34" s="175"/>
      <c r="I34" s="175">
        <v>1</v>
      </c>
      <c r="J34" s="175"/>
      <c r="K34" s="175">
        <v>1</v>
      </c>
      <c r="L34" s="175"/>
      <c r="M34" s="175">
        <v>1</v>
      </c>
      <c r="N34" s="175"/>
      <c r="O34" s="175">
        <v>1</v>
      </c>
      <c r="P34" s="175"/>
      <c r="Q34" s="175">
        <v>1</v>
      </c>
      <c r="R34" s="176"/>
      <c r="S34" s="42"/>
      <c r="T34" s="44"/>
      <c r="U34" s="42"/>
      <c r="V34" s="196"/>
      <c r="W34" s="6"/>
    </row>
    <row r="35" spans="1:23" ht="15.6">
      <c r="A35" s="40"/>
      <c r="B35" s="174" t="s">
        <v>150</v>
      </c>
      <c r="C35" s="175">
        <v>1</v>
      </c>
      <c r="D35" s="175"/>
      <c r="E35" s="175">
        <v>1</v>
      </c>
      <c r="F35" s="175"/>
      <c r="G35" s="175">
        <v>1</v>
      </c>
      <c r="H35" s="175"/>
      <c r="I35" s="175">
        <v>1</v>
      </c>
      <c r="J35" s="175"/>
      <c r="K35" s="175">
        <v>1</v>
      </c>
      <c r="L35" s="175"/>
      <c r="M35" s="175">
        <v>1</v>
      </c>
      <c r="N35" s="175"/>
      <c r="O35" s="175">
        <v>1</v>
      </c>
      <c r="P35" s="175"/>
      <c r="Q35" s="175">
        <v>1</v>
      </c>
      <c r="R35" s="176"/>
      <c r="S35" s="42"/>
      <c r="T35" s="44"/>
      <c r="U35" s="42"/>
      <c r="V35" s="196"/>
      <c r="W35" s="6"/>
    </row>
    <row r="36" spans="1:23" ht="15.6">
      <c r="A36" s="25"/>
      <c r="B36" s="26" t="s">
        <v>153</v>
      </c>
      <c r="C36" s="157" t="s">
        <v>157</v>
      </c>
      <c r="D36" s="157"/>
      <c r="E36" s="157" t="s">
        <v>157</v>
      </c>
      <c r="F36" s="157"/>
      <c r="G36" s="157" t="s">
        <v>158</v>
      </c>
      <c r="H36" s="157"/>
      <c r="I36" s="157" t="s">
        <v>158</v>
      </c>
      <c r="J36" s="157"/>
      <c r="K36" s="157" t="s">
        <v>159</v>
      </c>
      <c r="L36" s="184"/>
      <c r="M36" s="157" t="s">
        <v>160</v>
      </c>
      <c r="N36" s="158"/>
      <c r="O36" s="157" t="s">
        <v>161</v>
      </c>
      <c r="P36" s="157"/>
      <c r="Q36" s="157" t="s">
        <v>162</v>
      </c>
      <c r="R36" s="157"/>
      <c r="S36" s="157"/>
      <c r="T36" s="158"/>
      <c r="U36" s="29"/>
      <c r="V36" s="196"/>
      <c r="W36" s="6"/>
    </row>
    <row r="37" spans="1:23" ht="15.6">
      <c r="A37" s="25"/>
      <c r="B37" s="26" t="s">
        <v>151</v>
      </c>
      <c r="C37" s="185">
        <v>6.0393799999999997E-2</v>
      </c>
      <c r="D37" s="185"/>
      <c r="E37" s="185">
        <v>5.1830000000000001E-2</v>
      </c>
      <c r="F37" s="185"/>
      <c r="G37" s="185">
        <v>6.1493800000000001E-2</v>
      </c>
      <c r="H37" s="185"/>
      <c r="I37" s="185">
        <v>5.2929999999999998E-2</v>
      </c>
      <c r="J37" s="185"/>
      <c r="K37" s="185">
        <v>6.4193799999999995E-2</v>
      </c>
      <c r="L37" s="185"/>
      <c r="M37" s="185">
        <v>5.5329999999999997E-2</v>
      </c>
      <c r="N37" s="185"/>
      <c r="O37" s="185">
        <v>6.7693799999999998E-2</v>
      </c>
      <c r="P37" s="185"/>
      <c r="Q37" s="185">
        <v>5.8630000000000002E-2</v>
      </c>
      <c r="R37" s="186"/>
      <c r="S37" s="185"/>
      <c r="T37" s="158"/>
      <c r="U37" s="33"/>
      <c r="V37" s="196"/>
      <c r="W37" s="6"/>
    </row>
    <row r="38" spans="1:23" ht="15.6">
      <c r="A38" s="25"/>
      <c r="B38" s="26" t="s">
        <v>152</v>
      </c>
      <c r="C38" s="185">
        <v>6.1493800000000001E-2</v>
      </c>
      <c r="D38" s="185"/>
      <c r="E38" s="185">
        <v>4.9669999999999999E-2</v>
      </c>
      <c r="F38" s="185"/>
      <c r="G38" s="185">
        <v>6.2593800000000005E-2</v>
      </c>
      <c r="H38" s="185"/>
      <c r="I38" s="185">
        <v>5.0770000000000003E-2</v>
      </c>
      <c r="J38" s="185"/>
      <c r="K38" s="185">
        <v>6.5293799999999999E-2</v>
      </c>
      <c r="L38" s="185"/>
      <c r="M38" s="185">
        <v>5.3170000000000002E-2</v>
      </c>
      <c r="N38" s="185"/>
      <c r="O38" s="185">
        <v>6.8793800000000002E-2</v>
      </c>
      <c r="P38" s="185"/>
      <c r="Q38" s="185">
        <v>5.6469999999999999E-2</v>
      </c>
      <c r="R38" s="186"/>
      <c r="S38" s="185"/>
      <c r="T38" s="158"/>
      <c r="U38" s="29"/>
      <c r="V38" s="196"/>
      <c r="W38" s="6"/>
    </row>
    <row r="39" spans="1:23" ht="15.6">
      <c r="A39" s="25"/>
      <c r="B39" s="26" t="s">
        <v>263</v>
      </c>
      <c r="C39" s="157" t="s">
        <v>157</v>
      </c>
      <c r="D39" s="185"/>
      <c r="E39" s="185" t="s">
        <v>198</v>
      </c>
      <c r="F39" s="185"/>
      <c r="G39" s="157" t="s">
        <v>158</v>
      </c>
      <c r="H39" s="185"/>
      <c r="I39" s="185" t="s">
        <v>225</v>
      </c>
      <c r="J39" s="185"/>
      <c r="K39" s="157" t="s">
        <v>159</v>
      </c>
      <c r="L39" s="185"/>
      <c r="M39" s="185" t="s">
        <v>199</v>
      </c>
      <c r="N39" s="185"/>
      <c r="O39" s="157" t="s">
        <v>161</v>
      </c>
      <c r="P39" s="185"/>
      <c r="Q39" s="185" t="s">
        <v>200</v>
      </c>
      <c r="R39" s="186"/>
      <c r="S39" s="185"/>
      <c r="T39" s="158"/>
      <c r="U39" s="29"/>
      <c r="V39" s="196"/>
      <c r="W39" s="6"/>
    </row>
    <row r="40" spans="1:23" ht="15.6">
      <c r="A40" s="25"/>
      <c r="B40" s="26" t="s">
        <v>264</v>
      </c>
      <c r="C40" s="185">
        <f>+C37</f>
        <v>6.0393799999999997E-2</v>
      </c>
      <c r="D40" s="185"/>
      <c r="E40" s="185">
        <v>6.0681800000000001E-2</v>
      </c>
      <c r="F40" s="185"/>
      <c r="G40" s="185">
        <f>+G37</f>
        <v>6.1493800000000001E-2</v>
      </c>
      <c r="H40" s="185"/>
      <c r="I40" s="185">
        <v>6.18603E-2</v>
      </c>
      <c r="J40" s="185"/>
      <c r="K40" s="185">
        <f>+K37</f>
        <v>6.4193799999999995E-2</v>
      </c>
      <c r="L40" s="184"/>
      <c r="M40" s="185">
        <v>6.4474000000000004E-2</v>
      </c>
      <c r="N40" s="184"/>
      <c r="O40" s="185">
        <f>+O37</f>
        <v>6.7693799999999998E-2</v>
      </c>
      <c r="P40" s="185"/>
      <c r="Q40" s="185">
        <v>6.8107000000000001E-2</v>
      </c>
      <c r="R40" s="186"/>
      <c r="S40" s="185"/>
      <c r="T40" s="158"/>
      <c r="U40" s="45">
        <f>SUMPRODUCT(C40:Q40,C31:Q31)/U31</f>
        <v>6.1731507444444438E-2</v>
      </c>
      <c r="V40" s="196"/>
      <c r="W40" s="6"/>
    </row>
    <row r="41" spans="1:23" ht="15.6">
      <c r="A41" s="25"/>
      <c r="B41" s="26" t="s">
        <v>265</v>
      </c>
      <c r="C41" s="185">
        <f>+C38</f>
        <v>6.1493800000000001E-2</v>
      </c>
      <c r="D41" s="185"/>
      <c r="E41" s="185">
        <v>6.1781799999999998E-2</v>
      </c>
      <c r="F41" s="185"/>
      <c r="G41" s="185">
        <f>+G38</f>
        <v>6.2593800000000005E-2</v>
      </c>
      <c r="H41" s="185"/>
      <c r="I41" s="185">
        <v>6.2960299999999997E-2</v>
      </c>
      <c r="J41" s="185"/>
      <c r="K41" s="185">
        <f>+K38</f>
        <v>6.5293799999999999E-2</v>
      </c>
      <c r="L41" s="184"/>
      <c r="M41" s="185">
        <v>6.5573999999999993E-2</v>
      </c>
      <c r="N41" s="184"/>
      <c r="O41" s="185">
        <f>+O38</f>
        <v>6.8793800000000002E-2</v>
      </c>
      <c r="P41" s="185"/>
      <c r="Q41" s="185">
        <v>6.9207000000000005E-2</v>
      </c>
      <c r="R41" s="186"/>
      <c r="S41" s="185"/>
      <c r="T41" s="158"/>
      <c r="U41" s="29"/>
      <c r="V41" s="196"/>
      <c r="W41" s="6"/>
    </row>
    <row r="42" spans="1:23" ht="15.6">
      <c r="A42" s="25"/>
      <c r="B42" s="26" t="s">
        <v>17</v>
      </c>
      <c r="C42" s="187">
        <v>39918</v>
      </c>
      <c r="D42" s="187"/>
      <c r="E42" s="187">
        <v>39918</v>
      </c>
      <c r="F42" s="187"/>
      <c r="G42" s="187">
        <v>39918</v>
      </c>
      <c r="H42" s="187"/>
      <c r="I42" s="187">
        <v>39918</v>
      </c>
      <c r="J42" s="187"/>
      <c r="K42" s="187">
        <v>39918</v>
      </c>
      <c r="L42" s="187"/>
      <c r="M42" s="187">
        <v>39918</v>
      </c>
      <c r="N42" s="187"/>
      <c r="O42" s="187">
        <v>39918</v>
      </c>
      <c r="P42" s="187"/>
      <c r="Q42" s="187">
        <v>39918</v>
      </c>
      <c r="R42" s="157"/>
      <c r="S42" s="157"/>
      <c r="T42" s="158"/>
      <c r="U42" s="29"/>
      <c r="V42" s="196"/>
      <c r="W42" s="6"/>
    </row>
    <row r="43" spans="1:23" ht="15.6">
      <c r="A43" s="25"/>
      <c r="B43" s="26" t="s">
        <v>18</v>
      </c>
      <c r="C43" s="46">
        <v>40283</v>
      </c>
      <c r="D43" s="51"/>
      <c r="E43" s="46">
        <v>40283</v>
      </c>
      <c r="F43" s="51"/>
      <c r="G43" s="46">
        <v>40283</v>
      </c>
      <c r="H43" s="51"/>
      <c r="I43" s="46">
        <v>40283</v>
      </c>
      <c r="J43" s="51"/>
      <c r="K43" s="46">
        <v>40283</v>
      </c>
      <c r="L43" s="51"/>
      <c r="M43" s="46">
        <v>40283</v>
      </c>
      <c r="N43" s="51"/>
      <c r="O43" s="46">
        <v>40283</v>
      </c>
      <c r="P43" s="46"/>
      <c r="Q43" s="46">
        <v>40283</v>
      </c>
      <c r="R43" s="33"/>
      <c r="S43" s="33"/>
      <c r="T43" s="29"/>
      <c r="U43" s="29"/>
      <c r="V43" s="196"/>
      <c r="W43" s="6"/>
    </row>
    <row r="44" spans="1:23" ht="15.6">
      <c r="A44" s="25"/>
      <c r="B44" s="26" t="s">
        <v>154</v>
      </c>
      <c r="C44" s="33" t="s">
        <v>163</v>
      </c>
      <c r="D44" s="33"/>
      <c r="E44" s="33" t="s">
        <v>163</v>
      </c>
      <c r="F44" s="33"/>
      <c r="G44" s="33" t="s">
        <v>164</v>
      </c>
      <c r="H44" s="33"/>
      <c r="I44" s="33" t="s">
        <v>164</v>
      </c>
      <c r="J44" s="33"/>
      <c r="K44" s="33" t="s">
        <v>106</v>
      </c>
      <c r="L44" s="33"/>
      <c r="M44" s="33" t="s">
        <v>165</v>
      </c>
      <c r="N44" s="33"/>
      <c r="O44" s="33" t="s">
        <v>166</v>
      </c>
      <c r="P44" s="33"/>
      <c r="Q44" s="33" t="s">
        <v>167</v>
      </c>
      <c r="R44" s="33"/>
      <c r="S44" s="33"/>
      <c r="T44" s="29"/>
      <c r="U44" s="29"/>
      <c r="V44" s="196"/>
      <c r="W44" s="6"/>
    </row>
    <row r="45" spans="1:23" ht="15.6">
      <c r="A45" s="25"/>
      <c r="B45" s="26" t="s">
        <v>266</v>
      </c>
      <c r="C45" s="33" t="s">
        <v>163</v>
      </c>
      <c r="D45" s="26"/>
      <c r="E45" s="33" t="s">
        <v>228</v>
      </c>
      <c r="F45" s="26"/>
      <c r="G45" s="33" t="s">
        <v>164</v>
      </c>
      <c r="H45" s="26"/>
      <c r="I45" s="33" t="s">
        <v>226</v>
      </c>
      <c r="J45" s="26"/>
      <c r="K45" s="33" t="s">
        <v>106</v>
      </c>
      <c r="L45" s="26"/>
      <c r="M45" s="33" t="s">
        <v>227</v>
      </c>
      <c r="N45" s="26"/>
      <c r="O45" s="33" t="s">
        <v>166</v>
      </c>
      <c r="P45" s="33"/>
      <c r="Q45" s="33" t="s">
        <v>229</v>
      </c>
      <c r="R45" s="33"/>
      <c r="S45" s="33"/>
      <c r="T45" s="29"/>
      <c r="U45" s="29"/>
      <c r="V45" s="196"/>
      <c r="W45" s="6"/>
    </row>
    <row r="46" spans="1:23" ht="15.6">
      <c r="A46" s="25"/>
      <c r="B46" s="26"/>
      <c r="C46" s="26"/>
      <c r="D46" s="26"/>
      <c r="E46" s="26"/>
      <c r="F46" s="26"/>
      <c r="G46" s="26"/>
      <c r="H46" s="26"/>
      <c r="I46" s="26"/>
      <c r="J46" s="26"/>
      <c r="K46" s="26"/>
      <c r="L46" s="26"/>
      <c r="M46" s="47"/>
      <c r="N46" s="47"/>
      <c r="O46" s="26"/>
      <c r="P46" s="47"/>
      <c r="Q46" s="47"/>
      <c r="R46" s="47"/>
      <c r="S46" s="47"/>
      <c r="T46" s="47"/>
      <c r="U46" s="47"/>
      <c r="V46" s="196"/>
      <c r="W46" s="6"/>
    </row>
    <row r="47" spans="1:23" ht="15.6">
      <c r="A47" s="25"/>
      <c r="B47" s="26" t="s">
        <v>201</v>
      </c>
      <c r="C47" s="26"/>
      <c r="D47" s="26"/>
      <c r="E47" s="26"/>
      <c r="F47" s="26"/>
      <c r="G47" s="26"/>
      <c r="H47" s="26"/>
      <c r="I47" s="26"/>
      <c r="J47" s="26"/>
      <c r="K47" s="26"/>
      <c r="L47" s="26"/>
      <c r="M47" s="26"/>
      <c r="N47" s="26"/>
      <c r="O47" s="26"/>
      <c r="P47" s="26"/>
      <c r="Q47" s="26"/>
      <c r="R47" s="26"/>
      <c r="S47" s="26"/>
      <c r="T47" s="26"/>
      <c r="U47" s="45">
        <f>SUM(G31:Q31)/(C31+E31)</f>
        <v>0.3888888888888889</v>
      </c>
      <c r="V47" s="196"/>
      <c r="W47" s="6"/>
    </row>
    <row r="48" spans="1:23" ht="15.6">
      <c r="A48" s="25"/>
      <c r="B48" s="26" t="s">
        <v>202</v>
      </c>
      <c r="C48" s="26"/>
      <c r="D48" s="26"/>
      <c r="E48" s="26"/>
      <c r="F48" s="26"/>
      <c r="G48" s="26"/>
      <c r="H48" s="26"/>
      <c r="I48" s="26"/>
      <c r="J48" s="26"/>
      <c r="K48" s="26"/>
      <c r="L48" s="26"/>
      <c r="M48" s="26"/>
      <c r="N48" s="26"/>
      <c r="O48" s="26"/>
      <c r="P48" s="26"/>
      <c r="Q48" s="26"/>
      <c r="R48" s="26"/>
      <c r="S48" s="26"/>
      <c r="T48" s="26"/>
      <c r="U48" s="45">
        <f>SUM(F33:Q33)/(C33+E33)</f>
        <v>0.3888888888888889</v>
      </c>
      <c r="V48" s="196"/>
      <c r="W48" s="6"/>
    </row>
    <row r="49" spans="1:23" ht="15.6">
      <c r="A49" s="25"/>
      <c r="B49" s="26" t="s">
        <v>203</v>
      </c>
      <c r="C49" s="26"/>
      <c r="D49" s="26"/>
      <c r="E49" s="26"/>
      <c r="F49" s="26"/>
      <c r="G49" s="26"/>
      <c r="H49" s="26"/>
      <c r="I49" s="26"/>
      <c r="J49" s="26"/>
      <c r="K49" s="26"/>
      <c r="L49" s="26"/>
      <c r="M49" s="26"/>
      <c r="N49" s="26"/>
      <c r="O49" s="26"/>
      <c r="P49" s="26"/>
      <c r="Q49" s="26"/>
      <c r="R49" s="26"/>
      <c r="S49" s="33" t="s">
        <v>95</v>
      </c>
      <c r="T49" s="33" t="s">
        <v>117</v>
      </c>
      <c r="U49" s="34">
        <v>99000</v>
      </c>
      <c r="V49" s="196"/>
      <c r="W49" s="6"/>
    </row>
    <row r="50" spans="1:23" ht="15.6">
      <c r="A50" s="25"/>
      <c r="B50" s="26"/>
      <c r="C50" s="26"/>
      <c r="D50" s="26"/>
      <c r="E50" s="26"/>
      <c r="F50" s="26"/>
      <c r="G50" s="26"/>
      <c r="H50" s="26"/>
      <c r="I50" s="26"/>
      <c r="J50" s="26"/>
      <c r="K50" s="26"/>
      <c r="L50" s="26"/>
      <c r="M50" s="26"/>
      <c r="N50" s="26"/>
      <c r="O50" s="26"/>
      <c r="P50" s="26"/>
      <c r="Q50" s="26"/>
      <c r="R50" s="26"/>
      <c r="S50" s="26" t="s">
        <v>213</v>
      </c>
      <c r="T50" s="26"/>
      <c r="U50" s="48"/>
      <c r="V50" s="196"/>
      <c r="W50" s="6"/>
    </row>
    <row r="51" spans="1:23" ht="15.6">
      <c r="A51" s="25"/>
      <c r="B51" s="26" t="s">
        <v>19</v>
      </c>
      <c r="C51" s="26"/>
      <c r="D51" s="26"/>
      <c r="E51" s="26"/>
      <c r="F51" s="26"/>
      <c r="G51" s="26"/>
      <c r="H51" s="26"/>
      <c r="I51" s="26"/>
      <c r="J51" s="26"/>
      <c r="K51" s="26"/>
      <c r="L51" s="26"/>
      <c r="M51" s="26"/>
      <c r="N51" s="26"/>
      <c r="O51" s="26"/>
      <c r="P51" s="26"/>
      <c r="Q51" s="26"/>
      <c r="R51" s="26"/>
      <c r="S51" s="33"/>
      <c r="T51" s="33"/>
      <c r="U51" s="33" t="s">
        <v>118</v>
      </c>
      <c r="V51" s="196"/>
      <c r="W51" s="6"/>
    </row>
    <row r="52" spans="1:23" ht="15.6">
      <c r="A52" s="40"/>
      <c r="B52" s="30" t="s">
        <v>20</v>
      </c>
      <c r="C52" s="30"/>
      <c r="D52" s="30"/>
      <c r="E52" s="30"/>
      <c r="F52" s="30"/>
      <c r="G52" s="30"/>
      <c r="H52" s="30"/>
      <c r="I52" s="30"/>
      <c r="J52" s="30"/>
      <c r="K52" s="30"/>
      <c r="L52" s="30"/>
      <c r="M52" s="30"/>
      <c r="N52" s="30"/>
      <c r="O52" s="30"/>
      <c r="P52" s="30"/>
      <c r="Q52" s="30"/>
      <c r="R52" s="30"/>
      <c r="S52" s="49"/>
      <c r="T52" s="49"/>
      <c r="U52" s="50">
        <v>39736</v>
      </c>
      <c r="V52" s="198"/>
      <c r="W52" s="6"/>
    </row>
    <row r="53" spans="1:23" ht="15.6">
      <c r="A53" s="25"/>
      <c r="B53" s="26" t="s">
        <v>155</v>
      </c>
      <c r="C53" s="26"/>
      <c r="D53" s="26"/>
      <c r="E53" s="26"/>
      <c r="F53" s="26"/>
      <c r="G53" s="26"/>
      <c r="H53" s="26"/>
      <c r="I53" s="26"/>
      <c r="J53" s="26"/>
      <c r="K53" s="26"/>
      <c r="L53" s="26"/>
      <c r="M53" s="26"/>
      <c r="N53" s="26"/>
      <c r="O53" s="26"/>
      <c r="P53" s="26"/>
      <c r="Q53" s="29"/>
      <c r="R53" s="26">
        <f>U53-S53+1</f>
        <v>91</v>
      </c>
      <c r="S53" s="52">
        <v>39553</v>
      </c>
      <c r="T53" s="53"/>
      <c r="U53" s="52">
        <v>39643</v>
      </c>
      <c r="V53" s="196"/>
      <c r="W53" s="6"/>
    </row>
    <row r="54" spans="1:23" ht="15.6">
      <c r="A54" s="25"/>
      <c r="B54" s="26" t="s">
        <v>156</v>
      </c>
      <c r="C54" s="26"/>
      <c r="D54" s="26"/>
      <c r="E54" s="26"/>
      <c r="F54" s="26"/>
      <c r="G54" s="26"/>
      <c r="H54" s="26"/>
      <c r="I54" s="26"/>
      <c r="J54" s="26"/>
      <c r="K54" s="26"/>
      <c r="L54" s="26"/>
      <c r="M54" s="26"/>
      <c r="N54" s="26"/>
      <c r="O54" s="26"/>
      <c r="P54" s="26"/>
      <c r="Q54" s="29"/>
      <c r="R54" s="26">
        <f>U54-S54+1</f>
        <v>92</v>
      </c>
      <c r="S54" s="52">
        <v>39644</v>
      </c>
      <c r="T54" s="53"/>
      <c r="U54" s="52">
        <v>39735</v>
      </c>
      <c r="V54" s="196"/>
      <c r="W54" s="6"/>
    </row>
    <row r="55" spans="1:23" ht="15.6">
      <c r="A55" s="25"/>
      <c r="B55" s="26" t="s">
        <v>21</v>
      </c>
      <c r="C55" s="26"/>
      <c r="D55" s="26"/>
      <c r="E55" s="26"/>
      <c r="F55" s="26"/>
      <c r="G55" s="26"/>
      <c r="H55" s="26"/>
      <c r="I55" s="26"/>
      <c r="J55" s="26"/>
      <c r="K55" s="26"/>
      <c r="L55" s="26"/>
      <c r="M55" s="26"/>
      <c r="N55" s="26"/>
      <c r="O55" s="26"/>
      <c r="P55" s="26"/>
      <c r="Q55" s="26"/>
      <c r="R55" s="26"/>
      <c r="S55" s="52"/>
      <c r="T55" s="53"/>
      <c r="U55" s="52" t="s">
        <v>119</v>
      </c>
      <c r="V55" s="196"/>
      <c r="W55" s="6"/>
    </row>
    <row r="56" spans="1:23" ht="15.6">
      <c r="A56" s="25"/>
      <c r="B56" s="26" t="s">
        <v>22</v>
      </c>
      <c r="C56" s="26"/>
      <c r="D56" s="26"/>
      <c r="E56" s="26"/>
      <c r="F56" s="26"/>
      <c r="G56" s="26"/>
      <c r="H56" s="26"/>
      <c r="I56" s="26"/>
      <c r="J56" s="26"/>
      <c r="K56" s="26"/>
      <c r="L56" s="26"/>
      <c r="M56" s="26"/>
      <c r="N56" s="26"/>
      <c r="O56" s="26"/>
      <c r="P56" s="26"/>
      <c r="Q56" s="26"/>
      <c r="R56" s="26"/>
      <c r="S56" s="52"/>
      <c r="T56" s="53"/>
      <c r="U56" s="52">
        <v>39722</v>
      </c>
      <c r="V56" s="196"/>
      <c r="W56" s="6"/>
    </row>
    <row r="57" spans="1:23" ht="15.6">
      <c r="A57" s="25"/>
      <c r="B57" s="26"/>
      <c r="C57" s="26"/>
      <c r="D57" s="26"/>
      <c r="E57" s="26"/>
      <c r="F57" s="26"/>
      <c r="G57" s="26"/>
      <c r="H57" s="26"/>
      <c r="I57" s="26"/>
      <c r="J57" s="26"/>
      <c r="K57" s="26"/>
      <c r="L57" s="26"/>
      <c r="M57" s="26"/>
      <c r="N57" s="26"/>
      <c r="O57" s="26"/>
      <c r="P57" s="26"/>
      <c r="Q57" s="26"/>
      <c r="R57" s="26"/>
      <c r="S57" s="26"/>
      <c r="T57" s="26"/>
      <c r="U57" s="54"/>
      <c r="V57" s="196"/>
      <c r="W57" s="6"/>
    </row>
    <row r="58" spans="1:23" ht="15.6">
      <c r="A58" s="7"/>
      <c r="B58" s="9"/>
      <c r="C58" s="9"/>
      <c r="D58" s="9"/>
      <c r="E58" s="9"/>
      <c r="F58" s="9"/>
      <c r="G58" s="9"/>
      <c r="H58" s="9"/>
      <c r="I58" s="9"/>
      <c r="J58" s="9"/>
      <c r="K58" s="9"/>
      <c r="L58" s="9"/>
      <c r="M58" s="9"/>
      <c r="N58" s="9"/>
      <c r="O58" s="9"/>
      <c r="P58" s="9"/>
      <c r="Q58" s="9"/>
      <c r="R58" s="9"/>
      <c r="S58" s="9"/>
      <c r="T58" s="9"/>
      <c r="U58" s="55"/>
      <c r="V58" s="194"/>
      <c r="W58" s="6"/>
    </row>
    <row r="59" spans="1:23" ht="16.2" thickBot="1">
      <c r="A59" s="130"/>
      <c r="B59" s="131" t="s">
        <v>250</v>
      </c>
      <c r="C59" s="132"/>
      <c r="D59" s="132"/>
      <c r="E59" s="132"/>
      <c r="F59" s="132"/>
      <c r="G59" s="132"/>
      <c r="H59" s="132"/>
      <c r="I59" s="132"/>
      <c r="J59" s="132"/>
      <c r="K59" s="132"/>
      <c r="L59" s="132"/>
      <c r="M59" s="132"/>
      <c r="N59" s="132"/>
      <c r="O59" s="132"/>
      <c r="P59" s="132"/>
      <c r="Q59" s="132"/>
      <c r="R59" s="132"/>
      <c r="S59" s="132"/>
      <c r="T59" s="132"/>
      <c r="U59" s="133"/>
      <c r="V59" s="134"/>
      <c r="W59" s="6"/>
    </row>
    <row r="60" spans="1:23" ht="15.6">
      <c r="A60" s="2"/>
      <c r="B60" s="5" t="s">
        <v>237</v>
      </c>
      <c r="C60" s="5"/>
      <c r="D60" s="5"/>
      <c r="E60" s="5"/>
      <c r="F60" s="5"/>
      <c r="G60" s="5"/>
      <c r="H60" s="5"/>
      <c r="I60" s="5"/>
      <c r="J60" s="5"/>
      <c r="K60" s="5"/>
      <c r="L60" s="5"/>
      <c r="M60" s="5"/>
      <c r="N60" s="5"/>
      <c r="O60" s="5"/>
      <c r="P60" s="5"/>
      <c r="Q60" s="5"/>
      <c r="R60" s="5"/>
      <c r="S60" s="5"/>
      <c r="T60" s="5"/>
      <c r="U60" s="56"/>
      <c r="V60" s="193"/>
      <c r="W60" s="6"/>
    </row>
    <row r="61" spans="1:23" ht="15.6">
      <c r="A61" s="7"/>
      <c r="B61" s="57" t="s">
        <v>23</v>
      </c>
      <c r="C61" s="13"/>
      <c r="D61" s="13"/>
      <c r="E61" s="13"/>
      <c r="F61" s="13"/>
      <c r="G61" s="13"/>
      <c r="H61" s="13"/>
      <c r="I61" s="13"/>
      <c r="J61" s="13"/>
      <c r="K61" s="13"/>
      <c r="L61" s="13"/>
      <c r="M61" s="9"/>
      <c r="N61" s="9"/>
      <c r="O61" s="9"/>
      <c r="P61" s="9"/>
      <c r="Q61" s="9"/>
      <c r="R61" s="9"/>
      <c r="S61" s="9"/>
      <c r="T61" s="9"/>
      <c r="U61" s="58"/>
      <c r="V61" s="194"/>
      <c r="W61" s="6"/>
    </row>
    <row r="62" spans="1:23" ht="15.6">
      <c r="A62" s="7"/>
      <c r="B62" s="13"/>
      <c r="C62" s="13"/>
      <c r="D62" s="13"/>
      <c r="E62" s="13"/>
      <c r="F62" s="13"/>
      <c r="G62" s="13"/>
      <c r="H62" s="13"/>
      <c r="I62" s="13"/>
      <c r="J62" s="13"/>
      <c r="K62" s="13"/>
      <c r="L62" s="13"/>
      <c r="M62" s="9"/>
      <c r="N62" s="9"/>
      <c r="O62" s="9"/>
      <c r="P62" s="9"/>
      <c r="Q62" s="9"/>
      <c r="R62" s="9"/>
      <c r="S62" s="9"/>
      <c r="T62" s="9"/>
      <c r="U62" s="58"/>
      <c r="V62" s="194"/>
      <c r="W62" s="6"/>
    </row>
    <row r="63" spans="1:23" s="151" customFormat="1" ht="46.8">
      <c r="A63" s="145"/>
      <c r="B63" s="146"/>
      <c r="C63" s="147"/>
      <c r="D63" s="147"/>
      <c r="E63" s="147"/>
      <c r="F63" s="147"/>
      <c r="G63" s="147"/>
      <c r="H63" s="147"/>
      <c r="I63" s="147"/>
      <c r="J63" s="147"/>
      <c r="K63" s="147" t="s">
        <v>197</v>
      </c>
      <c r="L63" s="147"/>
      <c r="M63" s="147" t="s">
        <v>98</v>
      </c>
      <c r="N63" s="147"/>
      <c r="O63" s="147" t="s">
        <v>107</v>
      </c>
      <c r="P63" s="147"/>
      <c r="Q63" s="147" t="s">
        <v>111</v>
      </c>
      <c r="R63" s="147"/>
      <c r="S63" s="147" t="s">
        <v>113</v>
      </c>
      <c r="T63" s="147"/>
      <c r="U63" s="148" t="s">
        <v>120</v>
      </c>
      <c r="V63" s="199"/>
      <c r="W63" s="150"/>
    </row>
    <row r="64" spans="1:23" ht="15.6">
      <c r="A64" s="25"/>
      <c r="B64" s="26" t="s">
        <v>24</v>
      </c>
      <c r="C64" s="59"/>
      <c r="D64" s="59"/>
      <c r="E64" s="59"/>
      <c r="F64" s="59"/>
      <c r="G64" s="59"/>
      <c r="H64" s="59"/>
      <c r="I64" s="59"/>
      <c r="J64" s="59"/>
      <c r="K64" s="59">
        <f>265+63566+3306</f>
        <v>67137</v>
      </c>
      <c r="L64" s="59"/>
      <c r="M64" s="59">
        <v>27545</v>
      </c>
      <c r="N64" s="59"/>
      <c r="O64" s="59">
        <f>4+2315+23+1851</f>
        <v>4193</v>
      </c>
      <c r="P64" s="59"/>
      <c r="Q64" s="59">
        <v>0</v>
      </c>
      <c r="R64" s="59"/>
      <c r="S64" s="59">
        <v>0</v>
      </c>
      <c r="T64" s="59"/>
      <c r="U64" s="60">
        <f>+M64-O64+Q64-S64</f>
        <v>23352</v>
      </c>
      <c r="V64" s="196"/>
      <c r="W64" s="6"/>
    </row>
    <row r="65" spans="1:24" ht="15.6">
      <c r="A65" s="25"/>
      <c r="B65" s="26" t="s">
        <v>25</v>
      </c>
      <c r="C65" s="59"/>
      <c r="D65" s="59"/>
      <c r="E65" s="59"/>
      <c r="F65" s="59"/>
      <c r="G65" s="59"/>
      <c r="H65" s="59"/>
      <c r="I65" s="59"/>
      <c r="J65" s="59"/>
      <c r="K65" s="59"/>
      <c r="L65" s="59"/>
      <c r="M65" s="59"/>
      <c r="N65" s="59"/>
      <c r="O65" s="59"/>
      <c r="P65" s="59"/>
      <c r="Q65" s="59">
        <v>0</v>
      </c>
      <c r="R65" s="59"/>
      <c r="S65" s="59">
        <v>0</v>
      </c>
      <c r="T65" s="59"/>
      <c r="U65" s="60">
        <f>M65-O65</f>
        <v>0</v>
      </c>
      <c r="V65" s="196"/>
      <c r="W65" s="6"/>
    </row>
    <row r="66" spans="1:24" ht="15.6">
      <c r="A66" s="25"/>
      <c r="B66" s="26"/>
      <c r="C66" s="59"/>
      <c r="D66" s="59"/>
      <c r="E66" s="59"/>
      <c r="F66" s="59"/>
      <c r="G66" s="59"/>
      <c r="H66" s="59"/>
      <c r="I66" s="59"/>
      <c r="J66" s="59"/>
      <c r="K66" s="59"/>
      <c r="L66" s="59"/>
      <c r="M66" s="59"/>
      <c r="N66" s="59"/>
      <c r="O66" s="59"/>
      <c r="P66" s="59"/>
      <c r="Q66" s="59"/>
      <c r="R66" s="59"/>
      <c r="S66" s="59"/>
      <c r="T66" s="59"/>
      <c r="U66" s="60"/>
      <c r="V66" s="196"/>
      <c r="W66" s="6"/>
    </row>
    <row r="67" spans="1:24" ht="15.6">
      <c r="A67" s="25"/>
      <c r="B67" s="26" t="s">
        <v>26</v>
      </c>
      <c r="C67" s="59"/>
      <c r="D67" s="59"/>
      <c r="E67" s="59"/>
      <c r="F67" s="59"/>
      <c r="G67" s="59"/>
      <c r="H67" s="59"/>
      <c r="I67" s="59"/>
      <c r="J67" s="59"/>
      <c r="K67" s="59">
        <v>24470</v>
      </c>
      <c r="L67" s="59"/>
      <c r="M67" s="59">
        <v>28021</v>
      </c>
      <c r="N67" s="59"/>
      <c r="O67" s="59">
        <v>9135</v>
      </c>
      <c r="P67" s="59"/>
      <c r="Q67" s="59">
        <v>0</v>
      </c>
      <c r="R67" s="59"/>
      <c r="S67" s="59">
        <f>SUM(S64:S66)</f>
        <v>0</v>
      </c>
      <c r="T67" s="59"/>
      <c r="U67" s="60">
        <f>+M67-O67+Q67-S67</f>
        <v>18886</v>
      </c>
      <c r="V67" s="196"/>
      <c r="W67" s="6"/>
    </row>
    <row r="68" spans="1:24" ht="15.6">
      <c r="A68" s="25"/>
      <c r="B68" s="26" t="s">
        <v>25</v>
      </c>
      <c r="C68" s="59"/>
      <c r="D68" s="59"/>
      <c r="E68" s="59"/>
      <c r="F68" s="59"/>
      <c r="G68" s="59"/>
      <c r="H68" s="59"/>
      <c r="I68" s="59"/>
      <c r="J68" s="59"/>
      <c r="K68" s="59"/>
      <c r="L68" s="59"/>
      <c r="M68" s="59"/>
      <c r="N68" s="59"/>
      <c r="O68" s="59"/>
      <c r="P68" s="59"/>
      <c r="Q68" s="59">
        <v>0</v>
      </c>
      <c r="R68" s="59"/>
      <c r="S68" s="59">
        <v>0</v>
      </c>
      <c r="T68" s="59"/>
      <c r="U68" s="61"/>
      <c r="V68" s="196"/>
      <c r="W68" s="6"/>
    </row>
    <row r="69" spans="1:24" ht="15.6">
      <c r="A69" s="25"/>
      <c r="B69" s="62"/>
      <c r="C69" s="59"/>
      <c r="D69" s="59"/>
      <c r="E69" s="59"/>
      <c r="F69" s="59"/>
      <c r="G69" s="59"/>
      <c r="H69" s="59"/>
      <c r="I69" s="59"/>
      <c r="J69" s="59"/>
      <c r="K69" s="59"/>
      <c r="L69" s="59"/>
      <c r="M69" s="59"/>
      <c r="N69" s="59"/>
      <c r="O69" s="63"/>
      <c r="P69" s="59"/>
      <c r="Q69" s="59"/>
      <c r="R69" s="59"/>
      <c r="S69" s="59"/>
      <c r="T69" s="59"/>
      <c r="U69" s="61"/>
      <c r="V69" s="196"/>
      <c r="W69" s="6"/>
    </row>
    <row r="70" spans="1:24" ht="15.6">
      <c r="A70" s="25"/>
      <c r="B70" s="26" t="s">
        <v>27</v>
      </c>
      <c r="C70" s="59"/>
      <c r="D70" s="59"/>
      <c r="E70" s="59"/>
      <c r="F70" s="59"/>
      <c r="G70" s="59"/>
      <c r="H70" s="59"/>
      <c r="I70" s="59"/>
      <c r="J70" s="59"/>
      <c r="K70" s="59">
        <v>220072</v>
      </c>
      <c r="L70" s="59"/>
      <c r="M70" s="59">
        <v>219694</v>
      </c>
      <c r="N70" s="59"/>
      <c r="O70" s="59">
        <f>11842+999</f>
        <v>12841</v>
      </c>
      <c r="P70" s="59"/>
      <c r="Q70" s="59">
        <f>34006+278</f>
        <v>34284</v>
      </c>
      <c r="R70" s="59"/>
      <c r="S70" s="59">
        <v>0</v>
      </c>
      <c r="T70" s="59"/>
      <c r="U70" s="60">
        <f>+M70-O70+Q70-S70</f>
        <v>241137</v>
      </c>
      <c r="V70" s="196"/>
      <c r="W70" s="6"/>
    </row>
    <row r="71" spans="1:24" ht="15.6">
      <c r="A71" s="25"/>
      <c r="B71" s="26" t="s">
        <v>25</v>
      </c>
      <c r="C71" s="59"/>
      <c r="D71" s="59"/>
      <c r="E71" s="59"/>
      <c r="F71" s="59"/>
      <c r="G71" s="59"/>
      <c r="H71" s="59"/>
      <c r="I71" s="59"/>
      <c r="J71" s="59"/>
      <c r="K71" s="59"/>
      <c r="L71" s="59"/>
      <c r="M71" s="59"/>
      <c r="N71" s="59"/>
      <c r="O71" s="59"/>
      <c r="P71" s="59"/>
      <c r="Q71" s="59">
        <v>0</v>
      </c>
      <c r="R71" s="59"/>
      <c r="S71" s="59">
        <v>0</v>
      </c>
      <c r="T71" s="59"/>
      <c r="U71" s="60">
        <f>M71-O71+Q71-S71</f>
        <v>0</v>
      </c>
      <c r="V71" s="196"/>
      <c r="W71" s="6"/>
    </row>
    <row r="72" spans="1:24" ht="15.6">
      <c r="A72" s="25"/>
      <c r="B72" s="26"/>
      <c r="C72" s="59"/>
      <c r="D72" s="59"/>
      <c r="E72" s="59"/>
      <c r="F72" s="59"/>
      <c r="G72" s="59"/>
      <c r="H72" s="59"/>
      <c r="I72" s="59"/>
      <c r="J72" s="59"/>
      <c r="K72" s="59"/>
      <c r="L72" s="59"/>
      <c r="M72" s="59"/>
      <c r="N72" s="59"/>
      <c r="O72" s="59"/>
      <c r="P72" s="59"/>
      <c r="Q72" s="59"/>
      <c r="R72" s="59"/>
      <c r="S72" s="59"/>
      <c r="T72" s="59"/>
      <c r="U72" s="60"/>
      <c r="V72" s="196"/>
      <c r="W72" s="6"/>
    </row>
    <row r="73" spans="1:24" ht="15.6">
      <c r="A73" s="25"/>
      <c r="B73" s="26" t="s">
        <v>28</v>
      </c>
      <c r="C73" s="59"/>
      <c r="D73" s="59"/>
      <c r="E73" s="59"/>
      <c r="F73" s="59"/>
      <c r="G73" s="59"/>
      <c r="H73" s="59"/>
      <c r="I73" s="59"/>
      <c r="J73" s="59"/>
      <c r="K73" s="59">
        <v>138321</v>
      </c>
      <c r="L73" s="59"/>
      <c r="M73" s="59">
        <v>92385</v>
      </c>
      <c r="N73" s="59"/>
      <c r="O73" s="59">
        <f>10906+1268</f>
        <v>12174</v>
      </c>
      <c r="P73" s="59"/>
      <c r="Q73" s="59">
        <v>0</v>
      </c>
      <c r="R73" s="59"/>
      <c r="S73" s="59">
        <v>0</v>
      </c>
      <c r="T73" s="59"/>
      <c r="U73" s="60">
        <f>+M73-O73+Q73-S73</f>
        <v>80211</v>
      </c>
      <c r="V73" s="196"/>
      <c r="W73" s="6"/>
    </row>
    <row r="74" spans="1:24" ht="15.6">
      <c r="A74" s="25"/>
      <c r="B74" s="26" t="s">
        <v>25</v>
      </c>
      <c r="C74" s="59"/>
      <c r="D74" s="59"/>
      <c r="E74" s="59"/>
      <c r="F74" s="59"/>
      <c r="G74" s="59"/>
      <c r="H74" s="59"/>
      <c r="I74" s="59"/>
      <c r="J74" s="59"/>
      <c r="K74" s="59"/>
      <c r="L74" s="59"/>
      <c r="M74" s="59"/>
      <c r="N74" s="59"/>
      <c r="O74" s="59"/>
      <c r="P74" s="59"/>
      <c r="Q74" s="59">
        <v>0</v>
      </c>
      <c r="R74" s="59"/>
      <c r="S74" s="59">
        <v>0</v>
      </c>
      <c r="T74" s="59"/>
      <c r="U74" s="60"/>
      <c r="V74" s="196"/>
      <c r="W74" s="6"/>
    </row>
    <row r="75" spans="1:24" ht="15.6">
      <c r="A75" s="25"/>
      <c r="B75" s="59"/>
      <c r="C75" s="59"/>
      <c r="D75" s="59"/>
      <c r="E75" s="59"/>
      <c r="F75" s="59"/>
      <c r="G75" s="59"/>
      <c r="H75" s="59"/>
      <c r="I75" s="59"/>
      <c r="J75" s="59"/>
      <c r="K75" s="59"/>
      <c r="L75" s="59"/>
      <c r="M75" s="59"/>
      <c r="N75" s="59"/>
      <c r="O75" s="59"/>
      <c r="P75" s="59"/>
      <c r="Q75" s="59"/>
      <c r="R75" s="59"/>
      <c r="S75" s="59"/>
      <c r="T75" s="59"/>
      <c r="U75" s="60"/>
      <c r="V75" s="196"/>
      <c r="W75" s="6"/>
    </row>
    <row r="76" spans="1:24" ht="15.6">
      <c r="A76" s="25"/>
      <c r="B76" s="26" t="s">
        <v>29</v>
      </c>
      <c r="C76" s="59"/>
      <c r="D76" s="59"/>
      <c r="E76" s="59"/>
      <c r="F76" s="59"/>
      <c r="G76" s="59"/>
      <c r="H76" s="59"/>
      <c r="I76" s="59"/>
      <c r="J76" s="59"/>
      <c r="K76" s="59">
        <f>SUM(K64:K73)</f>
        <v>450000</v>
      </c>
      <c r="L76" s="59"/>
      <c r="M76" s="59">
        <f>SUM(M64:M73)</f>
        <v>367645</v>
      </c>
      <c r="N76" s="59"/>
      <c r="O76" s="59">
        <f>SUM(O64:O74)</f>
        <v>38343</v>
      </c>
      <c r="P76" s="59"/>
      <c r="Q76" s="59">
        <f>SUM(Q64:Q74)</f>
        <v>34284</v>
      </c>
      <c r="R76" s="59"/>
      <c r="S76" s="59">
        <f>SUM(S71:S75)</f>
        <v>0</v>
      </c>
      <c r="T76" s="59"/>
      <c r="U76" s="59">
        <f>SUM(U64:U74)</f>
        <v>363586</v>
      </c>
      <c r="V76" s="196"/>
      <c r="W76" s="6"/>
      <c r="X76" s="182"/>
    </row>
    <row r="77" spans="1:24" ht="15.6">
      <c r="A77" s="25"/>
      <c r="B77" s="26"/>
      <c r="C77" s="59"/>
      <c r="D77" s="59"/>
      <c r="E77" s="59"/>
      <c r="F77" s="59"/>
      <c r="G77" s="59"/>
      <c r="H77" s="59"/>
      <c r="I77" s="59"/>
      <c r="J77" s="59"/>
      <c r="K77" s="59"/>
      <c r="L77" s="59"/>
      <c r="M77" s="59"/>
      <c r="N77" s="59"/>
      <c r="O77" s="59"/>
      <c r="P77" s="59"/>
      <c r="Q77" s="59"/>
      <c r="R77" s="59"/>
      <c r="S77" s="59"/>
      <c r="T77" s="59"/>
      <c r="U77" s="61"/>
      <c r="V77" s="196"/>
      <c r="W77" s="6"/>
    </row>
    <row r="78" spans="1:24" ht="15.6">
      <c r="A78" s="25"/>
      <c r="B78" s="26" t="s">
        <v>214</v>
      </c>
      <c r="C78" s="59"/>
      <c r="D78" s="59"/>
      <c r="E78" s="59"/>
      <c r="F78" s="59"/>
      <c r="G78" s="59"/>
      <c r="H78" s="59"/>
      <c r="I78" s="59"/>
      <c r="J78" s="59"/>
      <c r="K78" s="59">
        <v>0</v>
      </c>
      <c r="L78" s="59"/>
      <c r="M78" s="59">
        <v>-10213</v>
      </c>
      <c r="N78" s="59"/>
      <c r="O78" s="59">
        <v>-43</v>
      </c>
      <c r="P78" s="59"/>
      <c r="Q78" s="59"/>
      <c r="R78" s="59"/>
      <c r="S78" s="59"/>
      <c r="T78" s="59"/>
      <c r="U78" s="60">
        <f>+M78-O78</f>
        <v>-10170</v>
      </c>
      <c r="V78" s="196"/>
      <c r="W78" s="6"/>
    </row>
    <row r="79" spans="1:24" ht="15.6">
      <c r="A79" s="25"/>
      <c r="B79" s="26" t="s">
        <v>30</v>
      </c>
      <c r="C79" s="59"/>
      <c r="D79" s="59"/>
      <c r="E79" s="59"/>
      <c r="F79" s="59"/>
      <c r="G79" s="59"/>
      <c r="H79" s="59"/>
      <c r="I79" s="59"/>
      <c r="J79" s="59"/>
      <c r="K79" s="59">
        <v>0</v>
      </c>
      <c r="L79" s="59"/>
      <c r="M79" s="59">
        <v>92568</v>
      </c>
      <c r="N79" s="59"/>
      <c r="O79" s="59">
        <f>SUM(O76:O78)</f>
        <v>38300</v>
      </c>
      <c r="P79" s="59"/>
      <c r="Q79" s="59">
        <f>-Q76</f>
        <v>-34284</v>
      </c>
      <c r="R79" s="59"/>
      <c r="S79" s="59"/>
      <c r="T79" s="59"/>
      <c r="U79" s="61">
        <f>+M79+O79+Q79</f>
        <v>96584</v>
      </c>
      <c r="V79" s="196"/>
      <c r="W79" s="6"/>
      <c r="X79" s="182"/>
    </row>
    <row r="80" spans="1:24" ht="15.6">
      <c r="A80" s="25"/>
      <c r="B80" s="26" t="s">
        <v>31</v>
      </c>
      <c r="C80" s="59"/>
      <c r="D80" s="59"/>
      <c r="E80" s="59"/>
      <c r="F80" s="59"/>
      <c r="G80" s="59"/>
      <c r="H80" s="59"/>
      <c r="I80" s="59"/>
      <c r="J80" s="59"/>
      <c r="K80" s="59">
        <v>0</v>
      </c>
      <c r="L80" s="59"/>
      <c r="M80" s="59">
        <v>0</v>
      </c>
      <c r="N80" s="59"/>
      <c r="O80" s="59"/>
      <c r="P80" s="59"/>
      <c r="Q80" s="59">
        <v>0</v>
      </c>
      <c r="R80" s="59"/>
      <c r="S80" s="59"/>
      <c r="T80" s="59"/>
      <c r="U80" s="61">
        <f>Q80+M80</f>
        <v>0</v>
      </c>
      <c r="V80" s="196"/>
      <c r="W80" s="6"/>
    </row>
    <row r="81" spans="1:24" ht="15.6">
      <c r="A81" s="25"/>
      <c r="B81" s="26" t="s">
        <v>16</v>
      </c>
      <c r="C81" s="61"/>
      <c r="D81" s="61"/>
      <c r="E81" s="61"/>
      <c r="F81" s="61"/>
      <c r="G81" s="61"/>
      <c r="H81" s="61"/>
      <c r="I81" s="61"/>
      <c r="J81" s="61"/>
      <c r="K81" s="61">
        <f>SUM(K76:K80)</f>
        <v>450000</v>
      </c>
      <c r="L81" s="61"/>
      <c r="M81" s="61">
        <f>SUM(M76:M80)</f>
        <v>450000</v>
      </c>
      <c r="N81" s="59"/>
      <c r="O81" s="59">
        <f>O79-O80</f>
        <v>38300</v>
      </c>
      <c r="P81" s="59"/>
      <c r="Q81" s="59"/>
      <c r="R81" s="59"/>
      <c r="S81" s="59"/>
      <c r="T81" s="59"/>
      <c r="U81" s="61">
        <f>SUM(U76:U80)</f>
        <v>450000</v>
      </c>
      <c r="V81" s="196"/>
      <c r="W81" s="6"/>
    </row>
    <row r="82" spans="1:24" ht="15.6">
      <c r="A82" s="25"/>
      <c r="B82" s="59"/>
      <c r="C82" s="26"/>
      <c r="D82" s="26"/>
      <c r="E82" s="26"/>
      <c r="F82" s="26"/>
      <c r="G82" s="26"/>
      <c r="H82" s="26"/>
      <c r="I82" s="26"/>
      <c r="J82" s="26"/>
      <c r="K82" s="26"/>
      <c r="L82" s="26"/>
      <c r="M82" s="26"/>
      <c r="N82" s="26"/>
      <c r="O82" s="26"/>
      <c r="P82" s="26"/>
      <c r="Q82" s="26"/>
      <c r="R82" s="26"/>
      <c r="S82" s="33"/>
      <c r="T82" s="26"/>
      <c r="U82" s="33"/>
      <c r="V82" s="196"/>
      <c r="W82" s="6"/>
    </row>
    <row r="83" spans="1:24" ht="15.6">
      <c r="A83" s="7"/>
      <c r="B83" s="57" t="s">
        <v>32</v>
      </c>
      <c r="C83" s="14"/>
      <c r="D83" s="14"/>
      <c r="E83" s="14"/>
      <c r="F83" s="14"/>
      <c r="G83" s="14"/>
      <c r="H83" s="14"/>
      <c r="I83" s="14"/>
      <c r="J83" s="14"/>
      <c r="K83" s="14"/>
      <c r="L83" s="14"/>
      <c r="M83" s="14"/>
      <c r="N83" s="14"/>
      <c r="O83" s="14"/>
      <c r="P83" s="14"/>
      <c r="Q83" s="14"/>
      <c r="R83" s="17"/>
      <c r="S83" s="17"/>
      <c r="T83" s="17"/>
      <c r="U83" s="17" t="s">
        <v>121</v>
      </c>
      <c r="V83" s="200"/>
      <c r="W83" s="6"/>
    </row>
    <row r="84" spans="1:24" ht="15.6">
      <c r="A84" s="25"/>
      <c r="B84" s="26" t="s">
        <v>33</v>
      </c>
      <c r="C84" s="26"/>
      <c r="D84" s="26"/>
      <c r="E84" s="26"/>
      <c r="F84" s="26"/>
      <c r="G84" s="26"/>
      <c r="H84" s="26"/>
      <c r="I84" s="26"/>
      <c r="J84" s="26"/>
      <c r="K84" s="26"/>
      <c r="L84" s="26"/>
      <c r="M84" s="26"/>
      <c r="N84" s="26"/>
      <c r="O84" s="59"/>
      <c r="P84" s="26"/>
      <c r="Q84" s="26"/>
      <c r="R84" s="26"/>
      <c r="S84" s="59"/>
      <c r="T84" s="26"/>
      <c r="U84" s="60">
        <f>144314</f>
        <v>144314</v>
      </c>
      <c r="V84" s="196"/>
      <c r="W84" s="6"/>
    </row>
    <row r="85" spans="1:24" ht="15.6">
      <c r="A85" s="25"/>
      <c r="B85" s="26" t="s">
        <v>34</v>
      </c>
      <c r="C85" s="47"/>
      <c r="D85" s="47"/>
      <c r="E85" s="47"/>
      <c r="F85" s="47"/>
      <c r="G85" s="47"/>
      <c r="H85" s="47"/>
      <c r="I85" s="47"/>
      <c r="J85" s="47"/>
      <c r="K85" s="47"/>
      <c r="L85" s="47"/>
      <c r="M85" s="51"/>
      <c r="N85" s="26"/>
      <c r="O85" s="26"/>
      <c r="P85" s="26"/>
      <c r="Q85" s="26"/>
      <c r="R85" s="26"/>
      <c r="S85" s="59"/>
      <c r="T85" s="26"/>
      <c r="U85" s="60">
        <f>784+583+31-16-29</f>
        <v>1353</v>
      </c>
      <c r="V85" s="196"/>
      <c r="W85" s="6"/>
    </row>
    <row r="86" spans="1:24" ht="15.6">
      <c r="A86" s="25"/>
      <c r="B86" s="26" t="s">
        <v>230</v>
      </c>
      <c r="C86" s="26"/>
      <c r="D86" s="26"/>
      <c r="E86" s="26"/>
      <c r="F86" s="26"/>
      <c r="G86" s="26"/>
      <c r="H86" s="26"/>
      <c r="I86" s="26"/>
      <c r="J86" s="26"/>
      <c r="K86" s="26"/>
      <c r="L86" s="26"/>
      <c r="M86" s="26"/>
      <c r="N86" s="26"/>
      <c r="O86" s="26"/>
      <c r="P86" s="26"/>
      <c r="Q86" s="26"/>
      <c r="R86" s="26"/>
      <c r="S86" s="59"/>
      <c r="T86" s="26"/>
      <c r="U86" s="60">
        <v>0</v>
      </c>
      <c r="V86" s="196"/>
      <c r="W86" s="6"/>
      <c r="X86" s="64"/>
    </row>
    <row r="87" spans="1:24" ht="15.6">
      <c r="A87" s="25"/>
      <c r="B87" s="26" t="s">
        <v>231</v>
      </c>
      <c r="C87" s="26"/>
      <c r="D87" s="26"/>
      <c r="E87" s="26"/>
      <c r="F87" s="26"/>
      <c r="G87" s="26"/>
      <c r="H87" s="26"/>
      <c r="I87" s="26"/>
      <c r="J87" s="26"/>
      <c r="K87" s="26"/>
      <c r="L87" s="26"/>
      <c r="M87" s="26"/>
      <c r="N87" s="26"/>
      <c r="O87" s="26"/>
      <c r="P87" s="26"/>
      <c r="Q87" s="26"/>
      <c r="R87" s="26"/>
      <c r="S87" s="59"/>
      <c r="T87" s="26"/>
      <c r="U87" s="60">
        <v>0</v>
      </c>
      <c r="V87" s="196"/>
      <c r="W87" s="6"/>
      <c r="X87" s="64"/>
    </row>
    <row r="88" spans="1:24" ht="15.6">
      <c r="A88" s="25"/>
      <c r="B88" s="26" t="s">
        <v>35</v>
      </c>
      <c r="C88" s="26"/>
      <c r="D88" s="26"/>
      <c r="E88" s="26"/>
      <c r="F88" s="26"/>
      <c r="G88" s="26"/>
      <c r="H88" s="26"/>
      <c r="I88" s="26"/>
      <c r="J88" s="26"/>
      <c r="K88" s="26"/>
      <c r="L88" s="26"/>
      <c r="M88" s="26"/>
      <c r="N88" s="26"/>
      <c r="O88" s="26"/>
      <c r="P88" s="26"/>
      <c r="Q88" s="26"/>
      <c r="R88" s="26"/>
      <c r="S88" s="59"/>
      <c r="T88" s="26"/>
      <c r="U88" s="60">
        <f>SUM(U84:U87)</f>
        <v>145667</v>
      </c>
      <c r="V88" s="196"/>
      <c r="W88" s="6"/>
      <c r="X88" s="64"/>
    </row>
    <row r="89" spans="1:24" ht="15.6">
      <c r="A89" s="25"/>
      <c r="B89" s="26"/>
      <c r="C89" s="26"/>
      <c r="D89" s="26"/>
      <c r="E89" s="26"/>
      <c r="F89" s="26"/>
      <c r="G89" s="26"/>
      <c r="H89" s="26"/>
      <c r="I89" s="26"/>
      <c r="J89" s="26"/>
      <c r="K89" s="26"/>
      <c r="L89" s="26"/>
      <c r="M89" s="26"/>
      <c r="N89" s="26"/>
      <c r="O89" s="26"/>
      <c r="P89" s="26"/>
      <c r="Q89" s="26"/>
      <c r="R89" s="26"/>
      <c r="S89" s="59"/>
      <c r="T89" s="26"/>
      <c r="U89" s="61"/>
      <c r="V89" s="196"/>
      <c r="W89" s="6"/>
    </row>
    <row r="90" spans="1:24" ht="15.6">
      <c r="A90" s="25"/>
      <c r="B90" s="152" t="s">
        <v>36</v>
      </c>
      <c r="C90" s="65"/>
      <c r="D90" s="65"/>
      <c r="E90" s="65"/>
      <c r="F90" s="65"/>
      <c r="G90" s="65"/>
      <c r="H90" s="65"/>
      <c r="I90" s="65"/>
      <c r="J90" s="65"/>
      <c r="K90" s="65"/>
      <c r="L90" s="65"/>
      <c r="M90" s="26"/>
      <c r="N90" s="26"/>
      <c r="O90" s="26"/>
      <c r="P90" s="26"/>
      <c r="Q90" s="26"/>
      <c r="R90" s="26"/>
      <c r="S90" s="59"/>
      <c r="T90" s="26"/>
      <c r="U90" s="60"/>
      <c r="V90" s="196"/>
      <c r="W90" s="6"/>
      <c r="X90" s="64"/>
    </row>
    <row r="91" spans="1:24" ht="15.6">
      <c r="A91" s="25">
        <v>1</v>
      </c>
      <c r="B91" s="26" t="s">
        <v>37</v>
      </c>
      <c r="C91" s="26"/>
      <c r="D91" s="26"/>
      <c r="E91" s="26"/>
      <c r="F91" s="26"/>
      <c r="G91" s="26"/>
      <c r="H91" s="26"/>
      <c r="I91" s="26"/>
      <c r="J91" s="26"/>
      <c r="K91" s="26"/>
      <c r="L91" s="26"/>
      <c r="M91" s="26"/>
      <c r="N91" s="26"/>
      <c r="O91" s="26"/>
      <c r="P91" s="26"/>
      <c r="Q91" s="26"/>
      <c r="R91" s="26"/>
      <c r="S91" s="26"/>
      <c r="T91" s="26"/>
      <c r="U91" s="60">
        <v>-2</v>
      </c>
      <c r="V91" s="196"/>
      <c r="W91" s="6"/>
    </row>
    <row r="92" spans="1:24" ht="15.6">
      <c r="A92" s="25">
        <f>A91+1</f>
        <v>2</v>
      </c>
      <c r="B92" s="26" t="s">
        <v>168</v>
      </c>
      <c r="C92" s="26"/>
      <c r="D92" s="26"/>
      <c r="E92" s="26"/>
      <c r="F92" s="26"/>
      <c r="G92" s="26"/>
      <c r="H92" s="26"/>
      <c r="I92" s="26"/>
      <c r="J92" s="26"/>
      <c r="K92" s="26"/>
      <c r="L92" s="26"/>
      <c r="M92" s="26"/>
      <c r="N92" s="26"/>
      <c r="O92" s="26"/>
      <c r="P92" s="26"/>
      <c r="Q92" s="26"/>
      <c r="R92" s="26"/>
      <c r="S92" s="26"/>
      <c r="T92" s="26"/>
      <c r="U92" s="60">
        <f>-369-160-9</f>
        <v>-538</v>
      </c>
      <c r="V92" s="196"/>
      <c r="W92" s="6"/>
      <c r="X92" s="64"/>
    </row>
    <row r="93" spans="1:24" ht="15.6">
      <c r="A93" s="25">
        <v>3</v>
      </c>
      <c r="B93" s="26" t="s">
        <v>38</v>
      </c>
      <c r="C93" s="26"/>
      <c r="D93" s="26"/>
      <c r="E93" s="26"/>
      <c r="F93" s="26"/>
      <c r="G93" s="26"/>
      <c r="H93" s="26"/>
      <c r="I93" s="26"/>
      <c r="J93" s="26"/>
      <c r="K93" s="26"/>
      <c r="L93" s="26"/>
      <c r="M93" s="26"/>
      <c r="N93" s="26"/>
      <c r="O93" s="26"/>
      <c r="P93" s="26"/>
      <c r="Q93" s="26"/>
      <c r="R93" s="26"/>
      <c r="S93" s="26"/>
      <c r="T93" s="26"/>
      <c r="U93" s="60">
        <v>-286</v>
      </c>
      <c r="V93" s="196"/>
      <c r="W93" s="6"/>
      <c r="X93" s="64"/>
    </row>
    <row r="94" spans="1:24" ht="15.6">
      <c r="A94" s="177" t="s">
        <v>190</v>
      </c>
      <c r="B94" s="26" t="s">
        <v>169</v>
      </c>
      <c r="C94" s="26"/>
      <c r="D94" s="26"/>
      <c r="E94" s="26"/>
      <c r="F94" s="26"/>
      <c r="G94" s="26"/>
      <c r="H94" s="26"/>
      <c r="I94" s="26"/>
      <c r="J94" s="26"/>
      <c r="K94" s="26"/>
      <c r="L94" s="26"/>
      <c r="M94" s="26"/>
      <c r="N94" s="26"/>
      <c r="O94" s="26"/>
      <c r="P94" s="26"/>
      <c r="Q94" s="26"/>
      <c r="R94" s="26"/>
      <c r="S94" s="26"/>
      <c r="T94" s="26"/>
      <c r="U94" s="60">
        <v>-2216</v>
      </c>
      <c r="V94" s="196"/>
      <c r="W94" s="6"/>
      <c r="X94" s="64"/>
    </row>
    <row r="95" spans="1:24" ht="15.6">
      <c r="A95" s="177" t="s">
        <v>191</v>
      </c>
      <c r="B95" s="26" t="s">
        <v>170</v>
      </c>
      <c r="C95" s="26"/>
      <c r="D95" s="26"/>
      <c r="E95" s="26"/>
      <c r="F95" s="26"/>
      <c r="G95" s="26"/>
      <c r="H95" s="26"/>
      <c r="I95" s="26"/>
      <c r="J95" s="26"/>
      <c r="K95" s="26"/>
      <c r="L95" s="26"/>
      <c r="M95" s="26"/>
      <c r="N95" s="26"/>
      <c r="O95" s="26"/>
      <c r="P95" s="26"/>
      <c r="Q95" s="26"/>
      <c r="R95" s="26"/>
      <c r="S95" s="26"/>
      <c r="T95" s="26"/>
      <c r="U95" s="60">
        <f>-4938-U94</f>
        <v>-2722</v>
      </c>
      <c r="V95" s="196"/>
      <c r="W95" s="6"/>
      <c r="X95" s="182"/>
    </row>
    <row r="96" spans="1:24" ht="15.6">
      <c r="A96" s="25">
        <v>5</v>
      </c>
      <c r="B96" s="26" t="s">
        <v>171</v>
      </c>
      <c r="C96" s="26"/>
      <c r="D96" s="26"/>
      <c r="E96" s="26"/>
      <c r="F96" s="26"/>
      <c r="G96" s="26"/>
      <c r="H96" s="26"/>
      <c r="I96" s="26"/>
      <c r="J96" s="26"/>
      <c r="K96" s="26"/>
      <c r="L96" s="26"/>
      <c r="M96" s="26"/>
      <c r="N96" s="26"/>
      <c r="O96" s="26"/>
      <c r="P96" s="26"/>
      <c r="Q96" s="26"/>
      <c r="R96" s="26"/>
      <c r="S96" s="26"/>
      <c r="T96" s="26"/>
      <c r="U96" s="60">
        <v>-7</v>
      </c>
      <c r="V96" s="196"/>
      <c r="W96" s="6"/>
    </row>
    <row r="97" spans="1:24" ht="15.6">
      <c r="A97" s="177" t="s">
        <v>174</v>
      </c>
      <c r="B97" s="26" t="s">
        <v>172</v>
      </c>
      <c r="C97" s="26"/>
      <c r="D97" s="26"/>
      <c r="E97" s="26"/>
      <c r="F97" s="26"/>
      <c r="G97" s="26"/>
      <c r="H97" s="26"/>
      <c r="I97" s="26"/>
      <c r="J97" s="26"/>
      <c r="K97" s="26"/>
      <c r="L97" s="26"/>
      <c r="M97" s="26"/>
      <c r="N97" s="26"/>
      <c r="O97" s="26"/>
      <c r="P97" s="26"/>
      <c r="Q97" s="26"/>
      <c r="R97" s="26"/>
      <c r="S97" s="26"/>
      <c r="T97" s="26"/>
      <c r="U97" s="60">
        <f>-247</f>
        <v>-247</v>
      </c>
      <c r="V97" s="196"/>
      <c r="W97" s="6"/>
      <c r="X97" s="182"/>
    </row>
    <row r="98" spans="1:24" ht="15.6">
      <c r="A98" s="177" t="s">
        <v>176</v>
      </c>
      <c r="B98" s="26" t="s">
        <v>173</v>
      </c>
      <c r="C98" s="26"/>
      <c r="D98" s="26"/>
      <c r="E98" s="26"/>
      <c r="F98" s="26"/>
      <c r="G98" s="26"/>
      <c r="H98" s="26"/>
      <c r="I98" s="26"/>
      <c r="J98" s="26"/>
      <c r="K98" s="26"/>
      <c r="L98" s="26"/>
      <c r="M98" s="26"/>
      <c r="N98" s="26"/>
      <c r="O98" s="26"/>
      <c r="P98" s="26"/>
      <c r="Q98" s="26"/>
      <c r="R98" s="26"/>
      <c r="S98" s="26"/>
      <c r="T98" s="26"/>
      <c r="U98" s="60">
        <f>-629-U97</f>
        <v>-382</v>
      </c>
      <c r="V98" s="196"/>
      <c r="W98" s="119"/>
      <c r="X98" s="182"/>
    </row>
    <row r="99" spans="1:24" ht="15.6">
      <c r="A99" s="177" t="s">
        <v>178</v>
      </c>
      <c r="B99" s="26" t="s">
        <v>175</v>
      </c>
      <c r="C99" s="26"/>
      <c r="D99" s="26"/>
      <c r="E99" s="26"/>
      <c r="F99" s="26"/>
      <c r="G99" s="26"/>
      <c r="H99" s="26"/>
      <c r="I99" s="26"/>
      <c r="J99" s="26"/>
      <c r="K99" s="26"/>
      <c r="L99" s="26"/>
      <c r="M99" s="26"/>
      <c r="N99" s="26"/>
      <c r="O99" s="26"/>
      <c r="P99" s="26"/>
      <c r="Q99" s="26"/>
      <c r="R99" s="26"/>
      <c r="S99" s="26"/>
      <c r="T99" s="26"/>
      <c r="U99" s="60">
        <v>-290</v>
      </c>
      <c r="V99" s="196"/>
      <c r="W99" s="6"/>
      <c r="X99" s="182"/>
    </row>
    <row r="100" spans="1:24" ht="15.6">
      <c r="A100" s="177" t="s">
        <v>180</v>
      </c>
      <c r="B100" s="26" t="s">
        <v>177</v>
      </c>
      <c r="C100" s="26"/>
      <c r="D100" s="26"/>
      <c r="E100" s="26"/>
      <c r="F100" s="26"/>
      <c r="G100" s="26"/>
      <c r="H100" s="26"/>
      <c r="I100" s="26"/>
      <c r="J100" s="26"/>
      <c r="K100" s="26"/>
      <c r="L100" s="26"/>
      <c r="M100" s="26"/>
      <c r="N100" s="26"/>
      <c r="O100" s="26"/>
      <c r="P100" s="26"/>
      <c r="Q100" s="26"/>
      <c r="R100" s="26"/>
      <c r="S100" s="26"/>
      <c r="T100" s="26"/>
      <c r="U100" s="60">
        <f>-656-U99</f>
        <v>-366</v>
      </c>
      <c r="V100" s="196"/>
      <c r="W100" s="119"/>
      <c r="X100" s="182"/>
    </row>
    <row r="101" spans="1:24" ht="15.6">
      <c r="A101" s="177" t="s">
        <v>192</v>
      </c>
      <c r="B101" s="26" t="s">
        <v>179</v>
      </c>
      <c r="C101" s="26"/>
      <c r="D101" s="26"/>
      <c r="E101" s="26"/>
      <c r="F101" s="26"/>
      <c r="G101" s="26"/>
      <c r="H101" s="26"/>
      <c r="I101" s="26"/>
      <c r="J101" s="26"/>
      <c r="K101" s="26"/>
      <c r="L101" s="26"/>
      <c r="M101" s="26"/>
      <c r="N101" s="26"/>
      <c r="O101" s="26"/>
      <c r="P101" s="26"/>
      <c r="Q101" s="26"/>
      <c r="R101" s="26"/>
      <c r="S101" s="26"/>
      <c r="T101" s="26"/>
      <c r="U101" s="60">
        <v>-417</v>
      </c>
      <c r="V101" s="196"/>
      <c r="W101" s="6"/>
      <c r="X101" s="182"/>
    </row>
    <row r="102" spans="1:24" ht="15.6">
      <c r="A102" s="177" t="s">
        <v>193</v>
      </c>
      <c r="B102" s="26" t="s">
        <v>181</v>
      </c>
      <c r="C102" s="26"/>
      <c r="D102" s="26"/>
      <c r="E102" s="26"/>
      <c r="F102" s="26"/>
      <c r="G102" s="26"/>
      <c r="H102" s="26"/>
      <c r="I102" s="26"/>
      <c r="J102" s="26"/>
      <c r="K102" s="26"/>
      <c r="L102" s="26"/>
      <c r="M102" s="26"/>
      <c r="N102" s="26"/>
      <c r="O102" s="26"/>
      <c r="P102" s="26"/>
      <c r="Q102" s="26"/>
      <c r="R102" s="26"/>
      <c r="S102" s="26"/>
      <c r="T102" s="26"/>
      <c r="U102" s="60">
        <f>-769-U101</f>
        <v>-352</v>
      </c>
      <c r="V102" s="196"/>
      <c r="W102" s="119"/>
      <c r="X102" s="182"/>
    </row>
    <row r="103" spans="1:24" ht="15.6">
      <c r="A103" s="25">
        <v>9</v>
      </c>
      <c r="B103" s="26" t="s">
        <v>182</v>
      </c>
      <c r="C103" s="26"/>
      <c r="D103" s="26"/>
      <c r="E103" s="26"/>
      <c r="F103" s="26"/>
      <c r="G103" s="26"/>
      <c r="H103" s="26"/>
      <c r="I103" s="26"/>
      <c r="J103" s="26"/>
      <c r="K103" s="26"/>
      <c r="L103" s="26"/>
      <c r="M103" s="26"/>
      <c r="N103" s="26"/>
      <c r="O103" s="26"/>
      <c r="P103" s="26"/>
      <c r="Q103" s="26"/>
      <c r="R103" s="26"/>
      <c r="S103" s="26"/>
      <c r="T103" s="26"/>
      <c r="U103" s="60">
        <f>+S220-U32</f>
        <v>-96584</v>
      </c>
      <c r="V103" s="196"/>
      <c r="W103" s="6"/>
      <c r="X103" s="182"/>
    </row>
    <row r="104" spans="1:24" ht="15.6">
      <c r="A104" s="25">
        <v>10</v>
      </c>
      <c r="B104" s="26" t="s">
        <v>234</v>
      </c>
      <c r="C104" s="26"/>
      <c r="D104" s="26"/>
      <c r="E104" s="26"/>
      <c r="F104" s="26"/>
      <c r="G104" s="26"/>
      <c r="H104" s="26"/>
      <c r="I104" s="26"/>
      <c r="J104" s="26"/>
      <c r="K104" s="26"/>
      <c r="L104" s="26"/>
      <c r="M104" s="26"/>
      <c r="N104" s="26"/>
      <c r="O104" s="26"/>
      <c r="P104" s="26"/>
      <c r="Q104" s="26"/>
      <c r="R104" s="26"/>
      <c r="S104" s="26"/>
      <c r="T104" s="26"/>
      <c r="U104" s="60">
        <v>-40500</v>
      </c>
      <c r="V104" s="196"/>
      <c r="W104" s="6"/>
      <c r="X104" s="64"/>
    </row>
    <row r="105" spans="1:24" ht="15.6">
      <c r="A105" s="25">
        <v>11</v>
      </c>
      <c r="B105" s="26" t="s">
        <v>183</v>
      </c>
      <c r="C105" s="26"/>
      <c r="D105" s="26"/>
      <c r="E105" s="26"/>
      <c r="F105" s="26"/>
      <c r="G105" s="26"/>
      <c r="H105" s="26"/>
      <c r="I105" s="26"/>
      <c r="J105" s="26"/>
      <c r="K105" s="26"/>
      <c r="L105" s="26"/>
      <c r="M105" s="26"/>
      <c r="N105" s="26"/>
      <c r="O105" s="26"/>
      <c r="P105" s="26"/>
      <c r="Q105" s="26"/>
      <c r="R105" s="26"/>
      <c r="S105" s="26"/>
      <c r="T105" s="26"/>
      <c r="U105" s="60">
        <v>0</v>
      </c>
      <c r="V105" s="196"/>
      <c r="W105" s="6"/>
      <c r="X105" s="64"/>
    </row>
    <row r="106" spans="1:24" ht="15.6">
      <c r="A106" s="25">
        <v>12</v>
      </c>
      <c r="B106" s="26" t="s">
        <v>184</v>
      </c>
      <c r="C106" s="26"/>
      <c r="D106" s="26"/>
      <c r="E106" s="26"/>
      <c r="F106" s="26"/>
      <c r="G106" s="26"/>
      <c r="H106" s="26"/>
      <c r="I106" s="26"/>
      <c r="J106" s="26"/>
      <c r="K106" s="26"/>
      <c r="L106" s="26"/>
      <c r="M106" s="26"/>
      <c r="N106" s="26"/>
      <c r="O106" s="26"/>
      <c r="P106" s="26"/>
      <c r="Q106" s="26"/>
      <c r="R106" s="26"/>
      <c r="S106" s="26"/>
      <c r="T106" s="26"/>
      <c r="U106" s="60">
        <v>-416</v>
      </c>
      <c r="V106" s="196"/>
      <c r="W106" s="6"/>
      <c r="X106" s="182"/>
    </row>
    <row r="107" spans="1:24" ht="15.6">
      <c r="A107" s="25">
        <v>13</v>
      </c>
      <c r="B107" s="26" t="s">
        <v>40</v>
      </c>
      <c r="C107" s="26"/>
      <c r="D107" s="26"/>
      <c r="E107" s="26"/>
      <c r="F107" s="26"/>
      <c r="G107" s="26"/>
      <c r="H107" s="26"/>
      <c r="I107" s="26"/>
      <c r="J107" s="26"/>
      <c r="K107" s="26"/>
      <c r="L107" s="26"/>
      <c r="M107" s="26"/>
      <c r="N107" s="26"/>
      <c r="O107" s="26"/>
      <c r="P107" s="26"/>
      <c r="Q107" s="26"/>
      <c r="R107" s="26"/>
      <c r="S107" s="26"/>
      <c r="T107" s="26"/>
      <c r="U107" s="60">
        <f>-SUM(U88:U106)</f>
        <v>-342</v>
      </c>
      <c r="V107" s="196"/>
      <c r="W107" s="6"/>
      <c r="X107" s="182"/>
    </row>
    <row r="108" spans="1:24" ht="15.6">
      <c r="A108" s="25"/>
      <c r="B108" s="29"/>
      <c r="C108" s="26"/>
      <c r="D108" s="26"/>
      <c r="E108" s="26"/>
      <c r="F108" s="26"/>
      <c r="G108" s="26"/>
      <c r="H108" s="26"/>
      <c r="I108" s="26"/>
      <c r="J108" s="26"/>
      <c r="K108" s="26"/>
      <c r="L108" s="26"/>
      <c r="M108" s="26"/>
      <c r="N108" s="26"/>
      <c r="O108" s="26"/>
      <c r="P108" s="26"/>
      <c r="Q108" s="26"/>
      <c r="R108" s="26"/>
      <c r="S108" s="59"/>
      <c r="T108" s="59"/>
      <c r="U108" s="59"/>
      <c r="V108" s="196"/>
      <c r="W108" s="6"/>
      <c r="X108" s="182"/>
    </row>
    <row r="109" spans="1:24" ht="15.6">
      <c r="A109" s="7"/>
      <c r="B109" s="12"/>
      <c r="C109" s="9"/>
      <c r="D109" s="9"/>
      <c r="E109" s="9"/>
      <c r="F109" s="9"/>
      <c r="G109" s="9"/>
      <c r="H109" s="9"/>
      <c r="I109" s="9"/>
      <c r="J109" s="9"/>
      <c r="K109" s="9"/>
      <c r="L109" s="9"/>
      <c r="M109" s="9"/>
      <c r="N109" s="9"/>
      <c r="O109" s="9"/>
      <c r="P109" s="9"/>
      <c r="Q109" s="9"/>
      <c r="R109" s="9"/>
      <c r="S109" s="66"/>
      <c r="T109" s="66"/>
      <c r="U109" s="66"/>
      <c r="V109" s="194"/>
      <c r="W109" s="6"/>
    </row>
    <row r="110" spans="1:24" ht="16.2" thickBot="1">
      <c r="A110" s="130"/>
      <c r="B110" s="131" t="str">
        <f>+B59</f>
        <v>PPAF3 INVESTOR REPORT QUARTER ENDING SEPTEMBER 2008</v>
      </c>
      <c r="C110" s="132"/>
      <c r="D110" s="132"/>
      <c r="E110" s="132"/>
      <c r="F110" s="132"/>
      <c r="G110" s="132"/>
      <c r="H110" s="132"/>
      <c r="I110" s="132"/>
      <c r="J110" s="132"/>
      <c r="K110" s="132"/>
      <c r="L110" s="132"/>
      <c r="M110" s="132"/>
      <c r="N110" s="132"/>
      <c r="O110" s="132"/>
      <c r="P110" s="132"/>
      <c r="Q110" s="132"/>
      <c r="R110" s="132"/>
      <c r="S110" s="135"/>
      <c r="T110" s="135"/>
      <c r="U110" s="135"/>
      <c r="V110" s="134"/>
      <c r="W110" s="6"/>
    </row>
    <row r="111" spans="1:24" ht="15.6">
      <c r="A111" s="2"/>
      <c r="B111" s="5"/>
      <c r="C111" s="5"/>
      <c r="D111" s="5"/>
      <c r="E111" s="5"/>
      <c r="F111" s="5"/>
      <c r="G111" s="5"/>
      <c r="H111" s="5"/>
      <c r="I111" s="5"/>
      <c r="J111" s="5"/>
      <c r="K111" s="5"/>
      <c r="L111" s="5"/>
      <c r="M111" s="5"/>
      <c r="N111" s="5"/>
      <c r="O111" s="5"/>
      <c r="P111" s="5"/>
      <c r="Q111" s="5"/>
      <c r="R111" s="5"/>
      <c r="S111" s="67"/>
      <c r="T111" s="67"/>
      <c r="U111" s="67"/>
      <c r="V111" s="193"/>
      <c r="W111" s="6"/>
    </row>
    <row r="112" spans="1:24" ht="15.6">
      <c r="A112" s="68"/>
      <c r="B112" s="69" t="s">
        <v>41</v>
      </c>
      <c r="C112" s="70"/>
      <c r="D112" s="70"/>
      <c r="E112" s="70"/>
      <c r="F112" s="70"/>
      <c r="G112" s="70"/>
      <c r="H112" s="70"/>
      <c r="I112" s="70"/>
      <c r="J112" s="70"/>
      <c r="K112" s="70"/>
      <c r="L112" s="70"/>
      <c r="M112" s="70"/>
      <c r="N112" s="70"/>
      <c r="O112" s="70"/>
      <c r="P112" s="70"/>
      <c r="Q112" s="70"/>
      <c r="R112" s="70"/>
      <c r="S112" s="70"/>
      <c r="T112" s="70"/>
      <c r="U112" s="71"/>
      <c r="V112" s="201"/>
      <c r="W112" s="6"/>
    </row>
    <row r="113" spans="1:23" ht="15.6">
      <c r="A113" s="68"/>
      <c r="B113" s="70"/>
      <c r="C113" s="70"/>
      <c r="D113" s="70"/>
      <c r="E113" s="70"/>
      <c r="F113" s="70"/>
      <c r="G113" s="70"/>
      <c r="H113" s="70"/>
      <c r="I113" s="70"/>
      <c r="J113" s="70"/>
      <c r="K113" s="70"/>
      <c r="L113" s="70"/>
      <c r="M113" s="70"/>
      <c r="N113" s="70"/>
      <c r="O113" s="70"/>
      <c r="P113" s="70"/>
      <c r="Q113" s="70"/>
      <c r="R113" s="70"/>
      <c r="S113" s="70"/>
      <c r="T113" s="70"/>
      <c r="U113" s="71"/>
      <c r="V113" s="202"/>
      <c r="W113" s="6"/>
    </row>
    <row r="114" spans="1:23" ht="15.6">
      <c r="A114" s="7"/>
      <c r="B114" s="153" t="s">
        <v>42</v>
      </c>
      <c r="C114" s="13"/>
      <c r="D114" s="13"/>
      <c r="E114" s="13"/>
      <c r="F114" s="13"/>
      <c r="G114" s="13"/>
      <c r="H114" s="13"/>
      <c r="I114" s="13"/>
      <c r="J114" s="13"/>
      <c r="K114" s="13"/>
      <c r="L114" s="13"/>
      <c r="M114" s="9"/>
      <c r="N114" s="9"/>
      <c r="O114" s="9"/>
      <c r="P114" s="9"/>
      <c r="Q114" s="9"/>
      <c r="R114" s="9"/>
      <c r="S114" s="9"/>
      <c r="T114" s="9"/>
      <c r="U114" s="58"/>
      <c r="V114" s="194"/>
      <c r="W114" s="6"/>
    </row>
    <row r="115" spans="1:23" ht="15.6">
      <c r="A115" s="25"/>
      <c r="B115" s="26" t="s">
        <v>43</v>
      </c>
      <c r="C115" s="26"/>
      <c r="D115" s="26"/>
      <c r="E115" s="26"/>
      <c r="F115" s="26"/>
      <c r="G115" s="26"/>
      <c r="H115" s="26"/>
      <c r="I115" s="26"/>
      <c r="J115" s="26"/>
      <c r="K115" s="26"/>
      <c r="L115" s="26"/>
      <c r="M115" s="26"/>
      <c r="N115" s="26"/>
      <c r="O115" s="26"/>
      <c r="P115" s="26"/>
      <c r="Q115" s="26"/>
      <c r="R115" s="26"/>
      <c r="S115" s="26"/>
      <c r="T115" s="26"/>
      <c r="U115" s="60">
        <v>40500</v>
      </c>
      <c r="V115" s="196"/>
      <c r="W115" s="6"/>
    </row>
    <row r="116" spans="1:23" ht="15.6">
      <c r="A116" s="25"/>
      <c r="B116" s="26" t="s">
        <v>240</v>
      </c>
      <c r="C116" s="26"/>
      <c r="D116" s="26"/>
      <c r="E116" s="26"/>
      <c r="F116" s="26"/>
      <c r="G116" s="26"/>
      <c r="H116" s="26"/>
      <c r="I116" s="26"/>
      <c r="J116" s="26"/>
      <c r="K116" s="26"/>
      <c r="L116" s="26"/>
      <c r="M116" s="26"/>
      <c r="N116" s="26"/>
      <c r="O116" s="26"/>
      <c r="P116" s="26"/>
      <c r="Q116" s="26"/>
      <c r="R116" s="26"/>
      <c r="S116" s="26"/>
      <c r="T116" s="26"/>
      <c r="U116" s="60">
        <v>40500</v>
      </c>
      <c r="V116" s="196"/>
      <c r="W116" s="6"/>
    </row>
    <row r="117" spans="1:23" ht="15.6">
      <c r="A117" s="25"/>
      <c r="B117" s="26" t="s">
        <v>241</v>
      </c>
      <c r="C117" s="26"/>
      <c r="D117" s="26"/>
      <c r="E117" s="26"/>
      <c r="F117" s="26"/>
      <c r="G117" s="26"/>
      <c r="H117" s="26"/>
      <c r="I117" s="26"/>
      <c r="J117" s="26"/>
      <c r="K117" s="26"/>
      <c r="L117" s="26"/>
      <c r="M117" s="26"/>
      <c r="N117" s="26"/>
      <c r="O117" s="26"/>
      <c r="P117" s="26"/>
      <c r="Q117" s="26"/>
      <c r="R117" s="26"/>
      <c r="S117" s="26"/>
      <c r="T117" s="26"/>
      <c r="U117" s="60">
        <v>0</v>
      </c>
      <c r="V117" s="196"/>
      <c r="W117" s="6"/>
    </row>
    <row r="118" spans="1:23" ht="15.6">
      <c r="A118" s="25"/>
      <c r="B118" s="26" t="s">
        <v>209</v>
      </c>
      <c r="C118" s="26"/>
      <c r="D118" s="26"/>
      <c r="E118" s="26"/>
      <c r="F118" s="26"/>
      <c r="G118" s="26"/>
      <c r="H118" s="26"/>
      <c r="I118" s="26"/>
      <c r="J118" s="26"/>
      <c r="K118" s="26"/>
      <c r="L118" s="26"/>
      <c r="M118" s="26"/>
      <c r="N118" s="26"/>
      <c r="O118" s="26"/>
      <c r="P118" s="26"/>
      <c r="Q118" s="26"/>
      <c r="R118" s="26"/>
      <c r="S118" s="26"/>
      <c r="T118" s="26"/>
      <c r="U118" s="60">
        <v>0</v>
      </c>
      <c r="V118" s="196"/>
      <c r="W118" s="6"/>
    </row>
    <row r="119" spans="1:23" ht="15.6">
      <c r="A119" s="25"/>
      <c r="B119" s="26" t="s">
        <v>210</v>
      </c>
      <c r="C119" s="26"/>
      <c r="D119" s="26"/>
      <c r="E119" s="26"/>
      <c r="F119" s="26"/>
      <c r="G119" s="26"/>
      <c r="H119" s="26"/>
      <c r="I119" s="26"/>
      <c r="J119" s="26"/>
      <c r="K119" s="26"/>
      <c r="L119" s="26"/>
      <c r="M119" s="26"/>
      <c r="N119" s="26"/>
      <c r="O119" s="26"/>
      <c r="P119" s="26"/>
      <c r="Q119" s="26"/>
      <c r="R119" s="26"/>
      <c r="S119" s="26"/>
      <c r="T119" s="26"/>
      <c r="U119" s="60">
        <v>0</v>
      </c>
      <c r="V119" s="196"/>
      <c r="W119" s="6"/>
    </row>
    <row r="120" spans="1:23" ht="15.6">
      <c r="A120" s="25"/>
      <c r="B120" s="26" t="s">
        <v>211</v>
      </c>
      <c r="C120" s="26"/>
      <c r="D120" s="26"/>
      <c r="E120" s="26"/>
      <c r="F120" s="26"/>
      <c r="G120" s="26"/>
      <c r="H120" s="26"/>
      <c r="I120" s="26"/>
      <c r="J120" s="26"/>
      <c r="K120" s="26"/>
      <c r="L120" s="26"/>
      <c r="M120" s="26"/>
      <c r="N120" s="26"/>
      <c r="O120" s="26"/>
      <c r="P120" s="26"/>
      <c r="Q120" s="26"/>
      <c r="R120" s="26"/>
      <c r="S120" s="26"/>
      <c r="T120" s="26"/>
      <c r="U120" s="60">
        <v>0</v>
      </c>
      <c r="V120" s="196"/>
      <c r="W120" s="6"/>
    </row>
    <row r="121" spans="1:23" ht="15.6">
      <c r="A121" s="25"/>
      <c r="B121" s="26" t="s">
        <v>212</v>
      </c>
      <c r="C121" s="26"/>
      <c r="D121" s="26"/>
      <c r="E121" s="26"/>
      <c r="F121" s="26"/>
      <c r="G121" s="26"/>
      <c r="H121" s="26"/>
      <c r="I121" s="26"/>
      <c r="J121" s="26"/>
      <c r="K121" s="26"/>
      <c r="L121" s="26"/>
      <c r="M121" s="26"/>
      <c r="N121" s="26"/>
      <c r="O121" s="26"/>
      <c r="P121" s="26"/>
      <c r="Q121" s="26"/>
      <c r="R121" s="26"/>
      <c r="S121" s="26"/>
      <c r="T121" s="26"/>
      <c r="U121" s="60">
        <v>0</v>
      </c>
      <c r="V121" s="196"/>
      <c r="W121" s="6"/>
    </row>
    <row r="122" spans="1:23" ht="15.6">
      <c r="A122" s="25"/>
      <c r="B122" s="26" t="s">
        <v>242</v>
      </c>
      <c r="C122" s="26"/>
      <c r="D122" s="26"/>
      <c r="E122" s="26"/>
      <c r="F122" s="26"/>
      <c r="G122" s="26"/>
      <c r="H122" s="26"/>
      <c r="I122" s="26"/>
      <c r="J122" s="26"/>
      <c r="K122" s="26"/>
      <c r="L122" s="26"/>
      <c r="M122" s="26"/>
      <c r="N122" s="26"/>
      <c r="O122" s="26"/>
      <c r="P122" s="26"/>
      <c r="Q122" s="26"/>
      <c r="R122" s="26"/>
      <c r="S122" s="26"/>
      <c r="T122" s="26"/>
      <c r="U122" s="60">
        <v>0</v>
      </c>
      <c r="V122" s="196"/>
      <c r="W122" s="6"/>
    </row>
    <row r="123" spans="1:23" ht="15.6">
      <c r="A123" s="25"/>
      <c r="B123" s="26" t="s">
        <v>45</v>
      </c>
      <c r="C123" s="26"/>
      <c r="D123" s="26"/>
      <c r="E123" s="26"/>
      <c r="F123" s="26"/>
      <c r="G123" s="26"/>
      <c r="H123" s="26"/>
      <c r="I123" s="26"/>
      <c r="J123" s="26"/>
      <c r="K123" s="26"/>
      <c r="L123" s="26"/>
      <c r="M123" s="26"/>
      <c r="N123" s="26"/>
      <c r="O123" s="26"/>
      <c r="P123" s="26"/>
      <c r="Q123" s="26"/>
      <c r="R123" s="26"/>
      <c r="S123" s="26"/>
      <c r="T123" s="26"/>
      <c r="U123" s="60">
        <f>SUM(U116:U122)</f>
        <v>40500</v>
      </c>
      <c r="V123" s="196"/>
      <c r="W123" s="6"/>
    </row>
    <row r="124" spans="1:23" ht="15.6">
      <c r="A124" s="25"/>
      <c r="B124" s="26"/>
      <c r="C124" s="26"/>
      <c r="D124" s="26"/>
      <c r="E124" s="26"/>
      <c r="F124" s="26"/>
      <c r="G124" s="26"/>
      <c r="H124" s="26"/>
      <c r="I124" s="26"/>
      <c r="J124" s="26"/>
      <c r="K124" s="26"/>
      <c r="L124" s="26"/>
      <c r="M124" s="26"/>
      <c r="N124" s="26"/>
      <c r="O124" s="26"/>
      <c r="P124" s="26"/>
      <c r="Q124" s="26"/>
      <c r="R124" s="26"/>
      <c r="S124" s="26"/>
      <c r="T124" s="26"/>
      <c r="U124" s="73"/>
      <c r="V124" s="196"/>
      <c r="W124" s="6"/>
    </row>
    <row r="125" spans="1:23" ht="15.6">
      <c r="A125" s="7"/>
      <c r="B125" s="153" t="s">
        <v>46</v>
      </c>
      <c r="C125" s="13"/>
      <c r="D125" s="13"/>
      <c r="E125" s="13"/>
      <c r="F125" s="13"/>
      <c r="G125" s="13"/>
      <c r="H125" s="13"/>
      <c r="I125" s="13"/>
      <c r="J125" s="13"/>
      <c r="K125" s="13"/>
      <c r="L125" s="13"/>
      <c r="M125" s="9"/>
      <c r="N125" s="9"/>
      <c r="O125" s="9"/>
      <c r="P125" s="188"/>
      <c r="Q125" s="9"/>
      <c r="R125" s="9"/>
      <c r="S125" s="9"/>
      <c r="T125" s="9"/>
      <c r="U125" s="75"/>
      <c r="V125" s="194"/>
      <c r="W125" s="6"/>
    </row>
    <row r="126" spans="1:23" ht="15.6">
      <c r="A126" s="7"/>
      <c r="B126" s="13"/>
      <c r="C126" s="17" t="s">
        <v>185</v>
      </c>
      <c r="D126" s="17"/>
      <c r="E126" s="17" t="s">
        <v>99</v>
      </c>
      <c r="F126" s="17"/>
      <c r="G126" s="17" t="s">
        <v>102</v>
      </c>
      <c r="H126" s="17"/>
      <c r="I126" s="17" t="s">
        <v>108</v>
      </c>
      <c r="J126" s="17"/>
      <c r="K126" s="17"/>
      <c r="L126" s="17"/>
      <c r="M126" s="17"/>
      <c r="N126" s="17"/>
      <c r="O126" s="17"/>
      <c r="P126" s="188"/>
      <c r="Q126" s="188"/>
      <c r="R126" s="9"/>
      <c r="S126" s="9"/>
      <c r="T126" s="9"/>
      <c r="U126" s="75"/>
      <c r="V126" s="194"/>
      <c r="W126" s="6"/>
    </row>
    <row r="127" spans="1:23" ht="15.6">
      <c r="A127" s="25"/>
      <c r="B127" s="26" t="s">
        <v>122</v>
      </c>
      <c r="C127" s="59">
        <f>+N200-'June 08'!N200</f>
        <v>-303</v>
      </c>
      <c r="D127" s="26"/>
      <c r="E127" s="59">
        <f>+S200-'June 08'!S200</f>
        <v>113</v>
      </c>
      <c r="F127" s="26"/>
      <c r="G127" s="59">
        <f>+N213-'June 08'!N213</f>
        <v>164</v>
      </c>
      <c r="H127" s="26"/>
      <c r="I127" s="59">
        <f>+S213-'June 08'!S213</f>
        <v>-17</v>
      </c>
      <c r="J127" s="26"/>
      <c r="K127" s="26"/>
      <c r="L127" s="26"/>
      <c r="M127" s="26"/>
      <c r="N127" s="26"/>
      <c r="O127" s="26"/>
      <c r="P127" s="189"/>
      <c r="Q127" s="189"/>
      <c r="R127" s="26"/>
      <c r="S127" s="26"/>
      <c r="T127" s="26"/>
      <c r="U127" s="60">
        <f>SUM(C127:I127)</f>
        <v>-43</v>
      </c>
      <c r="V127" s="196"/>
      <c r="W127" s="6"/>
    </row>
    <row r="128" spans="1:23" ht="15.6">
      <c r="A128" s="25"/>
      <c r="B128" s="26" t="s">
        <v>47</v>
      </c>
      <c r="C128" s="26">
        <v>1851</v>
      </c>
      <c r="D128" s="26"/>
      <c r="E128" s="26">
        <v>0</v>
      </c>
      <c r="F128" s="26"/>
      <c r="G128" s="26">
        <v>999</v>
      </c>
      <c r="H128" s="26"/>
      <c r="I128" s="59">
        <v>1268</v>
      </c>
      <c r="J128" s="26"/>
      <c r="K128" s="26"/>
      <c r="L128" s="26"/>
      <c r="M128" s="26"/>
      <c r="N128" s="26"/>
      <c r="O128" s="26"/>
      <c r="P128" s="189"/>
      <c r="Q128" s="189"/>
      <c r="R128" s="26"/>
      <c r="S128" s="26"/>
      <c r="T128" s="26"/>
      <c r="U128" s="60">
        <f>SUM(C128:I128)</f>
        <v>4118</v>
      </c>
      <c r="V128" s="196"/>
      <c r="W128" s="6"/>
    </row>
    <row r="129" spans="1:25" ht="15.6">
      <c r="A129" s="25"/>
      <c r="B129" s="26" t="s">
        <v>48</v>
      </c>
      <c r="C129" s="26"/>
      <c r="D129" s="26"/>
      <c r="E129" s="26"/>
      <c r="F129" s="26"/>
      <c r="G129" s="26"/>
      <c r="H129" s="26"/>
      <c r="I129" s="26"/>
      <c r="J129" s="26"/>
      <c r="K129" s="26"/>
      <c r="L129" s="26"/>
      <c r="M129" s="26"/>
      <c r="N129" s="26"/>
      <c r="O129" s="26"/>
      <c r="P129" s="26"/>
      <c r="Q129" s="26"/>
      <c r="R129" s="26"/>
      <c r="S129" s="26"/>
      <c r="T129" s="26"/>
      <c r="U129" s="60">
        <f>SUM(U127:U128)</f>
        <v>4075</v>
      </c>
      <c r="V129" s="196"/>
      <c r="W129" s="6"/>
    </row>
    <row r="130" spans="1:25" ht="15.6">
      <c r="A130" s="7"/>
      <c r="B130" s="153" t="s">
        <v>49</v>
      </c>
      <c r="C130" s="13"/>
      <c r="D130" s="13"/>
      <c r="E130" s="13"/>
      <c r="F130" s="13"/>
      <c r="G130" s="13"/>
      <c r="H130" s="13"/>
      <c r="I130" s="13"/>
      <c r="J130" s="13"/>
      <c r="K130" s="13"/>
      <c r="L130" s="13"/>
      <c r="M130" s="9"/>
      <c r="N130" s="9"/>
      <c r="O130" s="9"/>
      <c r="P130" s="9"/>
      <c r="Q130" s="9"/>
      <c r="R130" s="9"/>
      <c r="S130" s="9"/>
      <c r="T130" s="9"/>
      <c r="U130" s="58"/>
      <c r="V130" s="194"/>
      <c r="W130" s="6"/>
    </row>
    <row r="131" spans="1:25" ht="15.6">
      <c r="A131" s="25"/>
      <c r="B131" s="26" t="s">
        <v>50</v>
      </c>
      <c r="C131" s="77"/>
      <c r="D131" s="77"/>
      <c r="E131" s="77"/>
      <c r="F131" s="77"/>
      <c r="G131" s="77"/>
      <c r="H131" s="77"/>
      <c r="I131" s="77"/>
      <c r="J131" s="77"/>
      <c r="K131" s="77"/>
      <c r="L131" s="77"/>
      <c r="M131" s="26"/>
      <c r="N131" s="26"/>
      <c r="O131" s="26"/>
      <c r="P131" s="26"/>
      <c r="Q131" s="26"/>
      <c r="R131" s="26"/>
      <c r="S131" s="26"/>
      <c r="T131" s="26"/>
      <c r="U131" s="60">
        <f>U76+U78</f>
        <v>353416</v>
      </c>
      <c r="V131" s="196"/>
      <c r="W131" s="6"/>
      <c r="X131" s="182"/>
    </row>
    <row r="132" spans="1:25" ht="15.6">
      <c r="A132" s="25"/>
      <c r="B132" s="26" t="s">
        <v>51</v>
      </c>
      <c r="C132" s="77"/>
      <c r="D132" s="77"/>
      <c r="E132" s="77"/>
      <c r="F132" s="77"/>
      <c r="G132" s="77"/>
      <c r="H132" s="77"/>
      <c r="I132" s="77"/>
      <c r="J132" s="77"/>
      <c r="K132" s="77"/>
      <c r="L132" s="77"/>
      <c r="M132" s="26"/>
      <c r="N132" s="26"/>
      <c r="O132" s="26"/>
      <c r="P132" s="26"/>
      <c r="Q132" s="26"/>
      <c r="R132" s="26"/>
      <c r="S132" s="26"/>
      <c r="T132" s="26"/>
      <c r="U132" s="60">
        <f>U79</f>
        <v>96584</v>
      </c>
      <c r="V132" s="196"/>
      <c r="W132" s="6"/>
      <c r="Y132" s="182"/>
    </row>
    <row r="133" spans="1:25" ht="15.6">
      <c r="A133" s="25"/>
      <c r="B133" s="26" t="s">
        <v>52</v>
      </c>
      <c r="C133" s="77"/>
      <c r="D133" s="77"/>
      <c r="E133" s="77"/>
      <c r="F133" s="77"/>
      <c r="G133" s="77"/>
      <c r="H133" s="77"/>
      <c r="I133" s="77"/>
      <c r="J133" s="77"/>
      <c r="K133" s="77"/>
      <c r="L133" s="77"/>
      <c r="M133" s="26"/>
      <c r="N133" s="26"/>
      <c r="O133" s="26"/>
      <c r="P133" s="26"/>
      <c r="Q133" s="26"/>
      <c r="R133" s="26"/>
      <c r="S133" s="26"/>
      <c r="T133" s="26"/>
      <c r="U133" s="60">
        <f>+U131+U132</f>
        <v>450000</v>
      </c>
      <c r="V133" s="196"/>
      <c r="W133" s="6"/>
    </row>
    <row r="134" spans="1:25" ht="15.6">
      <c r="A134" s="25"/>
      <c r="B134" s="26" t="s">
        <v>53</v>
      </c>
      <c r="C134" s="77"/>
      <c r="D134" s="77"/>
      <c r="E134" s="77"/>
      <c r="F134" s="77"/>
      <c r="G134" s="77"/>
      <c r="H134" s="77"/>
      <c r="I134" s="77"/>
      <c r="J134" s="77"/>
      <c r="K134" s="77"/>
      <c r="L134" s="77"/>
      <c r="M134" s="26"/>
      <c r="N134" s="26"/>
      <c r="O134" s="26"/>
      <c r="P134" s="26"/>
      <c r="Q134" s="26"/>
      <c r="R134" s="26"/>
      <c r="S134" s="26"/>
      <c r="T134" s="26"/>
      <c r="U134" s="60">
        <f>U81</f>
        <v>450000</v>
      </c>
      <c r="V134" s="196"/>
      <c r="W134" s="6"/>
      <c r="X134" s="64"/>
    </row>
    <row r="135" spans="1:25" ht="15.6">
      <c r="A135" s="25"/>
      <c r="B135" s="26"/>
      <c r="C135" s="26"/>
      <c r="D135" s="26"/>
      <c r="E135" s="26"/>
      <c r="F135" s="26"/>
      <c r="G135" s="26"/>
      <c r="H135" s="26"/>
      <c r="I135" s="26"/>
      <c r="J135" s="26"/>
      <c r="K135" s="26"/>
      <c r="L135" s="26"/>
      <c r="M135" s="26"/>
      <c r="N135" s="26"/>
      <c r="O135" s="26"/>
      <c r="P135" s="26"/>
      <c r="Q135" s="26"/>
      <c r="R135" s="26"/>
      <c r="S135" s="26"/>
      <c r="T135" s="26"/>
      <c r="U135" s="78"/>
      <c r="V135" s="196"/>
      <c r="W135" s="6"/>
    </row>
    <row r="136" spans="1:25" ht="15.6">
      <c r="A136" s="7"/>
      <c r="B136" s="153" t="s">
        <v>54</v>
      </c>
      <c r="C136" s="141"/>
      <c r="D136" s="141"/>
      <c r="E136" s="141"/>
      <c r="F136" s="141"/>
      <c r="G136" s="141"/>
      <c r="H136" s="141"/>
      <c r="I136" s="141"/>
      <c r="J136" s="141"/>
      <c r="K136" s="141"/>
      <c r="L136" s="141"/>
      <c r="M136" s="141"/>
      <c r="N136" s="141"/>
      <c r="O136" s="141"/>
      <c r="P136" s="141"/>
      <c r="Q136" s="142" t="s">
        <v>112</v>
      </c>
      <c r="R136" s="154"/>
      <c r="S136" s="142" t="s">
        <v>114</v>
      </c>
      <c r="T136" s="141"/>
      <c r="U136" s="155" t="s">
        <v>90</v>
      </c>
      <c r="V136" s="194"/>
      <c r="W136" s="6"/>
    </row>
    <row r="137" spans="1:25" ht="15.6">
      <c r="A137" s="25"/>
      <c r="B137" s="26" t="s">
        <v>55</v>
      </c>
      <c r="C137" s="26"/>
      <c r="D137" s="26"/>
      <c r="E137" s="26"/>
      <c r="F137" s="26"/>
      <c r="G137" s="26"/>
      <c r="H137" s="26"/>
      <c r="I137" s="26"/>
      <c r="J137" s="26"/>
      <c r="K137" s="26"/>
      <c r="L137" s="26"/>
      <c r="M137" s="26"/>
      <c r="N137" s="26"/>
      <c r="O137" s="26"/>
      <c r="P137" s="26"/>
      <c r="Q137" s="60">
        <v>0</v>
      </c>
      <c r="R137" s="26"/>
      <c r="S137" s="79" t="s">
        <v>115</v>
      </c>
      <c r="T137" s="26"/>
      <c r="U137" s="60">
        <f>Q137</f>
        <v>0</v>
      </c>
      <c r="V137" s="196"/>
      <c r="W137" s="6"/>
    </row>
    <row r="138" spans="1:25" ht="15.6">
      <c r="A138" s="25"/>
      <c r="B138" s="26" t="s">
        <v>56</v>
      </c>
      <c r="C138" s="26"/>
      <c r="D138" s="26"/>
      <c r="E138" s="26"/>
      <c r="F138" s="26"/>
      <c r="G138" s="26"/>
      <c r="H138" s="26"/>
      <c r="I138" s="26"/>
      <c r="J138" s="26"/>
      <c r="K138" s="26"/>
      <c r="L138" s="26"/>
      <c r="M138" s="26"/>
      <c r="N138" s="26"/>
      <c r="O138" s="26"/>
      <c r="P138" s="26"/>
      <c r="Q138" s="60">
        <f>+'June 08'!Q140</f>
        <v>3572</v>
      </c>
      <c r="R138" s="26"/>
      <c r="S138" s="79" t="s">
        <v>115</v>
      </c>
      <c r="T138" s="26"/>
      <c r="U138" s="60">
        <f>Q138</f>
        <v>3572</v>
      </c>
      <c r="V138" s="196"/>
      <c r="W138" s="6"/>
    </row>
    <row r="139" spans="1:25" ht="15.6">
      <c r="A139" s="25"/>
      <c r="B139" s="26" t="s">
        <v>57</v>
      </c>
      <c r="C139" s="26"/>
      <c r="D139" s="26"/>
      <c r="E139" s="26"/>
      <c r="F139" s="26"/>
      <c r="G139" s="26"/>
      <c r="H139" s="26"/>
      <c r="I139" s="26"/>
      <c r="J139" s="26"/>
      <c r="K139" s="26"/>
      <c r="L139" s="26"/>
      <c r="M139" s="26"/>
      <c r="N139" s="26"/>
      <c r="O139" s="26"/>
      <c r="P139" s="26"/>
      <c r="Q139" s="60">
        <v>278</v>
      </c>
      <c r="R139" s="26"/>
      <c r="S139" s="79" t="s">
        <v>115</v>
      </c>
      <c r="T139" s="26"/>
      <c r="U139" s="60">
        <f>Q139</f>
        <v>278</v>
      </c>
      <c r="V139" s="196"/>
      <c r="W139" s="6"/>
    </row>
    <row r="140" spans="1:25" ht="15.6">
      <c r="A140" s="25"/>
      <c r="B140" s="26" t="s">
        <v>58</v>
      </c>
      <c r="C140" s="26"/>
      <c r="D140" s="26"/>
      <c r="E140" s="26"/>
      <c r="F140" s="26"/>
      <c r="G140" s="26"/>
      <c r="H140" s="26"/>
      <c r="I140" s="26"/>
      <c r="J140" s="26"/>
      <c r="K140" s="26"/>
      <c r="L140" s="26"/>
      <c r="M140" s="26"/>
      <c r="N140" s="26"/>
      <c r="O140" s="26"/>
      <c r="P140" s="26"/>
      <c r="Q140" s="60">
        <f>SUM(Q138:Q139)</f>
        <v>3850</v>
      </c>
      <c r="R140" s="26"/>
      <c r="S140" s="79" t="s">
        <v>115</v>
      </c>
      <c r="T140" s="26"/>
      <c r="U140" s="60">
        <f>Q140</f>
        <v>3850</v>
      </c>
      <c r="V140" s="196"/>
      <c r="W140" s="6"/>
    </row>
    <row r="141" spans="1:25" ht="15.6">
      <c r="A141" s="25"/>
      <c r="B141" s="26" t="s">
        <v>215</v>
      </c>
      <c r="C141" s="26"/>
      <c r="D141" s="26"/>
      <c r="E141" s="26"/>
      <c r="F141" s="26"/>
      <c r="G141" s="26"/>
      <c r="H141" s="26"/>
      <c r="I141" s="26"/>
      <c r="J141" s="26"/>
      <c r="K141" s="26"/>
      <c r="L141" s="26"/>
      <c r="M141" s="26"/>
      <c r="N141" s="26"/>
      <c r="O141" s="26"/>
      <c r="P141" s="26"/>
      <c r="Q141" s="60"/>
      <c r="R141" s="26"/>
      <c r="S141" s="79"/>
      <c r="T141" s="26"/>
      <c r="U141" s="60"/>
      <c r="V141" s="196"/>
      <c r="W141" s="6"/>
    </row>
    <row r="142" spans="1:25" ht="15.6">
      <c r="A142" s="25"/>
      <c r="B142" s="26"/>
      <c r="C142" s="26"/>
      <c r="D142" s="26"/>
      <c r="E142" s="26"/>
      <c r="F142" s="26"/>
      <c r="G142" s="26"/>
      <c r="H142" s="26"/>
      <c r="I142" s="26"/>
      <c r="J142" s="26"/>
      <c r="K142" s="26"/>
      <c r="L142" s="26"/>
      <c r="M142" s="26"/>
      <c r="N142" s="26"/>
      <c r="O142" s="26"/>
      <c r="P142" s="26"/>
      <c r="Q142" s="26"/>
      <c r="R142" s="26"/>
      <c r="S142" s="26"/>
      <c r="T142" s="26"/>
      <c r="U142" s="26"/>
      <c r="V142" s="196"/>
      <c r="W142" s="6"/>
    </row>
    <row r="143" spans="1:25" ht="15.6">
      <c r="A143" s="25"/>
      <c r="B143" s="29"/>
      <c r="C143" s="29"/>
      <c r="D143" s="29"/>
      <c r="E143" s="29"/>
      <c r="F143" s="29"/>
      <c r="G143" s="29"/>
      <c r="H143" s="29"/>
      <c r="I143" s="29"/>
      <c r="J143" s="29"/>
      <c r="K143" s="29"/>
      <c r="L143" s="29"/>
      <c r="M143" s="29"/>
      <c r="N143" s="29"/>
      <c r="O143" s="29"/>
      <c r="P143" s="29"/>
      <c r="Q143" s="29"/>
      <c r="R143" s="29"/>
      <c r="S143" s="29"/>
      <c r="T143" s="29"/>
      <c r="U143" s="29"/>
      <c r="V143" s="203"/>
      <c r="W143" s="6"/>
    </row>
    <row r="144" spans="1:25" ht="15.6">
      <c r="A144" s="80"/>
      <c r="B144" s="57" t="s">
        <v>59</v>
      </c>
      <c r="C144" s="81"/>
      <c r="D144" s="81"/>
      <c r="E144" s="81"/>
      <c r="F144" s="81"/>
      <c r="G144" s="81"/>
      <c r="H144" s="81"/>
      <c r="I144" s="81"/>
      <c r="J144" s="81"/>
      <c r="K144" s="81"/>
      <c r="L144" s="81"/>
      <c r="M144" s="81"/>
      <c r="N144" s="81"/>
      <c r="O144" s="81"/>
      <c r="P144" s="19"/>
      <c r="Q144" s="19"/>
      <c r="R144" s="19"/>
      <c r="S144" s="19">
        <v>39721</v>
      </c>
      <c r="T144" s="15"/>
      <c r="U144" s="15"/>
      <c r="V144" s="194"/>
      <c r="W144" s="6"/>
    </row>
    <row r="145" spans="1:23" ht="15.6">
      <c r="A145" s="82"/>
      <c r="B145" s="83" t="s">
        <v>60</v>
      </c>
      <c r="C145" s="84"/>
      <c r="D145" s="84"/>
      <c r="E145" s="84"/>
      <c r="F145" s="84"/>
      <c r="G145" s="84"/>
      <c r="H145" s="84"/>
      <c r="I145" s="84"/>
      <c r="J145" s="84"/>
      <c r="K145" s="84"/>
      <c r="L145" s="84"/>
      <c r="M145" s="84"/>
      <c r="N145" s="84"/>
      <c r="O145" s="84"/>
      <c r="P145" s="85"/>
      <c r="Q145" s="85"/>
      <c r="R145" s="85"/>
      <c r="S145" s="86">
        <v>0.10630000000000001</v>
      </c>
      <c r="T145" s="26"/>
      <c r="U145" s="26"/>
      <c r="V145" s="196"/>
      <c r="W145" s="6"/>
    </row>
    <row r="146" spans="1:23" ht="15.6">
      <c r="A146" s="82"/>
      <c r="B146" s="83" t="s">
        <v>61</v>
      </c>
      <c r="C146" s="84"/>
      <c r="D146" s="84"/>
      <c r="E146" s="84"/>
      <c r="F146" s="84"/>
      <c r="G146" s="84"/>
      <c r="H146" s="84"/>
      <c r="I146" s="84"/>
      <c r="J146" s="84"/>
      <c r="K146" s="84"/>
      <c r="L146" s="84"/>
      <c r="M146" s="84"/>
      <c r="N146" s="84"/>
      <c r="O146" s="84"/>
      <c r="P146" s="85"/>
      <c r="Q146" s="85"/>
      <c r="R146" s="85"/>
      <c r="S146" s="86">
        <v>5.2200000000000003E-2</v>
      </c>
      <c r="T146" s="86"/>
      <c r="U146" s="26"/>
      <c r="V146" s="196"/>
      <c r="W146" s="6"/>
    </row>
    <row r="147" spans="1:23" ht="15.6">
      <c r="A147" s="82"/>
      <c r="B147" s="83" t="s">
        <v>62</v>
      </c>
      <c r="C147" s="84"/>
      <c r="D147" s="84"/>
      <c r="E147" s="84"/>
      <c r="F147" s="84"/>
      <c r="G147" s="84"/>
      <c r="H147" s="84"/>
      <c r="I147" s="84"/>
      <c r="J147" s="84"/>
      <c r="K147" s="84"/>
      <c r="L147" s="84"/>
      <c r="M147" s="84"/>
      <c r="N147" s="84"/>
      <c r="O147" s="84"/>
      <c r="P147" s="85"/>
      <c r="Q147" s="85"/>
      <c r="R147" s="85"/>
      <c r="S147" s="86">
        <f>S145-S146</f>
        <v>5.4100000000000002E-2</v>
      </c>
      <c r="T147" s="26"/>
      <c r="U147" s="26"/>
      <c r="V147" s="196"/>
      <c r="W147" s="6"/>
    </row>
    <row r="148" spans="1:23" ht="15.6">
      <c r="A148" s="82"/>
      <c r="B148" s="83" t="s">
        <v>63</v>
      </c>
      <c r="C148" s="84"/>
      <c r="D148" s="84"/>
      <c r="E148" s="84"/>
      <c r="F148" s="84"/>
      <c r="G148" s="84"/>
      <c r="H148" s="84"/>
      <c r="I148" s="84"/>
      <c r="J148" s="84"/>
      <c r="K148" s="84"/>
      <c r="L148" s="84"/>
      <c r="M148" s="84"/>
      <c r="N148" s="84"/>
      <c r="O148" s="84"/>
      <c r="P148" s="85"/>
      <c r="Q148" s="85"/>
      <c r="R148" s="85"/>
      <c r="S148" s="86">
        <v>0.10338</v>
      </c>
      <c r="T148" s="26"/>
      <c r="U148" s="26"/>
      <c r="V148" s="196"/>
      <c r="W148" s="6"/>
    </row>
    <row r="149" spans="1:23" ht="15.6">
      <c r="A149" s="82"/>
      <c r="B149" s="83" t="s">
        <v>64</v>
      </c>
      <c r="C149" s="84"/>
      <c r="D149" s="84"/>
      <c r="E149" s="84"/>
      <c r="F149" s="84"/>
      <c r="G149" s="84"/>
      <c r="H149" s="84"/>
      <c r="I149" s="84"/>
      <c r="J149" s="84"/>
      <c r="K149" s="84"/>
      <c r="L149" s="84"/>
      <c r="M149" s="84"/>
      <c r="N149" s="84"/>
      <c r="O149" s="84"/>
      <c r="P149" s="85"/>
      <c r="Q149" s="85"/>
      <c r="R149" s="85"/>
      <c r="S149" s="86">
        <f>+U40</f>
        <v>6.1731507444444438E-2</v>
      </c>
      <c r="T149" s="26"/>
      <c r="U149" s="26"/>
      <c r="V149" s="196"/>
      <c r="W149" s="6"/>
    </row>
    <row r="150" spans="1:23" ht="15.6">
      <c r="A150" s="82"/>
      <c r="B150" s="83" t="s">
        <v>65</v>
      </c>
      <c r="C150" s="84"/>
      <c r="D150" s="84"/>
      <c r="E150" s="84"/>
      <c r="F150" s="84"/>
      <c r="G150" s="84"/>
      <c r="H150" s="84"/>
      <c r="I150" s="84"/>
      <c r="J150" s="84"/>
      <c r="K150" s="84"/>
      <c r="L150" s="84"/>
      <c r="M150" s="84"/>
      <c r="N150" s="84"/>
      <c r="O150" s="84"/>
      <c r="P150" s="85"/>
      <c r="Q150" s="85"/>
      <c r="R150" s="85"/>
      <c r="S150" s="86">
        <f>S148-S149</f>
        <v>4.1648492555555562E-2</v>
      </c>
      <c r="T150" s="26"/>
      <c r="U150" s="26"/>
      <c r="V150" s="196"/>
      <c r="W150" s="6"/>
    </row>
    <row r="151" spans="1:23" ht="15.6">
      <c r="A151" s="82"/>
      <c r="B151" s="83" t="s">
        <v>204</v>
      </c>
      <c r="C151" s="84"/>
      <c r="D151" s="84"/>
      <c r="E151" s="84"/>
      <c r="F151" s="84"/>
      <c r="G151" s="84"/>
      <c r="H151" s="84"/>
      <c r="I151" s="84"/>
      <c r="J151" s="84"/>
      <c r="K151" s="84"/>
      <c r="L151" s="84"/>
      <c r="M151" s="84"/>
      <c r="N151" s="84"/>
      <c r="O151" s="84"/>
      <c r="P151" s="85"/>
      <c r="Q151" s="85"/>
      <c r="R151" s="85"/>
      <c r="S151" s="183">
        <v>49780</v>
      </c>
      <c r="T151" s="26"/>
      <c r="U151" s="26"/>
      <c r="V151" s="196"/>
      <c r="W151" s="6"/>
    </row>
    <row r="152" spans="1:23" ht="15.6">
      <c r="A152" s="82"/>
      <c r="B152" s="83" t="s">
        <v>205</v>
      </c>
      <c r="C152" s="84"/>
      <c r="D152" s="84"/>
      <c r="E152" s="84"/>
      <c r="F152" s="84"/>
      <c r="G152" s="84"/>
      <c r="H152" s="84"/>
      <c r="I152" s="84"/>
      <c r="J152" s="84"/>
      <c r="K152" s="84"/>
      <c r="L152" s="84"/>
      <c r="M152" s="84"/>
      <c r="N152" s="84"/>
      <c r="O152" s="84"/>
      <c r="P152" s="85"/>
      <c r="Q152" s="85"/>
      <c r="R152" s="85"/>
      <c r="S152" s="183">
        <v>49780</v>
      </c>
      <c r="T152" s="26"/>
      <c r="U152" s="26"/>
      <c r="V152" s="196"/>
      <c r="W152" s="6"/>
    </row>
    <row r="153" spans="1:23" ht="15.6">
      <c r="A153" s="82"/>
      <c r="B153" s="83" t="s">
        <v>206</v>
      </c>
      <c r="C153" s="84"/>
      <c r="D153" s="84"/>
      <c r="E153" s="84"/>
      <c r="F153" s="84"/>
      <c r="G153" s="84"/>
      <c r="H153" s="84"/>
      <c r="I153" s="84"/>
      <c r="J153" s="84"/>
      <c r="K153" s="84"/>
      <c r="L153" s="84"/>
      <c r="M153" s="84"/>
      <c r="N153" s="84"/>
      <c r="O153" s="84"/>
      <c r="P153" s="85"/>
      <c r="Q153" s="85"/>
      <c r="R153" s="85"/>
      <c r="S153" s="183">
        <v>49780</v>
      </c>
      <c r="T153" s="26"/>
      <c r="U153" s="26"/>
      <c r="V153" s="196"/>
      <c r="W153" s="6"/>
    </row>
    <row r="154" spans="1:23" ht="15.6">
      <c r="A154" s="82"/>
      <c r="B154" s="83" t="s">
        <v>207</v>
      </c>
      <c r="C154" s="84"/>
      <c r="D154" s="84"/>
      <c r="E154" s="84"/>
      <c r="F154" s="84"/>
      <c r="G154" s="84"/>
      <c r="H154" s="84"/>
      <c r="I154" s="84"/>
      <c r="J154" s="84"/>
      <c r="K154" s="84"/>
      <c r="L154" s="84"/>
      <c r="M154" s="84"/>
      <c r="N154" s="84"/>
      <c r="O154" s="84"/>
      <c r="P154" s="85"/>
      <c r="Q154" s="85"/>
      <c r="R154" s="85"/>
      <c r="S154" s="183">
        <v>49780</v>
      </c>
      <c r="T154" s="26"/>
      <c r="U154" s="26"/>
      <c r="V154" s="196"/>
      <c r="W154" s="6"/>
    </row>
    <row r="155" spans="1:23" ht="15.6">
      <c r="A155" s="82"/>
      <c r="B155" s="83" t="s">
        <v>221</v>
      </c>
      <c r="C155" s="84"/>
      <c r="D155" s="84"/>
      <c r="E155" s="84"/>
      <c r="F155" s="84"/>
      <c r="G155" s="84"/>
      <c r="H155" s="84"/>
      <c r="I155" s="84"/>
      <c r="J155" s="84"/>
      <c r="K155" s="84"/>
      <c r="L155" s="84"/>
      <c r="M155" s="84"/>
      <c r="N155" s="84"/>
      <c r="O155" s="84"/>
      <c r="P155" s="85"/>
      <c r="Q155" s="85"/>
      <c r="R155" s="85"/>
      <c r="S155" s="87">
        <v>111.34</v>
      </c>
      <c r="T155" s="26"/>
      <c r="U155" s="26"/>
      <c r="V155" s="196"/>
      <c r="W155" s="6"/>
    </row>
    <row r="156" spans="1:23" ht="15.6">
      <c r="A156" s="82"/>
      <c r="B156" s="83" t="s">
        <v>222</v>
      </c>
      <c r="C156" s="84"/>
      <c r="D156" s="84"/>
      <c r="E156" s="84"/>
      <c r="F156" s="84"/>
      <c r="G156" s="84"/>
      <c r="H156" s="84"/>
      <c r="I156" s="84"/>
      <c r="J156" s="84"/>
      <c r="K156" s="84"/>
      <c r="L156" s="84"/>
      <c r="M156" s="84"/>
      <c r="N156" s="84"/>
      <c r="O156" s="84"/>
      <c r="P156" s="85"/>
      <c r="Q156" s="85"/>
      <c r="R156" s="85"/>
      <c r="S156" s="87">
        <v>138.43</v>
      </c>
      <c r="T156" s="26"/>
      <c r="U156" s="26"/>
      <c r="V156" s="196"/>
      <c r="W156" s="6"/>
    </row>
    <row r="157" spans="1:23" ht="15.6">
      <c r="A157" s="82" t="s">
        <v>223</v>
      </c>
      <c r="B157" s="83" t="s">
        <v>66</v>
      </c>
      <c r="C157" s="84"/>
      <c r="D157" s="84"/>
      <c r="E157" s="84"/>
      <c r="F157" s="84"/>
      <c r="G157" s="84"/>
      <c r="H157" s="84"/>
      <c r="I157" s="84"/>
      <c r="J157" s="84"/>
      <c r="K157" s="84"/>
      <c r="L157" s="84"/>
      <c r="M157" s="84"/>
      <c r="N157" s="84"/>
      <c r="O157" s="84"/>
      <c r="P157" s="85"/>
      <c r="Q157" s="85"/>
      <c r="R157" s="85"/>
      <c r="S157" s="86">
        <v>8.6900000000000005E-2</v>
      </c>
      <c r="T157" s="26"/>
      <c r="U157" s="26"/>
      <c r="V157" s="196"/>
      <c r="W157" s="6"/>
    </row>
    <row r="158" spans="1:23" ht="15.6">
      <c r="A158" s="82"/>
      <c r="B158" s="83" t="s">
        <v>67</v>
      </c>
      <c r="C158" s="84"/>
      <c r="D158" s="84"/>
      <c r="E158" s="84"/>
      <c r="F158" s="84"/>
      <c r="G158" s="84"/>
      <c r="H158" s="84"/>
      <c r="I158" s="84"/>
      <c r="J158" s="84"/>
      <c r="K158" s="84"/>
      <c r="L158" s="84"/>
      <c r="M158" s="84"/>
      <c r="N158" s="84"/>
      <c r="O158" s="84"/>
      <c r="P158" s="85"/>
      <c r="Q158" s="85"/>
      <c r="R158" s="85"/>
      <c r="S158" s="86">
        <v>0.4032</v>
      </c>
      <c r="T158" s="26"/>
      <c r="U158" s="26"/>
      <c r="V158" s="196"/>
      <c r="W158" s="6"/>
    </row>
    <row r="159" spans="1:23" ht="15.6">
      <c r="A159" s="82"/>
      <c r="B159" s="83"/>
      <c r="C159" s="83"/>
      <c r="D159" s="83"/>
      <c r="E159" s="83"/>
      <c r="F159" s="83"/>
      <c r="G159" s="83"/>
      <c r="H159" s="83"/>
      <c r="I159" s="83"/>
      <c r="J159" s="83"/>
      <c r="K159" s="83"/>
      <c r="L159" s="83"/>
      <c r="M159" s="83"/>
      <c r="N159" s="83"/>
      <c r="O159" s="83"/>
      <c r="P159" s="26"/>
      <c r="Q159" s="26"/>
      <c r="R159" s="33"/>
      <c r="S159" s="88"/>
      <c r="T159" s="26"/>
      <c r="U159" s="89"/>
      <c r="V159" s="196"/>
      <c r="W159" s="6"/>
    </row>
    <row r="160" spans="1:23" ht="15.6">
      <c r="A160" s="80"/>
      <c r="B160" s="90"/>
      <c r="C160" s="90"/>
      <c r="D160" s="90"/>
      <c r="E160" s="90"/>
      <c r="F160" s="90"/>
      <c r="G160" s="90"/>
      <c r="H160" s="90"/>
      <c r="I160" s="90"/>
      <c r="J160" s="90"/>
      <c r="K160" s="90"/>
      <c r="L160" s="90"/>
      <c r="M160" s="90"/>
      <c r="N160" s="90"/>
      <c r="O160" s="90"/>
      <c r="P160" s="9"/>
      <c r="Q160" s="9"/>
      <c r="R160" s="20"/>
      <c r="S160" s="91"/>
      <c r="T160" s="9"/>
      <c r="U160" s="92"/>
      <c r="V160" s="194"/>
      <c r="W160" s="6"/>
    </row>
    <row r="161" spans="1:23" ht="16.2" thickBot="1">
      <c r="A161" s="136"/>
      <c r="B161" s="131" t="str">
        <f>+B110</f>
        <v>PPAF3 INVESTOR REPORT QUARTER ENDING SEPTEMBER 2008</v>
      </c>
      <c r="C161" s="137"/>
      <c r="D161" s="137"/>
      <c r="E161" s="137"/>
      <c r="F161" s="137"/>
      <c r="G161" s="137"/>
      <c r="H161" s="137"/>
      <c r="I161" s="137"/>
      <c r="J161" s="137"/>
      <c r="K161" s="137"/>
      <c r="L161" s="137"/>
      <c r="M161" s="137"/>
      <c r="N161" s="137"/>
      <c r="O161" s="137"/>
      <c r="P161" s="132"/>
      <c r="Q161" s="132"/>
      <c r="R161" s="138"/>
      <c r="S161" s="139"/>
      <c r="T161" s="132"/>
      <c r="U161" s="140"/>
      <c r="V161" s="134"/>
      <c r="W161" s="6"/>
    </row>
    <row r="162" spans="1:23" ht="15.6">
      <c r="A162" s="93"/>
      <c r="B162" s="94" t="s">
        <v>68</v>
      </c>
      <c r="C162" s="95"/>
      <c r="D162" s="95"/>
      <c r="E162" s="95"/>
      <c r="F162" s="95"/>
      <c r="G162" s="95"/>
      <c r="H162" s="95"/>
      <c r="I162" s="95"/>
      <c r="J162" s="95"/>
      <c r="K162" s="95"/>
      <c r="L162" s="95"/>
      <c r="M162" s="96"/>
      <c r="N162" s="95"/>
      <c r="O162" s="96"/>
      <c r="P162" s="95"/>
      <c r="Q162" s="96"/>
      <c r="R162" s="95" t="s">
        <v>94</v>
      </c>
      <c r="S162" s="96" t="s">
        <v>116</v>
      </c>
      <c r="T162" s="97"/>
      <c r="U162" s="97"/>
      <c r="V162" s="193"/>
      <c r="W162" s="6"/>
    </row>
    <row r="163" spans="1:23" ht="15.6">
      <c r="A163" s="98"/>
      <c r="B163" s="83" t="s">
        <v>216</v>
      </c>
      <c r="C163" s="61"/>
      <c r="D163" s="61"/>
      <c r="E163" s="61"/>
      <c r="F163" s="61"/>
      <c r="G163" s="61"/>
      <c r="H163" s="61"/>
      <c r="I163" s="61"/>
      <c r="J163" s="61"/>
      <c r="K163" s="61"/>
      <c r="L163" s="61"/>
      <c r="M163" s="61"/>
      <c r="N163" s="61"/>
      <c r="O163" s="26"/>
      <c r="P163" s="26"/>
      <c r="Q163" s="26"/>
      <c r="R163" s="211">
        <v>517</v>
      </c>
      <c r="S163" s="210">
        <v>16131</v>
      </c>
      <c r="T163" s="60"/>
      <c r="U163" s="89"/>
      <c r="V163" s="204"/>
      <c r="W163" s="6"/>
    </row>
    <row r="164" spans="1:23" ht="15.6">
      <c r="A164" s="98"/>
      <c r="B164" s="83" t="s">
        <v>217</v>
      </c>
      <c r="C164" s="61"/>
      <c r="D164" s="61"/>
      <c r="E164" s="61"/>
      <c r="F164" s="61"/>
      <c r="G164" s="61"/>
      <c r="H164" s="61"/>
      <c r="I164" s="61"/>
      <c r="J164" s="61"/>
      <c r="K164" s="61"/>
      <c r="L164" s="61"/>
      <c r="M164" s="61"/>
      <c r="N164" s="61"/>
      <c r="O164" s="26"/>
      <c r="P164" s="26"/>
      <c r="Q164" s="26"/>
      <c r="R164" s="158">
        <v>58</v>
      </c>
      <c r="S164" s="210">
        <v>705</v>
      </c>
      <c r="T164" s="60"/>
      <c r="U164" s="89"/>
      <c r="V164" s="204"/>
      <c r="W164" s="6"/>
    </row>
    <row r="165" spans="1:23" ht="15.6">
      <c r="A165" s="98"/>
      <c r="B165" s="83" t="s">
        <v>218</v>
      </c>
      <c r="C165" s="61"/>
      <c r="D165" s="61"/>
      <c r="E165" s="61"/>
      <c r="F165" s="61"/>
      <c r="G165" s="61"/>
      <c r="H165" s="61"/>
      <c r="I165" s="61"/>
      <c r="J165" s="61"/>
      <c r="K165" s="61"/>
      <c r="L165" s="61"/>
      <c r="M165" s="61"/>
      <c r="N165" s="61"/>
      <c r="O165" s="26"/>
      <c r="P165" s="26"/>
      <c r="Q165" s="26"/>
      <c r="R165" s="158">
        <v>273</v>
      </c>
      <c r="S165" s="210">
        <v>447</v>
      </c>
      <c r="T165" s="60"/>
      <c r="U165" s="89"/>
      <c r="V165" s="204"/>
      <c r="W165" s="6"/>
    </row>
    <row r="166" spans="1:23" ht="15.6">
      <c r="A166" s="98"/>
      <c r="B166" s="83" t="s">
        <v>219</v>
      </c>
      <c r="C166" s="61"/>
      <c r="D166" s="61"/>
      <c r="E166" s="61"/>
      <c r="F166" s="61"/>
      <c r="G166" s="61"/>
      <c r="H166" s="61"/>
      <c r="I166" s="61"/>
      <c r="J166" s="61"/>
      <c r="K166" s="61"/>
      <c r="L166" s="61"/>
      <c r="M166" s="61"/>
      <c r="N166" s="61"/>
      <c r="O166" s="26"/>
      <c r="P166" s="26"/>
      <c r="Q166" s="26"/>
      <c r="R166" s="158">
        <v>314</v>
      </c>
      <c r="S166" s="210">
        <v>1044</v>
      </c>
      <c r="T166" s="60"/>
      <c r="U166" s="89"/>
      <c r="V166" s="204"/>
      <c r="W166" s="6"/>
    </row>
    <row r="167" spans="1:23" ht="15.6">
      <c r="A167" s="98"/>
      <c r="B167" s="83" t="s">
        <v>90</v>
      </c>
      <c r="C167" s="61"/>
      <c r="D167" s="61"/>
      <c r="E167" s="61"/>
      <c r="F167" s="61"/>
      <c r="G167" s="61"/>
      <c r="H167" s="61"/>
      <c r="I167" s="61"/>
      <c r="J167" s="61"/>
      <c r="K167" s="61"/>
      <c r="L167" s="61"/>
      <c r="M167" s="61"/>
      <c r="N167" s="61"/>
      <c r="O167" s="26"/>
      <c r="P167" s="26"/>
      <c r="Q167" s="26"/>
      <c r="R167" s="211">
        <f>SUM(R163:R166)</f>
        <v>1162</v>
      </c>
      <c r="S167" s="210">
        <f>SUM(S163:S166)</f>
        <v>18327</v>
      </c>
      <c r="T167" s="60"/>
      <c r="U167" s="89"/>
      <c r="V167" s="204"/>
      <c r="W167" s="6"/>
    </row>
    <row r="168" spans="1:23" ht="15.6">
      <c r="A168" s="98"/>
      <c r="B168" s="83"/>
      <c r="C168" s="61"/>
      <c r="D168" s="61"/>
      <c r="E168" s="61"/>
      <c r="F168" s="61"/>
      <c r="G168" s="61"/>
      <c r="H168" s="61"/>
      <c r="I168" s="61"/>
      <c r="J168" s="61"/>
      <c r="K168" s="61"/>
      <c r="L168" s="61"/>
      <c r="M168" s="61"/>
      <c r="N168" s="61"/>
      <c r="O168" s="26"/>
      <c r="P168" s="26"/>
      <c r="Q168" s="26"/>
      <c r="R168" s="158"/>
      <c r="S168" s="210"/>
      <c r="T168" s="60"/>
      <c r="U168" s="89"/>
      <c r="V168" s="204"/>
      <c r="W168" s="6"/>
    </row>
    <row r="169" spans="1:23" ht="15.6">
      <c r="A169" s="98"/>
      <c r="B169" s="83" t="s">
        <v>220</v>
      </c>
      <c r="C169" s="61"/>
      <c r="D169" s="61"/>
      <c r="E169" s="61"/>
      <c r="F169" s="61"/>
      <c r="G169" s="61"/>
      <c r="H169" s="61"/>
      <c r="I169" s="61"/>
      <c r="J169" s="61"/>
      <c r="K169" s="61"/>
      <c r="L169" s="61"/>
      <c r="M169" s="61"/>
      <c r="N169" s="61"/>
      <c r="O169" s="26"/>
      <c r="P169" s="26"/>
      <c r="Q169" s="26"/>
      <c r="R169" s="158">
        <v>18</v>
      </c>
      <c r="S169" s="210">
        <v>254</v>
      </c>
      <c r="T169" s="60"/>
      <c r="U169" s="89"/>
      <c r="V169" s="204"/>
      <c r="W169" s="6"/>
    </row>
    <row r="170" spans="1:23" ht="15.6">
      <c r="A170" s="98"/>
      <c r="B170" s="83" t="s">
        <v>224</v>
      </c>
      <c r="C170" s="61"/>
      <c r="D170" s="61"/>
      <c r="E170" s="61"/>
      <c r="F170" s="61"/>
      <c r="G170" s="61"/>
      <c r="H170" s="61"/>
      <c r="I170" s="61"/>
      <c r="J170" s="61"/>
      <c r="K170" s="61"/>
      <c r="L170" s="61"/>
      <c r="M170" s="61"/>
      <c r="N170" s="61"/>
      <c r="O170" s="26"/>
      <c r="P170" s="26"/>
      <c r="Q170" s="26"/>
      <c r="R170" s="158">
        <v>26</v>
      </c>
      <c r="S170" s="215">
        <v>878</v>
      </c>
      <c r="T170" s="60"/>
      <c r="U170" s="89"/>
      <c r="V170" s="204"/>
      <c r="W170" s="6"/>
    </row>
    <row r="171" spans="1:23" ht="15.6">
      <c r="A171" s="98"/>
      <c r="B171" s="156" t="s">
        <v>69</v>
      </c>
      <c r="C171" s="61"/>
      <c r="D171" s="61"/>
      <c r="E171" s="61"/>
      <c r="F171" s="61"/>
      <c r="G171" s="61"/>
      <c r="H171" s="61"/>
      <c r="I171" s="61"/>
      <c r="J171" s="61"/>
      <c r="K171" s="61"/>
      <c r="L171" s="61"/>
      <c r="M171" s="61"/>
      <c r="N171" s="61"/>
      <c r="O171" s="26"/>
      <c r="P171" s="26"/>
      <c r="Q171" s="26"/>
      <c r="R171" s="26"/>
      <c r="S171" s="60">
        <v>0</v>
      </c>
      <c r="T171" s="26"/>
      <c r="U171" s="89"/>
      <c r="V171" s="204"/>
      <c r="W171" s="6"/>
    </row>
    <row r="172" spans="1:23" ht="15.6">
      <c r="A172" s="98"/>
      <c r="B172" s="156" t="s">
        <v>70</v>
      </c>
      <c r="C172" s="61"/>
      <c r="D172" s="61"/>
      <c r="E172" s="61"/>
      <c r="F172" s="61"/>
      <c r="G172" s="61"/>
      <c r="H172" s="61"/>
      <c r="I172" s="61"/>
      <c r="J172" s="61"/>
      <c r="K172" s="61"/>
      <c r="L172" s="61"/>
      <c r="M172" s="61"/>
      <c r="N172" s="61"/>
      <c r="O172" s="26"/>
      <c r="P172" s="26"/>
      <c r="Q172" s="26"/>
      <c r="R172" s="26"/>
      <c r="S172" s="60">
        <f>Q76</f>
        <v>34284</v>
      </c>
      <c r="T172" s="26"/>
      <c r="U172" s="89"/>
      <c r="V172" s="204"/>
      <c r="W172" s="6"/>
    </row>
    <row r="173" spans="1:23" ht="15.6">
      <c r="A173" s="101"/>
      <c r="B173" s="156" t="s">
        <v>71</v>
      </c>
      <c r="C173" s="61"/>
      <c r="D173" s="61"/>
      <c r="E173" s="61"/>
      <c r="F173" s="61"/>
      <c r="G173" s="61"/>
      <c r="H173" s="61"/>
      <c r="I173" s="61"/>
      <c r="J173" s="61"/>
      <c r="K173" s="61"/>
      <c r="L173" s="61"/>
      <c r="M173" s="83"/>
      <c r="N173" s="83"/>
      <c r="O173" s="83"/>
      <c r="P173" s="26"/>
      <c r="Q173" s="26"/>
      <c r="R173" s="26"/>
      <c r="S173" s="102"/>
      <c r="T173" s="26"/>
      <c r="U173" s="89"/>
      <c r="V173" s="205"/>
      <c r="W173" s="6"/>
    </row>
    <row r="174" spans="1:23" ht="15.6">
      <c r="A174" s="98"/>
      <c r="B174" s="83" t="s">
        <v>72</v>
      </c>
      <c r="C174" s="61"/>
      <c r="D174" s="61"/>
      <c r="E174" s="61"/>
      <c r="F174" s="61"/>
      <c r="G174" s="61"/>
      <c r="H174" s="61"/>
      <c r="I174" s="61"/>
      <c r="J174" s="61"/>
      <c r="K174" s="61"/>
      <c r="L174" s="61"/>
      <c r="M174" s="61"/>
      <c r="N174" s="61"/>
      <c r="O174" s="61"/>
      <c r="P174" s="26"/>
      <c r="Q174" s="26"/>
      <c r="R174" s="26"/>
      <c r="S174" s="60">
        <f>U129</f>
        <v>4075</v>
      </c>
      <c r="T174" s="26"/>
      <c r="U174" s="89"/>
      <c r="V174" s="205"/>
      <c r="W174" s="6"/>
    </row>
    <row r="175" spans="1:23" ht="15.6">
      <c r="A175" s="98"/>
      <c r="B175" s="83" t="s">
        <v>73</v>
      </c>
      <c r="C175" s="61"/>
      <c r="D175" s="61"/>
      <c r="E175" s="61"/>
      <c r="F175" s="61"/>
      <c r="G175" s="61"/>
      <c r="H175" s="61"/>
      <c r="I175" s="61"/>
      <c r="J175" s="61"/>
      <c r="K175" s="61"/>
      <c r="L175" s="61"/>
      <c r="M175" s="61"/>
      <c r="N175" s="61"/>
      <c r="O175" s="61"/>
      <c r="P175" s="26"/>
      <c r="Q175" s="26"/>
      <c r="R175" s="26"/>
      <c r="S175" s="60">
        <f>'June 08'!S175+S174</f>
        <v>49076</v>
      </c>
      <c r="T175" s="26"/>
      <c r="U175" s="89"/>
      <c r="V175" s="205"/>
      <c r="W175" s="6"/>
    </row>
    <row r="176" spans="1:23" ht="15.6">
      <c r="A176" s="98"/>
      <c r="B176" s="83" t="s">
        <v>74</v>
      </c>
      <c r="C176" s="61"/>
      <c r="D176" s="61"/>
      <c r="E176" s="61"/>
      <c r="F176" s="61"/>
      <c r="G176" s="61"/>
      <c r="H176" s="61"/>
      <c r="I176" s="61"/>
      <c r="J176" s="61"/>
      <c r="K176" s="61"/>
      <c r="L176" s="61"/>
      <c r="M176" s="61"/>
      <c r="N176" s="61"/>
      <c r="O176" s="61"/>
      <c r="P176" s="26"/>
      <c r="Q176" s="26"/>
      <c r="R176" s="26"/>
      <c r="S176" s="60">
        <f>'June 08'!S176+759</f>
        <v>9020</v>
      </c>
      <c r="T176" s="26"/>
      <c r="U176" s="89"/>
      <c r="V176" s="205"/>
      <c r="W176" s="6"/>
    </row>
    <row r="177" spans="1:23" ht="15.6">
      <c r="A177" s="98"/>
      <c r="B177" s="83"/>
      <c r="C177" s="61"/>
      <c r="D177" s="61"/>
      <c r="E177" s="61"/>
      <c r="F177" s="61"/>
      <c r="G177" s="61"/>
      <c r="H177" s="61"/>
      <c r="I177" s="61"/>
      <c r="J177" s="61"/>
      <c r="K177" s="61"/>
      <c r="L177" s="61"/>
      <c r="M177" s="61"/>
      <c r="N177" s="61"/>
      <c r="O177" s="61"/>
      <c r="P177" s="26"/>
      <c r="Q177" s="26"/>
      <c r="R177" s="26"/>
      <c r="S177" s="60"/>
      <c r="T177" s="26"/>
      <c r="U177" s="89"/>
      <c r="V177" s="205"/>
      <c r="W177" s="6"/>
    </row>
    <row r="178" spans="1:23" ht="15.6">
      <c r="A178" s="101"/>
      <c r="B178" s="156" t="s">
        <v>259</v>
      </c>
      <c r="C178" s="61"/>
      <c r="D178" s="61"/>
      <c r="E178" s="61"/>
      <c r="F178" s="61"/>
      <c r="G178" s="61"/>
      <c r="H178" s="61"/>
      <c r="I178" s="61"/>
      <c r="J178" s="61"/>
      <c r="K178" s="61"/>
      <c r="L178" s="61"/>
      <c r="M178" s="83"/>
      <c r="N178" s="83"/>
      <c r="O178" s="83"/>
      <c r="P178" s="26"/>
      <c r="Q178" s="26"/>
      <c r="R178" s="26"/>
      <c r="S178" s="79"/>
      <c r="T178" s="26"/>
      <c r="U178" s="89"/>
      <c r="V178" s="205"/>
      <c r="W178" s="6"/>
    </row>
    <row r="179" spans="1:23" ht="15.6">
      <c r="A179" s="101"/>
      <c r="B179" s="83" t="s">
        <v>254</v>
      </c>
      <c r="C179" s="61"/>
      <c r="D179" s="61"/>
      <c r="E179" s="61"/>
      <c r="F179" s="61"/>
      <c r="G179" s="61"/>
      <c r="H179" s="61"/>
      <c r="I179" s="61"/>
      <c r="J179" s="61"/>
      <c r="K179" s="61"/>
      <c r="L179" s="61"/>
      <c r="M179" s="83"/>
      <c r="N179" s="83"/>
      <c r="O179" s="83"/>
      <c r="P179" s="26"/>
      <c r="Q179" s="26"/>
      <c r="R179" s="26"/>
      <c r="S179" s="212">
        <v>7</v>
      </c>
      <c r="T179" s="26"/>
      <c r="U179" s="89"/>
      <c r="V179" s="205"/>
      <c r="W179" s="6"/>
    </row>
    <row r="180" spans="1:23" ht="15.6">
      <c r="A180" s="98"/>
      <c r="B180" s="83" t="s">
        <v>75</v>
      </c>
      <c r="C180" s="61"/>
      <c r="D180" s="61"/>
      <c r="E180" s="61"/>
      <c r="F180" s="61"/>
      <c r="G180" s="61"/>
      <c r="H180" s="61"/>
      <c r="I180" s="61"/>
      <c r="J180" s="61"/>
      <c r="K180" s="61"/>
      <c r="L180" s="61"/>
      <c r="M180" s="104"/>
      <c r="N180" s="104"/>
      <c r="O180" s="105"/>
      <c r="P180" s="26"/>
      <c r="Q180" s="26"/>
      <c r="R180" s="26"/>
      <c r="S180" s="213">
        <v>14.52</v>
      </c>
      <c r="T180" s="26"/>
      <c r="U180" s="89"/>
      <c r="V180" s="205"/>
      <c r="W180" s="6"/>
    </row>
    <row r="181" spans="1:23" ht="15.6">
      <c r="A181" s="98"/>
      <c r="B181" s="83" t="s">
        <v>76</v>
      </c>
      <c r="C181" s="61"/>
      <c r="D181" s="61"/>
      <c r="E181" s="61"/>
      <c r="F181" s="61"/>
      <c r="G181" s="61"/>
      <c r="H181" s="61"/>
      <c r="I181" s="61"/>
      <c r="J181" s="61"/>
      <c r="K181" s="61"/>
      <c r="L181" s="61"/>
      <c r="M181" s="104"/>
      <c r="N181" s="104"/>
      <c r="O181" s="105"/>
      <c r="P181" s="26"/>
      <c r="Q181" s="26"/>
      <c r="R181" s="26"/>
      <c r="S181" s="213">
        <v>168.14</v>
      </c>
      <c r="T181" s="26"/>
      <c r="U181" s="89"/>
      <c r="V181" s="205"/>
      <c r="W181" s="6"/>
    </row>
    <row r="182" spans="1:23" ht="15.6">
      <c r="A182" s="98"/>
      <c r="B182" s="83"/>
      <c r="C182" s="61"/>
      <c r="D182" s="61"/>
      <c r="E182" s="61"/>
      <c r="F182" s="61"/>
      <c r="G182" s="61"/>
      <c r="H182" s="61"/>
      <c r="I182" s="61"/>
      <c r="J182" s="61"/>
      <c r="K182" s="61"/>
      <c r="L182" s="61"/>
      <c r="M182" s="106"/>
      <c r="N182" s="104"/>
      <c r="O182" s="105"/>
      <c r="P182" s="26"/>
      <c r="Q182" s="26"/>
      <c r="R182" s="26"/>
      <c r="S182" s="212"/>
      <c r="T182" s="26"/>
      <c r="U182" s="89"/>
      <c r="V182" s="205"/>
      <c r="W182" s="6"/>
    </row>
    <row r="183" spans="1:23" ht="15.6">
      <c r="A183" s="98"/>
      <c r="B183" s="156" t="s">
        <v>77</v>
      </c>
      <c r="C183" s="61"/>
      <c r="D183" s="61"/>
      <c r="E183" s="61"/>
      <c r="F183" s="61"/>
      <c r="G183" s="61"/>
      <c r="H183" s="61"/>
      <c r="I183" s="61"/>
      <c r="J183" s="61"/>
      <c r="K183" s="61"/>
      <c r="L183" s="61"/>
      <c r="M183" s="61"/>
      <c r="N183" s="106"/>
      <c r="O183" s="104"/>
      <c r="P183" s="105"/>
      <c r="Q183" s="26"/>
      <c r="R183" s="33"/>
      <c r="S183" s="157"/>
      <c r="T183" s="107"/>
      <c r="U183" s="33"/>
      <c r="V183" s="206"/>
      <c r="W183" s="6"/>
    </row>
    <row r="184" spans="1:23" ht="15.6">
      <c r="A184" s="98"/>
      <c r="B184" s="83" t="s">
        <v>78</v>
      </c>
      <c r="C184" s="61"/>
      <c r="D184" s="61"/>
      <c r="E184" s="61"/>
      <c r="F184" s="61"/>
      <c r="G184" s="61"/>
      <c r="H184" s="61"/>
      <c r="I184" s="61"/>
      <c r="J184" s="61"/>
      <c r="K184" s="61"/>
      <c r="L184" s="61"/>
      <c r="M184" s="61"/>
      <c r="N184" s="106"/>
      <c r="O184" s="104"/>
      <c r="P184" s="105"/>
      <c r="Q184" s="26"/>
      <c r="R184" s="33"/>
      <c r="S184" s="216">
        <v>166</v>
      </c>
      <c r="T184" s="108"/>
      <c r="U184" s="33"/>
      <c r="V184" s="206"/>
      <c r="W184" s="6"/>
    </row>
    <row r="185" spans="1:23" ht="15.6">
      <c r="A185" s="98"/>
      <c r="B185" s="83" t="s">
        <v>75</v>
      </c>
      <c r="C185" s="61"/>
      <c r="D185" s="61"/>
      <c r="E185" s="61"/>
      <c r="F185" s="61"/>
      <c r="G185" s="61"/>
      <c r="H185" s="61"/>
      <c r="I185" s="61"/>
      <c r="J185" s="61"/>
      <c r="K185" s="61"/>
      <c r="L185" s="61"/>
      <c r="M185" s="61"/>
      <c r="N185" s="106"/>
      <c r="O185" s="104"/>
      <c r="P185" s="105"/>
      <c r="Q185" s="26"/>
      <c r="R185" s="33"/>
      <c r="S185" s="216">
        <v>4.5199999999999996</v>
      </c>
      <c r="T185" s="108"/>
      <c r="U185" s="33"/>
      <c r="V185" s="206"/>
      <c r="W185" s="6"/>
    </row>
    <row r="186" spans="1:23" ht="15.6">
      <c r="A186" s="98"/>
      <c r="B186" s="83" t="s">
        <v>79</v>
      </c>
      <c r="C186" s="61"/>
      <c r="D186" s="61"/>
      <c r="E186" s="61"/>
      <c r="F186" s="61"/>
      <c r="G186" s="61"/>
      <c r="H186" s="61"/>
      <c r="I186" s="61"/>
      <c r="J186" s="61"/>
      <c r="K186" s="61"/>
      <c r="L186" s="61"/>
      <c r="M186" s="61"/>
      <c r="N186" s="106"/>
      <c r="O186" s="104"/>
      <c r="P186" s="105"/>
      <c r="Q186" s="26"/>
      <c r="R186" s="33"/>
      <c r="S186" s="216">
        <v>84.41</v>
      </c>
      <c r="T186" s="108"/>
      <c r="U186" s="33"/>
      <c r="V186" s="206"/>
      <c r="W186" s="6"/>
    </row>
    <row r="187" spans="1:23" ht="15.6">
      <c r="A187" s="98"/>
      <c r="B187" s="83"/>
      <c r="C187" s="61"/>
      <c r="D187" s="61"/>
      <c r="E187" s="61"/>
      <c r="F187" s="61"/>
      <c r="G187" s="61"/>
      <c r="H187" s="61"/>
      <c r="I187" s="61"/>
      <c r="J187" s="61"/>
      <c r="K187" s="61"/>
      <c r="L187" s="61"/>
      <c r="M187" s="106"/>
      <c r="N187" s="104"/>
      <c r="O187" s="105"/>
      <c r="P187" s="26"/>
      <c r="Q187" s="26"/>
      <c r="R187" s="26"/>
      <c r="S187" s="79"/>
      <c r="T187" s="26"/>
      <c r="U187" s="89"/>
      <c r="V187" s="205"/>
      <c r="W187" s="6"/>
    </row>
    <row r="188" spans="1:23" ht="17.399999999999999">
      <c r="A188" s="98"/>
      <c r="B188" s="180" t="s">
        <v>196</v>
      </c>
      <c r="C188" s="61"/>
      <c r="D188" s="61"/>
      <c r="E188" s="61"/>
      <c r="F188" s="61"/>
      <c r="G188" s="61"/>
      <c r="H188" s="61"/>
      <c r="I188" s="61"/>
      <c r="J188" s="61"/>
      <c r="K188" s="181" t="s">
        <v>195</v>
      </c>
      <c r="L188" s="61"/>
      <c r="M188" s="106"/>
      <c r="N188" s="104"/>
      <c r="O188" s="105"/>
      <c r="P188" s="26"/>
      <c r="Q188" s="26"/>
      <c r="R188" s="26"/>
      <c r="S188" s="79"/>
      <c r="T188" s="26"/>
      <c r="U188" s="89"/>
      <c r="V188" s="205"/>
      <c r="W188" s="6"/>
    </row>
    <row r="189" spans="1:23" ht="15.6">
      <c r="A189" s="25"/>
      <c r="B189" s="109" t="s">
        <v>80</v>
      </c>
      <c r="C189" s="110"/>
      <c r="D189" s="110"/>
      <c r="E189" s="110"/>
      <c r="F189" s="110"/>
      <c r="G189" s="110"/>
      <c r="H189" s="110"/>
      <c r="I189" s="110"/>
      <c r="J189" s="110"/>
      <c r="K189" s="110"/>
      <c r="L189" s="110"/>
      <c r="M189" s="111"/>
      <c r="N189" s="110"/>
      <c r="O189" s="111"/>
      <c r="P189" s="110"/>
      <c r="Q189" s="111"/>
      <c r="R189" s="110"/>
      <c r="S189" s="111"/>
      <c r="T189" s="110"/>
      <c r="U189" s="112"/>
      <c r="V189" s="205"/>
      <c r="W189" s="6"/>
    </row>
    <row r="190" spans="1:23" ht="15.6">
      <c r="A190" s="25"/>
      <c r="B190" s="30"/>
      <c r="C190" s="189"/>
      <c r="D190" s="189"/>
      <c r="E190" s="189"/>
      <c r="F190" s="189"/>
      <c r="G190" s="189"/>
      <c r="H190" s="189"/>
      <c r="I190" s="189"/>
      <c r="J190" s="189"/>
      <c r="K190" s="189"/>
      <c r="L190" s="189"/>
      <c r="M190" s="109" t="s">
        <v>100</v>
      </c>
      <c r="N190" s="110"/>
      <c r="O190" s="111"/>
      <c r="P190" s="110"/>
      <c r="Q190" s="109" t="s">
        <v>26</v>
      </c>
      <c r="R190" s="110"/>
      <c r="S190" s="111"/>
      <c r="T190" s="110"/>
      <c r="U190" s="112"/>
      <c r="V190" s="205"/>
      <c r="W190" s="6"/>
    </row>
    <row r="191" spans="1:23" ht="15.6">
      <c r="A191" s="25"/>
      <c r="B191" s="189"/>
      <c r="C191" s="111"/>
      <c r="D191" s="111"/>
      <c r="E191" s="111"/>
      <c r="F191" s="111"/>
      <c r="G191" s="111"/>
      <c r="H191" s="111"/>
      <c r="I191" s="111"/>
      <c r="J191" s="111"/>
      <c r="K191" s="111"/>
      <c r="L191" s="111" t="s">
        <v>94</v>
      </c>
      <c r="M191" s="110" t="s">
        <v>101</v>
      </c>
      <c r="N191" s="111" t="s">
        <v>103</v>
      </c>
      <c r="O191" s="110" t="s">
        <v>101</v>
      </c>
      <c r="P191" s="110"/>
      <c r="Q191" s="111" t="s">
        <v>94</v>
      </c>
      <c r="R191" s="110" t="s">
        <v>101</v>
      </c>
      <c r="S191" s="111" t="s">
        <v>103</v>
      </c>
      <c r="T191" s="110" t="s">
        <v>101</v>
      </c>
      <c r="U191" s="112"/>
      <c r="V191" s="205"/>
      <c r="W191" s="6"/>
    </row>
    <row r="192" spans="1:23" ht="15.6">
      <c r="A192" s="25"/>
      <c r="B192" s="61" t="s">
        <v>81</v>
      </c>
      <c r="C192" s="113"/>
      <c r="D192" s="113"/>
      <c r="E192" s="113"/>
      <c r="F192" s="113"/>
      <c r="G192" s="113"/>
      <c r="H192" s="113"/>
      <c r="I192" s="113"/>
      <c r="J192" s="113"/>
      <c r="K192" s="113"/>
      <c r="L192" s="113">
        <v>4691</v>
      </c>
      <c r="M192" s="86">
        <f t="shared" ref="M192:M198" si="0">+L192/$L$199</f>
        <v>0.89762724837351704</v>
      </c>
      <c r="N192" s="113">
        <v>14582</v>
      </c>
      <c r="O192" s="86">
        <f t="shared" ref="O192:O198" si="1">N192/$N$199</f>
        <v>0.8823671789906814</v>
      </c>
      <c r="P192" s="110"/>
      <c r="Q192" s="113">
        <v>20043</v>
      </c>
      <c r="R192" s="86">
        <f t="shared" ref="R192:R198" si="2">+Q192/$Q$199</f>
        <v>0.97272506673137593</v>
      </c>
      <c r="S192" s="113">
        <v>17162</v>
      </c>
      <c r="T192" s="86">
        <f t="shared" ref="T192:T198" si="3">+S192/$S$199</f>
        <v>0.95233338882414964</v>
      </c>
      <c r="U192" s="112"/>
      <c r="V192" s="205"/>
      <c r="W192" s="6"/>
    </row>
    <row r="193" spans="1:24" ht="15.6">
      <c r="A193" s="25"/>
      <c r="B193" s="61" t="s">
        <v>82</v>
      </c>
      <c r="C193" s="113"/>
      <c r="D193" s="113"/>
      <c r="E193" s="113"/>
      <c r="F193" s="113"/>
      <c r="G193" s="113"/>
      <c r="H193" s="113"/>
      <c r="I193" s="113"/>
      <c r="J193" s="113"/>
      <c r="K193" s="113"/>
      <c r="L193" s="113">
        <v>65</v>
      </c>
      <c r="M193" s="86">
        <f t="shared" si="0"/>
        <v>1.2437810945273632E-2</v>
      </c>
      <c r="N193" s="113">
        <v>248</v>
      </c>
      <c r="O193" s="86">
        <f t="shared" si="1"/>
        <v>1.5006656178143531E-2</v>
      </c>
      <c r="P193" s="110"/>
      <c r="Q193" s="113">
        <v>81</v>
      </c>
      <c r="R193" s="86">
        <f t="shared" si="2"/>
        <v>3.9310846881824802E-3</v>
      </c>
      <c r="S193" s="113">
        <v>104</v>
      </c>
      <c r="T193" s="86">
        <f t="shared" si="3"/>
        <v>5.7710448920703624E-3</v>
      </c>
      <c r="U193" s="112"/>
      <c r="V193" s="205"/>
      <c r="W193" s="6"/>
    </row>
    <row r="194" spans="1:24" ht="15.6">
      <c r="A194" s="25"/>
      <c r="B194" s="61" t="s">
        <v>83</v>
      </c>
      <c r="C194" s="113"/>
      <c r="D194" s="113"/>
      <c r="E194" s="113"/>
      <c r="F194" s="113"/>
      <c r="G194" s="113"/>
      <c r="H194" s="113"/>
      <c r="I194" s="113"/>
      <c r="J194" s="113"/>
      <c r="K194" s="113"/>
      <c r="L194" s="113">
        <v>46</v>
      </c>
      <c r="M194" s="86">
        <f t="shared" si="0"/>
        <v>8.802143130501339E-3</v>
      </c>
      <c r="N194" s="113">
        <v>188</v>
      </c>
      <c r="O194" s="86">
        <f t="shared" si="1"/>
        <v>1.1376013554399128E-2</v>
      </c>
      <c r="P194" s="110"/>
      <c r="Q194" s="113">
        <v>53</v>
      </c>
      <c r="R194" s="86">
        <f t="shared" si="2"/>
        <v>2.5721912157243387E-3</v>
      </c>
      <c r="S194" s="113">
        <v>92</v>
      </c>
      <c r="T194" s="86">
        <f t="shared" si="3"/>
        <v>5.1051550968314744E-3</v>
      </c>
      <c r="U194" s="112"/>
      <c r="V194" s="205"/>
      <c r="W194" s="6"/>
    </row>
    <row r="195" spans="1:24" ht="15.6">
      <c r="A195" s="25"/>
      <c r="B195" s="61" t="s">
        <v>186</v>
      </c>
      <c r="C195" s="113"/>
      <c r="D195" s="113"/>
      <c r="E195" s="113"/>
      <c r="F195" s="113"/>
      <c r="G195" s="113"/>
      <c r="H195" s="113"/>
      <c r="I195" s="113"/>
      <c r="J195" s="113"/>
      <c r="K195" s="113"/>
      <c r="L195" s="113">
        <v>62</v>
      </c>
      <c r="M195" s="86">
        <f t="shared" si="0"/>
        <v>1.1863758132414848E-2</v>
      </c>
      <c r="N195" s="113">
        <v>219</v>
      </c>
      <c r="O195" s="86">
        <f t="shared" si="1"/>
        <v>1.325184557666707E-2</v>
      </c>
      <c r="P195" s="110"/>
      <c r="Q195" s="113">
        <v>58</v>
      </c>
      <c r="R195" s="86">
        <f t="shared" si="2"/>
        <v>2.8148507643775784E-3</v>
      </c>
      <c r="S195" s="113">
        <v>84</v>
      </c>
      <c r="T195" s="86">
        <f t="shared" si="3"/>
        <v>4.661228566672216E-3</v>
      </c>
      <c r="U195" s="112"/>
      <c r="V195" s="205"/>
      <c r="W195" s="6"/>
    </row>
    <row r="196" spans="1:24" ht="15.6">
      <c r="A196" s="25"/>
      <c r="B196" s="61" t="s">
        <v>187</v>
      </c>
      <c r="C196" s="113"/>
      <c r="D196" s="113"/>
      <c r="E196" s="113"/>
      <c r="F196" s="113"/>
      <c r="G196" s="113"/>
      <c r="H196" s="113"/>
      <c r="I196" s="113"/>
      <c r="J196" s="113"/>
      <c r="K196" s="113"/>
      <c r="L196" s="113">
        <v>49</v>
      </c>
      <c r="M196" s="86">
        <f t="shared" si="0"/>
        <v>9.376195943360123E-3</v>
      </c>
      <c r="N196" s="113">
        <v>217</v>
      </c>
      <c r="O196" s="86">
        <f t="shared" si="1"/>
        <v>1.3130824155875589E-2</v>
      </c>
      <c r="P196" s="110"/>
      <c r="Q196" s="113">
        <v>69</v>
      </c>
      <c r="R196" s="86">
        <f t="shared" si="2"/>
        <v>3.3487017714147051E-3</v>
      </c>
      <c r="S196" s="113">
        <v>97</v>
      </c>
      <c r="T196" s="86">
        <f t="shared" si="3"/>
        <v>5.3826091781810107E-3</v>
      </c>
      <c r="U196" s="112"/>
      <c r="V196" s="205"/>
      <c r="W196" s="6"/>
    </row>
    <row r="197" spans="1:24" ht="15.6">
      <c r="A197" s="25"/>
      <c r="B197" s="61" t="s">
        <v>188</v>
      </c>
      <c r="C197" s="113"/>
      <c r="D197" s="113"/>
      <c r="E197" s="113"/>
      <c r="F197" s="113"/>
      <c r="G197" s="113"/>
      <c r="H197" s="113"/>
      <c r="I197" s="113"/>
      <c r="J197" s="113"/>
      <c r="K197" s="113"/>
      <c r="L197" s="113">
        <v>41</v>
      </c>
      <c r="M197" s="86">
        <f t="shared" si="0"/>
        <v>7.8453884424033674E-3</v>
      </c>
      <c r="N197" s="113">
        <v>115</v>
      </c>
      <c r="O197" s="86">
        <f t="shared" si="1"/>
        <v>6.9587316955101054E-3</v>
      </c>
      <c r="P197" s="110"/>
      <c r="Q197" s="113">
        <v>46</v>
      </c>
      <c r="R197" s="86">
        <f t="shared" si="2"/>
        <v>2.2324678476098037E-3</v>
      </c>
      <c r="S197" s="113">
        <v>70</v>
      </c>
      <c r="T197" s="86">
        <f t="shared" si="3"/>
        <v>3.8843571388935132E-3</v>
      </c>
      <c r="U197" s="112"/>
      <c r="V197" s="205"/>
      <c r="W197" s="6"/>
    </row>
    <row r="198" spans="1:24" ht="15.6">
      <c r="A198" s="25"/>
      <c r="B198" s="61" t="s">
        <v>189</v>
      </c>
      <c r="C198" s="113"/>
      <c r="D198" s="113"/>
      <c r="E198" s="113"/>
      <c r="F198" s="113"/>
      <c r="G198" s="113"/>
      <c r="H198" s="113"/>
      <c r="I198" s="113"/>
      <c r="J198" s="113"/>
      <c r="K198" s="113"/>
      <c r="L198" s="113">
        <v>272</v>
      </c>
      <c r="M198" s="86">
        <f t="shared" si="0"/>
        <v>5.2047455032529659E-2</v>
      </c>
      <c r="N198" s="113">
        <v>957</v>
      </c>
      <c r="O198" s="86">
        <f t="shared" si="1"/>
        <v>5.7908749848723226E-2</v>
      </c>
      <c r="P198" s="110"/>
      <c r="Q198" s="113">
        <v>255</v>
      </c>
      <c r="R198" s="86">
        <f t="shared" si="2"/>
        <v>1.2375636981315215E-2</v>
      </c>
      <c r="S198" s="113">
        <v>412</v>
      </c>
      <c r="T198" s="86">
        <f t="shared" si="3"/>
        <v>2.2862216303201819E-2</v>
      </c>
      <c r="U198" s="112"/>
      <c r="V198" s="205"/>
      <c r="W198" s="6"/>
    </row>
    <row r="199" spans="1:24" ht="15.6">
      <c r="A199" s="25"/>
      <c r="B199" s="61" t="s">
        <v>84</v>
      </c>
      <c r="C199" s="113"/>
      <c r="D199" s="113"/>
      <c r="E199" s="113"/>
      <c r="F199" s="113"/>
      <c r="G199" s="113"/>
      <c r="H199" s="113"/>
      <c r="I199" s="113"/>
      <c r="J199" s="113"/>
      <c r="K199" s="113"/>
      <c r="L199" s="113">
        <f>SUM(L192:L198)</f>
        <v>5226</v>
      </c>
      <c r="M199" s="86">
        <f>SUM(M192:M198)</f>
        <v>0.99999999999999989</v>
      </c>
      <c r="N199" s="113">
        <f>SUM(N192:N198)</f>
        <v>16526</v>
      </c>
      <c r="O199" s="86">
        <f>SUM(O192:O198)</f>
        <v>1</v>
      </c>
      <c r="P199" s="110"/>
      <c r="Q199" s="113">
        <f>SUM(Q192:Q198)</f>
        <v>20605</v>
      </c>
      <c r="R199" s="86">
        <f>SUM(R192:R198)</f>
        <v>1</v>
      </c>
      <c r="S199" s="113">
        <f>SUM(S192:S198)</f>
        <v>18021</v>
      </c>
      <c r="T199" s="86">
        <f>SUM(T192:T198)</f>
        <v>1</v>
      </c>
      <c r="U199" s="112"/>
      <c r="V199" s="205"/>
      <c r="W199" s="6"/>
      <c r="X199" s="64"/>
    </row>
    <row r="200" spans="1:24" ht="15.6">
      <c r="A200" s="25"/>
      <c r="B200" s="61" t="s">
        <v>85</v>
      </c>
      <c r="C200" s="113"/>
      <c r="D200" s="113"/>
      <c r="E200" s="113"/>
      <c r="F200" s="113"/>
      <c r="G200" s="113"/>
      <c r="H200" s="113"/>
      <c r="I200" s="113"/>
      <c r="J200" s="113"/>
      <c r="K200" s="113"/>
      <c r="L200" s="113">
        <v>1059</v>
      </c>
      <c r="M200" s="114"/>
      <c r="N200" s="113">
        <v>6828</v>
      </c>
      <c r="O200" s="114"/>
      <c r="P200" s="110"/>
      <c r="Q200" s="113">
        <v>452</v>
      </c>
      <c r="R200" s="114"/>
      <c r="S200" s="113">
        <v>865</v>
      </c>
      <c r="T200" s="114"/>
      <c r="U200" s="112"/>
      <c r="V200" s="205"/>
      <c r="W200" s="6"/>
      <c r="X200" s="64"/>
    </row>
    <row r="201" spans="1:24" ht="15.6">
      <c r="A201" s="25"/>
      <c r="B201" s="61" t="s">
        <v>86</v>
      </c>
      <c r="C201" s="113"/>
      <c r="D201" s="113"/>
      <c r="E201" s="113"/>
      <c r="F201" s="113"/>
      <c r="G201" s="113"/>
      <c r="H201" s="113"/>
      <c r="I201" s="113"/>
      <c r="J201" s="113"/>
      <c r="K201" s="113"/>
      <c r="L201" s="113">
        <f>SUM(L199:L200)</f>
        <v>6285</v>
      </c>
      <c r="M201" s="189"/>
      <c r="N201" s="113">
        <f>SUM(N199:N200)</f>
        <v>23354</v>
      </c>
      <c r="O201" s="115"/>
      <c r="P201" s="189"/>
      <c r="Q201" s="113">
        <f>SUM(Q199:Q200)</f>
        <v>21057</v>
      </c>
      <c r="R201" s="189"/>
      <c r="S201" s="113">
        <f>SUM(S199:S200)</f>
        <v>18886</v>
      </c>
      <c r="T201" s="189"/>
      <c r="U201" s="189"/>
      <c r="V201" s="205"/>
      <c r="W201" s="6"/>
      <c r="X201" s="64"/>
    </row>
    <row r="202" spans="1:24" ht="15.6">
      <c r="A202" s="25"/>
      <c r="B202" s="61"/>
      <c r="C202" s="113"/>
      <c r="D202" s="113"/>
      <c r="E202" s="113"/>
      <c r="F202" s="113"/>
      <c r="G202" s="113"/>
      <c r="H202" s="113"/>
      <c r="I202" s="113"/>
      <c r="J202" s="113"/>
      <c r="K202" s="113"/>
      <c r="L202" s="113"/>
      <c r="M202" s="115"/>
      <c r="N202" s="113"/>
      <c r="O202" s="115"/>
      <c r="P202" s="110"/>
      <c r="Q202" s="113"/>
      <c r="R202" s="115"/>
      <c r="S202" s="113"/>
      <c r="T202" s="115"/>
      <c r="U202" s="112"/>
      <c r="V202" s="205"/>
      <c r="W202" s="6"/>
    </row>
    <row r="203" spans="1:24" ht="15.6">
      <c r="A203" s="25"/>
      <c r="B203" s="61"/>
      <c r="C203" s="110"/>
      <c r="D203" s="110"/>
      <c r="E203" s="110"/>
      <c r="F203" s="110"/>
      <c r="G203" s="110"/>
      <c r="H203" s="110"/>
      <c r="I203" s="110"/>
      <c r="J203" s="110"/>
      <c r="K203" s="110"/>
      <c r="L203" s="110"/>
      <c r="M203" s="109" t="s">
        <v>27</v>
      </c>
      <c r="N203" s="110"/>
      <c r="O203" s="111"/>
      <c r="P203" s="110"/>
      <c r="Q203" s="109" t="s">
        <v>28</v>
      </c>
      <c r="R203" s="110"/>
      <c r="S203" s="111"/>
      <c r="T203" s="110"/>
      <c r="U203" s="112"/>
      <c r="V203" s="205"/>
      <c r="W203" s="6"/>
    </row>
    <row r="204" spans="1:24" ht="15.6">
      <c r="A204" s="25"/>
      <c r="B204" s="189"/>
      <c r="C204" s="111"/>
      <c r="D204" s="111"/>
      <c r="E204" s="111"/>
      <c r="F204" s="111"/>
      <c r="G204" s="111"/>
      <c r="H204" s="111"/>
      <c r="I204" s="111"/>
      <c r="J204" s="111"/>
      <c r="K204" s="111"/>
      <c r="L204" s="111" t="s">
        <v>94</v>
      </c>
      <c r="M204" s="110" t="s">
        <v>101</v>
      </c>
      <c r="N204" s="111" t="s">
        <v>103</v>
      </c>
      <c r="O204" s="110" t="s">
        <v>101</v>
      </c>
      <c r="P204" s="110"/>
      <c r="Q204" s="111" t="s">
        <v>94</v>
      </c>
      <c r="R204" s="110" t="s">
        <v>101</v>
      </c>
      <c r="S204" s="111" t="s">
        <v>103</v>
      </c>
      <c r="T204" s="110" t="s">
        <v>101</v>
      </c>
      <c r="U204" s="112"/>
      <c r="V204" s="205"/>
      <c r="W204" s="6"/>
    </row>
    <row r="205" spans="1:24" ht="15.6">
      <c r="A205" s="25"/>
      <c r="B205" s="61" t="s">
        <v>81</v>
      </c>
      <c r="C205" s="113"/>
      <c r="D205" s="113"/>
      <c r="E205" s="113"/>
      <c r="F205" s="113"/>
      <c r="G205" s="113"/>
      <c r="H205" s="113"/>
      <c r="I205" s="113"/>
      <c r="J205" s="113"/>
      <c r="K205" s="113"/>
      <c r="L205" s="113">
        <v>8312</v>
      </c>
      <c r="M205" s="86">
        <f t="shared" ref="M205:M211" si="4">+L205/$L$212</f>
        <v>0.94144297202401173</v>
      </c>
      <c r="N205" s="113">
        <v>222817</v>
      </c>
      <c r="O205" s="86">
        <f t="shared" ref="O205:O211" si="5">+N205/$N$212</f>
        <v>0.93249158812796085</v>
      </c>
      <c r="P205" s="110"/>
      <c r="Q205" s="113">
        <v>6148</v>
      </c>
      <c r="R205" s="86">
        <f t="shared" ref="R205:R211" si="6">Q205/$Q$212</f>
        <v>0.9710946138050861</v>
      </c>
      <c r="S205" s="113">
        <v>77287</v>
      </c>
      <c r="T205" s="86">
        <f t="shared" ref="T205:T211" si="7">+S205/$S$212</f>
        <v>0.96704245442374348</v>
      </c>
      <c r="U205" s="112"/>
      <c r="V205" s="205"/>
      <c r="W205" s="6"/>
      <c r="X205" s="182"/>
    </row>
    <row r="206" spans="1:24" ht="15.6">
      <c r="A206" s="25"/>
      <c r="B206" s="61" t="s">
        <v>82</v>
      </c>
      <c r="C206" s="113"/>
      <c r="D206" s="113"/>
      <c r="E206" s="113"/>
      <c r="F206" s="113"/>
      <c r="G206" s="113"/>
      <c r="H206" s="113"/>
      <c r="I206" s="113"/>
      <c r="J206" s="113"/>
      <c r="K206" s="113"/>
      <c r="L206" s="113">
        <v>179</v>
      </c>
      <c r="M206" s="86">
        <f t="shared" si="4"/>
        <v>2.0274096726696115E-2</v>
      </c>
      <c r="N206" s="113">
        <v>5213</v>
      </c>
      <c r="O206" s="86">
        <f t="shared" si="5"/>
        <v>2.1816462159130856E-2</v>
      </c>
      <c r="P206" s="110"/>
      <c r="Q206" s="113">
        <v>67</v>
      </c>
      <c r="R206" s="86">
        <f t="shared" si="6"/>
        <v>1.0582846311799085E-2</v>
      </c>
      <c r="S206" s="113">
        <v>1040</v>
      </c>
      <c r="T206" s="86">
        <f t="shared" si="7"/>
        <v>1.3012850189562193E-2</v>
      </c>
      <c r="U206" s="112"/>
      <c r="V206" s="205"/>
      <c r="W206" s="6"/>
    </row>
    <row r="207" spans="1:24" ht="15.6">
      <c r="A207" s="25"/>
      <c r="B207" s="61" t="s">
        <v>83</v>
      </c>
      <c r="C207" s="113"/>
      <c r="D207" s="113"/>
      <c r="E207" s="113"/>
      <c r="F207" s="113"/>
      <c r="G207" s="113"/>
      <c r="H207" s="113"/>
      <c r="I207" s="113"/>
      <c r="J207" s="113"/>
      <c r="K207" s="113"/>
      <c r="L207" s="113">
        <v>110</v>
      </c>
      <c r="M207" s="86">
        <f t="shared" si="4"/>
        <v>1.2458942122550686E-2</v>
      </c>
      <c r="N207" s="113">
        <v>3735</v>
      </c>
      <c r="O207" s="86">
        <f t="shared" si="5"/>
        <v>1.5631015953261797E-2</v>
      </c>
      <c r="P207" s="110"/>
      <c r="Q207" s="113">
        <v>33</v>
      </c>
      <c r="R207" s="86">
        <f t="shared" si="6"/>
        <v>5.2124466908861156E-3</v>
      </c>
      <c r="S207" s="113">
        <v>433</v>
      </c>
      <c r="T207" s="86">
        <f t="shared" si="7"/>
        <v>5.4178501270004129E-3</v>
      </c>
      <c r="U207" s="112"/>
      <c r="V207" s="205"/>
      <c r="W207" s="6"/>
    </row>
    <row r="208" spans="1:24" ht="15.6">
      <c r="A208" s="25"/>
      <c r="B208" s="61" t="s">
        <v>186</v>
      </c>
      <c r="C208" s="113"/>
      <c r="D208" s="113"/>
      <c r="E208" s="113"/>
      <c r="F208" s="113"/>
      <c r="G208" s="113"/>
      <c r="H208" s="113"/>
      <c r="I208" s="113"/>
      <c r="J208" s="113"/>
      <c r="K208" s="113"/>
      <c r="L208" s="113">
        <v>59</v>
      </c>
      <c r="M208" s="86">
        <f t="shared" si="4"/>
        <v>6.6825235020953671E-3</v>
      </c>
      <c r="N208" s="113">
        <v>1782</v>
      </c>
      <c r="O208" s="86">
        <f t="shared" si="5"/>
        <v>7.4576895391465928E-3</v>
      </c>
      <c r="P208" s="110"/>
      <c r="Q208" s="113">
        <v>27</v>
      </c>
      <c r="R208" s="86">
        <f t="shared" si="6"/>
        <v>4.2647291107250039E-3</v>
      </c>
      <c r="S208" s="113">
        <v>384</v>
      </c>
      <c r="T208" s="86">
        <f t="shared" si="7"/>
        <v>4.8047446853768097E-3</v>
      </c>
      <c r="U208" s="112"/>
      <c r="V208" s="205"/>
      <c r="W208" s="6"/>
    </row>
    <row r="209" spans="1:24" ht="15.6">
      <c r="A209" s="25"/>
      <c r="B209" s="61" t="s">
        <v>187</v>
      </c>
      <c r="C209" s="113"/>
      <c r="D209" s="113"/>
      <c r="E209" s="113"/>
      <c r="F209" s="113"/>
      <c r="G209" s="113"/>
      <c r="H209" s="113"/>
      <c r="I209" s="113"/>
      <c r="J209" s="113"/>
      <c r="K209" s="113"/>
      <c r="L209" s="113">
        <v>41</v>
      </c>
      <c r="M209" s="86">
        <f t="shared" si="4"/>
        <v>4.6437875184052553E-3</v>
      </c>
      <c r="N209" s="113">
        <v>1298</v>
      </c>
      <c r="O209" s="86">
        <f t="shared" si="5"/>
        <v>5.432144232217888E-3</v>
      </c>
      <c r="P209" s="110"/>
      <c r="Q209" s="113">
        <v>13</v>
      </c>
      <c r="R209" s="86">
        <f t="shared" si="6"/>
        <v>2.0533880903490761E-3</v>
      </c>
      <c r="S209" s="113">
        <v>184</v>
      </c>
      <c r="T209" s="86">
        <f t="shared" si="7"/>
        <v>2.302273495076388E-3</v>
      </c>
      <c r="U209" s="112"/>
      <c r="V209" s="205"/>
      <c r="W209" s="6"/>
    </row>
    <row r="210" spans="1:24" ht="15.6">
      <c r="A210" s="25"/>
      <c r="B210" s="61" t="s">
        <v>188</v>
      </c>
      <c r="C210" s="113"/>
      <c r="D210" s="113"/>
      <c r="E210" s="113"/>
      <c r="F210" s="113"/>
      <c r="G210" s="113"/>
      <c r="H210" s="113"/>
      <c r="I210" s="113"/>
      <c r="J210" s="113"/>
      <c r="K210" s="113"/>
      <c r="L210" s="113">
        <v>28</v>
      </c>
      <c r="M210" s="86">
        <f t="shared" si="4"/>
        <v>3.1713670857401745E-3</v>
      </c>
      <c r="N210" s="113">
        <v>1012</v>
      </c>
      <c r="O210" s="86">
        <f t="shared" si="5"/>
        <v>4.2352310963054722E-3</v>
      </c>
      <c r="P210" s="110"/>
      <c r="Q210" s="113">
        <v>16</v>
      </c>
      <c r="R210" s="86">
        <f t="shared" si="6"/>
        <v>2.5272468804296319E-3</v>
      </c>
      <c r="S210" s="113">
        <v>210</v>
      </c>
      <c r="T210" s="86">
        <f t="shared" si="7"/>
        <v>2.6275947498154428E-3</v>
      </c>
      <c r="U210" s="112"/>
      <c r="V210" s="205"/>
      <c r="W210" s="6"/>
    </row>
    <row r="211" spans="1:24" ht="15.6">
      <c r="A211" s="25"/>
      <c r="B211" s="61" t="s">
        <v>189</v>
      </c>
      <c r="C211" s="113"/>
      <c r="D211" s="113"/>
      <c r="E211" s="113"/>
      <c r="F211" s="113"/>
      <c r="G211" s="113"/>
      <c r="H211" s="113"/>
      <c r="I211" s="113"/>
      <c r="J211" s="113"/>
      <c r="K211" s="113"/>
      <c r="L211" s="113">
        <v>100</v>
      </c>
      <c r="M211" s="86">
        <f t="shared" si="4"/>
        <v>1.1326311020500622E-2</v>
      </c>
      <c r="N211" s="113">
        <v>3091</v>
      </c>
      <c r="O211" s="86">
        <f t="shared" si="5"/>
        <v>1.2935868891976498E-2</v>
      </c>
      <c r="P211" s="110"/>
      <c r="Q211" s="113">
        <v>27</v>
      </c>
      <c r="R211" s="86">
        <f t="shared" si="6"/>
        <v>4.2647291107250039E-3</v>
      </c>
      <c r="S211" s="113">
        <v>383</v>
      </c>
      <c r="T211" s="86">
        <f t="shared" si="7"/>
        <v>4.7922323294253078E-3</v>
      </c>
      <c r="U211" s="112"/>
      <c r="V211" s="205"/>
      <c r="W211" s="6"/>
    </row>
    <row r="212" spans="1:24" ht="15.6">
      <c r="A212" s="25"/>
      <c r="B212" s="61" t="str">
        <f>B199</f>
        <v>Total Performing  Assets</v>
      </c>
      <c r="C212" s="113"/>
      <c r="D212" s="113"/>
      <c r="E212" s="113"/>
      <c r="F212" s="113"/>
      <c r="G212" s="113"/>
      <c r="H212" s="113"/>
      <c r="I212" s="113"/>
      <c r="J212" s="113"/>
      <c r="K212" s="113"/>
      <c r="L212" s="113">
        <f>SUM(L205:L211)</f>
        <v>8829</v>
      </c>
      <c r="M212" s="86">
        <f>SUM(M205:M211)</f>
        <v>1</v>
      </c>
      <c r="N212" s="113">
        <f>SUM(N205:N211)</f>
        <v>238948</v>
      </c>
      <c r="O212" s="86">
        <f>SUM(O205:O211)</f>
        <v>1</v>
      </c>
      <c r="P212" s="110"/>
      <c r="Q212" s="113">
        <f>SUM(Q205:Q211)</f>
        <v>6331</v>
      </c>
      <c r="R212" s="86">
        <f>SUM(R205:R211)</f>
        <v>0.99999999999999989</v>
      </c>
      <c r="S212" s="113">
        <f>SUM(S205:S211)</f>
        <v>79921</v>
      </c>
      <c r="T212" s="86">
        <f>SUM(T205:T211)</f>
        <v>1.0000000000000002</v>
      </c>
      <c r="U212" s="112"/>
      <c r="V212" s="205"/>
      <c r="W212" s="6"/>
    </row>
    <row r="213" spans="1:24" ht="15.6">
      <c r="A213" s="25"/>
      <c r="B213" s="61" t="s">
        <v>85</v>
      </c>
      <c r="C213" s="113"/>
      <c r="D213" s="113"/>
      <c r="E213" s="113"/>
      <c r="F213" s="113"/>
      <c r="G213" s="113"/>
      <c r="H213" s="113"/>
      <c r="I213" s="113"/>
      <c r="J213" s="113"/>
      <c r="K213" s="113"/>
      <c r="L213" s="113">
        <v>61</v>
      </c>
      <c r="M213" s="116"/>
      <c r="N213" s="113">
        <v>2188</v>
      </c>
      <c r="O213" s="114"/>
      <c r="P213" s="110"/>
      <c r="Q213" s="113">
        <v>22</v>
      </c>
      <c r="R213" s="116"/>
      <c r="S213" s="113">
        <v>289</v>
      </c>
      <c r="T213" s="116"/>
      <c r="U213" s="112"/>
      <c r="V213" s="205"/>
      <c r="W213" s="6"/>
    </row>
    <row r="214" spans="1:24" ht="15.6">
      <c r="A214" s="25"/>
      <c r="B214" s="61" t="s">
        <v>86</v>
      </c>
      <c r="C214" s="113"/>
      <c r="D214" s="113"/>
      <c r="E214" s="113"/>
      <c r="F214" s="113"/>
      <c r="G214" s="113"/>
      <c r="H214" s="113"/>
      <c r="I214" s="113"/>
      <c r="J214" s="113"/>
      <c r="K214" s="113"/>
      <c r="L214" s="113">
        <f>SUM(L212:L213)</f>
        <v>8890</v>
      </c>
      <c r="M214" s="189"/>
      <c r="N214" s="113">
        <f>SUM(N212:N213)</f>
        <v>241136</v>
      </c>
      <c r="O214" s="86"/>
      <c r="P214" s="189"/>
      <c r="Q214" s="113">
        <f>SUM(Q212:Q213)</f>
        <v>6353</v>
      </c>
      <c r="R214" s="189"/>
      <c r="S214" s="113">
        <f>SUM(S212:S213)</f>
        <v>80210</v>
      </c>
      <c r="T214" s="189"/>
      <c r="U214" s="189"/>
      <c r="V214" s="190"/>
    </row>
    <row r="215" spans="1:24" ht="15.6">
      <c r="A215" s="25"/>
      <c r="B215" s="61"/>
      <c r="C215" s="110"/>
      <c r="D215" s="110"/>
      <c r="E215" s="110"/>
      <c r="F215" s="110"/>
      <c r="G215" s="110"/>
      <c r="H215" s="110"/>
      <c r="I215" s="110"/>
      <c r="J215" s="110"/>
      <c r="K215" s="110"/>
      <c r="L215" s="110"/>
      <c r="M215" s="111"/>
      <c r="N215" s="110"/>
      <c r="O215" s="111"/>
      <c r="P215" s="110"/>
      <c r="Q215" s="117"/>
      <c r="R215" s="110"/>
      <c r="S215" s="113"/>
      <c r="T215" s="110"/>
      <c r="U215" s="112"/>
      <c r="V215" s="205"/>
      <c r="W215" s="6"/>
    </row>
    <row r="216" spans="1:24" ht="15.6">
      <c r="A216" s="25"/>
      <c r="B216" s="61" t="s">
        <v>86</v>
      </c>
      <c r="C216" s="110"/>
      <c r="D216" s="110"/>
      <c r="E216" s="110"/>
      <c r="F216" s="110"/>
      <c r="G216" s="110"/>
      <c r="H216" s="110"/>
      <c r="I216" s="110"/>
      <c r="J216" s="110"/>
      <c r="K216" s="110"/>
      <c r="L216" s="110"/>
      <c r="M216" s="111"/>
      <c r="N216" s="110"/>
      <c r="O216" s="111"/>
      <c r="P216" s="110"/>
      <c r="Q216" s="117"/>
      <c r="R216" s="116"/>
      <c r="S216" s="113">
        <f>+N201+S201+N214+S214</f>
        <v>363586</v>
      </c>
      <c r="T216" s="115"/>
      <c r="U216" s="112"/>
      <c r="V216" s="205"/>
      <c r="W216" s="6"/>
      <c r="X216" s="182"/>
    </row>
    <row r="217" spans="1:24" ht="15.6">
      <c r="A217" s="25"/>
      <c r="B217" s="61"/>
      <c r="C217" s="110"/>
      <c r="D217" s="110"/>
      <c r="E217" s="110"/>
      <c r="F217" s="110"/>
      <c r="G217" s="110"/>
      <c r="H217" s="110"/>
      <c r="I217" s="110"/>
      <c r="J217" s="110"/>
      <c r="K217" s="110"/>
      <c r="L217" s="110"/>
      <c r="M217" s="111"/>
      <c r="N217" s="110"/>
      <c r="O217" s="111"/>
      <c r="P217" s="110"/>
      <c r="Q217" s="111"/>
      <c r="R217" s="110"/>
      <c r="S217" s="113"/>
      <c r="T217" s="116"/>
      <c r="U217" s="112"/>
      <c r="V217" s="205"/>
      <c r="W217" s="6"/>
    </row>
    <row r="218" spans="1:24" ht="15.6">
      <c r="A218" s="25"/>
      <c r="B218" s="118" t="s">
        <v>87</v>
      </c>
      <c r="C218" s="110"/>
      <c r="D218" s="110"/>
      <c r="E218" s="110"/>
      <c r="F218" s="110"/>
      <c r="G218" s="110"/>
      <c r="H218" s="110"/>
      <c r="I218" s="110"/>
      <c r="J218" s="110"/>
      <c r="K218" s="110"/>
      <c r="L218" s="110"/>
      <c r="M218" s="111"/>
      <c r="N218" s="110"/>
      <c r="O218" s="111"/>
      <c r="P218" s="110"/>
      <c r="Q218" s="111"/>
      <c r="R218" s="110"/>
      <c r="S218" s="113"/>
      <c r="T218" s="110"/>
      <c r="U218" s="209"/>
      <c r="V218" s="205"/>
      <c r="W218" s="6"/>
    </row>
    <row r="219" spans="1:24" ht="15.6">
      <c r="A219" s="25"/>
      <c r="B219" s="61"/>
      <c r="C219" s="110"/>
      <c r="D219" s="110"/>
      <c r="E219" s="110"/>
      <c r="F219" s="110"/>
      <c r="G219" s="110"/>
      <c r="H219" s="110"/>
      <c r="I219" s="110"/>
      <c r="J219" s="110"/>
      <c r="K219" s="110"/>
      <c r="L219" s="110"/>
      <c r="M219" s="111"/>
      <c r="N219" s="110"/>
      <c r="O219" s="111"/>
      <c r="P219" s="110"/>
      <c r="Q219" s="111"/>
      <c r="R219" s="110"/>
      <c r="S219" s="113"/>
      <c r="T219" s="110"/>
      <c r="U219" s="112"/>
      <c r="V219" s="205"/>
      <c r="W219" s="6"/>
    </row>
    <row r="220" spans="1:24" ht="15.6">
      <c r="A220" s="25"/>
      <c r="B220" s="61" t="s">
        <v>88</v>
      </c>
      <c r="C220" s="110"/>
      <c r="D220" s="110"/>
      <c r="E220" s="110"/>
      <c r="F220" s="110"/>
      <c r="G220" s="110"/>
      <c r="H220" s="110"/>
      <c r="I220" s="110"/>
      <c r="J220" s="110"/>
      <c r="K220" s="110"/>
      <c r="L220" s="110"/>
      <c r="M220" s="111"/>
      <c r="N220" s="110"/>
      <c r="O220" s="111"/>
      <c r="P220" s="110"/>
      <c r="Q220" s="111"/>
      <c r="R220" s="110"/>
      <c r="S220" s="113">
        <f>+N199+S199+N212+S212</f>
        <v>353416</v>
      </c>
      <c r="T220" s="110"/>
      <c r="U220" s="112"/>
      <c r="V220" s="205"/>
      <c r="W220" s="6"/>
      <c r="X220" s="182"/>
    </row>
    <row r="221" spans="1:24" ht="15.6">
      <c r="A221" s="25"/>
      <c r="B221" s="61" t="s">
        <v>89</v>
      </c>
      <c r="C221" s="110"/>
      <c r="D221" s="110"/>
      <c r="E221" s="110"/>
      <c r="F221" s="110"/>
      <c r="G221" s="110"/>
      <c r="H221" s="110"/>
      <c r="I221" s="110"/>
      <c r="J221" s="110"/>
      <c r="K221" s="110"/>
      <c r="L221" s="110"/>
      <c r="M221" s="111"/>
      <c r="N221" s="110"/>
      <c r="O221" s="111"/>
      <c r="P221" s="110"/>
      <c r="Q221" s="111"/>
      <c r="R221" s="110"/>
      <c r="S221" s="113">
        <f>-U103</f>
        <v>96584</v>
      </c>
      <c r="T221" s="110"/>
      <c r="U221" s="112"/>
      <c r="V221" s="205"/>
      <c r="W221" s="119"/>
    </row>
    <row r="222" spans="1:24" ht="15.6">
      <c r="A222" s="25"/>
      <c r="B222" s="61" t="s">
        <v>90</v>
      </c>
      <c r="C222" s="110"/>
      <c r="D222" s="110"/>
      <c r="E222" s="110"/>
      <c r="F222" s="110"/>
      <c r="G222" s="110"/>
      <c r="H222" s="110"/>
      <c r="I222" s="110"/>
      <c r="J222" s="110"/>
      <c r="K222" s="110"/>
      <c r="L222" s="110"/>
      <c r="M222" s="111"/>
      <c r="N222" s="110"/>
      <c r="O222" s="111"/>
      <c r="P222" s="110"/>
      <c r="Q222" s="111"/>
      <c r="R222" s="110"/>
      <c r="S222" s="113">
        <f>SUM(S220:S221)</f>
        <v>450000</v>
      </c>
      <c r="T222" s="110"/>
      <c r="U222" s="112"/>
      <c r="V222" s="205"/>
      <c r="W222" s="6"/>
    </row>
    <row r="223" spans="1:24" ht="15.6">
      <c r="A223" s="25"/>
      <c r="B223" s="61"/>
      <c r="C223" s="110"/>
      <c r="D223" s="110"/>
      <c r="E223" s="110"/>
      <c r="F223" s="110"/>
      <c r="G223" s="110"/>
      <c r="H223" s="110"/>
      <c r="I223" s="110"/>
      <c r="J223" s="110"/>
      <c r="K223" s="110"/>
      <c r="L223" s="110"/>
      <c r="M223" s="111"/>
      <c r="N223" s="110"/>
      <c r="O223" s="111"/>
      <c r="P223" s="110"/>
      <c r="Q223" s="111"/>
      <c r="R223" s="110"/>
      <c r="S223" s="113"/>
      <c r="T223" s="110"/>
      <c r="U223" s="112"/>
      <c r="V223" s="205"/>
      <c r="W223" s="6"/>
    </row>
    <row r="224" spans="1:24" ht="15.6">
      <c r="A224" s="25"/>
      <c r="B224" s="61" t="s">
        <v>91</v>
      </c>
      <c r="C224" s="110"/>
      <c r="D224" s="110"/>
      <c r="E224" s="110"/>
      <c r="F224" s="110"/>
      <c r="G224" s="110"/>
      <c r="H224" s="110"/>
      <c r="I224" s="110"/>
      <c r="J224" s="110"/>
      <c r="K224" s="110"/>
      <c r="L224" s="110"/>
      <c r="M224" s="111"/>
      <c r="N224" s="110"/>
      <c r="O224" s="111"/>
      <c r="P224" s="110"/>
      <c r="Q224" s="111"/>
      <c r="R224" s="110"/>
      <c r="S224" s="113">
        <f>U33</f>
        <v>450000</v>
      </c>
      <c r="T224" s="110"/>
      <c r="U224" s="112"/>
      <c r="V224" s="205"/>
      <c r="W224" s="6"/>
    </row>
    <row r="225" spans="1:23" ht="15.6">
      <c r="A225" s="25"/>
      <c r="B225" s="61"/>
      <c r="C225" s="110"/>
      <c r="D225" s="110"/>
      <c r="E225" s="110"/>
      <c r="F225" s="110"/>
      <c r="G225" s="110"/>
      <c r="H225" s="110"/>
      <c r="I225" s="110"/>
      <c r="J225" s="110"/>
      <c r="K225" s="110"/>
      <c r="L225" s="110"/>
      <c r="M225" s="111"/>
      <c r="N225" s="110"/>
      <c r="O225" s="111"/>
      <c r="P225" s="110"/>
      <c r="Q225" s="111"/>
      <c r="R225" s="110"/>
      <c r="S225" s="113"/>
      <c r="T225" s="110"/>
      <c r="U225" s="112"/>
      <c r="V225" s="205"/>
      <c r="W225" s="6"/>
    </row>
    <row r="226" spans="1:23" ht="15.6">
      <c r="A226" s="25"/>
      <c r="B226" s="61" t="s">
        <v>92</v>
      </c>
      <c r="C226" s="110"/>
      <c r="D226" s="110"/>
      <c r="E226" s="110"/>
      <c r="F226" s="110"/>
      <c r="G226" s="110"/>
      <c r="H226" s="110"/>
      <c r="I226" s="110"/>
      <c r="J226" s="110"/>
      <c r="K226" s="110"/>
      <c r="L226" s="110"/>
      <c r="M226" s="111"/>
      <c r="N226" s="110"/>
      <c r="O226" s="111"/>
      <c r="P226" s="110"/>
      <c r="Q226" s="111"/>
      <c r="R226" s="110"/>
      <c r="S226" s="113">
        <f>S222/S224</f>
        <v>1</v>
      </c>
      <c r="T226" s="110"/>
      <c r="U226" s="112"/>
      <c r="V226" s="205"/>
      <c r="W226" s="6"/>
    </row>
    <row r="227" spans="1:23" ht="15.6">
      <c r="A227" s="25"/>
      <c r="B227" s="26"/>
      <c r="C227" s="26"/>
      <c r="D227" s="26"/>
      <c r="E227" s="26"/>
      <c r="F227" s="26"/>
      <c r="G227" s="26"/>
      <c r="H227" s="26"/>
      <c r="I227" s="26"/>
      <c r="J227" s="26"/>
      <c r="K227" s="26"/>
      <c r="L227" s="26"/>
      <c r="M227" s="33"/>
      <c r="N227" s="26"/>
      <c r="O227" s="26"/>
      <c r="P227" s="26"/>
      <c r="Q227" s="59"/>
      <c r="R227" s="120"/>
      <c r="S227" s="60"/>
      <c r="T227" s="120"/>
      <c r="U227" s="89"/>
      <c r="V227" s="196"/>
      <c r="W227" s="6"/>
    </row>
    <row r="228" spans="1:23" ht="15.6">
      <c r="A228" s="121"/>
      <c r="B228" s="30" t="s">
        <v>127</v>
      </c>
      <c r="C228" s="122"/>
      <c r="D228" s="122"/>
      <c r="E228" s="122"/>
      <c r="F228" s="122"/>
      <c r="G228" s="122"/>
      <c r="H228" s="122"/>
      <c r="I228" s="122"/>
      <c r="J228" s="122"/>
      <c r="K228" s="122"/>
      <c r="L228" s="122"/>
      <c r="M228" s="110"/>
      <c r="N228" s="112"/>
      <c r="O228" s="30"/>
      <c r="P228" s="123"/>
      <c r="Q228" s="123"/>
      <c r="R228" s="123"/>
      <c r="S228" s="124"/>
      <c r="T228" s="29"/>
      <c r="U228" s="29"/>
      <c r="V228" s="203"/>
      <c r="W228" s="6"/>
    </row>
    <row r="229" spans="1:23" ht="15.6">
      <c r="A229" s="125"/>
      <c r="B229" s="13" t="s">
        <v>128</v>
      </c>
      <c r="C229" s="126"/>
      <c r="D229" s="126"/>
      <c r="E229" s="126"/>
      <c r="F229" s="126"/>
      <c r="G229" s="126"/>
      <c r="H229" s="126"/>
      <c r="I229" s="126"/>
      <c r="J229" s="126"/>
      <c r="K229" s="126"/>
      <c r="L229" s="126"/>
      <c r="M229" s="127"/>
      <c r="N229" s="13"/>
      <c r="O229" s="13"/>
      <c r="P229" s="126"/>
      <c r="Q229" s="126"/>
      <c r="R229" s="12"/>
      <c r="S229" s="12"/>
      <c r="T229" s="12"/>
      <c r="U229" s="12"/>
      <c r="V229" s="207"/>
      <c r="W229" s="6"/>
    </row>
    <row r="230" spans="1:23" ht="15.6">
      <c r="A230" s="125"/>
      <c r="B230" s="13" t="s">
        <v>246</v>
      </c>
      <c r="C230" s="13"/>
      <c r="D230" s="13"/>
      <c r="E230" s="13"/>
      <c r="F230" s="13"/>
      <c r="G230" s="13"/>
      <c r="H230" s="13"/>
      <c r="I230" s="13"/>
      <c r="J230" s="13"/>
      <c r="K230" s="13"/>
      <c r="L230" s="13"/>
      <c r="M230" s="13"/>
      <c r="N230" s="13"/>
      <c r="O230" s="13"/>
      <c r="P230" s="13"/>
      <c r="Q230" s="13"/>
      <c r="R230" s="13"/>
      <c r="S230" s="13"/>
      <c r="T230" s="13"/>
      <c r="U230" s="13"/>
      <c r="V230" s="207"/>
      <c r="W230" s="6"/>
    </row>
    <row r="231" spans="1:23" ht="15.6">
      <c r="A231" s="125"/>
      <c r="B231" s="13" t="s">
        <v>129</v>
      </c>
      <c r="C231" s="126"/>
      <c r="D231" s="126"/>
      <c r="E231" s="126"/>
      <c r="F231" s="126"/>
      <c r="G231" s="126"/>
      <c r="H231" s="126"/>
      <c r="I231" s="126"/>
      <c r="J231" s="126"/>
      <c r="K231" s="126"/>
      <c r="L231" s="126"/>
      <c r="M231" s="127"/>
      <c r="N231" s="13"/>
      <c r="O231" s="13"/>
      <c r="P231" s="126"/>
      <c r="Q231" s="126"/>
      <c r="R231" s="12"/>
      <c r="S231" s="12"/>
      <c r="T231" s="12"/>
      <c r="U231" s="12"/>
      <c r="V231" s="207"/>
      <c r="W231" s="6"/>
    </row>
    <row r="232" spans="1:23" ht="15.6">
      <c r="A232" s="125"/>
      <c r="B232" s="13"/>
      <c r="C232" s="126"/>
      <c r="D232" s="126"/>
      <c r="E232" s="126"/>
      <c r="F232" s="126"/>
      <c r="G232" s="126"/>
      <c r="H232" s="126"/>
      <c r="I232" s="126"/>
      <c r="J232" s="126"/>
      <c r="K232" s="126"/>
      <c r="L232" s="126"/>
      <c r="M232" s="127"/>
      <c r="N232" s="13"/>
      <c r="O232" s="13"/>
      <c r="P232" s="126"/>
      <c r="Q232" s="126"/>
      <c r="R232" s="12"/>
      <c r="S232" s="12"/>
      <c r="T232" s="12"/>
      <c r="U232" s="12"/>
      <c r="V232" s="207"/>
      <c r="W232" s="6"/>
    </row>
    <row r="233" spans="1:23" ht="15.6">
      <c r="A233" s="125"/>
      <c r="B233" s="13"/>
      <c r="C233" s="126"/>
      <c r="D233" s="126"/>
      <c r="E233" s="126"/>
      <c r="F233" s="126"/>
      <c r="G233" s="126"/>
      <c r="H233" s="126"/>
      <c r="I233" s="126"/>
      <c r="J233" s="126"/>
      <c r="K233" s="126"/>
      <c r="L233" s="126"/>
      <c r="M233" s="127"/>
      <c r="N233" s="13"/>
      <c r="O233" s="13"/>
      <c r="P233" s="126"/>
      <c r="Q233" s="126"/>
      <c r="R233" s="12"/>
      <c r="S233" s="12"/>
      <c r="T233" s="12"/>
      <c r="U233" s="12"/>
      <c r="V233" s="207"/>
      <c r="W233" s="6"/>
    </row>
    <row r="234" spans="1:23" ht="16.2" thickBot="1">
      <c r="A234" s="125"/>
      <c r="B234" s="13" t="str">
        <f>+B161</f>
        <v>PPAF3 INVESTOR REPORT QUARTER ENDING SEPTEMBER 2008</v>
      </c>
      <c r="C234" s="126"/>
      <c r="D234" s="126"/>
      <c r="E234" s="126"/>
      <c r="F234" s="126"/>
      <c r="G234" s="126"/>
      <c r="H234" s="126"/>
      <c r="I234" s="126"/>
      <c r="J234" s="126"/>
      <c r="K234" s="126"/>
      <c r="L234" s="126"/>
      <c r="M234" s="127"/>
      <c r="N234" s="13"/>
      <c r="O234" s="13"/>
      <c r="P234" s="126"/>
      <c r="Q234" s="126"/>
      <c r="R234" s="12"/>
      <c r="S234" s="12"/>
      <c r="T234" s="12"/>
      <c r="U234" s="12"/>
      <c r="V234" s="208"/>
      <c r="W234" s="6"/>
    </row>
    <row r="235" spans="1:23">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row>
  </sheetData>
  <phoneticPr fontId="0" type="noConversion"/>
  <hyperlinks>
    <hyperlink ref="I9" r:id="rId1"/>
    <hyperlink ref="K188"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16383" man="1"/>
    <brk id="110" max="16383" man="1"/>
    <brk id="161" max="21" man="1"/>
    <brk id="240" man="1"/>
  </rowBreaks>
  <colBreaks count="1" manualBreakCount="1">
    <brk id="23" max="1048575" man="1"/>
  </colBreak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18"/>
  </sheetPr>
  <dimension ref="A1:Y235"/>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 t="s">
        <v>223</v>
      </c>
      <c r="B1" s="3" t="s">
        <v>123</v>
      </c>
      <c r="C1" s="4"/>
      <c r="D1" s="4"/>
      <c r="E1" s="4"/>
      <c r="F1" s="4"/>
      <c r="G1" s="4"/>
      <c r="H1" s="4"/>
      <c r="I1" s="4"/>
      <c r="J1" s="4"/>
      <c r="K1" s="4"/>
      <c r="L1" s="4"/>
      <c r="M1" s="5"/>
      <c r="N1" s="5"/>
      <c r="O1" s="5"/>
      <c r="P1" s="5"/>
      <c r="Q1" s="5"/>
      <c r="R1" s="5"/>
      <c r="S1" s="5"/>
      <c r="T1" s="5"/>
      <c r="U1" s="5"/>
      <c r="V1" s="193"/>
      <c r="W1" s="6"/>
    </row>
    <row r="2" spans="1:23" ht="15.6">
      <c r="A2" s="7"/>
      <c r="B2" s="8"/>
      <c r="C2" s="8"/>
      <c r="D2" s="8"/>
      <c r="E2" s="8"/>
      <c r="F2" s="8"/>
      <c r="G2" s="8"/>
      <c r="H2" s="8"/>
      <c r="I2" s="8"/>
      <c r="J2" s="8"/>
      <c r="K2" s="8"/>
      <c r="L2" s="8"/>
      <c r="M2" s="9"/>
      <c r="N2" s="9"/>
      <c r="O2" s="9"/>
      <c r="P2" s="9"/>
      <c r="Q2" s="9"/>
      <c r="R2" s="9"/>
      <c r="S2" s="9"/>
      <c r="T2" s="9"/>
      <c r="U2" s="9"/>
      <c r="V2" s="194"/>
      <c r="W2" s="6"/>
    </row>
    <row r="3" spans="1:23" ht="15.6">
      <c r="A3" s="10"/>
      <c r="B3" s="141" t="s">
        <v>125</v>
      </c>
      <c r="C3" s="9"/>
      <c r="D3" s="9"/>
      <c r="E3" s="9"/>
      <c r="F3" s="9"/>
      <c r="G3" s="9"/>
      <c r="H3" s="9"/>
      <c r="I3" s="9"/>
      <c r="J3" s="9"/>
      <c r="K3" s="9"/>
      <c r="L3" s="9"/>
      <c r="M3" s="9"/>
      <c r="N3" s="9"/>
      <c r="O3" s="9"/>
      <c r="P3" s="9"/>
      <c r="Q3" s="9"/>
      <c r="R3" s="9"/>
      <c r="S3" s="9"/>
      <c r="T3" s="9"/>
      <c r="U3" s="9"/>
      <c r="V3" s="194"/>
      <c r="W3" s="6"/>
    </row>
    <row r="4" spans="1:23" ht="15.6">
      <c r="A4" s="7"/>
      <c r="B4" s="8"/>
      <c r="C4" s="8"/>
      <c r="D4" s="8"/>
      <c r="E4" s="8"/>
      <c r="F4" s="8"/>
      <c r="G4" s="8"/>
      <c r="H4" s="8"/>
      <c r="I4" s="8"/>
      <c r="J4" s="8"/>
      <c r="K4" s="8"/>
      <c r="L4" s="8"/>
      <c r="M4" s="9"/>
      <c r="N4" s="9"/>
      <c r="O4" s="9"/>
      <c r="P4" s="9"/>
      <c r="Q4" s="9"/>
      <c r="R4" s="9"/>
      <c r="S4" s="9"/>
      <c r="T4" s="9"/>
      <c r="U4" s="9"/>
      <c r="V4" s="194"/>
      <c r="W4" s="6"/>
    </row>
    <row r="5" spans="1:23" ht="16.2">
      <c r="A5" s="7"/>
      <c r="B5" s="192" t="s">
        <v>0</v>
      </c>
      <c r="C5" s="11"/>
      <c r="D5" s="11"/>
      <c r="E5" s="11"/>
      <c r="F5" s="11"/>
      <c r="G5" s="11"/>
      <c r="H5" s="11"/>
      <c r="I5" s="11"/>
      <c r="J5" s="11"/>
      <c r="K5" s="11"/>
      <c r="L5" s="11"/>
      <c r="M5" s="9"/>
      <c r="N5" s="9"/>
      <c r="O5" s="9"/>
      <c r="P5" s="9"/>
      <c r="Q5" s="9"/>
      <c r="R5" s="9"/>
      <c r="S5" s="9"/>
      <c r="T5" s="9"/>
      <c r="U5" s="9"/>
      <c r="V5" s="194"/>
      <c r="W5" s="6"/>
    </row>
    <row r="6" spans="1:23" ht="16.2">
      <c r="A6" s="7"/>
      <c r="B6" s="192" t="s">
        <v>1</v>
      </c>
      <c r="C6" s="11"/>
      <c r="D6" s="11"/>
      <c r="E6" s="11"/>
      <c r="F6" s="11"/>
      <c r="G6" s="11"/>
      <c r="H6" s="11"/>
      <c r="I6" s="11"/>
      <c r="J6" s="11"/>
      <c r="K6" s="11"/>
      <c r="L6" s="11"/>
      <c r="M6" s="9"/>
      <c r="N6" s="9"/>
      <c r="O6" s="9"/>
      <c r="P6" s="9"/>
      <c r="Q6" s="9"/>
      <c r="R6" s="9"/>
      <c r="S6" s="9"/>
      <c r="T6" s="9"/>
      <c r="U6" s="9"/>
      <c r="V6" s="194"/>
      <c r="W6" s="6"/>
    </row>
    <row r="7" spans="1:23" ht="16.2">
      <c r="A7" s="7"/>
      <c r="B7" s="192" t="s">
        <v>2</v>
      </c>
      <c r="C7" s="11"/>
      <c r="D7" s="11"/>
      <c r="E7" s="11"/>
      <c r="F7" s="11"/>
      <c r="G7" s="11"/>
      <c r="H7" s="11"/>
      <c r="I7" s="11"/>
      <c r="J7" s="11"/>
      <c r="K7" s="11"/>
      <c r="L7" s="11"/>
      <c r="M7" s="9"/>
      <c r="N7" s="9"/>
      <c r="O7" s="9"/>
      <c r="P7" s="9"/>
      <c r="Q7" s="9"/>
      <c r="R7" s="9"/>
      <c r="S7" s="9"/>
      <c r="T7" s="9"/>
      <c r="U7" s="9"/>
      <c r="V7" s="194"/>
      <c r="W7" s="6"/>
    </row>
    <row r="8" spans="1:23" ht="16.2">
      <c r="A8" s="7"/>
      <c r="B8" s="12"/>
      <c r="C8" s="11"/>
      <c r="D8" s="11"/>
      <c r="E8" s="11"/>
      <c r="F8" s="11"/>
      <c r="G8" s="11"/>
      <c r="H8" s="11"/>
      <c r="I8" s="11"/>
      <c r="J8" s="11"/>
      <c r="K8" s="11"/>
      <c r="L8" s="11"/>
      <c r="M8" s="9"/>
      <c r="N8" s="9"/>
      <c r="O8" s="9"/>
      <c r="P8" s="9"/>
      <c r="Q8" s="9"/>
      <c r="R8" s="9"/>
      <c r="S8" s="9"/>
      <c r="T8" s="9"/>
      <c r="U8" s="9"/>
      <c r="V8" s="194"/>
      <c r="W8" s="6"/>
    </row>
    <row r="9" spans="1:23" ht="18">
      <c r="A9" s="7"/>
      <c r="B9" s="178" t="s">
        <v>194</v>
      </c>
      <c r="C9" s="11"/>
      <c r="D9" s="11"/>
      <c r="E9" s="11"/>
      <c r="F9" s="11"/>
      <c r="G9" s="11"/>
      <c r="H9" s="11"/>
      <c r="I9" s="179" t="s">
        <v>195</v>
      </c>
      <c r="J9" s="11"/>
      <c r="K9" s="11"/>
      <c r="L9" s="11"/>
      <c r="M9" s="9"/>
      <c r="N9" s="9"/>
      <c r="O9" s="9"/>
      <c r="P9" s="9"/>
      <c r="Q9" s="9"/>
      <c r="R9" s="9"/>
      <c r="S9" s="9"/>
      <c r="T9" s="9"/>
      <c r="U9" s="9"/>
      <c r="V9" s="194"/>
      <c r="W9" s="6"/>
    </row>
    <row r="10" spans="1:23" ht="16.2">
      <c r="A10" s="7"/>
      <c r="B10" s="11"/>
      <c r="C10" s="11"/>
      <c r="D10" s="11"/>
      <c r="E10" s="11"/>
      <c r="F10" s="11"/>
      <c r="G10" s="11"/>
      <c r="H10" s="11"/>
      <c r="I10" s="11"/>
      <c r="J10" s="11"/>
      <c r="K10" s="11"/>
      <c r="L10" s="11"/>
      <c r="M10" s="13"/>
      <c r="N10" s="13"/>
      <c r="O10" s="9"/>
      <c r="P10" s="9"/>
      <c r="Q10" s="9"/>
      <c r="R10" s="9"/>
      <c r="S10" s="9"/>
      <c r="T10" s="9"/>
      <c r="U10" s="9"/>
      <c r="V10" s="194"/>
      <c r="W10" s="6"/>
    </row>
    <row r="11" spans="1:23" ht="15.6">
      <c r="A11" s="7"/>
      <c r="B11" s="13" t="s">
        <v>3</v>
      </c>
      <c r="C11" s="13"/>
      <c r="D11" s="13"/>
      <c r="E11" s="13"/>
      <c r="F11" s="13"/>
      <c r="G11" s="13"/>
      <c r="H11" s="13"/>
      <c r="I11" s="13"/>
      <c r="J11" s="13"/>
      <c r="K11" s="13"/>
      <c r="L11" s="13"/>
      <c r="M11" s="9"/>
      <c r="N11" s="9"/>
      <c r="O11" s="9"/>
      <c r="P11" s="9"/>
      <c r="Q11" s="9"/>
      <c r="R11" s="9"/>
      <c r="S11" s="9"/>
      <c r="T11" s="9"/>
      <c r="U11" s="9"/>
      <c r="V11" s="194"/>
      <c r="W11" s="6"/>
    </row>
    <row r="12" spans="1:23" ht="16.2" thickBot="1">
      <c r="A12" s="7"/>
      <c r="B12" s="13"/>
      <c r="C12" s="13"/>
      <c r="D12" s="13"/>
      <c r="E12" s="13"/>
      <c r="F12" s="13"/>
      <c r="G12" s="13"/>
      <c r="H12" s="13"/>
      <c r="I12" s="13"/>
      <c r="J12" s="13"/>
      <c r="K12" s="13"/>
      <c r="L12" s="13"/>
      <c r="M12" s="9"/>
      <c r="N12" s="9"/>
      <c r="O12" s="9"/>
      <c r="P12" s="9"/>
      <c r="Q12" s="9"/>
      <c r="R12" s="9"/>
      <c r="S12" s="9"/>
      <c r="T12" s="9"/>
      <c r="U12" s="9"/>
      <c r="V12" s="194"/>
      <c r="W12" s="6"/>
    </row>
    <row r="13" spans="1:23" ht="15.6">
      <c r="A13" s="2"/>
      <c r="B13" s="5"/>
      <c r="C13" s="5"/>
      <c r="D13" s="5"/>
      <c r="E13" s="5"/>
      <c r="F13" s="5"/>
      <c r="G13" s="5"/>
      <c r="H13" s="5"/>
      <c r="I13" s="5"/>
      <c r="J13" s="5"/>
      <c r="K13" s="5"/>
      <c r="L13" s="5"/>
      <c r="M13" s="5"/>
      <c r="N13" s="5"/>
      <c r="O13" s="5"/>
      <c r="P13" s="5"/>
      <c r="Q13" s="5"/>
      <c r="R13" s="5"/>
      <c r="S13" s="5"/>
      <c r="T13" s="5"/>
      <c r="U13" s="5"/>
      <c r="V13" s="193"/>
      <c r="W13" s="6"/>
    </row>
    <row r="14" spans="1:23" ht="15.6">
      <c r="A14" s="7"/>
      <c r="B14" s="14" t="s">
        <v>4</v>
      </c>
      <c r="C14" s="14"/>
      <c r="D14" s="14"/>
      <c r="E14" s="14"/>
      <c r="F14" s="14"/>
      <c r="G14" s="14"/>
      <c r="H14" s="14"/>
      <c r="I14" s="14"/>
      <c r="J14" s="14"/>
      <c r="K14" s="14"/>
      <c r="L14" s="14"/>
      <c r="M14" s="15"/>
      <c r="N14" s="15"/>
      <c r="O14" s="15"/>
      <c r="P14" s="15"/>
      <c r="Q14" s="15"/>
      <c r="R14" s="15"/>
      <c r="S14" s="15"/>
      <c r="T14" s="15"/>
      <c r="U14" s="16" t="s">
        <v>126</v>
      </c>
      <c r="V14" s="194"/>
      <c r="W14" s="6"/>
    </row>
    <row r="15" spans="1:23" ht="15.6">
      <c r="A15" s="7"/>
      <c r="B15" s="14" t="s">
        <v>5</v>
      </c>
      <c r="C15" s="14"/>
      <c r="D15" s="14"/>
      <c r="E15" s="14"/>
      <c r="F15" s="14"/>
      <c r="G15" s="14"/>
      <c r="H15" s="14"/>
      <c r="I15" s="14"/>
      <c r="J15" s="14"/>
      <c r="K15" s="14"/>
      <c r="L15" s="14"/>
      <c r="M15" s="17" t="s">
        <v>93</v>
      </c>
      <c r="N15" s="18">
        <v>0.1492</v>
      </c>
      <c r="O15" s="17" t="s">
        <v>99</v>
      </c>
      <c r="P15" s="18">
        <v>5.4399999999999997E-2</v>
      </c>
      <c r="Q15" s="17" t="s">
        <v>102</v>
      </c>
      <c r="R15" s="18">
        <v>0.48899999999999999</v>
      </c>
      <c r="S15" s="17" t="s">
        <v>108</v>
      </c>
      <c r="T15" s="18">
        <v>0.30740000000000001</v>
      </c>
      <c r="U15" s="16"/>
      <c r="V15" s="195"/>
      <c r="W15" s="6"/>
    </row>
    <row r="16" spans="1:23" ht="15.6">
      <c r="A16" s="7"/>
      <c r="B16" s="14" t="s">
        <v>6</v>
      </c>
      <c r="C16" s="14"/>
      <c r="D16" s="14"/>
      <c r="E16" s="14"/>
      <c r="F16" s="14"/>
      <c r="G16" s="14"/>
      <c r="H16" s="14"/>
      <c r="I16" s="14"/>
      <c r="J16" s="14"/>
      <c r="K16" s="14"/>
      <c r="L16" s="14"/>
      <c r="M16" s="17" t="s">
        <v>93</v>
      </c>
      <c r="N16" s="18">
        <f>+N199/S222</f>
        <v>3.2173333333333332E-2</v>
      </c>
      <c r="O16" s="17" t="s">
        <v>99</v>
      </c>
      <c r="P16" s="18">
        <f>+S199/S222</f>
        <v>2.7199999999999998E-2</v>
      </c>
      <c r="Q16" s="17" t="s">
        <v>102</v>
      </c>
      <c r="R16" s="18">
        <f>+N212/S222</f>
        <v>0.57790444444444444</v>
      </c>
      <c r="S16" s="17" t="s">
        <v>108</v>
      </c>
      <c r="T16" s="18">
        <f>+S212/S222</f>
        <v>0.15626222222222222</v>
      </c>
      <c r="U16" s="16"/>
      <c r="V16" s="195"/>
      <c r="W16" s="6"/>
    </row>
    <row r="17" spans="1:23" ht="15.6">
      <c r="A17" s="7"/>
      <c r="B17" s="14" t="s">
        <v>7</v>
      </c>
      <c r="C17" s="14"/>
      <c r="D17" s="14"/>
      <c r="E17" s="14"/>
      <c r="F17" s="14"/>
      <c r="G17" s="14"/>
      <c r="H17" s="14"/>
      <c r="I17" s="14"/>
      <c r="J17" s="14"/>
      <c r="K17" s="14"/>
      <c r="L17" s="14"/>
      <c r="M17" s="15"/>
      <c r="N17" s="15"/>
      <c r="O17" s="15"/>
      <c r="P17" s="15"/>
      <c r="Q17" s="15"/>
      <c r="R17" s="15"/>
      <c r="S17" s="15"/>
      <c r="T17" s="15"/>
      <c r="U17" s="19">
        <v>38491</v>
      </c>
      <c r="V17" s="194"/>
      <c r="W17" s="6"/>
    </row>
    <row r="18" spans="1:23" ht="15.6">
      <c r="A18" s="7"/>
      <c r="B18" s="14" t="s">
        <v>8</v>
      </c>
      <c r="C18" s="14"/>
      <c r="D18" s="14"/>
      <c r="E18" s="14"/>
      <c r="F18" s="14"/>
      <c r="G18" s="14"/>
      <c r="H18" s="14"/>
      <c r="I18" s="14"/>
      <c r="J18" s="14"/>
      <c r="K18" s="14"/>
      <c r="L18" s="14"/>
      <c r="M18" s="15"/>
      <c r="N18" s="15"/>
      <c r="O18" s="15"/>
      <c r="P18" s="15"/>
      <c r="Q18" s="15"/>
      <c r="R18" s="15"/>
      <c r="S18" s="15"/>
      <c r="T18" s="15"/>
      <c r="U18" s="19">
        <v>39834</v>
      </c>
      <c r="V18" s="194"/>
      <c r="W18" s="6"/>
    </row>
    <row r="19" spans="1:23" ht="15.6">
      <c r="A19" s="7"/>
      <c r="B19" s="9"/>
      <c r="C19" s="9"/>
      <c r="D19" s="9"/>
      <c r="E19" s="9"/>
      <c r="F19" s="9"/>
      <c r="G19" s="9"/>
      <c r="H19" s="9"/>
      <c r="I19" s="9"/>
      <c r="J19" s="9"/>
      <c r="K19" s="9"/>
      <c r="L19" s="9"/>
      <c r="M19" s="9"/>
      <c r="N19" s="9"/>
      <c r="O19" s="9"/>
      <c r="P19" s="9"/>
      <c r="Q19" s="9"/>
      <c r="R19" s="9"/>
      <c r="S19" s="9"/>
      <c r="T19" s="9"/>
      <c r="U19" s="20"/>
      <c r="V19" s="194"/>
      <c r="W19" s="6"/>
    </row>
    <row r="20" spans="1:23" ht="15.6">
      <c r="A20" s="7"/>
      <c r="B20" s="21" t="s">
        <v>9</v>
      </c>
      <c r="C20" s="9"/>
      <c r="D20" s="9"/>
      <c r="E20" s="9"/>
      <c r="F20" s="9"/>
      <c r="G20" s="9"/>
      <c r="H20" s="9"/>
      <c r="I20" s="9"/>
      <c r="J20" s="9"/>
      <c r="K20" s="9"/>
      <c r="L20" s="9"/>
      <c r="M20" s="9"/>
      <c r="N20" s="9"/>
      <c r="O20" s="9"/>
      <c r="P20" s="9"/>
      <c r="Q20" s="9"/>
      <c r="R20" s="9"/>
      <c r="S20" s="20"/>
      <c r="T20" s="9"/>
      <c r="U20" s="12"/>
      <c r="V20" s="194"/>
      <c r="W20" s="6"/>
    </row>
    <row r="21" spans="1:23" ht="15.6">
      <c r="A21" s="7"/>
      <c r="B21" s="9"/>
      <c r="C21" s="9"/>
      <c r="D21" s="9"/>
      <c r="E21" s="9"/>
      <c r="F21" s="9"/>
      <c r="G21" s="9"/>
      <c r="H21" s="9"/>
      <c r="I21" s="9"/>
      <c r="J21" s="9"/>
      <c r="K21" s="9"/>
      <c r="L21" s="9"/>
      <c r="M21" s="9"/>
      <c r="N21" s="9"/>
      <c r="O21" s="9"/>
      <c r="P21" s="9"/>
      <c r="Q21" s="9"/>
      <c r="R21" s="9"/>
      <c r="S21" s="9"/>
      <c r="T21" s="9"/>
      <c r="U21" s="22"/>
      <c r="V21" s="194"/>
      <c r="W21" s="6"/>
    </row>
    <row r="22" spans="1:23" ht="15.6">
      <c r="A22" s="7"/>
      <c r="B22" s="9"/>
      <c r="C22" s="142" t="s">
        <v>130</v>
      </c>
      <c r="D22" s="142"/>
      <c r="E22" s="142" t="s">
        <v>131</v>
      </c>
      <c r="F22" s="142"/>
      <c r="G22" s="142" t="s">
        <v>132</v>
      </c>
      <c r="H22" s="142"/>
      <c r="I22" s="142" t="s">
        <v>133</v>
      </c>
      <c r="J22" s="142"/>
      <c r="K22" s="142" t="s">
        <v>134</v>
      </c>
      <c r="L22" s="142"/>
      <c r="M22" s="144" t="s">
        <v>135</v>
      </c>
      <c r="N22" s="144"/>
      <c r="O22" s="144" t="s">
        <v>136</v>
      </c>
      <c r="P22" s="144"/>
      <c r="Q22" s="144" t="s">
        <v>137</v>
      </c>
      <c r="R22" s="23"/>
      <c r="S22" s="24"/>
      <c r="T22" s="12"/>
      <c r="U22" s="12"/>
      <c r="V22" s="194"/>
      <c r="W22" s="6"/>
    </row>
    <row r="23" spans="1:23" ht="15.6">
      <c r="A23" s="25"/>
      <c r="B23" s="26" t="s">
        <v>10</v>
      </c>
      <c r="C23" s="157" t="s">
        <v>96</v>
      </c>
      <c r="D23" s="157"/>
      <c r="E23" s="157" t="s">
        <v>96</v>
      </c>
      <c r="F23" s="157"/>
      <c r="G23" s="157" t="s">
        <v>138</v>
      </c>
      <c r="H23" s="157"/>
      <c r="I23" s="157" t="s">
        <v>138</v>
      </c>
      <c r="J23" s="157"/>
      <c r="K23" s="157" t="s">
        <v>104</v>
      </c>
      <c r="L23" s="143"/>
      <c r="M23" s="28" t="s">
        <v>104</v>
      </c>
      <c r="N23" s="28"/>
      <c r="O23" s="28" t="s">
        <v>109</v>
      </c>
      <c r="P23" s="28"/>
      <c r="Q23" s="28" t="s">
        <v>109</v>
      </c>
      <c r="R23" s="28"/>
      <c r="S23" s="28"/>
      <c r="T23" s="29"/>
      <c r="U23" s="29"/>
      <c r="V23" s="196"/>
      <c r="W23" s="6"/>
    </row>
    <row r="24" spans="1:23" ht="15.6">
      <c r="A24" s="25"/>
      <c r="B24" s="26" t="s">
        <v>11</v>
      </c>
      <c r="C24" s="157" t="s">
        <v>97</v>
      </c>
      <c r="D24" s="157"/>
      <c r="E24" s="157" t="s">
        <v>97</v>
      </c>
      <c r="F24" s="157"/>
      <c r="G24" s="157" t="s">
        <v>139</v>
      </c>
      <c r="H24" s="157"/>
      <c r="I24" s="157" t="s">
        <v>139</v>
      </c>
      <c r="J24" s="157"/>
      <c r="K24" s="157" t="s">
        <v>105</v>
      </c>
      <c r="L24" s="27"/>
      <c r="M24" s="28" t="s">
        <v>105</v>
      </c>
      <c r="N24" s="28"/>
      <c r="O24" s="28" t="s">
        <v>110</v>
      </c>
      <c r="P24" s="28"/>
      <c r="Q24" s="28" t="s">
        <v>110</v>
      </c>
      <c r="R24" s="28"/>
      <c r="S24" s="28"/>
      <c r="T24" s="29"/>
      <c r="U24" s="29"/>
      <c r="V24" s="196"/>
      <c r="W24" s="6"/>
    </row>
    <row r="25" spans="1:23" ht="15.6">
      <c r="A25" s="25"/>
      <c r="B25" s="30" t="s">
        <v>12</v>
      </c>
      <c r="C25" s="110" t="s">
        <v>96</v>
      </c>
      <c r="D25" s="110"/>
      <c r="E25" s="110" t="s">
        <v>96</v>
      </c>
      <c r="F25" s="110"/>
      <c r="G25" s="110" t="s">
        <v>138</v>
      </c>
      <c r="H25" s="110"/>
      <c r="I25" s="110" t="s">
        <v>138</v>
      </c>
      <c r="J25" s="30"/>
      <c r="K25" s="110" t="s">
        <v>104</v>
      </c>
      <c r="L25" s="30"/>
      <c r="M25" s="31" t="s">
        <v>104</v>
      </c>
      <c r="N25" s="28"/>
      <c r="O25" s="31" t="s">
        <v>109</v>
      </c>
      <c r="P25" s="28"/>
      <c r="Q25" s="31" t="s">
        <v>109</v>
      </c>
      <c r="R25" s="31"/>
      <c r="S25" s="31"/>
      <c r="T25" s="32"/>
      <c r="U25" s="29"/>
      <c r="V25" s="196"/>
      <c r="W25" s="6"/>
    </row>
    <row r="26" spans="1:23" ht="15.6">
      <c r="A26" s="25"/>
      <c r="B26" s="30" t="s">
        <v>13</v>
      </c>
      <c r="C26" s="110" t="s">
        <v>97</v>
      </c>
      <c r="D26" s="110"/>
      <c r="E26" s="110" t="s">
        <v>97</v>
      </c>
      <c r="F26" s="110"/>
      <c r="G26" s="110" t="s">
        <v>139</v>
      </c>
      <c r="H26" s="110"/>
      <c r="I26" s="110" t="s">
        <v>139</v>
      </c>
      <c r="J26" s="30"/>
      <c r="K26" s="110" t="s">
        <v>105</v>
      </c>
      <c r="L26" s="30"/>
      <c r="M26" s="31" t="s">
        <v>105</v>
      </c>
      <c r="N26" s="28"/>
      <c r="O26" s="31" t="s">
        <v>110</v>
      </c>
      <c r="P26" s="28"/>
      <c r="Q26" s="31" t="s">
        <v>110</v>
      </c>
      <c r="R26" s="31"/>
      <c r="S26" s="31"/>
      <c r="T26" s="32"/>
      <c r="U26" s="29"/>
      <c r="V26" s="196"/>
      <c r="W26" s="6"/>
    </row>
    <row r="27" spans="1:23" ht="15.6">
      <c r="A27" s="25"/>
      <c r="B27" s="26" t="s">
        <v>14</v>
      </c>
      <c r="C27" s="33" t="s">
        <v>140</v>
      </c>
      <c r="D27" s="26"/>
      <c r="E27" s="33" t="s">
        <v>141</v>
      </c>
      <c r="F27" s="26"/>
      <c r="G27" s="33" t="s">
        <v>142</v>
      </c>
      <c r="H27" s="26"/>
      <c r="I27" s="33" t="s">
        <v>258</v>
      </c>
      <c r="J27" s="26"/>
      <c r="K27" s="33" t="s">
        <v>143</v>
      </c>
      <c r="L27" s="26"/>
      <c r="M27" s="26" t="s">
        <v>144</v>
      </c>
      <c r="N27" s="28"/>
      <c r="O27" s="26" t="s">
        <v>145</v>
      </c>
      <c r="P27" s="28"/>
      <c r="Q27" s="26" t="s">
        <v>146</v>
      </c>
      <c r="R27" s="28"/>
      <c r="S27" s="33"/>
      <c r="T27" s="29"/>
      <c r="U27" s="29"/>
      <c r="V27" s="196"/>
      <c r="W27" s="6"/>
    </row>
    <row r="28" spans="1:23" ht="15.6">
      <c r="A28" s="25"/>
      <c r="B28" s="26" t="s">
        <v>147</v>
      </c>
      <c r="C28" s="168">
        <v>146000</v>
      </c>
      <c r="D28" s="33"/>
      <c r="E28" s="165">
        <v>259500</v>
      </c>
      <c r="F28" s="33"/>
      <c r="G28" s="168">
        <v>16000</v>
      </c>
      <c r="H28" s="33"/>
      <c r="I28" s="165">
        <v>35500</v>
      </c>
      <c r="J28" s="26"/>
      <c r="K28" s="168">
        <v>18000</v>
      </c>
      <c r="L28" s="26"/>
      <c r="M28" s="165">
        <v>33000</v>
      </c>
      <c r="N28" s="35"/>
      <c r="O28" s="34">
        <v>24500</v>
      </c>
      <c r="P28" s="34"/>
      <c r="Q28" s="165">
        <v>30000</v>
      </c>
      <c r="R28" s="34"/>
      <c r="S28" s="34"/>
      <c r="T28" s="36"/>
      <c r="U28" s="34"/>
      <c r="V28" s="197"/>
      <c r="W28" s="6"/>
    </row>
    <row r="29" spans="1:23" ht="15.6">
      <c r="A29" s="25"/>
      <c r="B29" s="26" t="s">
        <v>15</v>
      </c>
      <c r="C29" s="168">
        <v>146000</v>
      </c>
      <c r="D29" s="169"/>
      <c r="E29" s="165">
        <v>259500</v>
      </c>
      <c r="F29" s="169"/>
      <c r="G29" s="168">
        <v>16000</v>
      </c>
      <c r="H29" s="169"/>
      <c r="I29" s="165">
        <v>35500</v>
      </c>
      <c r="J29" s="38"/>
      <c r="K29" s="168">
        <v>18000</v>
      </c>
      <c r="L29" s="38"/>
      <c r="M29" s="165">
        <v>33000</v>
      </c>
      <c r="N29" s="35"/>
      <c r="O29" s="34">
        <v>24500</v>
      </c>
      <c r="P29" s="34"/>
      <c r="Q29" s="165">
        <v>30000</v>
      </c>
      <c r="R29" s="39"/>
      <c r="S29" s="34"/>
      <c r="T29" s="36"/>
      <c r="U29" s="34"/>
      <c r="V29" s="197"/>
      <c r="W29" s="6"/>
    </row>
    <row r="30" spans="1:23" ht="15.6">
      <c r="A30" s="40"/>
      <c r="B30" s="30" t="s">
        <v>148</v>
      </c>
      <c r="C30" s="162">
        <v>146000</v>
      </c>
      <c r="D30" s="170"/>
      <c r="E30" s="171">
        <v>259500</v>
      </c>
      <c r="F30" s="170"/>
      <c r="G30" s="162">
        <v>16000</v>
      </c>
      <c r="H30" s="170"/>
      <c r="I30" s="171">
        <v>35500</v>
      </c>
      <c r="J30" s="159"/>
      <c r="K30" s="162">
        <v>18000</v>
      </c>
      <c r="L30" s="41"/>
      <c r="M30" s="166">
        <v>33000</v>
      </c>
      <c r="N30" s="43"/>
      <c r="O30" s="42">
        <v>24500</v>
      </c>
      <c r="P30" s="42"/>
      <c r="Q30" s="166">
        <v>30000</v>
      </c>
      <c r="R30" s="42"/>
      <c r="S30" s="42"/>
      <c r="T30" s="44"/>
      <c r="U30" s="42"/>
      <c r="V30" s="196"/>
      <c r="W30" s="6"/>
    </row>
    <row r="31" spans="1:23" ht="15.6">
      <c r="A31" s="40"/>
      <c r="B31" s="158" t="s">
        <v>260</v>
      </c>
      <c r="C31" s="172">
        <v>146000</v>
      </c>
      <c r="D31" s="173"/>
      <c r="E31" s="172">
        <v>178000</v>
      </c>
      <c r="F31" s="172"/>
      <c r="G31" s="172">
        <v>16000</v>
      </c>
      <c r="H31" s="172"/>
      <c r="I31" s="172">
        <v>24500</v>
      </c>
      <c r="J31" s="161"/>
      <c r="K31" s="172">
        <v>18000</v>
      </c>
      <c r="L31" s="161"/>
      <c r="M31" s="167">
        <v>22500</v>
      </c>
      <c r="N31" s="164"/>
      <c r="O31" s="167">
        <v>24500</v>
      </c>
      <c r="P31" s="163"/>
      <c r="Q31" s="167">
        <v>20500</v>
      </c>
      <c r="R31" s="42"/>
      <c r="S31" s="42"/>
      <c r="T31" s="44"/>
      <c r="U31" s="34">
        <f>+Q31+O31+M31+K31+I31+G31+E31+C31</f>
        <v>450000</v>
      </c>
      <c r="V31" s="196"/>
      <c r="W31" s="6"/>
    </row>
    <row r="32" spans="1:23" ht="15.6">
      <c r="A32" s="40"/>
      <c r="B32" s="158" t="s">
        <v>261</v>
      </c>
      <c r="C32" s="172">
        <v>146000</v>
      </c>
      <c r="D32" s="173"/>
      <c r="E32" s="172">
        <v>178000</v>
      </c>
      <c r="F32" s="172"/>
      <c r="G32" s="172">
        <v>16000</v>
      </c>
      <c r="H32" s="172"/>
      <c r="I32" s="172">
        <v>24500</v>
      </c>
      <c r="J32" s="161"/>
      <c r="K32" s="172">
        <v>18000</v>
      </c>
      <c r="L32" s="161"/>
      <c r="M32" s="167">
        <v>22500</v>
      </c>
      <c r="N32" s="164"/>
      <c r="O32" s="167">
        <v>24500</v>
      </c>
      <c r="P32" s="163"/>
      <c r="Q32" s="167">
        <v>20500</v>
      </c>
      <c r="R32" s="42"/>
      <c r="S32" s="42"/>
      <c r="T32" s="44"/>
      <c r="U32" s="34">
        <f>+Q32+O32+M32+K32+I32+G32+E32+C32</f>
        <v>450000</v>
      </c>
      <c r="V32" s="196"/>
      <c r="W32" s="6"/>
    </row>
    <row r="33" spans="1:23" ht="15.6">
      <c r="A33" s="40"/>
      <c r="B33" s="30" t="s">
        <v>262</v>
      </c>
      <c r="C33" s="162">
        <v>146000</v>
      </c>
      <c r="D33" s="162"/>
      <c r="E33" s="162">
        <v>178000</v>
      </c>
      <c r="F33" s="162"/>
      <c r="G33" s="162">
        <v>16000</v>
      </c>
      <c r="H33" s="162"/>
      <c r="I33" s="162">
        <v>24500</v>
      </c>
      <c r="J33" s="160"/>
      <c r="K33" s="162">
        <v>18000</v>
      </c>
      <c r="L33" s="160"/>
      <c r="M33" s="162">
        <v>22500</v>
      </c>
      <c r="N33" s="160"/>
      <c r="O33" s="162">
        <v>24500</v>
      </c>
      <c r="P33" s="162"/>
      <c r="Q33" s="162">
        <v>20500</v>
      </c>
      <c r="R33" s="42"/>
      <c r="S33" s="42"/>
      <c r="T33" s="44"/>
      <c r="U33" s="42">
        <f>+Q33+O33+M33+K33+I33+G33+E33+C33</f>
        <v>450000</v>
      </c>
      <c r="V33" s="196"/>
      <c r="W33" s="6"/>
    </row>
    <row r="34" spans="1:23" ht="15.6">
      <c r="A34" s="40"/>
      <c r="B34" s="174" t="s">
        <v>149</v>
      </c>
      <c r="C34" s="175">
        <v>1</v>
      </c>
      <c r="D34" s="175"/>
      <c r="E34" s="175">
        <v>1</v>
      </c>
      <c r="F34" s="175"/>
      <c r="G34" s="175">
        <v>1</v>
      </c>
      <c r="H34" s="175"/>
      <c r="I34" s="175">
        <v>1</v>
      </c>
      <c r="J34" s="175"/>
      <c r="K34" s="175">
        <v>1</v>
      </c>
      <c r="L34" s="175"/>
      <c r="M34" s="175">
        <v>1</v>
      </c>
      <c r="N34" s="175"/>
      <c r="O34" s="175">
        <v>1</v>
      </c>
      <c r="P34" s="175"/>
      <c r="Q34" s="175">
        <v>1</v>
      </c>
      <c r="R34" s="176"/>
      <c r="S34" s="42"/>
      <c r="T34" s="44"/>
      <c r="U34" s="42"/>
      <c r="V34" s="196"/>
      <c r="W34" s="6"/>
    </row>
    <row r="35" spans="1:23" ht="15.6">
      <c r="A35" s="40"/>
      <c r="B35" s="174" t="s">
        <v>150</v>
      </c>
      <c r="C35" s="175">
        <v>1</v>
      </c>
      <c r="D35" s="175"/>
      <c r="E35" s="175">
        <v>1</v>
      </c>
      <c r="F35" s="175"/>
      <c r="G35" s="175">
        <v>1</v>
      </c>
      <c r="H35" s="175"/>
      <c r="I35" s="175">
        <v>1</v>
      </c>
      <c r="J35" s="175"/>
      <c r="K35" s="175">
        <v>1</v>
      </c>
      <c r="L35" s="175"/>
      <c r="M35" s="175">
        <v>1</v>
      </c>
      <c r="N35" s="175"/>
      <c r="O35" s="175">
        <v>1</v>
      </c>
      <c r="P35" s="175"/>
      <c r="Q35" s="175">
        <v>1</v>
      </c>
      <c r="R35" s="176"/>
      <c r="S35" s="42"/>
      <c r="T35" s="44"/>
      <c r="U35" s="42"/>
      <c r="V35" s="196"/>
      <c r="W35" s="6"/>
    </row>
    <row r="36" spans="1:23" ht="15.6">
      <c r="A36" s="25"/>
      <c r="B36" s="26" t="s">
        <v>153</v>
      </c>
      <c r="C36" s="157" t="s">
        <v>157</v>
      </c>
      <c r="D36" s="157"/>
      <c r="E36" s="157" t="s">
        <v>157</v>
      </c>
      <c r="F36" s="157"/>
      <c r="G36" s="157" t="s">
        <v>158</v>
      </c>
      <c r="H36" s="157"/>
      <c r="I36" s="157" t="s">
        <v>158</v>
      </c>
      <c r="J36" s="157"/>
      <c r="K36" s="157" t="s">
        <v>159</v>
      </c>
      <c r="L36" s="184"/>
      <c r="M36" s="157" t="s">
        <v>160</v>
      </c>
      <c r="N36" s="158"/>
      <c r="O36" s="157" t="s">
        <v>161</v>
      </c>
      <c r="P36" s="157"/>
      <c r="Q36" s="157" t="s">
        <v>162</v>
      </c>
      <c r="R36" s="157"/>
      <c r="S36" s="157"/>
      <c r="T36" s="158"/>
      <c r="U36" s="29"/>
      <c r="V36" s="196"/>
      <c r="W36" s="6"/>
    </row>
    <row r="37" spans="1:23" ht="15.6">
      <c r="A37" s="25"/>
      <c r="B37" s="26" t="s">
        <v>151</v>
      </c>
      <c r="C37" s="185">
        <v>6.4299999999999996E-2</v>
      </c>
      <c r="D37" s="185"/>
      <c r="E37" s="185">
        <v>5.5379999999999999E-2</v>
      </c>
      <c r="F37" s="185"/>
      <c r="G37" s="185">
        <v>6.54E-2</v>
      </c>
      <c r="H37" s="185"/>
      <c r="I37" s="185">
        <v>5.6480000000000002E-2</v>
      </c>
      <c r="J37" s="185"/>
      <c r="K37" s="185">
        <v>6.8099999999999994E-2</v>
      </c>
      <c r="L37" s="185"/>
      <c r="M37" s="185">
        <v>5.8880000000000002E-2</v>
      </c>
      <c r="N37" s="185"/>
      <c r="O37" s="185">
        <v>7.1599999999999997E-2</v>
      </c>
      <c r="P37" s="185"/>
      <c r="Q37" s="185">
        <v>6.2179999999999999E-2</v>
      </c>
      <c r="R37" s="186"/>
      <c r="S37" s="185"/>
      <c r="T37" s="158"/>
      <c r="U37" s="33"/>
      <c r="V37" s="196"/>
      <c r="W37" s="6"/>
    </row>
    <row r="38" spans="1:23" ht="15.6">
      <c r="A38" s="25"/>
      <c r="B38" s="26" t="s">
        <v>152</v>
      </c>
      <c r="C38" s="185">
        <v>6.0393799999999997E-2</v>
      </c>
      <c r="D38" s="185"/>
      <c r="E38" s="185">
        <v>5.1830000000000001E-2</v>
      </c>
      <c r="F38" s="185"/>
      <c r="G38" s="185">
        <v>6.1493800000000001E-2</v>
      </c>
      <c r="H38" s="185"/>
      <c r="I38" s="185">
        <v>5.2929999999999998E-2</v>
      </c>
      <c r="J38" s="185"/>
      <c r="K38" s="185">
        <v>6.4193799999999995E-2</v>
      </c>
      <c r="L38" s="185"/>
      <c r="M38" s="185">
        <v>5.5329999999999997E-2</v>
      </c>
      <c r="N38" s="185"/>
      <c r="O38" s="185">
        <v>6.7693799999999998E-2</v>
      </c>
      <c r="P38" s="185"/>
      <c r="Q38" s="185">
        <v>5.8630000000000002E-2</v>
      </c>
      <c r="R38" s="186"/>
      <c r="S38" s="185"/>
      <c r="T38" s="158"/>
      <c r="U38" s="29"/>
      <c r="V38" s="196"/>
      <c r="W38" s="6"/>
    </row>
    <row r="39" spans="1:23" ht="15.6">
      <c r="A39" s="25"/>
      <c r="B39" s="26" t="s">
        <v>263</v>
      </c>
      <c r="C39" s="157" t="s">
        <v>157</v>
      </c>
      <c r="D39" s="185"/>
      <c r="E39" s="185" t="s">
        <v>198</v>
      </c>
      <c r="F39" s="185"/>
      <c r="G39" s="157" t="s">
        <v>158</v>
      </c>
      <c r="H39" s="185"/>
      <c r="I39" s="185" t="s">
        <v>225</v>
      </c>
      <c r="J39" s="185"/>
      <c r="K39" s="157" t="s">
        <v>159</v>
      </c>
      <c r="L39" s="185"/>
      <c r="M39" s="185" t="s">
        <v>199</v>
      </c>
      <c r="N39" s="185"/>
      <c r="O39" s="157" t="s">
        <v>161</v>
      </c>
      <c r="P39" s="185"/>
      <c r="Q39" s="185" t="s">
        <v>200</v>
      </c>
      <c r="R39" s="186"/>
      <c r="S39" s="185"/>
      <c r="T39" s="158"/>
      <c r="U39" s="29"/>
      <c r="V39" s="196"/>
      <c r="W39" s="6"/>
    </row>
    <row r="40" spans="1:23" ht="15.6">
      <c r="A40" s="25"/>
      <c r="B40" s="26" t="s">
        <v>264</v>
      </c>
      <c r="C40" s="185">
        <f>+C37</f>
        <v>6.4299999999999996E-2</v>
      </c>
      <c r="D40" s="185"/>
      <c r="E40" s="185">
        <v>6.4588000000000007E-2</v>
      </c>
      <c r="F40" s="185"/>
      <c r="G40" s="185">
        <f>+G37</f>
        <v>6.54E-2</v>
      </c>
      <c r="H40" s="185"/>
      <c r="I40" s="185">
        <v>6.5766500000000006E-2</v>
      </c>
      <c r="J40" s="185"/>
      <c r="K40" s="185">
        <f>+K37</f>
        <v>6.8099999999999994E-2</v>
      </c>
      <c r="L40" s="184"/>
      <c r="M40" s="185">
        <v>6.8380200000000002E-2</v>
      </c>
      <c r="N40" s="184"/>
      <c r="O40" s="185">
        <f>+O37</f>
        <v>7.1599999999999997E-2</v>
      </c>
      <c r="P40" s="185"/>
      <c r="Q40" s="185">
        <v>7.2013199999999999E-2</v>
      </c>
      <c r="R40" s="186"/>
      <c r="S40" s="185"/>
      <c r="T40" s="158"/>
      <c r="U40" s="45">
        <f>SUMPRODUCT(C40:Q40,C31:Q31)/U31</f>
        <v>6.5637707444444443E-2</v>
      </c>
      <c r="V40" s="196"/>
      <c r="W40" s="6"/>
    </row>
    <row r="41" spans="1:23" ht="15.6">
      <c r="A41" s="25"/>
      <c r="B41" s="26" t="s">
        <v>265</v>
      </c>
      <c r="C41" s="185">
        <f>+C38</f>
        <v>6.0393799999999997E-2</v>
      </c>
      <c r="D41" s="185"/>
      <c r="E41" s="185">
        <v>6.0681800000000001E-2</v>
      </c>
      <c r="F41" s="185"/>
      <c r="G41" s="185">
        <f>+G38</f>
        <v>6.1493800000000001E-2</v>
      </c>
      <c r="H41" s="185"/>
      <c r="I41" s="185">
        <v>6.18603E-2</v>
      </c>
      <c r="J41" s="185"/>
      <c r="K41" s="185">
        <f>+K38</f>
        <v>6.4193799999999995E-2</v>
      </c>
      <c r="L41" s="184"/>
      <c r="M41" s="185">
        <v>6.4474000000000004E-2</v>
      </c>
      <c r="N41" s="184"/>
      <c r="O41" s="185">
        <f>+O38</f>
        <v>6.7693799999999998E-2</v>
      </c>
      <c r="P41" s="185"/>
      <c r="Q41" s="185">
        <v>6.8107000000000001E-2</v>
      </c>
      <c r="R41" s="186"/>
      <c r="S41" s="185"/>
      <c r="T41" s="158"/>
      <c r="U41" s="29"/>
      <c r="V41" s="196"/>
      <c r="W41" s="6"/>
    </row>
    <row r="42" spans="1:23" ht="15.6">
      <c r="A42" s="25"/>
      <c r="B42" s="26" t="s">
        <v>17</v>
      </c>
      <c r="C42" s="187">
        <v>39918</v>
      </c>
      <c r="D42" s="187"/>
      <c r="E42" s="187">
        <v>39918</v>
      </c>
      <c r="F42" s="187"/>
      <c r="G42" s="187">
        <v>39918</v>
      </c>
      <c r="H42" s="187"/>
      <c r="I42" s="187">
        <v>39918</v>
      </c>
      <c r="J42" s="187"/>
      <c r="K42" s="187">
        <v>39918</v>
      </c>
      <c r="L42" s="187"/>
      <c r="M42" s="187">
        <v>39918</v>
      </c>
      <c r="N42" s="187"/>
      <c r="O42" s="187">
        <v>39918</v>
      </c>
      <c r="P42" s="187"/>
      <c r="Q42" s="187">
        <v>39918</v>
      </c>
      <c r="R42" s="157"/>
      <c r="S42" s="157"/>
      <c r="T42" s="158"/>
      <c r="U42" s="29"/>
      <c r="V42" s="196"/>
      <c r="W42" s="6"/>
    </row>
    <row r="43" spans="1:23" ht="15.6">
      <c r="A43" s="25"/>
      <c r="B43" s="26" t="s">
        <v>18</v>
      </c>
      <c r="C43" s="46">
        <v>40283</v>
      </c>
      <c r="D43" s="51"/>
      <c r="E43" s="46">
        <v>40283</v>
      </c>
      <c r="F43" s="51"/>
      <c r="G43" s="46">
        <v>40283</v>
      </c>
      <c r="H43" s="51"/>
      <c r="I43" s="46">
        <v>40283</v>
      </c>
      <c r="J43" s="51"/>
      <c r="K43" s="46">
        <v>40283</v>
      </c>
      <c r="L43" s="51"/>
      <c r="M43" s="46">
        <v>40283</v>
      </c>
      <c r="N43" s="51"/>
      <c r="O43" s="46">
        <v>40283</v>
      </c>
      <c r="P43" s="46"/>
      <c r="Q43" s="46">
        <v>40283</v>
      </c>
      <c r="R43" s="33"/>
      <c r="S43" s="33"/>
      <c r="T43" s="29"/>
      <c r="U43" s="29"/>
      <c r="V43" s="196"/>
      <c r="W43" s="6"/>
    </row>
    <row r="44" spans="1:23" ht="15.6">
      <c r="A44" s="25"/>
      <c r="B44" s="26" t="s">
        <v>154</v>
      </c>
      <c r="C44" s="33" t="s">
        <v>163</v>
      </c>
      <c r="D44" s="33"/>
      <c r="E44" s="33" t="s">
        <v>163</v>
      </c>
      <c r="F44" s="33"/>
      <c r="G44" s="33" t="s">
        <v>164</v>
      </c>
      <c r="H44" s="33"/>
      <c r="I44" s="33" t="s">
        <v>164</v>
      </c>
      <c r="J44" s="33"/>
      <c r="K44" s="33" t="s">
        <v>106</v>
      </c>
      <c r="L44" s="33"/>
      <c r="M44" s="33" t="s">
        <v>165</v>
      </c>
      <c r="N44" s="33"/>
      <c r="O44" s="33" t="s">
        <v>166</v>
      </c>
      <c r="P44" s="33"/>
      <c r="Q44" s="33" t="s">
        <v>167</v>
      </c>
      <c r="R44" s="33"/>
      <c r="S44" s="33"/>
      <c r="T44" s="29"/>
      <c r="U44" s="29"/>
      <c r="V44" s="196"/>
      <c r="W44" s="6"/>
    </row>
    <row r="45" spans="1:23" ht="15.6">
      <c r="A45" s="25"/>
      <c r="B45" s="26" t="s">
        <v>266</v>
      </c>
      <c r="C45" s="33" t="s">
        <v>163</v>
      </c>
      <c r="D45" s="26"/>
      <c r="E45" s="33" t="s">
        <v>228</v>
      </c>
      <c r="F45" s="26"/>
      <c r="G45" s="33" t="s">
        <v>164</v>
      </c>
      <c r="H45" s="26"/>
      <c r="I45" s="33" t="s">
        <v>226</v>
      </c>
      <c r="J45" s="26"/>
      <c r="K45" s="33" t="s">
        <v>106</v>
      </c>
      <c r="L45" s="26"/>
      <c r="M45" s="33" t="s">
        <v>227</v>
      </c>
      <c r="N45" s="26"/>
      <c r="O45" s="33" t="s">
        <v>166</v>
      </c>
      <c r="P45" s="33"/>
      <c r="Q45" s="33" t="s">
        <v>229</v>
      </c>
      <c r="R45" s="33"/>
      <c r="S45" s="33"/>
      <c r="T45" s="29"/>
      <c r="U45" s="29"/>
      <c r="V45" s="196"/>
      <c r="W45" s="6"/>
    </row>
    <row r="46" spans="1:23" ht="15.6">
      <c r="A46" s="25"/>
      <c r="B46" s="26"/>
      <c r="C46" s="26"/>
      <c r="D46" s="26"/>
      <c r="E46" s="26"/>
      <c r="F46" s="26"/>
      <c r="G46" s="26"/>
      <c r="H46" s="26"/>
      <c r="I46" s="26"/>
      <c r="J46" s="26"/>
      <c r="K46" s="26"/>
      <c r="L46" s="26"/>
      <c r="M46" s="47"/>
      <c r="N46" s="47"/>
      <c r="O46" s="26"/>
      <c r="P46" s="47"/>
      <c r="Q46" s="47"/>
      <c r="R46" s="47"/>
      <c r="S46" s="47"/>
      <c r="T46" s="47"/>
      <c r="U46" s="47"/>
      <c r="V46" s="196"/>
      <c r="W46" s="6"/>
    </row>
    <row r="47" spans="1:23" ht="15.6">
      <c r="A47" s="25"/>
      <c r="B47" s="26" t="s">
        <v>201</v>
      </c>
      <c r="C47" s="26"/>
      <c r="D47" s="26"/>
      <c r="E47" s="26"/>
      <c r="F47" s="26"/>
      <c r="G47" s="26"/>
      <c r="H47" s="26"/>
      <c r="I47" s="26"/>
      <c r="J47" s="26"/>
      <c r="K47" s="26"/>
      <c r="L47" s="26"/>
      <c r="M47" s="26"/>
      <c r="N47" s="26"/>
      <c r="O47" s="26"/>
      <c r="P47" s="26"/>
      <c r="Q47" s="26"/>
      <c r="R47" s="26"/>
      <c r="S47" s="26"/>
      <c r="T47" s="26"/>
      <c r="U47" s="45">
        <f>SUM(G31:Q31)/(C31+E31)</f>
        <v>0.3888888888888889</v>
      </c>
      <c r="V47" s="196"/>
      <c r="W47" s="6"/>
    </row>
    <row r="48" spans="1:23" ht="15.6">
      <c r="A48" s="25"/>
      <c r="B48" s="26" t="s">
        <v>202</v>
      </c>
      <c r="C48" s="26"/>
      <c r="D48" s="26"/>
      <c r="E48" s="26"/>
      <c r="F48" s="26"/>
      <c r="G48" s="26"/>
      <c r="H48" s="26"/>
      <c r="I48" s="26"/>
      <c r="J48" s="26"/>
      <c r="K48" s="26"/>
      <c r="L48" s="26"/>
      <c r="M48" s="26"/>
      <c r="N48" s="26"/>
      <c r="O48" s="26"/>
      <c r="P48" s="26"/>
      <c r="Q48" s="26"/>
      <c r="R48" s="26"/>
      <c r="S48" s="26"/>
      <c r="T48" s="26"/>
      <c r="U48" s="45">
        <f>SUM(F33:Q33)/(C33+E33)</f>
        <v>0.3888888888888889</v>
      </c>
      <c r="V48" s="196"/>
      <c r="W48" s="6"/>
    </row>
    <row r="49" spans="1:23" ht="15.6">
      <c r="A49" s="25"/>
      <c r="B49" s="26" t="s">
        <v>203</v>
      </c>
      <c r="C49" s="26"/>
      <c r="D49" s="26"/>
      <c r="E49" s="26"/>
      <c r="F49" s="26"/>
      <c r="G49" s="26"/>
      <c r="H49" s="26"/>
      <c r="I49" s="26"/>
      <c r="J49" s="26"/>
      <c r="K49" s="26"/>
      <c r="L49" s="26"/>
      <c r="M49" s="26"/>
      <c r="N49" s="26"/>
      <c r="O49" s="26"/>
      <c r="P49" s="26"/>
      <c r="Q49" s="26"/>
      <c r="R49" s="26"/>
      <c r="S49" s="33" t="s">
        <v>95</v>
      </c>
      <c r="T49" s="33" t="s">
        <v>117</v>
      </c>
      <c r="U49" s="34">
        <v>99000</v>
      </c>
      <c r="V49" s="196"/>
      <c r="W49" s="6"/>
    </row>
    <row r="50" spans="1:23" ht="15.6">
      <c r="A50" s="25"/>
      <c r="B50" s="26"/>
      <c r="C50" s="26"/>
      <c r="D50" s="26"/>
      <c r="E50" s="26"/>
      <c r="F50" s="26"/>
      <c r="G50" s="26"/>
      <c r="H50" s="26"/>
      <c r="I50" s="26"/>
      <c r="J50" s="26"/>
      <c r="K50" s="26"/>
      <c r="L50" s="26"/>
      <c r="M50" s="26"/>
      <c r="N50" s="26"/>
      <c r="O50" s="26"/>
      <c r="P50" s="26"/>
      <c r="Q50" s="26"/>
      <c r="R50" s="26"/>
      <c r="S50" s="26" t="s">
        <v>213</v>
      </c>
      <c r="T50" s="26"/>
      <c r="U50" s="48"/>
      <c r="V50" s="196"/>
      <c r="W50" s="6"/>
    </row>
    <row r="51" spans="1:23" ht="15.6">
      <c r="A51" s="25"/>
      <c r="B51" s="26" t="s">
        <v>19</v>
      </c>
      <c r="C51" s="26"/>
      <c r="D51" s="26"/>
      <c r="E51" s="26"/>
      <c r="F51" s="26"/>
      <c r="G51" s="26"/>
      <c r="H51" s="26"/>
      <c r="I51" s="26"/>
      <c r="J51" s="26"/>
      <c r="K51" s="26"/>
      <c r="L51" s="26"/>
      <c r="M51" s="26"/>
      <c r="N51" s="26"/>
      <c r="O51" s="26"/>
      <c r="P51" s="26"/>
      <c r="Q51" s="26"/>
      <c r="R51" s="26"/>
      <c r="S51" s="33"/>
      <c r="T51" s="33"/>
      <c r="U51" s="33" t="s">
        <v>118</v>
      </c>
      <c r="V51" s="196"/>
      <c r="W51" s="6"/>
    </row>
    <row r="52" spans="1:23" ht="15.6">
      <c r="A52" s="40"/>
      <c r="B52" s="30" t="s">
        <v>20</v>
      </c>
      <c r="C52" s="30"/>
      <c r="D52" s="30"/>
      <c r="E52" s="30"/>
      <c r="F52" s="30"/>
      <c r="G52" s="30"/>
      <c r="H52" s="30"/>
      <c r="I52" s="30"/>
      <c r="J52" s="30"/>
      <c r="K52" s="30"/>
      <c r="L52" s="30"/>
      <c r="M52" s="30"/>
      <c r="N52" s="30"/>
      <c r="O52" s="30"/>
      <c r="P52" s="30"/>
      <c r="Q52" s="30"/>
      <c r="R52" s="30"/>
      <c r="S52" s="49"/>
      <c r="T52" s="49"/>
      <c r="U52" s="50">
        <v>39828</v>
      </c>
      <c r="V52" s="198"/>
      <c r="W52" s="6"/>
    </row>
    <row r="53" spans="1:23" ht="15.6">
      <c r="A53" s="25"/>
      <c r="B53" s="26" t="s">
        <v>155</v>
      </c>
      <c r="C53" s="26"/>
      <c r="D53" s="26"/>
      <c r="E53" s="26"/>
      <c r="F53" s="26"/>
      <c r="G53" s="26"/>
      <c r="H53" s="26"/>
      <c r="I53" s="26"/>
      <c r="J53" s="26"/>
      <c r="K53" s="26"/>
      <c r="L53" s="26"/>
      <c r="M53" s="26"/>
      <c r="N53" s="26"/>
      <c r="O53" s="26"/>
      <c r="P53" s="26"/>
      <c r="Q53" s="29"/>
      <c r="R53" s="26">
        <f>U53-S53+1</f>
        <v>92</v>
      </c>
      <c r="S53" s="52">
        <v>39644</v>
      </c>
      <c r="T53" s="53"/>
      <c r="U53" s="52">
        <v>39735</v>
      </c>
      <c r="V53" s="196"/>
      <c r="W53" s="6"/>
    </row>
    <row r="54" spans="1:23" ht="15.6">
      <c r="A54" s="25"/>
      <c r="B54" s="26" t="s">
        <v>156</v>
      </c>
      <c r="C54" s="26"/>
      <c r="D54" s="26"/>
      <c r="E54" s="26"/>
      <c r="F54" s="26"/>
      <c r="G54" s="26"/>
      <c r="H54" s="26"/>
      <c r="I54" s="26"/>
      <c r="J54" s="26"/>
      <c r="K54" s="26"/>
      <c r="L54" s="26"/>
      <c r="M54" s="26"/>
      <c r="N54" s="26"/>
      <c r="O54" s="26"/>
      <c r="P54" s="26"/>
      <c r="Q54" s="29"/>
      <c r="R54" s="26">
        <f>U54-S54+1</f>
        <v>92</v>
      </c>
      <c r="S54" s="52">
        <v>39736</v>
      </c>
      <c r="T54" s="53"/>
      <c r="U54" s="52">
        <v>39827</v>
      </c>
      <c r="V54" s="196"/>
      <c r="W54" s="6"/>
    </row>
    <row r="55" spans="1:23" ht="15.6">
      <c r="A55" s="25"/>
      <c r="B55" s="26" t="s">
        <v>21</v>
      </c>
      <c r="C55" s="26"/>
      <c r="D55" s="26"/>
      <c r="E55" s="26"/>
      <c r="F55" s="26"/>
      <c r="G55" s="26"/>
      <c r="H55" s="26"/>
      <c r="I55" s="26"/>
      <c r="J55" s="26"/>
      <c r="K55" s="26"/>
      <c r="L55" s="26"/>
      <c r="M55" s="26"/>
      <c r="N55" s="26"/>
      <c r="O55" s="26"/>
      <c r="P55" s="26"/>
      <c r="Q55" s="26"/>
      <c r="R55" s="26"/>
      <c r="S55" s="52"/>
      <c r="T55" s="53"/>
      <c r="U55" s="52" t="s">
        <v>119</v>
      </c>
      <c r="V55" s="196"/>
      <c r="W55" s="6"/>
    </row>
    <row r="56" spans="1:23" ht="15.6">
      <c r="A56" s="25"/>
      <c r="B56" s="26" t="s">
        <v>22</v>
      </c>
      <c r="C56" s="26"/>
      <c r="D56" s="26"/>
      <c r="E56" s="26"/>
      <c r="F56" s="26"/>
      <c r="G56" s="26"/>
      <c r="H56" s="26"/>
      <c r="I56" s="26"/>
      <c r="J56" s="26"/>
      <c r="K56" s="26"/>
      <c r="L56" s="26"/>
      <c r="M56" s="26"/>
      <c r="N56" s="26"/>
      <c r="O56" s="26"/>
      <c r="P56" s="26"/>
      <c r="Q56" s="26"/>
      <c r="R56" s="26"/>
      <c r="S56" s="52"/>
      <c r="T56" s="53"/>
      <c r="U56" s="52">
        <v>39815</v>
      </c>
      <c r="V56" s="196"/>
      <c r="W56" s="6"/>
    </row>
    <row r="57" spans="1:23" ht="15.6">
      <c r="A57" s="25"/>
      <c r="B57" s="26"/>
      <c r="C57" s="26"/>
      <c r="D57" s="26"/>
      <c r="E57" s="26"/>
      <c r="F57" s="26"/>
      <c r="G57" s="26"/>
      <c r="H57" s="26"/>
      <c r="I57" s="26"/>
      <c r="J57" s="26"/>
      <c r="K57" s="26"/>
      <c r="L57" s="26"/>
      <c r="M57" s="26"/>
      <c r="N57" s="26"/>
      <c r="O57" s="26"/>
      <c r="P57" s="26"/>
      <c r="Q57" s="26"/>
      <c r="R57" s="26"/>
      <c r="S57" s="26"/>
      <c r="T57" s="26"/>
      <c r="U57" s="54"/>
      <c r="V57" s="196"/>
      <c r="W57" s="6"/>
    </row>
    <row r="58" spans="1:23" ht="15.6">
      <c r="A58" s="7"/>
      <c r="B58" s="9"/>
      <c r="C58" s="9"/>
      <c r="D58" s="9"/>
      <c r="E58" s="9"/>
      <c r="F58" s="9"/>
      <c r="G58" s="9"/>
      <c r="H58" s="9"/>
      <c r="I58" s="9"/>
      <c r="J58" s="9"/>
      <c r="K58" s="9"/>
      <c r="L58" s="9"/>
      <c r="M58" s="9"/>
      <c r="N58" s="9"/>
      <c r="O58" s="9"/>
      <c r="P58" s="9"/>
      <c r="Q58" s="9"/>
      <c r="R58" s="9"/>
      <c r="S58" s="9"/>
      <c r="T58" s="9"/>
      <c r="U58" s="55"/>
      <c r="V58" s="194"/>
      <c r="W58" s="6"/>
    </row>
    <row r="59" spans="1:23" ht="16.2" thickBot="1">
      <c r="A59" s="130"/>
      <c r="B59" s="131" t="s">
        <v>251</v>
      </c>
      <c r="C59" s="132"/>
      <c r="D59" s="132"/>
      <c r="E59" s="132"/>
      <c r="F59" s="132"/>
      <c r="G59" s="132"/>
      <c r="H59" s="132"/>
      <c r="I59" s="132"/>
      <c r="J59" s="132"/>
      <c r="K59" s="132"/>
      <c r="L59" s="132"/>
      <c r="M59" s="132"/>
      <c r="N59" s="132"/>
      <c r="O59" s="132"/>
      <c r="P59" s="132"/>
      <c r="Q59" s="132"/>
      <c r="R59" s="132"/>
      <c r="S59" s="132"/>
      <c r="T59" s="132"/>
      <c r="U59" s="133"/>
      <c r="V59" s="134"/>
      <c r="W59" s="6"/>
    </row>
    <row r="60" spans="1:23" ht="15.6">
      <c r="A60" s="2"/>
      <c r="B60" s="5" t="s">
        <v>237</v>
      </c>
      <c r="C60" s="5"/>
      <c r="D60" s="5"/>
      <c r="E60" s="5"/>
      <c r="F60" s="5"/>
      <c r="G60" s="5"/>
      <c r="H60" s="5"/>
      <c r="I60" s="5"/>
      <c r="J60" s="5"/>
      <c r="K60" s="5"/>
      <c r="L60" s="5"/>
      <c r="M60" s="5"/>
      <c r="N60" s="5"/>
      <c r="O60" s="5"/>
      <c r="P60" s="5"/>
      <c r="Q60" s="5"/>
      <c r="R60" s="5"/>
      <c r="S60" s="5"/>
      <c r="T60" s="5"/>
      <c r="U60" s="56"/>
      <c r="V60" s="193"/>
      <c r="W60" s="6"/>
    </row>
    <row r="61" spans="1:23" ht="15.6">
      <c r="A61" s="7"/>
      <c r="B61" s="57" t="s">
        <v>23</v>
      </c>
      <c r="C61" s="13"/>
      <c r="D61" s="13"/>
      <c r="E61" s="13"/>
      <c r="F61" s="13"/>
      <c r="G61" s="13"/>
      <c r="H61" s="13"/>
      <c r="I61" s="13"/>
      <c r="J61" s="13"/>
      <c r="K61" s="13"/>
      <c r="L61" s="13"/>
      <c r="M61" s="9"/>
      <c r="N61" s="9"/>
      <c r="O61" s="9"/>
      <c r="P61" s="9"/>
      <c r="Q61" s="9"/>
      <c r="R61" s="9"/>
      <c r="S61" s="9"/>
      <c r="T61" s="9"/>
      <c r="U61" s="58"/>
      <c r="V61" s="194"/>
      <c r="W61" s="6"/>
    </row>
    <row r="62" spans="1:23" ht="15.6">
      <c r="A62" s="7"/>
      <c r="B62" s="13"/>
      <c r="C62" s="13"/>
      <c r="D62" s="13"/>
      <c r="E62" s="13"/>
      <c r="F62" s="13"/>
      <c r="G62" s="13"/>
      <c r="H62" s="13"/>
      <c r="I62" s="13"/>
      <c r="J62" s="13"/>
      <c r="K62" s="13"/>
      <c r="L62" s="13"/>
      <c r="M62" s="9"/>
      <c r="N62" s="9"/>
      <c r="O62" s="9"/>
      <c r="P62" s="9"/>
      <c r="Q62" s="9"/>
      <c r="R62" s="9"/>
      <c r="S62" s="9"/>
      <c r="T62" s="9"/>
      <c r="U62" s="58"/>
      <c r="V62" s="194"/>
      <c r="W62" s="6"/>
    </row>
    <row r="63" spans="1:23" s="151" customFormat="1" ht="46.8">
      <c r="A63" s="145"/>
      <c r="B63" s="146"/>
      <c r="C63" s="147"/>
      <c r="D63" s="147"/>
      <c r="E63" s="147"/>
      <c r="F63" s="147"/>
      <c r="G63" s="147"/>
      <c r="H63" s="147"/>
      <c r="I63" s="147"/>
      <c r="J63" s="147"/>
      <c r="K63" s="147" t="s">
        <v>197</v>
      </c>
      <c r="L63" s="147"/>
      <c r="M63" s="147" t="s">
        <v>98</v>
      </c>
      <c r="N63" s="147"/>
      <c r="O63" s="147" t="s">
        <v>107</v>
      </c>
      <c r="P63" s="147"/>
      <c r="Q63" s="147" t="s">
        <v>111</v>
      </c>
      <c r="R63" s="147"/>
      <c r="S63" s="147" t="s">
        <v>113</v>
      </c>
      <c r="T63" s="147"/>
      <c r="U63" s="148" t="s">
        <v>120</v>
      </c>
      <c r="V63" s="199"/>
      <c r="W63" s="150"/>
    </row>
    <row r="64" spans="1:23" ht="15.6">
      <c r="A64" s="25"/>
      <c r="B64" s="26" t="s">
        <v>24</v>
      </c>
      <c r="C64" s="59"/>
      <c r="D64" s="59"/>
      <c r="E64" s="59"/>
      <c r="F64" s="59"/>
      <c r="G64" s="59"/>
      <c r="H64" s="59"/>
      <c r="I64" s="59"/>
      <c r="J64" s="59"/>
      <c r="K64" s="59">
        <f>265+63566+3306</f>
        <v>67137</v>
      </c>
      <c r="L64" s="59"/>
      <c r="M64" s="59">
        <v>23352</v>
      </c>
      <c r="N64" s="59"/>
      <c r="O64" s="59">
        <f>1819+10+85</f>
        <v>1914</v>
      </c>
      <c r="P64" s="59"/>
      <c r="Q64" s="59">
        <v>0</v>
      </c>
      <c r="R64" s="59"/>
      <c r="S64" s="59">
        <v>0</v>
      </c>
      <c r="T64" s="59"/>
      <c r="U64" s="60">
        <f>+M64-O64+Q64-S64</f>
        <v>21438</v>
      </c>
      <c r="V64" s="196"/>
      <c r="W64" s="6"/>
    </row>
    <row r="65" spans="1:24" ht="15.6">
      <c r="A65" s="25"/>
      <c r="B65" s="26" t="s">
        <v>25</v>
      </c>
      <c r="C65" s="59"/>
      <c r="D65" s="59"/>
      <c r="E65" s="59"/>
      <c r="F65" s="59"/>
      <c r="G65" s="59"/>
      <c r="H65" s="59"/>
      <c r="I65" s="59"/>
      <c r="J65" s="59"/>
      <c r="K65" s="59"/>
      <c r="L65" s="59"/>
      <c r="M65" s="59"/>
      <c r="N65" s="59"/>
      <c r="O65" s="59"/>
      <c r="P65" s="59"/>
      <c r="Q65" s="59">
        <v>0</v>
      </c>
      <c r="R65" s="59"/>
      <c r="S65" s="59">
        <v>0</v>
      </c>
      <c r="T65" s="59"/>
      <c r="U65" s="60">
        <f>M65-O65</f>
        <v>0</v>
      </c>
      <c r="V65" s="196"/>
      <c r="W65" s="6"/>
    </row>
    <row r="66" spans="1:24" ht="15.6">
      <c r="A66" s="25"/>
      <c r="B66" s="26"/>
      <c r="C66" s="59"/>
      <c r="D66" s="59"/>
      <c r="E66" s="59"/>
      <c r="F66" s="59"/>
      <c r="G66" s="59"/>
      <c r="H66" s="59"/>
      <c r="I66" s="59"/>
      <c r="J66" s="59"/>
      <c r="K66" s="59"/>
      <c r="L66" s="59"/>
      <c r="M66" s="59"/>
      <c r="N66" s="59"/>
      <c r="O66" s="59"/>
      <c r="P66" s="59"/>
      <c r="Q66" s="59"/>
      <c r="R66" s="59"/>
      <c r="S66" s="59"/>
      <c r="T66" s="59"/>
      <c r="U66" s="60"/>
      <c r="V66" s="196"/>
      <c r="W66" s="6"/>
    </row>
    <row r="67" spans="1:24" ht="15.6">
      <c r="A67" s="25"/>
      <c r="B67" s="26" t="s">
        <v>26</v>
      </c>
      <c r="C67" s="59"/>
      <c r="D67" s="59"/>
      <c r="E67" s="59"/>
      <c r="F67" s="59"/>
      <c r="G67" s="59"/>
      <c r="H67" s="59"/>
      <c r="I67" s="59"/>
      <c r="J67" s="59"/>
      <c r="K67" s="59">
        <v>24470</v>
      </c>
      <c r="L67" s="59"/>
      <c r="M67" s="59">
        <v>18886</v>
      </c>
      <c r="N67" s="59"/>
      <c r="O67" s="59">
        <v>5653</v>
      </c>
      <c r="P67" s="59"/>
      <c r="Q67" s="59">
        <v>0</v>
      </c>
      <c r="R67" s="59"/>
      <c r="S67" s="59">
        <f>SUM(S64:S66)</f>
        <v>0</v>
      </c>
      <c r="T67" s="59"/>
      <c r="U67" s="60">
        <f>+M67-O67+Q67-S67</f>
        <v>13233</v>
      </c>
      <c r="V67" s="196"/>
      <c r="W67" s="6"/>
    </row>
    <row r="68" spans="1:24" ht="15.6">
      <c r="A68" s="25"/>
      <c r="B68" s="26" t="s">
        <v>25</v>
      </c>
      <c r="C68" s="59"/>
      <c r="D68" s="59"/>
      <c r="E68" s="59"/>
      <c r="F68" s="59"/>
      <c r="G68" s="59"/>
      <c r="H68" s="59"/>
      <c r="I68" s="59"/>
      <c r="J68" s="59"/>
      <c r="K68" s="59"/>
      <c r="L68" s="59"/>
      <c r="M68" s="59"/>
      <c r="N68" s="59"/>
      <c r="O68" s="59"/>
      <c r="P68" s="59"/>
      <c r="Q68" s="59">
        <v>0</v>
      </c>
      <c r="R68" s="59"/>
      <c r="S68" s="59">
        <v>0</v>
      </c>
      <c r="T68" s="59"/>
      <c r="U68" s="61"/>
      <c r="V68" s="196"/>
      <c r="W68" s="6"/>
    </row>
    <row r="69" spans="1:24" ht="15.6">
      <c r="A69" s="25"/>
      <c r="B69" s="62"/>
      <c r="C69" s="59"/>
      <c r="D69" s="59"/>
      <c r="E69" s="59"/>
      <c r="F69" s="59"/>
      <c r="G69" s="59"/>
      <c r="H69" s="59"/>
      <c r="I69" s="59"/>
      <c r="J69" s="59"/>
      <c r="K69" s="59"/>
      <c r="L69" s="59"/>
      <c r="M69" s="59"/>
      <c r="N69" s="59"/>
      <c r="O69" s="63"/>
      <c r="P69" s="59"/>
      <c r="Q69" s="59"/>
      <c r="R69" s="59"/>
      <c r="S69" s="59"/>
      <c r="T69" s="59"/>
      <c r="U69" s="61"/>
      <c r="V69" s="196"/>
      <c r="W69" s="6"/>
    </row>
    <row r="70" spans="1:24" ht="15.6">
      <c r="A70" s="25"/>
      <c r="B70" s="26" t="s">
        <v>27</v>
      </c>
      <c r="C70" s="59"/>
      <c r="D70" s="59"/>
      <c r="E70" s="59"/>
      <c r="F70" s="59"/>
      <c r="G70" s="59"/>
      <c r="H70" s="59"/>
      <c r="I70" s="59"/>
      <c r="J70" s="59"/>
      <c r="K70" s="59">
        <v>220072</v>
      </c>
      <c r="L70" s="59"/>
      <c r="M70" s="59">
        <v>241137</v>
      </c>
      <c r="N70" s="59"/>
      <c r="O70" s="59">
        <f>8139+645</f>
        <v>8784</v>
      </c>
      <c r="P70" s="59"/>
      <c r="Q70" s="59">
        <f>29958+229</f>
        <v>30187</v>
      </c>
      <c r="R70" s="59"/>
      <c r="S70" s="59">
        <v>0</v>
      </c>
      <c r="T70" s="59"/>
      <c r="U70" s="60">
        <f>+M70-O70+Q70-S70</f>
        <v>262540</v>
      </c>
      <c r="V70" s="196"/>
      <c r="W70" s="6"/>
    </row>
    <row r="71" spans="1:24" ht="15.6">
      <c r="A71" s="25"/>
      <c r="B71" s="26" t="s">
        <v>25</v>
      </c>
      <c r="C71" s="59"/>
      <c r="D71" s="59"/>
      <c r="E71" s="59"/>
      <c r="F71" s="59"/>
      <c r="G71" s="59"/>
      <c r="H71" s="59"/>
      <c r="I71" s="59"/>
      <c r="J71" s="59"/>
      <c r="K71" s="59"/>
      <c r="L71" s="59"/>
      <c r="M71" s="59"/>
      <c r="N71" s="59"/>
      <c r="O71" s="59"/>
      <c r="P71" s="59"/>
      <c r="Q71" s="59">
        <v>0</v>
      </c>
      <c r="R71" s="59"/>
      <c r="S71" s="59">
        <v>0</v>
      </c>
      <c r="T71" s="59"/>
      <c r="U71" s="60">
        <f>M71-O71+Q71-S71</f>
        <v>0</v>
      </c>
      <c r="V71" s="196"/>
      <c r="W71" s="6"/>
    </row>
    <row r="72" spans="1:24" ht="15.6">
      <c r="A72" s="25"/>
      <c r="B72" s="26"/>
      <c r="C72" s="59"/>
      <c r="D72" s="59"/>
      <c r="E72" s="59"/>
      <c r="F72" s="59"/>
      <c r="G72" s="59"/>
      <c r="H72" s="59"/>
      <c r="I72" s="59"/>
      <c r="J72" s="59"/>
      <c r="K72" s="59"/>
      <c r="L72" s="59"/>
      <c r="M72" s="59"/>
      <c r="N72" s="59"/>
      <c r="O72" s="59"/>
      <c r="P72" s="59"/>
      <c r="Q72" s="59"/>
      <c r="R72" s="59"/>
      <c r="S72" s="59"/>
      <c r="T72" s="59"/>
      <c r="U72" s="60"/>
      <c r="V72" s="196"/>
      <c r="W72" s="6"/>
    </row>
    <row r="73" spans="1:24" ht="15.6">
      <c r="A73" s="25"/>
      <c r="B73" s="26" t="s">
        <v>28</v>
      </c>
      <c r="C73" s="59"/>
      <c r="D73" s="59"/>
      <c r="E73" s="59"/>
      <c r="F73" s="59"/>
      <c r="G73" s="59"/>
      <c r="H73" s="59"/>
      <c r="I73" s="59"/>
      <c r="J73" s="59"/>
      <c r="K73" s="59">
        <v>138321</v>
      </c>
      <c r="L73" s="59"/>
      <c r="M73" s="59">
        <v>80211</v>
      </c>
      <c r="N73" s="59"/>
      <c r="O73" s="59">
        <f>8483+1165+1</f>
        <v>9649</v>
      </c>
      <c r="P73" s="59"/>
      <c r="Q73" s="59">
        <v>0</v>
      </c>
      <c r="R73" s="59"/>
      <c r="S73" s="59">
        <v>0</v>
      </c>
      <c r="T73" s="59"/>
      <c r="U73" s="60">
        <f>+M73-O73+Q73-S73</f>
        <v>70562</v>
      </c>
      <c r="V73" s="196"/>
      <c r="W73" s="6"/>
    </row>
    <row r="74" spans="1:24" ht="15.6">
      <c r="A74" s="25"/>
      <c r="B74" s="26" t="s">
        <v>25</v>
      </c>
      <c r="C74" s="59"/>
      <c r="D74" s="59"/>
      <c r="E74" s="59"/>
      <c r="F74" s="59"/>
      <c r="G74" s="59"/>
      <c r="H74" s="59"/>
      <c r="I74" s="59"/>
      <c r="J74" s="59"/>
      <c r="K74" s="59"/>
      <c r="L74" s="59"/>
      <c r="M74" s="59"/>
      <c r="N74" s="59"/>
      <c r="O74" s="59"/>
      <c r="P74" s="59"/>
      <c r="Q74" s="59">
        <v>0</v>
      </c>
      <c r="R74" s="59"/>
      <c r="S74" s="59">
        <v>0</v>
      </c>
      <c r="T74" s="59"/>
      <c r="U74" s="60"/>
      <c r="V74" s="196"/>
      <c r="W74" s="6"/>
    </row>
    <row r="75" spans="1:24" ht="15.6">
      <c r="A75" s="25"/>
      <c r="B75" s="59"/>
      <c r="C75" s="59"/>
      <c r="D75" s="59"/>
      <c r="E75" s="59"/>
      <c r="F75" s="59"/>
      <c r="G75" s="59"/>
      <c r="H75" s="59"/>
      <c r="I75" s="59"/>
      <c r="J75" s="59"/>
      <c r="K75" s="59"/>
      <c r="L75" s="59"/>
      <c r="M75" s="59"/>
      <c r="N75" s="59"/>
      <c r="O75" s="59"/>
      <c r="P75" s="59"/>
      <c r="Q75" s="59"/>
      <c r="R75" s="59"/>
      <c r="S75" s="59"/>
      <c r="T75" s="59"/>
      <c r="U75" s="60"/>
      <c r="V75" s="196"/>
      <c r="W75" s="6"/>
    </row>
    <row r="76" spans="1:24" ht="15.6">
      <c r="A76" s="25"/>
      <c r="B76" s="26" t="s">
        <v>29</v>
      </c>
      <c r="C76" s="59"/>
      <c r="D76" s="59"/>
      <c r="E76" s="59"/>
      <c r="F76" s="59"/>
      <c r="G76" s="59"/>
      <c r="H76" s="59"/>
      <c r="I76" s="59"/>
      <c r="J76" s="59"/>
      <c r="K76" s="59">
        <f>SUM(K64:K73)</f>
        <v>450000</v>
      </c>
      <c r="L76" s="59"/>
      <c r="M76" s="59">
        <f>SUM(M64:M73)</f>
        <v>363586</v>
      </c>
      <c r="N76" s="59"/>
      <c r="O76" s="59">
        <f>SUM(O64:O74)</f>
        <v>26000</v>
      </c>
      <c r="P76" s="59"/>
      <c r="Q76" s="59">
        <f>SUM(Q64:Q74)</f>
        <v>30187</v>
      </c>
      <c r="R76" s="59"/>
      <c r="S76" s="59">
        <f>SUM(S71:S75)</f>
        <v>0</v>
      </c>
      <c r="T76" s="59"/>
      <c r="U76" s="59">
        <f>SUM(U64:U74)</f>
        <v>367773</v>
      </c>
      <c r="V76" s="196"/>
      <c r="W76" s="6"/>
      <c r="X76" s="182"/>
    </row>
    <row r="77" spans="1:24" ht="15.6">
      <c r="A77" s="25"/>
      <c r="B77" s="26"/>
      <c r="C77" s="59"/>
      <c r="D77" s="59"/>
      <c r="E77" s="59"/>
      <c r="F77" s="59"/>
      <c r="G77" s="59"/>
      <c r="H77" s="59"/>
      <c r="I77" s="59"/>
      <c r="J77" s="59"/>
      <c r="K77" s="59"/>
      <c r="L77" s="59"/>
      <c r="M77" s="59"/>
      <c r="N77" s="59"/>
      <c r="O77" s="59"/>
      <c r="P77" s="59"/>
      <c r="Q77" s="59"/>
      <c r="R77" s="59"/>
      <c r="S77" s="59"/>
      <c r="T77" s="59"/>
      <c r="U77" s="61"/>
      <c r="V77" s="196"/>
      <c r="W77" s="6"/>
    </row>
    <row r="78" spans="1:24" ht="15.6">
      <c r="A78" s="25"/>
      <c r="B78" s="26" t="s">
        <v>214</v>
      </c>
      <c r="C78" s="59"/>
      <c r="D78" s="59"/>
      <c r="E78" s="59"/>
      <c r="F78" s="59"/>
      <c r="G78" s="59"/>
      <c r="H78" s="59"/>
      <c r="I78" s="59"/>
      <c r="J78" s="59"/>
      <c r="K78" s="59">
        <v>0</v>
      </c>
      <c r="L78" s="59"/>
      <c r="M78" s="59">
        <v>-10170</v>
      </c>
      <c r="N78" s="59"/>
      <c r="O78" s="59">
        <v>510</v>
      </c>
      <c r="P78" s="59"/>
      <c r="Q78" s="59"/>
      <c r="R78" s="59"/>
      <c r="S78" s="59"/>
      <c r="T78" s="59"/>
      <c r="U78" s="60">
        <f>+M78-O78</f>
        <v>-10680</v>
      </c>
      <c r="V78" s="196"/>
      <c r="W78" s="6"/>
    </row>
    <row r="79" spans="1:24" ht="15.6">
      <c r="A79" s="25"/>
      <c r="B79" s="26" t="s">
        <v>30</v>
      </c>
      <c r="C79" s="59"/>
      <c r="D79" s="59"/>
      <c r="E79" s="59"/>
      <c r="F79" s="59"/>
      <c r="G79" s="59"/>
      <c r="H79" s="59"/>
      <c r="I79" s="59"/>
      <c r="J79" s="59"/>
      <c r="K79" s="59">
        <v>0</v>
      </c>
      <c r="L79" s="59"/>
      <c r="M79" s="59">
        <v>96584</v>
      </c>
      <c r="N79" s="59"/>
      <c r="O79" s="59">
        <f>SUM(O76:O78)</f>
        <v>26510</v>
      </c>
      <c r="P79" s="59"/>
      <c r="Q79" s="59">
        <f>-Q76</f>
        <v>-30187</v>
      </c>
      <c r="R79" s="59"/>
      <c r="S79" s="59"/>
      <c r="T79" s="59"/>
      <c r="U79" s="61">
        <f>+M79+O79+Q79</f>
        <v>92907</v>
      </c>
      <c r="V79" s="196"/>
      <c r="W79" s="6"/>
      <c r="X79" s="182"/>
    </row>
    <row r="80" spans="1:24" ht="15.6">
      <c r="A80" s="25"/>
      <c r="B80" s="26" t="s">
        <v>31</v>
      </c>
      <c r="C80" s="59"/>
      <c r="D80" s="59"/>
      <c r="E80" s="59"/>
      <c r="F80" s="59"/>
      <c r="G80" s="59"/>
      <c r="H80" s="59"/>
      <c r="I80" s="59"/>
      <c r="J80" s="59"/>
      <c r="K80" s="59">
        <v>0</v>
      </c>
      <c r="L80" s="59"/>
      <c r="M80" s="59">
        <v>0</v>
      </c>
      <c r="N80" s="59"/>
      <c r="O80" s="59"/>
      <c r="P80" s="59"/>
      <c r="Q80" s="59">
        <v>0</v>
      </c>
      <c r="R80" s="59"/>
      <c r="S80" s="59"/>
      <c r="T80" s="59"/>
      <c r="U80" s="61">
        <f>Q80+M80</f>
        <v>0</v>
      </c>
      <c r="V80" s="196"/>
      <c r="W80" s="6"/>
    </row>
    <row r="81" spans="1:24" ht="15.6">
      <c r="A81" s="25"/>
      <c r="B81" s="26" t="s">
        <v>16</v>
      </c>
      <c r="C81" s="61"/>
      <c r="D81" s="61"/>
      <c r="E81" s="61"/>
      <c r="F81" s="61"/>
      <c r="G81" s="61"/>
      <c r="H81" s="61"/>
      <c r="I81" s="61"/>
      <c r="J81" s="61"/>
      <c r="K81" s="61">
        <f>SUM(K76:K80)</f>
        <v>450000</v>
      </c>
      <c r="L81" s="61"/>
      <c r="M81" s="61">
        <f>SUM(M76:M80)</f>
        <v>450000</v>
      </c>
      <c r="N81" s="59"/>
      <c r="O81" s="59">
        <f>O79-O80</f>
        <v>26510</v>
      </c>
      <c r="P81" s="59"/>
      <c r="Q81" s="59"/>
      <c r="R81" s="59"/>
      <c r="S81" s="59"/>
      <c r="T81" s="59"/>
      <c r="U81" s="61">
        <f>SUM(U76:U80)</f>
        <v>450000</v>
      </c>
      <c r="V81" s="196"/>
      <c r="W81" s="6"/>
    </row>
    <row r="82" spans="1:24" ht="15.6">
      <c r="A82" s="25"/>
      <c r="B82" s="59"/>
      <c r="C82" s="26"/>
      <c r="D82" s="26"/>
      <c r="E82" s="26"/>
      <c r="F82" s="26"/>
      <c r="G82" s="26"/>
      <c r="H82" s="26"/>
      <c r="I82" s="26"/>
      <c r="J82" s="26"/>
      <c r="K82" s="26"/>
      <c r="L82" s="26"/>
      <c r="M82" s="26"/>
      <c r="N82" s="26"/>
      <c r="O82" s="26"/>
      <c r="P82" s="26"/>
      <c r="Q82" s="26"/>
      <c r="R82" s="26"/>
      <c r="S82" s="33"/>
      <c r="T82" s="26"/>
      <c r="U82" s="33"/>
      <c r="V82" s="196"/>
      <c r="W82" s="6"/>
    </row>
    <row r="83" spans="1:24" ht="15.6">
      <c r="A83" s="7"/>
      <c r="B83" s="57" t="s">
        <v>32</v>
      </c>
      <c r="C83" s="14"/>
      <c r="D83" s="14"/>
      <c r="E83" s="14"/>
      <c r="F83" s="14"/>
      <c r="G83" s="14"/>
      <c r="H83" s="14"/>
      <c r="I83" s="14"/>
      <c r="J83" s="14"/>
      <c r="K83" s="14"/>
      <c r="L83" s="14"/>
      <c r="M83" s="14"/>
      <c r="N83" s="14"/>
      <c r="O83" s="14"/>
      <c r="P83" s="14"/>
      <c r="Q83" s="14"/>
      <c r="R83" s="17"/>
      <c r="S83" s="17"/>
      <c r="T83" s="17"/>
      <c r="U83" s="17" t="s">
        <v>121</v>
      </c>
      <c r="V83" s="200"/>
      <c r="W83" s="6"/>
    </row>
    <row r="84" spans="1:24" ht="15.6">
      <c r="A84" s="25"/>
      <c r="B84" s="26" t="s">
        <v>33</v>
      </c>
      <c r="C84" s="26"/>
      <c r="D84" s="26"/>
      <c r="E84" s="26"/>
      <c r="F84" s="26"/>
      <c r="G84" s="26"/>
      <c r="H84" s="26"/>
      <c r="I84" s="26"/>
      <c r="J84" s="26"/>
      <c r="K84" s="26"/>
      <c r="L84" s="26"/>
      <c r="M84" s="26"/>
      <c r="N84" s="26"/>
      <c r="O84" s="59"/>
      <c r="P84" s="26"/>
      <c r="Q84" s="26"/>
      <c r="R84" s="26"/>
      <c r="S84" s="59"/>
      <c r="T84" s="26"/>
      <c r="U84" s="60">
        <v>141599</v>
      </c>
      <c r="V84" s="196"/>
      <c r="W84" s="6"/>
    </row>
    <row r="85" spans="1:24" ht="15.6">
      <c r="A85" s="25"/>
      <c r="B85" s="26" t="s">
        <v>34</v>
      </c>
      <c r="C85" s="47"/>
      <c r="D85" s="47"/>
      <c r="E85" s="47"/>
      <c r="F85" s="47"/>
      <c r="G85" s="47"/>
      <c r="H85" s="47"/>
      <c r="I85" s="47"/>
      <c r="J85" s="47"/>
      <c r="K85" s="47"/>
      <c r="L85" s="47"/>
      <c r="M85" s="51"/>
      <c r="N85" s="26"/>
      <c r="O85" s="26"/>
      <c r="P85" s="26"/>
      <c r="Q85" s="26"/>
      <c r="R85" s="26"/>
      <c r="S85" s="59"/>
      <c r="T85" s="26"/>
      <c r="U85" s="60">
        <f>172+804+7-23-24-2</f>
        <v>934</v>
      </c>
      <c r="V85" s="196"/>
      <c r="W85" s="6"/>
    </row>
    <row r="86" spans="1:24" ht="15.6">
      <c r="A86" s="25"/>
      <c r="B86" s="26" t="s">
        <v>230</v>
      </c>
      <c r="C86" s="26"/>
      <c r="D86" s="26"/>
      <c r="E86" s="26"/>
      <c r="F86" s="26"/>
      <c r="G86" s="26"/>
      <c r="H86" s="26"/>
      <c r="I86" s="26"/>
      <c r="J86" s="26"/>
      <c r="K86" s="26"/>
      <c r="L86" s="26"/>
      <c r="M86" s="26"/>
      <c r="N86" s="26"/>
      <c r="O86" s="26"/>
      <c r="P86" s="26"/>
      <c r="Q86" s="26"/>
      <c r="R86" s="26"/>
      <c r="S86" s="59"/>
      <c r="T86" s="26"/>
      <c r="U86" s="60">
        <v>0</v>
      </c>
      <c r="V86" s="196"/>
      <c r="W86" s="6"/>
      <c r="X86" s="64"/>
    </row>
    <row r="87" spans="1:24" ht="15.6">
      <c r="A87" s="25"/>
      <c r="B87" s="26" t="s">
        <v>231</v>
      </c>
      <c r="C87" s="26"/>
      <c r="D87" s="26"/>
      <c r="E87" s="26"/>
      <c r="F87" s="26"/>
      <c r="G87" s="26"/>
      <c r="H87" s="26"/>
      <c r="I87" s="26"/>
      <c r="J87" s="26"/>
      <c r="K87" s="26"/>
      <c r="L87" s="26"/>
      <c r="M87" s="26"/>
      <c r="N87" s="26"/>
      <c r="O87" s="26"/>
      <c r="P87" s="26"/>
      <c r="Q87" s="26"/>
      <c r="R87" s="26"/>
      <c r="S87" s="59"/>
      <c r="T87" s="26"/>
      <c r="U87" s="60">
        <v>0</v>
      </c>
      <c r="V87" s="196"/>
      <c r="W87" s="6"/>
      <c r="X87" s="64"/>
    </row>
    <row r="88" spans="1:24" ht="15.6">
      <c r="A88" s="25"/>
      <c r="B88" s="26" t="s">
        <v>35</v>
      </c>
      <c r="C88" s="26"/>
      <c r="D88" s="26"/>
      <c r="E88" s="26"/>
      <c r="F88" s="26"/>
      <c r="G88" s="26"/>
      <c r="H88" s="26"/>
      <c r="I88" s="26"/>
      <c r="J88" s="26"/>
      <c r="K88" s="26"/>
      <c r="L88" s="26"/>
      <c r="M88" s="26"/>
      <c r="N88" s="26"/>
      <c r="O88" s="26"/>
      <c r="P88" s="26"/>
      <c r="Q88" s="26"/>
      <c r="R88" s="26"/>
      <c r="S88" s="59"/>
      <c r="T88" s="26"/>
      <c r="U88" s="60">
        <f>SUM(U84:U87)</f>
        <v>142533</v>
      </c>
      <c r="V88" s="196"/>
      <c r="W88" s="6"/>
      <c r="X88" s="64"/>
    </row>
    <row r="89" spans="1:24" ht="15.6">
      <c r="A89" s="25"/>
      <c r="B89" s="26"/>
      <c r="C89" s="26"/>
      <c r="D89" s="26"/>
      <c r="E89" s="26"/>
      <c r="F89" s="26"/>
      <c r="G89" s="26"/>
      <c r="H89" s="26"/>
      <c r="I89" s="26"/>
      <c r="J89" s="26"/>
      <c r="K89" s="26"/>
      <c r="L89" s="26"/>
      <c r="M89" s="26"/>
      <c r="N89" s="26"/>
      <c r="O89" s="26"/>
      <c r="P89" s="26"/>
      <c r="Q89" s="26"/>
      <c r="R89" s="26"/>
      <c r="S89" s="59"/>
      <c r="T89" s="26"/>
      <c r="U89" s="61"/>
      <c r="V89" s="196"/>
      <c r="W89" s="6"/>
    </row>
    <row r="90" spans="1:24" ht="15.6">
      <c r="A90" s="25"/>
      <c r="B90" s="152" t="s">
        <v>36</v>
      </c>
      <c r="C90" s="65"/>
      <c r="D90" s="65"/>
      <c r="E90" s="65"/>
      <c r="F90" s="65"/>
      <c r="G90" s="65"/>
      <c r="H90" s="65"/>
      <c r="I90" s="65"/>
      <c r="J90" s="65"/>
      <c r="K90" s="65"/>
      <c r="L90" s="65"/>
      <c r="M90" s="26"/>
      <c r="N90" s="26"/>
      <c r="O90" s="26"/>
      <c r="P90" s="26"/>
      <c r="Q90" s="26"/>
      <c r="R90" s="26"/>
      <c r="S90" s="59"/>
      <c r="T90" s="26"/>
      <c r="U90" s="60"/>
      <c r="V90" s="196"/>
      <c r="W90" s="6"/>
      <c r="X90" s="64"/>
    </row>
    <row r="91" spans="1:24" ht="15.6">
      <c r="A91" s="25">
        <v>1</v>
      </c>
      <c r="B91" s="26" t="s">
        <v>37</v>
      </c>
      <c r="C91" s="26"/>
      <c r="D91" s="26"/>
      <c r="E91" s="26"/>
      <c r="F91" s="26"/>
      <c r="G91" s="26"/>
      <c r="H91" s="26"/>
      <c r="I91" s="26"/>
      <c r="J91" s="26"/>
      <c r="K91" s="26"/>
      <c r="L91" s="26"/>
      <c r="M91" s="26"/>
      <c r="N91" s="26"/>
      <c r="O91" s="26"/>
      <c r="P91" s="26"/>
      <c r="Q91" s="26"/>
      <c r="R91" s="26"/>
      <c r="S91" s="26"/>
      <c r="T91" s="26"/>
      <c r="U91" s="60">
        <v>-2</v>
      </c>
      <c r="V91" s="196"/>
      <c r="W91" s="6"/>
    </row>
    <row r="92" spans="1:24" ht="15.6">
      <c r="A92" s="25">
        <f>A91+1</f>
        <v>2</v>
      </c>
      <c r="B92" s="26" t="s">
        <v>168</v>
      </c>
      <c r="C92" s="26"/>
      <c r="D92" s="26"/>
      <c r="E92" s="26"/>
      <c r="F92" s="26"/>
      <c r="G92" s="26"/>
      <c r="H92" s="26"/>
      <c r="I92" s="26"/>
      <c r="J92" s="26"/>
      <c r="K92" s="26"/>
      <c r="L92" s="26"/>
      <c r="M92" s="26"/>
      <c r="N92" s="26"/>
      <c r="O92" s="26"/>
      <c r="P92" s="26"/>
      <c r="Q92" s="26"/>
      <c r="R92" s="26"/>
      <c r="S92" s="26"/>
      <c r="T92" s="26"/>
      <c r="U92" s="60">
        <f>-366-129-8</f>
        <v>-503</v>
      </c>
      <c r="V92" s="196"/>
      <c r="W92" s="6"/>
      <c r="X92" s="64"/>
    </row>
    <row r="93" spans="1:24" ht="15.6">
      <c r="A93" s="25">
        <v>3</v>
      </c>
      <c r="B93" s="26" t="s">
        <v>38</v>
      </c>
      <c r="C93" s="26"/>
      <c r="D93" s="26"/>
      <c r="E93" s="26"/>
      <c r="F93" s="26"/>
      <c r="G93" s="26"/>
      <c r="H93" s="26"/>
      <c r="I93" s="26"/>
      <c r="J93" s="26"/>
      <c r="K93" s="26"/>
      <c r="L93" s="26"/>
      <c r="M93" s="26"/>
      <c r="N93" s="26"/>
      <c r="O93" s="26"/>
      <c r="P93" s="26"/>
      <c r="Q93" s="26"/>
      <c r="R93" s="26"/>
      <c r="S93" s="26"/>
      <c r="T93" s="26"/>
      <c r="U93" s="60">
        <v>-67</v>
      </c>
      <c r="V93" s="196"/>
      <c r="W93" s="6"/>
      <c r="X93" s="64"/>
    </row>
    <row r="94" spans="1:24" ht="15.6">
      <c r="A94" s="177" t="s">
        <v>190</v>
      </c>
      <c r="B94" s="26" t="s">
        <v>169</v>
      </c>
      <c r="C94" s="26"/>
      <c r="D94" s="26"/>
      <c r="E94" s="26"/>
      <c r="F94" s="26"/>
      <c r="G94" s="26"/>
      <c r="H94" s="26"/>
      <c r="I94" s="26"/>
      <c r="J94" s="26"/>
      <c r="K94" s="26"/>
      <c r="L94" s="26"/>
      <c r="M94" s="26"/>
      <c r="N94" s="26"/>
      <c r="O94" s="26"/>
      <c r="P94" s="26"/>
      <c r="Q94" s="26"/>
      <c r="R94" s="26"/>
      <c r="S94" s="26"/>
      <c r="T94" s="26"/>
      <c r="U94" s="60">
        <v>-2366</v>
      </c>
      <c r="V94" s="196"/>
      <c r="W94" s="6"/>
      <c r="X94" s="64"/>
    </row>
    <row r="95" spans="1:24" ht="15.6">
      <c r="A95" s="177" t="s">
        <v>191</v>
      </c>
      <c r="B95" s="26" t="s">
        <v>170</v>
      </c>
      <c r="C95" s="26"/>
      <c r="D95" s="26"/>
      <c r="E95" s="26"/>
      <c r="F95" s="26"/>
      <c r="G95" s="26"/>
      <c r="H95" s="26"/>
      <c r="I95" s="26"/>
      <c r="J95" s="26"/>
      <c r="K95" s="26"/>
      <c r="L95" s="26"/>
      <c r="M95" s="26"/>
      <c r="N95" s="26"/>
      <c r="O95" s="26"/>
      <c r="P95" s="26"/>
      <c r="Q95" s="26"/>
      <c r="R95" s="26"/>
      <c r="S95" s="26"/>
      <c r="T95" s="26"/>
      <c r="U95" s="60">
        <v>-2898</v>
      </c>
      <c r="V95" s="196"/>
      <c r="W95" s="6"/>
      <c r="X95" s="182"/>
    </row>
    <row r="96" spans="1:24" ht="15.6">
      <c r="A96" s="25">
        <v>5</v>
      </c>
      <c r="B96" s="26" t="s">
        <v>171</v>
      </c>
      <c r="C96" s="26"/>
      <c r="D96" s="26"/>
      <c r="E96" s="26"/>
      <c r="F96" s="26"/>
      <c r="G96" s="26"/>
      <c r="H96" s="26"/>
      <c r="I96" s="26"/>
      <c r="J96" s="26"/>
      <c r="K96" s="26"/>
      <c r="L96" s="26"/>
      <c r="M96" s="26"/>
      <c r="N96" s="26"/>
      <c r="O96" s="26"/>
      <c r="P96" s="26"/>
      <c r="Q96" s="26"/>
      <c r="R96" s="26"/>
      <c r="S96" s="26"/>
      <c r="T96" s="26"/>
      <c r="U96" s="60">
        <v>-7</v>
      </c>
      <c r="V96" s="196"/>
      <c r="W96" s="6"/>
    </row>
    <row r="97" spans="1:24" ht="15.6">
      <c r="A97" s="177" t="s">
        <v>174</v>
      </c>
      <c r="B97" s="26" t="s">
        <v>172</v>
      </c>
      <c r="C97" s="26"/>
      <c r="D97" s="26"/>
      <c r="E97" s="26"/>
      <c r="F97" s="26"/>
      <c r="G97" s="26"/>
      <c r="H97" s="26"/>
      <c r="I97" s="26"/>
      <c r="J97" s="26"/>
      <c r="K97" s="26"/>
      <c r="L97" s="26"/>
      <c r="M97" s="26"/>
      <c r="N97" s="26"/>
      <c r="O97" s="26"/>
      <c r="P97" s="26"/>
      <c r="Q97" s="26"/>
      <c r="R97" s="26"/>
      <c r="S97" s="26"/>
      <c r="T97" s="26"/>
      <c r="U97" s="60">
        <v>-264</v>
      </c>
      <c r="V97" s="196"/>
      <c r="W97" s="6"/>
      <c r="X97" s="182"/>
    </row>
    <row r="98" spans="1:24" ht="15.6">
      <c r="A98" s="177" t="s">
        <v>176</v>
      </c>
      <c r="B98" s="26" t="s">
        <v>173</v>
      </c>
      <c r="C98" s="26"/>
      <c r="D98" s="26"/>
      <c r="E98" s="26"/>
      <c r="F98" s="26"/>
      <c r="G98" s="26"/>
      <c r="H98" s="26"/>
      <c r="I98" s="26"/>
      <c r="J98" s="26"/>
      <c r="K98" s="26"/>
      <c r="L98" s="26"/>
      <c r="M98" s="26"/>
      <c r="N98" s="26"/>
      <c r="O98" s="26"/>
      <c r="P98" s="26"/>
      <c r="Q98" s="26"/>
      <c r="R98" s="26"/>
      <c r="S98" s="26"/>
      <c r="T98" s="26"/>
      <c r="U98" s="60">
        <v>-406</v>
      </c>
      <c r="V98" s="196"/>
      <c r="W98" s="119"/>
      <c r="X98" s="182"/>
    </row>
    <row r="99" spans="1:24" ht="15.6">
      <c r="A99" s="177" t="s">
        <v>178</v>
      </c>
      <c r="B99" s="26" t="s">
        <v>175</v>
      </c>
      <c r="C99" s="26"/>
      <c r="D99" s="26"/>
      <c r="E99" s="26"/>
      <c r="F99" s="26"/>
      <c r="G99" s="26"/>
      <c r="H99" s="26"/>
      <c r="I99" s="26"/>
      <c r="J99" s="26"/>
      <c r="K99" s="26"/>
      <c r="L99" s="26"/>
      <c r="M99" s="26"/>
      <c r="N99" s="26"/>
      <c r="O99" s="26"/>
      <c r="P99" s="26"/>
      <c r="Q99" s="26"/>
      <c r="R99" s="26"/>
      <c r="S99" s="26"/>
      <c r="T99" s="26"/>
      <c r="U99" s="60">
        <v>-309</v>
      </c>
      <c r="V99" s="196"/>
      <c r="W99" s="6"/>
      <c r="X99" s="182"/>
    </row>
    <row r="100" spans="1:24" ht="15.6">
      <c r="A100" s="177" t="s">
        <v>180</v>
      </c>
      <c r="B100" s="26" t="s">
        <v>177</v>
      </c>
      <c r="C100" s="26"/>
      <c r="D100" s="26"/>
      <c r="E100" s="26"/>
      <c r="F100" s="26"/>
      <c r="G100" s="26"/>
      <c r="H100" s="26"/>
      <c r="I100" s="26"/>
      <c r="J100" s="26"/>
      <c r="K100" s="26"/>
      <c r="L100" s="26"/>
      <c r="M100" s="26"/>
      <c r="N100" s="26"/>
      <c r="O100" s="26"/>
      <c r="P100" s="26"/>
      <c r="Q100" s="26"/>
      <c r="R100" s="26"/>
      <c r="S100" s="26"/>
      <c r="T100" s="26"/>
      <c r="U100" s="60">
        <v>-387</v>
      </c>
      <c r="V100" s="196"/>
      <c r="W100" s="119"/>
      <c r="X100" s="182"/>
    </row>
    <row r="101" spans="1:24" ht="15.6">
      <c r="A101" s="177" t="s">
        <v>192</v>
      </c>
      <c r="B101" s="26" t="s">
        <v>179</v>
      </c>
      <c r="C101" s="26"/>
      <c r="D101" s="26"/>
      <c r="E101" s="26"/>
      <c r="F101" s="26"/>
      <c r="G101" s="26"/>
      <c r="H101" s="26"/>
      <c r="I101" s="26"/>
      <c r="J101" s="26"/>
      <c r="K101" s="26"/>
      <c r="L101" s="26"/>
      <c r="M101" s="26"/>
      <c r="N101" s="26"/>
      <c r="O101" s="26"/>
      <c r="P101" s="26"/>
      <c r="Q101" s="26"/>
      <c r="R101" s="26"/>
      <c r="S101" s="26"/>
      <c r="T101" s="26"/>
      <c r="U101" s="60">
        <v>-442</v>
      </c>
      <c r="V101" s="196"/>
      <c r="W101" s="6"/>
      <c r="X101" s="182"/>
    </row>
    <row r="102" spans="1:24" ht="15.6">
      <c r="A102" s="177" t="s">
        <v>193</v>
      </c>
      <c r="B102" s="26" t="s">
        <v>181</v>
      </c>
      <c r="C102" s="26"/>
      <c r="D102" s="26"/>
      <c r="E102" s="26"/>
      <c r="F102" s="26"/>
      <c r="G102" s="26"/>
      <c r="H102" s="26"/>
      <c r="I102" s="26"/>
      <c r="J102" s="26"/>
      <c r="K102" s="26"/>
      <c r="L102" s="26"/>
      <c r="M102" s="26"/>
      <c r="N102" s="26"/>
      <c r="O102" s="26"/>
      <c r="P102" s="26"/>
      <c r="Q102" s="26"/>
      <c r="R102" s="26"/>
      <c r="S102" s="26"/>
      <c r="T102" s="26"/>
      <c r="U102" s="60">
        <v>-372</v>
      </c>
      <c r="V102" s="196"/>
      <c r="W102" s="119"/>
      <c r="X102" s="182"/>
    </row>
    <row r="103" spans="1:24" ht="15.6">
      <c r="A103" s="25">
        <v>9</v>
      </c>
      <c r="B103" s="26" t="s">
        <v>182</v>
      </c>
      <c r="C103" s="26"/>
      <c r="D103" s="26"/>
      <c r="E103" s="26"/>
      <c r="F103" s="26"/>
      <c r="G103" s="26"/>
      <c r="H103" s="26"/>
      <c r="I103" s="26"/>
      <c r="J103" s="26"/>
      <c r="K103" s="26"/>
      <c r="L103" s="26"/>
      <c r="M103" s="26"/>
      <c r="N103" s="26"/>
      <c r="O103" s="26"/>
      <c r="P103" s="26"/>
      <c r="Q103" s="26"/>
      <c r="R103" s="26"/>
      <c r="S103" s="26"/>
      <c r="T103" s="26"/>
      <c r="U103" s="60">
        <f>+S220-U32</f>
        <v>-92907</v>
      </c>
      <c r="V103" s="196"/>
      <c r="W103" s="6"/>
      <c r="X103" s="182"/>
    </row>
    <row r="104" spans="1:24" ht="15.6">
      <c r="A104" s="25">
        <v>10</v>
      </c>
      <c r="B104" s="26" t="s">
        <v>234</v>
      </c>
      <c r="C104" s="26"/>
      <c r="D104" s="26"/>
      <c r="E104" s="26"/>
      <c r="F104" s="26"/>
      <c r="G104" s="26"/>
      <c r="H104" s="26"/>
      <c r="I104" s="26"/>
      <c r="J104" s="26"/>
      <c r="K104" s="26"/>
      <c r="L104" s="26"/>
      <c r="M104" s="26"/>
      <c r="N104" s="26"/>
      <c r="O104" s="26"/>
      <c r="P104" s="26"/>
      <c r="Q104" s="26"/>
      <c r="R104" s="26"/>
      <c r="S104" s="26"/>
      <c r="T104" s="26"/>
      <c r="U104" s="60">
        <v>-40500</v>
      </c>
      <c r="V104" s="196"/>
      <c r="W104" s="6"/>
      <c r="X104" s="64"/>
    </row>
    <row r="105" spans="1:24" ht="15.6">
      <c r="A105" s="25">
        <v>11</v>
      </c>
      <c r="B105" s="26" t="s">
        <v>183</v>
      </c>
      <c r="C105" s="26"/>
      <c r="D105" s="26"/>
      <c r="E105" s="26"/>
      <c r="F105" s="26"/>
      <c r="G105" s="26"/>
      <c r="H105" s="26"/>
      <c r="I105" s="26"/>
      <c r="J105" s="26"/>
      <c r="K105" s="26"/>
      <c r="L105" s="26"/>
      <c r="M105" s="26"/>
      <c r="N105" s="26"/>
      <c r="O105" s="26"/>
      <c r="P105" s="26"/>
      <c r="Q105" s="26"/>
      <c r="R105" s="26"/>
      <c r="S105" s="26"/>
      <c r="T105" s="26"/>
      <c r="U105" s="60">
        <v>0</v>
      </c>
      <c r="V105" s="196"/>
      <c r="W105" s="6"/>
      <c r="X105" s="64"/>
    </row>
    <row r="106" spans="1:24" ht="15.6">
      <c r="A106" s="25">
        <v>12</v>
      </c>
      <c r="B106" s="26" t="s">
        <v>184</v>
      </c>
      <c r="C106" s="26"/>
      <c r="D106" s="26"/>
      <c r="E106" s="26"/>
      <c r="F106" s="26"/>
      <c r="G106" s="26"/>
      <c r="H106" s="26"/>
      <c r="I106" s="26"/>
      <c r="J106" s="26"/>
      <c r="K106" s="26"/>
      <c r="L106" s="26"/>
      <c r="M106" s="26"/>
      <c r="N106" s="26"/>
      <c r="O106" s="26"/>
      <c r="P106" s="26"/>
      <c r="Q106" s="26"/>
      <c r="R106" s="26"/>
      <c r="S106" s="26"/>
      <c r="T106" s="26"/>
      <c r="U106" s="60">
        <v>-412</v>
      </c>
      <c r="V106" s="196"/>
      <c r="W106" s="6"/>
      <c r="X106" s="182"/>
    </row>
    <row r="107" spans="1:24" ht="15.6">
      <c r="A107" s="25">
        <v>13</v>
      </c>
      <c r="B107" s="26" t="s">
        <v>40</v>
      </c>
      <c r="C107" s="26"/>
      <c r="D107" s="26"/>
      <c r="E107" s="26"/>
      <c r="F107" s="26"/>
      <c r="G107" s="26"/>
      <c r="H107" s="26"/>
      <c r="I107" s="26"/>
      <c r="J107" s="26"/>
      <c r="K107" s="26"/>
      <c r="L107" s="26"/>
      <c r="M107" s="26"/>
      <c r="N107" s="26"/>
      <c r="O107" s="26"/>
      <c r="P107" s="26"/>
      <c r="Q107" s="26"/>
      <c r="R107" s="26"/>
      <c r="S107" s="26"/>
      <c r="T107" s="26"/>
      <c r="U107" s="60">
        <f>-SUM(U88:U106)</f>
        <v>-691</v>
      </c>
      <c r="V107" s="196"/>
      <c r="W107" s="6"/>
      <c r="X107" s="182"/>
    </row>
    <row r="108" spans="1:24" ht="15.6">
      <c r="A108" s="25"/>
      <c r="B108" s="29"/>
      <c r="C108" s="26"/>
      <c r="D108" s="26"/>
      <c r="E108" s="26"/>
      <c r="F108" s="26"/>
      <c r="G108" s="26"/>
      <c r="H108" s="26"/>
      <c r="I108" s="26"/>
      <c r="J108" s="26"/>
      <c r="K108" s="26"/>
      <c r="L108" s="26"/>
      <c r="M108" s="26"/>
      <c r="N108" s="26"/>
      <c r="O108" s="26"/>
      <c r="P108" s="26"/>
      <c r="Q108" s="26"/>
      <c r="R108" s="26"/>
      <c r="S108" s="59"/>
      <c r="T108" s="59"/>
      <c r="U108" s="59"/>
      <c r="V108" s="196"/>
      <c r="W108" s="6"/>
      <c r="X108" s="182"/>
    </row>
    <row r="109" spans="1:24" ht="15.6">
      <c r="A109" s="7"/>
      <c r="B109" s="12"/>
      <c r="C109" s="9"/>
      <c r="D109" s="9"/>
      <c r="E109" s="9"/>
      <c r="F109" s="9"/>
      <c r="G109" s="9"/>
      <c r="H109" s="9"/>
      <c r="I109" s="9"/>
      <c r="J109" s="9"/>
      <c r="K109" s="9"/>
      <c r="L109" s="9"/>
      <c r="M109" s="9"/>
      <c r="N109" s="9"/>
      <c r="O109" s="9"/>
      <c r="P109" s="9"/>
      <c r="Q109" s="9"/>
      <c r="R109" s="9"/>
      <c r="S109" s="66"/>
      <c r="T109" s="66"/>
      <c r="U109" s="66"/>
      <c r="V109" s="194"/>
      <c r="W109" s="6"/>
    </row>
    <row r="110" spans="1:24" ht="16.2" thickBot="1">
      <c r="A110" s="130"/>
      <c r="B110" s="131" t="str">
        <f>+B59</f>
        <v>PPAF3 INVESTOR REPORT QUARTER ENDING DECEMBER 2008</v>
      </c>
      <c r="C110" s="132"/>
      <c r="D110" s="132"/>
      <c r="E110" s="132"/>
      <c r="F110" s="132"/>
      <c r="G110" s="132"/>
      <c r="H110" s="132"/>
      <c r="I110" s="132"/>
      <c r="J110" s="132"/>
      <c r="K110" s="132"/>
      <c r="L110" s="132"/>
      <c r="M110" s="132"/>
      <c r="N110" s="132"/>
      <c r="O110" s="132"/>
      <c r="P110" s="132"/>
      <c r="Q110" s="132"/>
      <c r="R110" s="132"/>
      <c r="S110" s="135"/>
      <c r="T110" s="135"/>
      <c r="U110" s="135"/>
      <c r="V110" s="134"/>
      <c r="W110" s="6"/>
    </row>
    <row r="111" spans="1:24" ht="15.6">
      <c r="A111" s="2"/>
      <c r="B111" s="5"/>
      <c r="C111" s="5"/>
      <c r="D111" s="5"/>
      <c r="E111" s="5"/>
      <c r="F111" s="5"/>
      <c r="G111" s="5"/>
      <c r="H111" s="5"/>
      <c r="I111" s="5"/>
      <c r="J111" s="5"/>
      <c r="K111" s="5"/>
      <c r="L111" s="5"/>
      <c r="M111" s="5"/>
      <c r="N111" s="5"/>
      <c r="O111" s="5"/>
      <c r="P111" s="5"/>
      <c r="Q111" s="5"/>
      <c r="R111" s="5"/>
      <c r="S111" s="67"/>
      <c r="T111" s="67"/>
      <c r="U111" s="67"/>
      <c r="V111" s="193"/>
      <c r="W111" s="6"/>
    </row>
    <row r="112" spans="1:24" ht="15.6">
      <c r="A112" s="68"/>
      <c r="B112" s="69" t="s">
        <v>41</v>
      </c>
      <c r="C112" s="70"/>
      <c r="D112" s="70"/>
      <c r="E112" s="70"/>
      <c r="F112" s="70"/>
      <c r="G112" s="70"/>
      <c r="H112" s="70"/>
      <c r="I112" s="70"/>
      <c r="J112" s="70"/>
      <c r="K112" s="70"/>
      <c r="L112" s="70"/>
      <c r="M112" s="70"/>
      <c r="N112" s="70"/>
      <c r="O112" s="70"/>
      <c r="P112" s="70"/>
      <c r="Q112" s="70"/>
      <c r="R112" s="70"/>
      <c r="S112" s="70"/>
      <c r="T112" s="70"/>
      <c r="U112" s="71"/>
      <c r="V112" s="201"/>
      <c r="W112" s="6"/>
    </row>
    <row r="113" spans="1:23" ht="15.6">
      <c r="A113" s="68"/>
      <c r="B113" s="70"/>
      <c r="C113" s="70"/>
      <c r="D113" s="70"/>
      <c r="E113" s="70"/>
      <c r="F113" s="70"/>
      <c r="G113" s="70"/>
      <c r="H113" s="70"/>
      <c r="I113" s="70"/>
      <c r="J113" s="70"/>
      <c r="K113" s="70"/>
      <c r="L113" s="70"/>
      <c r="M113" s="70"/>
      <c r="N113" s="70"/>
      <c r="O113" s="70"/>
      <c r="P113" s="70"/>
      <c r="Q113" s="70"/>
      <c r="R113" s="70"/>
      <c r="S113" s="70"/>
      <c r="T113" s="70"/>
      <c r="U113" s="71"/>
      <c r="V113" s="202"/>
      <c r="W113" s="6"/>
    </row>
    <row r="114" spans="1:23" ht="15.6">
      <c r="A114" s="7"/>
      <c r="B114" s="153" t="s">
        <v>42</v>
      </c>
      <c r="C114" s="13"/>
      <c r="D114" s="13"/>
      <c r="E114" s="13"/>
      <c r="F114" s="13"/>
      <c r="G114" s="13"/>
      <c r="H114" s="13"/>
      <c r="I114" s="13"/>
      <c r="J114" s="13"/>
      <c r="K114" s="13"/>
      <c r="L114" s="13"/>
      <c r="M114" s="9"/>
      <c r="N114" s="9"/>
      <c r="O114" s="9"/>
      <c r="P114" s="9"/>
      <c r="Q114" s="9"/>
      <c r="R114" s="9"/>
      <c r="S114" s="9"/>
      <c r="T114" s="9"/>
      <c r="U114" s="58"/>
      <c r="V114" s="194"/>
      <c r="W114" s="6"/>
    </row>
    <row r="115" spans="1:23" ht="15.6">
      <c r="A115" s="25"/>
      <c r="B115" s="26" t="s">
        <v>43</v>
      </c>
      <c r="C115" s="26"/>
      <c r="D115" s="26"/>
      <c r="E115" s="26"/>
      <c r="F115" s="26"/>
      <c r="G115" s="26"/>
      <c r="H115" s="26"/>
      <c r="I115" s="26"/>
      <c r="J115" s="26"/>
      <c r="K115" s="26"/>
      <c r="L115" s="26"/>
      <c r="M115" s="26"/>
      <c r="N115" s="26"/>
      <c r="O115" s="26"/>
      <c r="P115" s="26"/>
      <c r="Q115" s="26"/>
      <c r="R115" s="26"/>
      <c r="S115" s="26"/>
      <c r="T115" s="26"/>
      <c r="U115" s="60">
        <v>40500</v>
      </c>
      <c r="V115" s="196"/>
      <c r="W115" s="6"/>
    </row>
    <row r="116" spans="1:23" ht="15.6">
      <c r="A116" s="25"/>
      <c r="B116" s="26" t="s">
        <v>240</v>
      </c>
      <c r="C116" s="26"/>
      <c r="D116" s="26"/>
      <c r="E116" s="26"/>
      <c r="F116" s="26"/>
      <c r="G116" s="26"/>
      <c r="H116" s="26"/>
      <c r="I116" s="26"/>
      <c r="J116" s="26"/>
      <c r="K116" s="26"/>
      <c r="L116" s="26"/>
      <c r="M116" s="26"/>
      <c r="N116" s="26"/>
      <c r="O116" s="26"/>
      <c r="P116" s="26"/>
      <c r="Q116" s="26"/>
      <c r="R116" s="26"/>
      <c r="S116" s="26"/>
      <c r="T116" s="26"/>
      <c r="U116" s="60">
        <v>40500</v>
      </c>
      <c r="V116" s="196"/>
      <c r="W116" s="6"/>
    </row>
    <row r="117" spans="1:23" ht="15.6">
      <c r="A117" s="25"/>
      <c r="B117" s="26" t="s">
        <v>241</v>
      </c>
      <c r="C117" s="26"/>
      <c r="D117" s="26"/>
      <c r="E117" s="26"/>
      <c r="F117" s="26"/>
      <c r="G117" s="26"/>
      <c r="H117" s="26"/>
      <c r="I117" s="26"/>
      <c r="J117" s="26"/>
      <c r="K117" s="26"/>
      <c r="L117" s="26"/>
      <c r="M117" s="26"/>
      <c r="N117" s="26"/>
      <c r="O117" s="26"/>
      <c r="P117" s="26"/>
      <c r="Q117" s="26"/>
      <c r="R117" s="26"/>
      <c r="S117" s="26"/>
      <c r="T117" s="26"/>
      <c r="U117" s="60">
        <v>0</v>
      </c>
      <c r="V117" s="196"/>
      <c r="W117" s="6"/>
    </row>
    <row r="118" spans="1:23" ht="15.6">
      <c r="A118" s="25"/>
      <c r="B118" s="26" t="s">
        <v>209</v>
      </c>
      <c r="C118" s="26"/>
      <c r="D118" s="26"/>
      <c r="E118" s="26"/>
      <c r="F118" s="26"/>
      <c r="G118" s="26"/>
      <c r="H118" s="26"/>
      <c r="I118" s="26"/>
      <c r="J118" s="26"/>
      <c r="K118" s="26"/>
      <c r="L118" s="26"/>
      <c r="M118" s="26"/>
      <c r="N118" s="26"/>
      <c r="O118" s="26"/>
      <c r="P118" s="26"/>
      <c r="Q118" s="26"/>
      <c r="R118" s="26"/>
      <c r="S118" s="26"/>
      <c r="T118" s="26"/>
      <c r="U118" s="60">
        <v>0</v>
      </c>
      <c r="V118" s="196"/>
      <c r="W118" s="6"/>
    </row>
    <row r="119" spans="1:23" ht="15.6">
      <c r="A119" s="25"/>
      <c r="B119" s="26" t="s">
        <v>210</v>
      </c>
      <c r="C119" s="26"/>
      <c r="D119" s="26"/>
      <c r="E119" s="26"/>
      <c r="F119" s="26"/>
      <c r="G119" s="26"/>
      <c r="H119" s="26"/>
      <c r="I119" s="26"/>
      <c r="J119" s="26"/>
      <c r="K119" s="26"/>
      <c r="L119" s="26"/>
      <c r="M119" s="26"/>
      <c r="N119" s="26"/>
      <c r="O119" s="26"/>
      <c r="P119" s="26"/>
      <c r="Q119" s="26"/>
      <c r="R119" s="26"/>
      <c r="S119" s="26"/>
      <c r="T119" s="26"/>
      <c r="U119" s="60">
        <v>0</v>
      </c>
      <c r="V119" s="196"/>
      <c r="W119" s="6"/>
    </row>
    <row r="120" spans="1:23" ht="15.6">
      <c r="A120" s="25"/>
      <c r="B120" s="26" t="s">
        <v>211</v>
      </c>
      <c r="C120" s="26"/>
      <c r="D120" s="26"/>
      <c r="E120" s="26"/>
      <c r="F120" s="26"/>
      <c r="G120" s="26"/>
      <c r="H120" s="26"/>
      <c r="I120" s="26"/>
      <c r="J120" s="26"/>
      <c r="K120" s="26"/>
      <c r="L120" s="26"/>
      <c r="M120" s="26"/>
      <c r="N120" s="26"/>
      <c r="O120" s="26"/>
      <c r="P120" s="26"/>
      <c r="Q120" s="26"/>
      <c r="R120" s="26"/>
      <c r="S120" s="26"/>
      <c r="T120" s="26"/>
      <c r="U120" s="60">
        <v>0</v>
      </c>
      <c r="V120" s="196"/>
      <c r="W120" s="6"/>
    </row>
    <row r="121" spans="1:23" ht="15.6">
      <c r="A121" s="25"/>
      <c r="B121" s="26" t="s">
        <v>212</v>
      </c>
      <c r="C121" s="26"/>
      <c r="D121" s="26"/>
      <c r="E121" s="26"/>
      <c r="F121" s="26"/>
      <c r="G121" s="26"/>
      <c r="H121" s="26"/>
      <c r="I121" s="26"/>
      <c r="J121" s="26"/>
      <c r="K121" s="26"/>
      <c r="L121" s="26"/>
      <c r="M121" s="26"/>
      <c r="N121" s="26"/>
      <c r="O121" s="26"/>
      <c r="P121" s="26"/>
      <c r="Q121" s="26"/>
      <c r="R121" s="26"/>
      <c r="S121" s="26"/>
      <c r="T121" s="26"/>
      <c r="U121" s="60">
        <v>0</v>
      </c>
      <c r="V121" s="196"/>
      <c r="W121" s="6"/>
    </row>
    <row r="122" spans="1:23" ht="15.6">
      <c r="A122" s="25"/>
      <c r="B122" s="26" t="s">
        <v>242</v>
      </c>
      <c r="C122" s="26"/>
      <c r="D122" s="26"/>
      <c r="E122" s="26"/>
      <c r="F122" s="26"/>
      <c r="G122" s="26"/>
      <c r="H122" s="26"/>
      <c r="I122" s="26"/>
      <c r="J122" s="26"/>
      <c r="K122" s="26"/>
      <c r="L122" s="26"/>
      <c r="M122" s="26"/>
      <c r="N122" s="26"/>
      <c r="O122" s="26"/>
      <c r="P122" s="26"/>
      <c r="Q122" s="26"/>
      <c r="R122" s="26"/>
      <c r="S122" s="26"/>
      <c r="T122" s="26"/>
      <c r="U122" s="60">
        <v>0</v>
      </c>
      <c r="V122" s="196"/>
      <c r="W122" s="6"/>
    </row>
    <row r="123" spans="1:23" ht="15.6">
      <c r="A123" s="25"/>
      <c r="B123" s="26" t="s">
        <v>45</v>
      </c>
      <c r="C123" s="26"/>
      <c r="D123" s="26"/>
      <c r="E123" s="26"/>
      <c r="F123" s="26"/>
      <c r="G123" s="26"/>
      <c r="H123" s="26"/>
      <c r="I123" s="26"/>
      <c r="J123" s="26"/>
      <c r="K123" s="26"/>
      <c r="L123" s="26"/>
      <c r="M123" s="26"/>
      <c r="N123" s="26"/>
      <c r="O123" s="26"/>
      <c r="P123" s="26"/>
      <c r="Q123" s="26"/>
      <c r="R123" s="26"/>
      <c r="S123" s="26"/>
      <c r="T123" s="26"/>
      <c r="U123" s="60">
        <f>SUM(U116:U122)</f>
        <v>40500</v>
      </c>
      <c r="V123" s="196"/>
      <c r="W123" s="6"/>
    </row>
    <row r="124" spans="1:23" ht="15.6">
      <c r="A124" s="25"/>
      <c r="B124" s="26"/>
      <c r="C124" s="26"/>
      <c r="D124" s="26"/>
      <c r="E124" s="26"/>
      <c r="F124" s="26"/>
      <c r="G124" s="26"/>
      <c r="H124" s="26"/>
      <c r="I124" s="26"/>
      <c r="J124" s="26"/>
      <c r="K124" s="26"/>
      <c r="L124" s="26"/>
      <c r="M124" s="26"/>
      <c r="N124" s="26"/>
      <c r="O124" s="26"/>
      <c r="P124" s="26"/>
      <c r="Q124" s="26"/>
      <c r="R124" s="26"/>
      <c r="S124" s="26"/>
      <c r="T124" s="26"/>
      <c r="U124" s="73"/>
      <c r="V124" s="196"/>
      <c r="W124" s="6"/>
    </row>
    <row r="125" spans="1:23" ht="15.6">
      <c r="A125" s="7"/>
      <c r="B125" s="153" t="s">
        <v>46</v>
      </c>
      <c r="C125" s="13"/>
      <c r="D125" s="13"/>
      <c r="E125" s="13"/>
      <c r="F125" s="13"/>
      <c r="G125" s="13"/>
      <c r="H125" s="13"/>
      <c r="I125" s="13"/>
      <c r="J125" s="13"/>
      <c r="K125" s="13"/>
      <c r="L125" s="13"/>
      <c r="M125" s="9"/>
      <c r="N125" s="9"/>
      <c r="O125" s="9"/>
      <c r="P125" s="188"/>
      <c r="Q125" s="9"/>
      <c r="R125" s="9"/>
      <c r="S125" s="9"/>
      <c r="T125" s="9"/>
      <c r="U125" s="75"/>
      <c r="V125" s="194"/>
      <c r="W125" s="6"/>
    </row>
    <row r="126" spans="1:23" ht="15.6">
      <c r="A126" s="7"/>
      <c r="B126" s="13"/>
      <c r="C126" s="17" t="s">
        <v>185</v>
      </c>
      <c r="D126" s="17"/>
      <c r="E126" s="17" t="s">
        <v>99</v>
      </c>
      <c r="F126" s="17"/>
      <c r="G126" s="17" t="s">
        <v>102</v>
      </c>
      <c r="H126" s="17"/>
      <c r="I126" s="17" t="s">
        <v>108</v>
      </c>
      <c r="J126" s="17"/>
      <c r="K126" s="17"/>
      <c r="L126" s="17"/>
      <c r="M126" s="17"/>
      <c r="N126" s="17"/>
      <c r="O126" s="17"/>
      <c r="P126" s="188"/>
      <c r="Q126" s="188"/>
      <c r="R126" s="9"/>
      <c r="S126" s="9"/>
      <c r="T126" s="9"/>
      <c r="U126" s="75"/>
      <c r="V126" s="194"/>
      <c r="W126" s="6"/>
    </row>
    <row r="127" spans="1:23" ht="15.6">
      <c r="A127" s="25"/>
      <c r="B127" s="26" t="s">
        <v>122</v>
      </c>
      <c r="C127" s="59">
        <f>+N200-'September 08'!N200</f>
        <v>132</v>
      </c>
      <c r="D127" s="26"/>
      <c r="E127" s="59">
        <f>+S200-'September 08'!S200</f>
        <v>128</v>
      </c>
      <c r="F127" s="26"/>
      <c r="G127" s="59">
        <f>+N213-'September 08'!N213</f>
        <v>295</v>
      </c>
      <c r="H127" s="26"/>
      <c r="I127" s="59">
        <f>+S213-'September 08'!S213</f>
        <v>-45</v>
      </c>
      <c r="J127" s="26"/>
      <c r="K127" s="26"/>
      <c r="L127" s="26"/>
      <c r="M127" s="26"/>
      <c r="N127" s="26"/>
      <c r="O127" s="26"/>
      <c r="P127" s="189"/>
      <c r="Q127" s="189"/>
      <c r="R127" s="26"/>
      <c r="S127" s="26"/>
      <c r="T127" s="26"/>
      <c r="U127" s="60">
        <f>SUM(C127:I127)</f>
        <v>510</v>
      </c>
      <c r="V127" s="196"/>
      <c r="W127" s="6"/>
    </row>
    <row r="128" spans="1:23" ht="15.6">
      <c r="A128" s="25"/>
      <c r="B128" s="26" t="s">
        <v>47</v>
      </c>
      <c r="C128" s="26">
        <v>85</v>
      </c>
      <c r="D128" s="26"/>
      <c r="E128" s="26">
        <v>0</v>
      </c>
      <c r="F128" s="26"/>
      <c r="G128" s="26">
        <v>646</v>
      </c>
      <c r="H128" s="26"/>
      <c r="I128" s="59">
        <v>1165</v>
      </c>
      <c r="J128" s="26"/>
      <c r="K128" s="26"/>
      <c r="L128" s="26"/>
      <c r="M128" s="26"/>
      <c r="N128" s="26"/>
      <c r="O128" s="26"/>
      <c r="P128" s="189"/>
      <c r="Q128" s="189"/>
      <c r="R128" s="26"/>
      <c r="S128" s="26"/>
      <c r="T128" s="26"/>
      <c r="U128" s="60">
        <f>SUM(C128:I128)</f>
        <v>1896</v>
      </c>
      <c r="V128" s="196"/>
      <c r="W128" s="6"/>
    </row>
    <row r="129" spans="1:25" ht="15.6">
      <c r="A129" s="25"/>
      <c r="B129" s="26" t="s">
        <v>48</v>
      </c>
      <c r="C129" s="26"/>
      <c r="D129" s="26"/>
      <c r="E129" s="26"/>
      <c r="F129" s="26"/>
      <c r="G129" s="26"/>
      <c r="H129" s="26"/>
      <c r="I129" s="26"/>
      <c r="J129" s="26"/>
      <c r="K129" s="26"/>
      <c r="L129" s="26"/>
      <c r="M129" s="26"/>
      <c r="N129" s="26"/>
      <c r="O129" s="26"/>
      <c r="P129" s="26"/>
      <c r="Q129" s="26"/>
      <c r="R129" s="26"/>
      <c r="S129" s="26"/>
      <c r="T129" s="26"/>
      <c r="U129" s="60">
        <f>SUM(U127:U128)</f>
        <v>2406</v>
      </c>
      <c r="V129" s="196"/>
      <c r="W129" s="6"/>
    </row>
    <row r="130" spans="1:25" ht="15.6">
      <c r="A130" s="7"/>
      <c r="B130" s="153" t="s">
        <v>49</v>
      </c>
      <c r="C130" s="13"/>
      <c r="D130" s="13"/>
      <c r="E130" s="13"/>
      <c r="F130" s="13"/>
      <c r="G130" s="13"/>
      <c r="H130" s="13"/>
      <c r="I130" s="13"/>
      <c r="J130" s="13"/>
      <c r="K130" s="13"/>
      <c r="L130" s="13"/>
      <c r="M130" s="9"/>
      <c r="N130" s="9"/>
      <c r="O130" s="9"/>
      <c r="P130" s="9"/>
      <c r="Q130" s="9"/>
      <c r="R130" s="9"/>
      <c r="S130" s="9"/>
      <c r="T130" s="9"/>
      <c r="U130" s="58"/>
      <c r="V130" s="194"/>
      <c r="W130" s="6"/>
    </row>
    <row r="131" spans="1:25" ht="15.6">
      <c r="A131" s="25"/>
      <c r="B131" s="26" t="s">
        <v>50</v>
      </c>
      <c r="C131" s="77"/>
      <c r="D131" s="77"/>
      <c r="E131" s="77"/>
      <c r="F131" s="77"/>
      <c r="G131" s="77"/>
      <c r="H131" s="77"/>
      <c r="I131" s="77"/>
      <c r="J131" s="77"/>
      <c r="K131" s="77"/>
      <c r="L131" s="77"/>
      <c r="M131" s="26"/>
      <c r="N131" s="26"/>
      <c r="O131" s="26"/>
      <c r="P131" s="26"/>
      <c r="Q131" s="26"/>
      <c r="R131" s="26"/>
      <c r="S131" s="26"/>
      <c r="T131" s="26"/>
      <c r="U131" s="60">
        <f>U76+U78</f>
        <v>357093</v>
      </c>
      <c r="V131" s="196"/>
      <c r="W131" s="6"/>
      <c r="X131" s="182"/>
    </row>
    <row r="132" spans="1:25" ht="15.6">
      <c r="A132" s="25"/>
      <c r="B132" s="26" t="s">
        <v>51</v>
      </c>
      <c r="C132" s="77"/>
      <c r="D132" s="77"/>
      <c r="E132" s="77"/>
      <c r="F132" s="77"/>
      <c r="G132" s="77"/>
      <c r="H132" s="77"/>
      <c r="I132" s="77"/>
      <c r="J132" s="77"/>
      <c r="K132" s="77"/>
      <c r="L132" s="77"/>
      <c r="M132" s="26"/>
      <c r="N132" s="26"/>
      <c r="O132" s="26"/>
      <c r="P132" s="26"/>
      <c r="Q132" s="26"/>
      <c r="R132" s="26"/>
      <c r="S132" s="26"/>
      <c r="T132" s="26"/>
      <c r="U132" s="60">
        <f>U79</f>
        <v>92907</v>
      </c>
      <c r="V132" s="196"/>
      <c r="W132" s="6"/>
      <c r="Y132" s="182"/>
    </row>
    <row r="133" spans="1:25" ht="15.6">
      <c r="A133" s="25"/>
      <c r="B133" s="26" t="s">
        <v>52</v>
      </c>
      <c r="C133" s="77"/>
      <c r="D133" s="77"/>
      <c r="E133" s="77"/>
      <c r="F133" s="77"/>
      <c r="G133" s="77"/>
      <c r="H133" s="77"/>
      <c r="I133" s="77"/>
      <c r="J133" s="77"/>
      <c r="K133" s="77"/>
      <c r="L133" s="77"/>
      <c r="M133" s="26"/>
      <c r="N133" s="26"/>
      <c r="O133" s="26"/>
      <c r="P133" s="26"/>
      <c r="Q133" s="26"/>
      <c r="R133" s="26"/>
      <c r="S133" s="26"/>
      <c r="T133" s="26"/>
      <c r="U133" s="60">
        <f>+U131+U132</f>
        <v>450000</v>
      </c>
      <c r="V133" s="196"/>
      <c r="W133" s="6"/>
    </row>
    <row r="134" spans="1:25" ht="15.6">
      <c r="A134" s="25"/>
      <c r="B134" s="26" t="s">
        <v>53</v>
      </c>
      <c r="C134" s="77"/>
      <c r="D134" s="77"/>
      <c r="E134" s="77"/>
      <c r="F134" s="77"/>
      <c r="G134" s="77"/>
      <c r="H134" s="77"/>
      <c r="I134" s="77"/>
      <c r="J134" s="77"/>
      <c r="K134" s="77"/>
      <c r="L134" s="77"/>
      <c r="M134" s="26"/>
      <c r="N134" s="26"/>
      <c r="O134" s="26"/>
      <c r="P134" s="26"/>
      <c r="Q134" s="26"/>
      <c r="R134" s="26"/>
      <c r="S134" s="26"/>
      <c r="T134" s="26"/>
      <c r="U134" s="60">
        <f>U81</f>
        <v>450000</v>
      </c>
      <c r="V134" s="196"/>
      <c r="W134" s="6"/>
      <c r="X134" s="64"/>
    </row>
    <row r="135" spans="1:25" ht="15.6">
      <c r="A135" s="25"/>
      <c r="B135" s="26"/>
      <c r="C135" s="26"/>
      <c r="D135" s="26"/>
      <c r="E135" s="26"/>
      <c r="F135" s="26"/>
      <c r="G135" s="26"/>
      <c r="H135" s="26"/>
      <c r="I135" s="26"/>
      <c r="J135" s="26"/>
      <c r="K135" s="26"/>
      <c r="L135" s="26"/>
      <c r="M135" s="26"/>
      <c r="N135" s="26"/>
      <c r="O135" s="26"/>
      <c r="P135" s="26"/>
      <c r="Q135" s="26"/>
      <c r="R135" s="26"/>
      <c r="S135" s="26"/>
      <c r="T135" s="26"/>
      <c r="U135" s="78"/>
      <c r="V135" s="196"/>
      <c r="W135" s="6"/>
    </row>
    <row r="136" spans="1:25" ht="15.6">
      <c r="A136" s="7"/>
      <c r="B136" s="153" t="s">
        <v>54</v>
      </c>
      <c r="C136" s="141"/>
      <c r="D136" s="141"/>
      <c r="E136" s="141"/>
      <c r="F136" s="141"/>
      <c r="G136" s="141"/>
      <c r="H136" s="141"/>
      <c r="I136" s="141"/>
      <c r="J136" s="141"/>
      <c r="K136" s="141"/>
      <c r="L136" s="141"/>
      <c r="M136" s="141"/>
      <c r="N136" s="141"/>
      <c r="O136" s="141"/>
      <c r="P136" s="141"/>
      <c r="Q136" s="142" t="s">
        <v>112</v>
      </c>
      <c r="R136" s="154"/>
      <c r="S136" s="142" t="s">
        <v>114</v>
      </c>
      <c r="T136" s="141"/>
      <c r="U136" s="155" t="s">
        <v>90</v>
      </c>
      <c r="V136" s="194"/>
      <c r="W136" s="6"/>
    </row>
    <row r="137" spans="1:25" ht="15.6">
      <c r="A137" s="25"/>
      <c r="B137" s="26" t="s">
        <v>55</v>
      </c>
      <c r="C137" s="26"/>
      <c r="D137" s="26"/>
      <c r="E137" s="26"/>
      <c r="F137" s="26"/>
      <c r="G137" s="26"/>
      <c r="H137" s="26"/>
      <c r="I137" s="26"/>
      <c r="J137" s="26"/>
      <c r="K137" s="26"/>
      <c r="L137" s="26"/>
      <c r="M137" s="26"/>
      <c r="N137" s="26"/>
      <c r="O137" s="26"/>
      <c r="P137" s="26"/>
      <c r="Q137" s="60">
        <v>0</v>
      </c>
      <c r="R137" s="26"/>
      <c r="S137" s="79" t="s">
        <v>115</v>
      </c>
      <c r="T137" s="26"/>
      <c r="U137" s="60">
        <f>Q137</f>
        <v>0</v>
      </c>
      <c r="V137" s="196"/>
      <c r="W137" s="6"/>
    </row>
    <row r="138" spans="1:25" ht="15.6">
      <c r="A138" s="25"/>
      <c r="B138" s="26" t="s">
        <v>56</v>
      </c>
      <c r="C138" s="26"/>
      <c r="D138" s="26"/>
      <c r="E138" s="26"/>
      <c r="F138" s="26"/>
      <c r="G138" s="26"/>
      <c r="H138" s="26"/>
      <c r="I138" s="26"/>
      <c r="J138" s="26"/>
      <c r="K138" s="26"/>
      <c r="L138" s="26"/>
      <c r="M138" s="26"/>
      <c r="N138" s="26"/>
      <c r="O138" s="26"/>
      <c r="P138" s="26"/>
      <c r="Q138" s="60">
        <f>+'September 08'!Q140</f>
        <v>3850</v>
      </c>
      <c r="R138" s="26"/>
      <c r="S138" s="79" t="s">
        <v>115</v>
      </c>
      <c r="T138" s="26"/>
      <c r="U138" s="60">
        <f>Q138</f>
        <v>3850</v>
      </c>
      <c r="V138" s="196"/>
      <c r="W138" s="6"/>
    </row>
    <row r="139" spans="1:25" ht="15.6">
      <c r="A139" s="25"/>
      <c r="B139" s="26" t="s">
        <v>57</v>
      </c>
      <c r="C139" s="26"/>
      <c r="D139" s="26"/>
      <c r="E139" s="26"/>
      <c r="F139" s="26"/>
      <c r="G139" s="26"/>
      <c r="H139" s="26"/>
      <c r="I139" s="26"/>
      <c r="J139" s="26"/>
      <c r="K139" s="26"/>
      <c r="L139" s="26"/>
      <c r="M139" s="26"/>
      <c r="N139" s="26"/>
      <c r="O139" s="26"/>
      <c r="P139" s="26"/>
      <c r="Q139" s="60">
        <v>229</v>
      </c>
      <c r="R139" s="26"/>
      <c r="S139" s="79" t="s">
        <v>115</v>
      </c>
      <c r="T139" s="26"/>
      <c r="U139" s="60">
        <f>Q139</f>
        <v>229</v>
      </c>
      <c r="V139" s="196"/>
      <c r="W139" s="6"/>
    </row>
    <row r="140" spans="1:25" ht="15.6">
      <c r="A140" s="25"/>
      <c r="B140" s="26" t="s">
        <v>58</v>
      </c>
      <c r="C140" s="26"/>
      <c r="D140" s="26"/>
      <c r="E140" s="26"/>
      <c r="F140" s="26"/>
      <c r="G140" s="26"/>
      <c r="H140" s="26"/>
      <c r="I140" s="26"/>
      <c r="J140" s="26"/>
      <c r="K140" s="26"/>
      <c r="L140" s="26"/>
      <c r="M140" s="26"/>
      <c r="N140" s="26"/>
      <c r="O140" s="26"/>
      <c r="P140" s="26"/>
      <c r="Q140" s="60">
        <f>SUM(Q138:Q139)</f>
        <v>4079</v>
      </c>
      <c r="R140" s="26"/>
      <c r="S140" s="79" t="s">
        <v>115</v>
      </c>
      <c r="T140" s="26"/>
      <c r="U140" s="60">
        <f>Q140</f>
        <v>4079</v>
      </c>
      <c r="V140" s="196"/>
      <c r="W140" s="6"/>
    </row>
    <row r="141" spans="1:25" ht="15.6">
      <c r="A141" s="25"/>
      <c r="B141" s="26" t="s">
        <v>215</v>
      </c>
      <c r="C141" s="26"/>
      <c r="D141" s="26"/>
      <c r="E141" s="26"/>
      <c r="F141" s="26"/>
      <c r="G141" s="26"/>
      <c r="H141" s="26"/>
      <c r="I141" s="26"/>
      <c r="J141" s="26"/>
      <c r="K141" s="26"/>
      <c r="L141" s="26"/>
      <c r="M141" s="26"/>
      <c r="N141" s="26"/>
      <c r="O141" s="26"/>
      <c r="P141" s="26"/>
      <c r="Q141" s="60"/>
      <c r="R141" s="26"/>
      <c r="S141" s="79"/>
      <c r="T141" s="26"/>
      <c r="U141" s="60"/>
      <c r="V141" s="196"/>
      <c r="W141" s="6"/>
    </row>
    <row r="142" spans="1:25" ht="15.6">
      <c r="A142" s="25"/>
      <c r="B142" s="26"/>
      <c r="C142" s="26"/>
      <c r="D142" s="26"/>
      <c r="E142" s="26"/>
      <c r="F142" s="26"/>
      <c r="G142" s="26"/>
      <c r="H142" s="26"/>
      <c r="I142" s="26"/>
      <c r="J142" s="26"/>
      <c r="K142" s="26"/>
      <c r="L142" s="26"/>
      <c r="M142" s="26"/>
      <c r="N142" s="26"/>
      <c r="O142" s="26"/>
      <c r="P142" s="26"/>
      <c r="Q142" s="26"/>
      <c r="R142" s="26"/>
      <c r="S142" s="26"/>
      <c r="T142" s="26"/>
      <c r="U142" s="26"/>
      <c r="V142" s="196"/>
      <c r="W142" s="6"/>
    </row>
    <row r="143" spans="1:25" ht="15.6">
      <c r="A143" s="25"/>
      <c r="B143" s="29"/>
      <c r="C143" s="29"/>
      <c r="D143" s="29"/>
      <c r="E143" s="29"/>
      <c r="F143" s="29"/>
      <c r="G143" s="29"/>
      <c r="H143" s="29"/>
      <c r="I143" s="29"/>
      <c r="J143" s="29"/>
      <c r="K143" s="29"/>
      <c r="L143" s="29"/>
      <c r="M143" s="29"/>
      <c r="N143" s="29"/>
      <c r="O143" s="29"/>
      <c r="P143" s="29"/>
      <c r="Q143" s="29"/>
      <c r="R143" s="29"/>
      <c r="S143" s="29"/>
      <c r="T143" s="29"/>
      <c r="U143" s="29"/>
      <c r="V143" s="203"/>
      <c r="W143" s="6"/>
    </row>
    <row r="144" spans="1:25" ht="15.6">
      <c r="A144" s="80"/>
      <c r="B144" s="57" t="s">
        <v>59</v>
      </c>
      <c r="C144" s="81"/>
      <c r="D144" s="81"/>
      <c r="E144" s="81"/>
      <c r="F144" s="81"/>
      <c r="G144" s="81"/>
      <c r="H144" s="81"/>
      <c r="I144" s="81"/>
      <c r="J144" s="81"/>
      <c r="K144" s="81"/>
      <c r="L144" s="81"/>
      <c r="M144" s="81"/>
      <c r="N144" s="81"/>
      <c r="O144" s="81"/>
      <c r="P144" s="19"/>
      <c r="Q144" s="19"/>
      <c r="R144" s="19"/>
      <c r="S144" s="19">
        <v>39813</v>
      </c>
      <c r="T144" s="15"/>
      <c r="U144" s="15"/>
      <c r="V144" s="194"/>
      <c r="W144" s="6"/>
    </row>
    <row r="145" spans="1:23" ht="15.6">
      <c r="A145" s="82"/>
      <c r="B145" s="83" t="s">
        <v>60</v>
      </c>
      <c r="C145" s="84"/>
      <c r="D145" s="84"/>
      <c r="E145" s="84"/>
      <c r="F145" s="84"/>
      <c r="G145" s="84"/>
      <c r="H145" s="84"/>
      <c r="I145" s="84"/>
      <c r="J145" s="84"/>
      <c r="K145" s="84"/>
      <c r="L145" s="84"/>
      <c r="M145" s="84"/>
      <c r="N145" s="84"/>
      <c r="O145" s="84"/>
      <c r="P145" s="85"/>
      <c r="Q145" s="85"/>
      <c r="R145" s="85"/>
      <c r="S145" s="86">
        <v>0.10630000000000001</v>
      </c>
      <c r="T145" s="26"/>
      <c r="U145" s="26"/>
      <c r="V145" s="196"/>
      <c r="W145" s="6"/>
    </row>
    <row r="146" spans="1:23" ht="15.6">
      <c r="A146" s="82"/>
      <c r="B146" s="83" t="s">
        <v>61</v>
      </c>
      <c r="C146" s="84"/>
      <c r="D146" s="84"/>
      <c r="E146" s="84"/>
      <c r="F146" s="84"/>
      <c r="G146" s="84"/>
      <c r="H146" s="84"/>
      <c r="I146" s="84"/>
      <c r="J146" s="84"/>
      <c r="K146" s="84"/>
      <c r="L146" s="84"/>
      <c r="M146" s="84"/>
      <c r="N146" s="84"/>
      <c r="O146" s="84"/>
      <c r="P146" s="85"/>
      <c r="Q146" s="85"/>
      <c r="R146" s="85"/>
      <c r="S146" s="86">
        <v>5.2200000000000003E-2</v>
      </c>
      <c r="T146" s="86"/>
      <c r="U146" s="26"/>
      <c r="V146" s="196"/>
      <c r="W146" s="6"/>
    </row>
    <row r="147" spans="1:23" ht="15.6">
      <c r="A147" s="82"/>
      <c r="B147" s="83" t="s">
        <v>62</v>
      </c>
      <c r="C147" s="84"/>
      <c r="D147" s="84"/>
      <c r="E147" s="84"/>
      <c r="F147" s="84"/>
      <c r="G147" s="84"/>
      <c r="H147" s="84"/>
      <c r="I147" s="84"/>
      <c r="J147" s="84"/>
      <c r="K147" s="84"/>
      <c r="L147" s="84"/>
      <c r="M147" s="84"/>
      <c r="N147" s="84"/>
      <c r="O147" s="84"/>
      <c r="P147" s="85"/>
      <c r="Q147" s="85"/>
      <c r="R147" s="85"/>
      <c r="S147" s="86">
        <f>S145-S146</f>
        <v>5.4100000000000002E-2</v>
      </c>
      <c r="T147" s="26"/>
      <c r="U147" s="26"/>
      <c r="V147" s="196"/>
      <c r="W147" s="6"/>
    </row>
    <row r="148" spans="1:23" ht="15.6">
      <c r="A148" s="82"/>
      <c r="B148" s="83" t="s">
        <v>63</v>
      </c>
      <c r="C148" s="84"/>
      <c r="D148" s="84"/>
      <c r="E148" s="84"/>
      <c r="F148" s="84"/>
      <c r="G148" s="84"/>
      <c r="H148" s="84"/>
      <c r="I148" s="84"/>
      <c r="J148" s="84"/>
      <c r="K148" s="84"/>
      <c r="L148" s="84"/>
      <c r="M148" s="84"/>
      <c r="N148" s="84"/>
      <c r="O148" s="84"/>
      <c r="P148" s="85"/>
      <c r="Q148" s="85"/>
      <c r="R148" s="85"/>
      <c r="S148" s="86">
        <v>0.10241</v>
      </c>
      <c r="T148" s="26"/>
      <c r="U148" s="26"/>
      <c r="V148" s="196"/>
      <c r="W148" s="6"/>
    </row>
    <row r="149" spans="1:23" ht="15.6">
      <c r="A149" s="82"/>
      <c r="B149" s="83" t="s">
        <v>64</v>
      </c>
      <c r="C149" s="84"/>
      <c r="D149" s="84"/>
      <c r="E149" s="84"/>
      <c r="F149" s="84"/>
      <c r="G149" s="84"/>
      <c r="H149" s="84"/>
      <c r="I149" s="84"/>
      <c r="J149" s="84"/>
      <c r="K149" s="84"/>
      <c r="L149" s="84"/>
      <c r="M149" s="84"/>
      <c r="N149" s="84"/>
      <c r="O149" s="84"/>
      <c r="P149" s="85"/>
      <c r="Q149" s="85"/>
      <c r="R149" s="85"/>
      <c r="S149" s="86">
        <f>+U40</f>
        <v>6.5637707444444443E-2</v>
      </c>
      <c r="T149" s="26"/>
      <c r="U149" s="26"/>
      <c r="V149" s="196"/>
      <c r="W149" s="6"/>
    </row>
    <row r="150" spans="1:23" ht="15.6">
      <c r="A150" s="82"/>
      <c r="B150" s="83" t="s">
        <v>65</v>
      </c>
      <c r="C150" s="84"/>
      <c r="D150" s="84"/>
      <c r="E150" s="84"/>
      <c r="F150" s="84"/>
      <c r="G150" s="84"/>
      <c r="H150" s="84"/>
      <c r="I150" s="84"/>
      <c r="J150" s="84"/>
      <c r="K150" s="84"/>
      <c r="L150" s="84"/>
      <c r="M150" s="84"/>
      <c r="N150" s="84"/>
      <c r="O150" s="84"/>
      <c r="P150" s="85"/>
      <c r="Q150" s="85"/>
      <c r="R150" s="85"/>
      <c r="S150" s="86">
        <f>S148-S149</f>
        <v>3.6772292555555558E-2</v>
      </c>
      <c r="T150" s="26"/>
      <c r="U150" s="26"/>
      <c r="V150" s="196"/>
      <c r="W150" s="6"/>
    </row>
    <row r="151" spans="1:23" ht="15.6">
      <c r="A151" s="82"/>
      <c r="B151" s="83" t="s">
        <v>204</v>
      </c>
      <c r="C151" s="84"/>
      <c r="D151" s="84"/>
      <c r="E151" s="84"/>
      <c r="F151" s="84"/>
      <c r="G151" s="84"/>
      <c r="H151" s="84"/>
      <c r="I151" s="84"/>
      <c r="J151" s="84"/>
      <c r="K151" s="84"/>
      <c r="L151" s="84"/>
      <c r="M151" s="84"/>
      <c r="N151" s="84"/>
      <c r="O151" s="84"/>
      <c r="P151" s="85"/>
      <c r="Q151" s="85"/>
      <c r="R151" s="85"/>
      <c r="S151" s="183">
        <v>49780</v>
      </c>
      <c r="T151" s="26"/>
      <c r="U151" s="26"/>
      <c r="V151" s="196"/>
      <c r="W151" s="6"/>
    </row>
    <row r="152" spans="1:23" ht="15.6">
      <c r="A152" s="82"/>
      <c r="B152" s="83" t="s">
        <v>205</v>
      </c>
      <c r="C152" s="84"/>
      <c r="D152" s="84"/>
      <c r="E152" s="84"/>
      <c r="F152" s="84"/>
      <c r="G152" s="84"/>
      <c r="H152" s="84"/>
      <c r="I152" s="84"/>
      <c r="J152" s="84"/>
      <c r="K152" s="84"/>
      <c r="L152" s="84"/>
      <c r="M152" s="84"/>
      <c r="N152" s="84"/>
      <c r="O152" s="84"/>
      <c r="P152" s="85"/>
      <c r="Q152" s="85"/>
      <c r="R152" s="85"/>
      <c r="S152" s="183">
        <v>49780</v>
      </c>
      <c r="T152" s="26"/>
      <c r="U152" s="26"/>
      <c r="V152" s="196"/>
      <c r="W152" s="6"/>
    </row>
    <row r="153" spans="1:23" ht="15.6">
      <c r="A153" s="82"/>
      <c r="B153" s="83" t="s">
        <v>206</v>
      </c>
      <c r="C153" s="84"/>
      <c r="D153" s="84"/>
      <c r="E153" s="84"/>
      <c r="F153" s="84"/>
      <c r="G153" s="84"/>
      <c r="H153" s="84"/>
      <c r="I153" s="84"/>
      <c r="J153" s="84"/>
      <c r="K153" s="84"/>
      <c r="L153" s="84"/>
      <c r="M153" s="84"/>
      <c r="N153" s="84"/>
      <c r="O153" s="84"/>
      <c r="P153" s="85"/>
      <c r="Q153" s="85"/>
      <c r="R153" s="85"/>
      <c r="S153" s="183">
        <v>49780</v>
      </c>
      <c r="T153" s="26"/>
      <c r="U153" s="26"/>
      <c r="V153" s="196"/>
      <c r="W153" s="6"/>
    </row>
    <row r="154" spans="1:23" ht="15.6">
      <c r="A154" s="82"/>
      <c r="B154" s="83" t="s">
        <v>207</v>
      </c>
      <c r="C154" s="84"/>
      <c r="D154" s="84"/>
      <c r="E154" s="84"/>
      <c r="F154" s="84"/>
      <c r="G154" s="84"/>
      <c r="H154" s="84"/>
      <c r="I154" s="84"/>
      <c r="J154" s="84"/>
      <c r="K154" s="84"/>
      <c r="L154" s="84"/>
      <c r="M154" s="84"/>
      <c r="N154" s="84"/>
      <c r="O154" s="84"/>
      <c r="P154" s="85"/>
      <c r="Q154" s="85"/>
      <c r="R154" s="85"/>
      <c r="S154" s="183">
        <v>49780</v>
      </c>
      <c r="T154" s="26"/>
      <c r="U154" s="26"/>
      <c r="V154" s="196"/>
      <c r="W154" s="6"/>
    </row>
    <row r="155" spans="1:23" ht="15.6">
      <c r="A155" s="82"/>
      <c r="B155" s="83" t="s">
        <v>221</v>
      </c>
      <c r="C155" s="84"/>
      <c r="D155" s="84"/>
      <c r="E155" s="84"/>
      <c r="F155" s="84"/>
      <c r="G155" s="84"/>
      <c r="H155" s="84"/>
      <c r="I155" s="84"/>
      <c r="J155" s="84"/>
      <c r="K155" s="84"/>
      <c r="L155" s="84"/>
      <c r="M155" s="84"/>
      <c r="N155" s="84"/>
      <c r="O155" s="84"/>
      <c r="P155" s="85"/>
      <c r="Q155" s="85"/>
      <c r="R155" s="85"/>
      <c r="S155" s="87">
        <v>111.34</v>
      </c>
      <c r="T155" s="26"/>
      <c r="U155" s="26"/>
      <c r="V155" s="196"/>
      <c r="W155" s="6"/>
    </row>
    <row r="156" spans="1:23" ht="15.6">
      <c r="A156" s="82"/>
      <c r="B156" s="83" t="s">
        <v>222</v>
      </c>
      <c r="C156" s="84"/>
      <c r="D156" s="84"/>
      <c r="E156" s="84"/>
      <c r="F156" s="84"/>
      <c r="G156" s="84"/>
      <c r="H156" s="84"/>
      <c r="I156" s="84"/>
      <c r="J156" s="84"/>
      <c r="K156" s="84"/>
      <c r="L156" s="84"/>
      <c r="M156" s="84"/>
      <c r="N156" s="84"/>
      <c r="O156" s="84"/>
      <c r="P156" s="85"/>
      <c r="Q156" s="85"/>
      <c r="R156" s="85"/>
      <c r="S156" s="87">
        <v>144.55000000000001</v>
      </c>
      <c r="T156" s="26"/>
      <c r="U156" s="26"/>
      <c r="V156" s="196"/>
      <c r="W156" s="6"/>
    </row>
    <row r="157" spans="1:23" ht="15.6">
      <c r="A157" s="82" t="s">
        <v>223</v>
      </c>
      <c r="B157" s="83" t="s">
        <v>66</v>
      </c>
      <c r="C157" s="84"/>
      <c r="D157" s="84"/>
      <c r="E157" s="84"/>
      <c r="F157" s="84"/>
      <c r="G157" s="84"/>
      <c r="H157" s="84"/>
      <c r="I157" s="84"/>
      <c r="J157" s="84"/>
      <c r="K157" s="84"/>
      <c r="L157" s="84"/>
      <c r="M157" s="84"/>
      <c r="N157" s="84"/>
      <c r="O157" s="84"/>
      <c r="P157" s="85"/>
      <c r="Q157" s="85"/>
      <c r="R157" s="85"/>
      <c r="S157" s="86">
        <v>6.2600000000000003E-2</v>
      </c>
      <c r="T157" s="26"/>
      <c r="U157" s="26"/>
      <c r="V157" s="196"/>
      <c r="W157" s="6"/>
    </row>
    <row r="158" spans="1:23" ht="15.6">
      <c r="A158" s="82"/>
      <c r="B158" s="83" t="s">
        <v>67</v>
      </c>
      <c r="C158" s="84"/>
      <c r="D158" s="84"/>
      <c r="E158" s="84"/>
      <c r="F158" s="84"/>
      <c r="G158" s="84"/>
      <c r="H158" s="84"/>
      <c r="I158" s="84"/>
      <c r="J158" s="84"/>
      <c r="K158" s="84"/>
      <c r="L158" s="84"/>
      <c r="M158" s="84"/>
      <c r="N158" s="84"/>
      <c r="O158" s="84"/>
      <c r="P158" s="85"/>
      <c r="Q158" s="85"/>
      <c r="R158" s="85"/>
      <c r="S158" s="86">
        <v>0.39250000000000002</v>
      </c>
      <c r="T158" s="26"/>
      <c r="U158" s="26"/>
      <c r="V158" s="196"/>
      <c r="W158" s="6"/>
    </row>
    <row r="159" spans="1:23" ht="15.6">
      <c r="A159" s="82"/>
      <c r="B159" s="83"/>
      <c r="C159" s="83"/>
      <c r="D159" s="83"/>
      <c r="E159" s="83"/>
      <c r="F159" s="83"/>
      <c r="G159" s="83"/>
      <c r="H159" s="83"/>
      <c r="I159" s="83"/>
      <c r="J159" s="83"/>
      <c r="K159" s="83"/>
      <c r="L159" s="83"/>
      <c r="M159" s="83"/>
      <c r="N159" s="83"/>
      <c r="O159" s="83"/>
      <c r="P159" s="26"/>
      <c r="Q159" s="26"/>
      <c r="R159" s="33"/>
      <c r="S159" s="88"/>
      <c r="T159" s="26"/>
      <c r="U159" s="89"/>
      <c r="V159" s="196"/>
      <c r="W159" s="6"/>
    </row>
    <row r="160" spans="1:23" ht="15.6">
      <c r="A160" s="80"/>
      <c r="B160" s="90"/>
      <c r="C160" s="90"/>
      <c r="D160" s="90"/>
      <c r="E160" s="90"/>
      <c r="F160" s="90"/>
      <c r="G160" s="90"/>
      <c r="H160" s="90"/>
      <c r="I160" s="90"/>
      <c r="J160" s="90"/>
      <c r="K160" s="90"/>
      <c r="L160" s="90"/>
      <c r="M160" s="90"/>
      <c r="N160" s="90"/>
      <c r="O160" s="90"/>
      <c r="P160" s="9"/>
      <c r="Q160" s="9"/>
      <c r="R160" s="20"/>
      <c r="S160" s="91"/>
      <c r="T160" s="9"/>
      <c r="U160" s="92"/>
      <c r="V160" s="194"/>
      <c r="W160" s="6"/>
    </row>
    <row r="161" spans="1:23" ht="16.2" thickBot="1">
      <c r="A161" s="136"/>
      <c r="B161" s="131" t="str">
        <f>+B110</f>
        <v>PPAF3 INVESTOR REPORT QUARTER ENDING DECEMBER 2008</v>
      </c>
      <c r="C161" s="137"/>
      <c r="D161" s="137"/>
      <c r="E161" s="137"/>
      <c r="F161" s="137"/>
      <c r="G161" s="137"/>
      <c r="H161" s="137"/>
      <c r="I161" s="137"/>
      <c r="J161" s="137"/>
      <c r="K161" s="137"/>
      <c r="L161" s="137"/>
      <c r="M161" s="137"/>
      <c r="N161" s="137"/>
      <c r="O161" s="137"/>
      <c r="P161" s="132"/>
      <c r="Q161" s="132"/>
      <c r="R161" s="138"/>
      <c r="S161" s="139"/>
      <c r="T161" s="132"/>
      <c r="U161" s="140"/>
      <c r="V161" s="134"/>
      <c r="W161" s="6"/>
    </row>
    <row r="162" spans="1:23" ht="15.6">
      <c r="A162" s="93"/>
      <c r="B162" s="94" t="s">
        <v>68</v>
      </c>
      <c r="C162" s="95"/>
      <c r="D162" s="95"/>
      <c r="E162" s="95"/>
      <c r="F162" s="95"/>
      <c r="G162" s="95"/>
      <c r="H162" s="95"/>
      <c r="I162" s="95"/>
      <c r="J162" s="95"/>
      <c r="K162" s="95"/>
      <c r="L162" s="95"/>
      <c r="M162" s="96"/>
      <c r="N162" s="95"/>
      <c r="O162" s="96"/>
      <c r="P162" s="95"/>
      <c r="Q162" s="96"/>
      <c r="R162" s="95" t="s">
        <v>94</v>
      </c>
      <c r="S162" s="96" t="s">
        <v>116</v>
      </c>
      <c r="T162" s="97"/>
      <c r="U162" s="97"/>
      <c r="V162" s="193"/>
      <c r="W162" s="6"/>
    </row>
    <row r="163" spans="1:23" ht="15.6">
      <c r="A163" s="98"/>
      <c r="B163" s="83" t="s">
        <v>216</v>
      </c>
      <c r="C163" s="61"/>
      <c r="D163" s="61"/>
      <c r="E163" s="61"/>
      <c r="F163" s="61"/>
      <c r="G163" s="61"/>
      <c r="H163" s="61"/>
      <c r="I163" s="61"/>
      <c r="J163" s="61"/>
      <c r="K163" s="61"/>
      <c r="L163" s="61"/>
      <c r="M163" s="61"/>
      <c r="N163" s="61"/>
      <c r="O163" s="26"/>
      <c r="P163" s="26"/>
      <c r="Q163" s="26"/>
      <c r="R163" s="211">
        <v>603</v>
      </c>
      <c r="S163" s="210">
        <v>18539</v>
      </c>
      <c r="T163" s="60"/>
      <c r="U163" s="89"/>
      <c r="V163" s="204"/>
      <c r="W163" s="6"/>
    </row>
    <row r="164" spans="1:23" ht="15.6">
      <c r="A164" s="98"/>
      <c r="B164" s="83" t="s">
        <v>217</v>
      </c>
      <c r="C164" s="61"/>
      <c r="D164" s="61"/>
      <c r="E164" s="61"/>
      <c r="F164" s="61"/>
      <c r="G164" s="61"/>
      <c r="H164" s="61"/>
      <c r="I164" s="61"/>
      <c r="J164" s="61"/>
      <c r="K164" s="61"/>
      <c r="L164" s="61"/>
      <c r="M164" s="61"/>
      <c r="N164" s="61"/>
      <c r="O164" s="26"/>
      <c r="P164" s="26"/>
      <c r="Q164" s="26"/>
      <c r="R164" s="158">
        <v>72</v>
      </c>
      <c r="S164" s="210">
        <v>903</v>
      </c>
      <c r="T164" s="60"/>
      <c r="U164" s="89"/>
      <c r="V164" s="204"/>
      <c r="W164" s="6"/>
    </row>
    <row r="165" spans="1:23" ht="15.6">
      <c r="A165" s="98"/>
      <c r="B165" s="83" t="s">
        <v>218</v>
      </c>
      <c r="C165" s="61"/>
      <c r="D165" s="61"/>
      <c r="E165" s="61"/>
      <c r="F165" s="61"/>
      <c r="G165" s="61"/>
      <c r="H165" s="61"/>
      <c r="I165" s="61"/>
      <c r="J165" s="61"/>
      <c r="K165" s="61"/>
      <c r="L165" s="61"/>
      <c r="M165" s="61"/>
      <c r="N165" s="61"/>
      <c r="O165" s="26"/>
      <c r="P165" s="26"/>
      <c r="Q165" s="26"/>
      <c r="R165" s="158">
        <v>316</v>
      </c>
      <c r="S165" s="210">
        <v>525</v>
      </c>
      <c r="T165" s="60"/>
      <c r="U165" s="89"/>
      <c r="V165" s="204"/>
      <c r="W165" s="6"/>
    </row>
    <row r="166" spans="1:23" ht="15.6">
      <c r="A166" s="98"/>
      <c r="B166" s="83" t="s">
        <v>219</v>
      </c>
      <c r="C166" s="61"/>
      <c r="D166" s="61"/>
      <c r="E166" s="61"/>
      <c r="F166" s="61"/>
      <c r="G166" s="61"/>
      <c r="H166" s="61"/>
      <c r="I166" s="61"/>
      <c r="J166" s="61"/>
      <c r="K166" s="61"/>
      <c r="L166" s="61"/>
      <c r="M166" s="61"/>
      <c r="N166" s="61"/>
      <c r="O166" s="26"/>
      <c r="P166" s="26"/>
      <c r="Q166" s="26"/>
      <c r="R166" s="158">
        <v>289</v>
      </c>
      <c r="S166" s="210">
        <v>1064</v>
      </c>
      <c r="T166" s="60"/>
      <c r="U166" s="89"/>
      <c r="V166" s="204"/>
      <c r="W166" s="6"/>
    </row>
    <row r="167" spans="1:23" ht="15.6">
      <c r="A167" s="98"/>
      <c r="B167" s="83" t="s">
        <v>90</v>
      </c>
      <c r="C167" s="61"/>
      <c r="D167" s="61"/>
      <c r="E167" s="61"/>
      <c r="F167" s="61"/>
      <c r="G167" s="61"/>
      <c r="H167" s="61"/>
      <c r="I167" s="61"/>
      <c r="J167" s="61"/>
      <c r="K167" s="61"/>
      <c r="L167" s="61"/>
      <c r="M167" s="61"/>
      <c r="N167" s="61"/>
      <c r="O167" s="26"/>
      <c r="P167" s="26"/>
      <c r="Q167" s="26"/>
      <c r="R167" s="211">
        <f>SUM(R163:R166)</f>
        <v>1280</v>
      </c>
      <c r="S167" s="210">
        <f>SUM(S163:S166)</f>
        <v>21031</v>
      </c>
      <c r="T167" s="60"/>
      <c r="U167" s="89"/>
      <c r="V167" s="204"/>
      <c r="W167" s="6"/>
    </row>
    <row r="168" spans="1:23" ht="15.6">
      <c r="A168" s="98"/>
      <c r="B168" s="83"/>
      <c r="C168" s="61"/>
      <c r="D168" s="61"/>
      <c r="E168" s="61"/>
      <c r="F168" s="61"/>
      <c r="G168" s="61"/>
      <c r="H168" s="61"/>
      <c r="I168" s="61"/>
      <c r="J168" s="61"/>
      <c r="K168" s="61"/>
      <c r="L168" s="61"/>
      <c r="M168" s="61"/>
      <c r="N168" s="61"/>
      <c r="O168" s="26"/>
      <c r="P168" s="26"/>
      <c r="Q168" s="26"/>
      <c r="R168" s="158"/>
      <c r="S168" s="210"/>
      <c r="T168" s="60"/>
      <c r="U168" s="89"/>
      <c r="V168" s="204"/>
      <c r="W168" s="6"/>
    </row>
    <row r="169" spans="1:23" ht="15.6">
      <c r="A169" s="98"/>
      <c r="B169" s="83" t="s">
        <v>220</v>
      </c>
      <c r="C169" s="61"/>
      <c r="D169" s="61"/>
      <c r="E169" s="61"/>
      <c r="F169" s="61"/>
      <c r="G169" s="61"/>
      <c r="H169" s="61"/>
      <c r="I169" s="61"/>
      <c r="J169" s="61"/>
      <c r="K169" s="61"/>
      <c r="L169" s="61"/>
      <c r="M169" s="61"/>
      <c r="N169" s="61"/>
      <c r="O169" s="26"/>
      <c r="P169" s="26"/>
      <c r="Q169" s="26"/>
      <c r="R169" s="158">
        <v>23</v>
      </c>
      <c r="S169" s="210">
        <v>400</v>
      </c>
      <c r="T169" s="60"/>
      <c r="U169" s="89"/>
      <c r="V169" s="204"/>
      <c r="W169" s="6"/>
    </row>
    <row r="170" spans="1:23" ht="15.6">
      <c r="A170" s="98"/>
      <c r="B170" s="83" t="s">
        <v>224</v>
      </c>
      <c r="C170" s="61"/>
      <c r="D170" s="61"/>
      <c r="E170" s="61"/>
      <c r="F170" s="61"/>
      <c r="G170" s="61"/>
      <c r="H170" s="61"/>
      <c r="I170" s="61"/>
      <c r="J170" s="61"/>
      <c r="K170" s="61"/>
      <c r="L170" s="61"/>
      <c r="M170" s="61"/>
      <c r="N170" s="61"/>
      <c r="O170" s="26"/>
      <c r="P170" s="26"/>
      <c r="Q170" s="26"/>
      <c r="R170" s="158">
        <v>31</v>
      </c>
      <c r="S170" s="215">
        <v>990</v>
      </c>
      <c r="T170" s="60"/>
      <c r="U170" s="89"/>
      <c r="V170" s="204"/>
      <c r="W170" s="6"/>
    </row>
    <row r="171" spans="1:23" ht="15.6">
      <c r="A171" s="98"/>
      <c r="B171" s="156" t="s">
        <v>69</v>
      </c>
      <c r="C171" s="61"/>
      <c r="D171" s="61"/>
      <c r="E171" s="61"/>
      <c r="F171" s="61"/>
      <c r="G171" s="61"/>
      <c r="H171" s="61"/>
      <c r="I171" s="61"/>
      <c r="J171" s="61"/>
      <c r="K171" s="61"/>
      <c r="L171" s="61"/>
      <c r="M171" s="61"/>
      <c r="N171" s="61"/>
      <c r="O171" s="26"/>
      <c r="P171" s="26"/>
      <c r="Q171" s="26"/>
      <c r="R171" s="26"/>
      <c r="S171" s="60">
        <v>0</v>
      </c>
      <c r="T171" s="26"/>
      <c r="U171" s="89"/>
      <c r="V171" s="204"/>
      <c r="W171" s="6"/>
    </row>
    <row r="172" spans="1:23" ht="15.6">
      <c r="A172" s="98"/>
      <c r="B172" s="156" t="s">
        <v>70</v>
      </c>
      <c r="C172" s="61"/>
      <c r="D172" s="61"/>
      <c r="E172" s="61"/>
      <c r="F172" s="61"/>
      <c r="G172" s="61"/>
      <c r="H172" s="61"/>
      <c r="I172" s="61"/>
      <c r="J172" s="61"/>
      <c r="K172" s="61"/>
      <c r="L172" s="61"/>
      <c r="M172" s="61"/>
      <c r="N172" s="61"/>
      <c r="O172" s="26"/>
      <c r="P172" s="26"/>
      <c r="Q172" s="26"/>
      <c r="R172" s="26"/>
      <c r="S172" s="60">
        <f>Q76</f>
        <v>30187</v>
      </c>
      <c r="T172" s="26"/>
      <c r="U172" s="89"/>
      <c r="V172" s="204"/>
      <c r="W172" s="6"/>
    </row>
    <row r="173" spans="1:23" ht="15.6">
      <c r="A173" s="101"/>
      <c r="B173" s="156" t="s">
        <v>71</v>
      </c>
      <c r="C173" s="61"/>
      <c r="D173" s="61"/>
      <c r="E173" s="61"/>
      <c r="F173" s="61"/>
      <c r="G173" s="61"/>
      <c r="H173" s="61"/>
      <c r="I173" s="61"/>
      <c r="J173" s="61"/>
      <c r="K173" s="61"/>
      <c r="L173" s="61"/>
      <c r="M173" s="83"/>
      <c r="N173" s="83"/>
      <c r="O173" s="83"/>
      <c r="P173" s="26"/>
      <c r="Q173" s="26"/>
      <c r="R173" s="26"/>
      <c r="S173" s="102"/>
      <c r="T173" s="26"/>
      <c r="U173" s="89"/>
      <c r="V173" s="205"/>
      <c r="W173" s="6"/>
    </row>
    <row r="174" spans="1:23" ht="15.6">
      <c r="A174" s="98"/>
      <c r="B174" s="83" t="s">
        <v>72</v>
      </c>
      <c r="C174" s="61"/>
      <c r="D174" s="61"/>
      <c r="E174" s="61"/>
      <c r="F174" s="61"/>
      <c r="G174" s="61"/>
      <c r="H174" s="61"/>
      <c r="I174" s="61"/>
      <c r="J174" s="61"/>
      <c r="K174" s="61"/>
      <c r="L174" s="61"/>
      <c r="M174" s="61"/>
      <c r="N174" s="61"/>
      <c r="O174" s="61"/>
      <c r="P174" s="26"/>
      <c r="Q174" s="26"/>
      <c r="R174" s="26"/>
      <c r="S174" s="60">
        <f>U129</f>
        <v>2406</v>
      </c>
      <c r="T174" s="26"/>
      <c r="U174" s="89"/>
      <c r="V174" s="205"/>
      <c r="W174" s="6"/>
    </row>
    <row r="175" spans="1:23" ht="15.6">
      <c r="A175" s="98"/>
      <c r="B175" s="83" t="s">
        <v>73</v>
      </c>
      <c r="C175" s="61"/>
      <c r="D175" s="61"/>
      <c r="E175" s="61"/>
      <c r="F175" s="61"/>
      <c r="G175" s="61"/>
      <c r="H175" s="61"/>
      <c r="I175" s="61"/>
      <c r="J175" s="61"/>
      <c r="K175" s="61"/>
      <c r="L175" s="61"/>
      <c r="M175" s="61"/>
      <c r="N175" s="61"/>
      <c r="O175" s="61"/>
      <c r="P175" s="26"/>
      <c r="Q175" s="26"/>
      <c r="R175" s="26"/>
      <c r="S175" s="60">
        <f>'September 08'!S175+S174</f>
        <v>51482</v>
      </c>
      <c r="T175" s="26"/>
      <c r="U175" s="89"/>
      <c r="V175" s="205"/>
      <c r="W175" s="6"/>
    </row>
    <row r="176" spans="1:23" ht="15.6">
      <c r="A176" s="98"/>
      <c r="B176" s="83" t="s">
        <v>74</v>
      </c>
      <c r="C176" s="61"/>
      <c r="D176" s="61"/>
      <c r="E176" s="61"/>
      <c r="F176" s="61"/>
      <c r="G176" s="61"/>
      <c r="H176" s="61"/>
      <c r="I176" s="61"/>
      <c r="J176" s="61"/>
      <c r="K176" s="61"/>
      <c r="L176" s="61"/>
      <c r="M176" s="61"/>
      <c r="N176" s="61"/>
      <c r="O176" s="61"/>
      <c r="P176" s="26"/>
      <c r="Q176" s="26"/>
      <c r="R176" s="26"/>
      <c r="S176" s="60">
        <f>'September 08'!S176+762</f>
        <v>9782</v>
      </c>
      <c r="T176" s="26"/>
      <c r="U176" s="89"/>
      <c r="V176" s="205"/>
      <c r="W176" s="6"/>
    </row>
    <row r="177" spans="1:23" ht="15.6">
      <c r="A177" s="98"/>
      <c r="B177" s="83"/>
      <c r="C177" s="61"/>
      <c r="D177" s="61"/>
      <c r="E177" s="61"/>
      <c r="F177" s="61"/>
      <c r="G177" s="61"/>
      <c r="H177" s="61"/>
      <c r="I177" s="61"/>
      <c r="J177" s="61"/>
      <c r="K177" s="61"/>
      <c r="L177" s="61"/>
      <c r="M177" s="61"/>
      <c r="N177" s="61"/>
      <c r="O177" s="61"/>
      <c r="P177" s="26"/>
      <c r="Q177" s="26"/>
      <c r="R177" s="26"/>
      <c r="S177" s="60"/>
      <c r="T177" s="26"/>
      <c r="U177" s="89"/>
      <c r="V177" s="205"/>
      <c r="W177" s="6"/>
    </row>
    <row r="178" spans="1:23" ht="15.6">
      <c r="A178" s="101"/>
      <c r="B178" s="156" t="s">
        <v>259</v>
      </c>
      <c r="C178" s="61"/>
      <c r="D178" s="61"/>
      <c r="E178" s="61"/>
      <c r="F178" s="61"/>
      <c r="G178" s="61"/>
      <c r="H178" s="61"/>
      <c r="I178" s="61"/>
      <c r="J178" s="61"/>
      <c r="K178" s="61"/>
      <c r="L178" s="61"/>
      <c r="M178" s="83"/>
      <c r="N178" s="83"/>
      <c r="O178" s="83"/>
      <c r="P178" s="26"/>
      <c r="Q178" s="26"/>
      <c r="R178" s="26"/>
      <c r="S178" s="79"/>
      <c r="T178" s="26"/>
      <c r="U178" s="89"/>
      <c r="V178" s="205"/>
      <c r="W178" s="6"/>
    </row>
    <row r="179" spans="1:23" ht="15.6">
      <c r="A179" s="101"/>
      <c r="B179" s="83" t="s">
        <v>254</v>
      </c>
      <c r="C179" s="61"/>
      <c r="D179" s="61"/>
      <c r="E179" s="61"/>
      <c r="F179" s="61"/>
      <c r="G179" s="61"/>
      <c r="H179" s="61"/>
      <c r="I179" s="61"/>
      <c r="J179" s="61"/>
      <c r="K179" s="61"/>
      <c r="L179" s="61"/>
      <c r="M179" s="83"/>
      <c r="N179" s="83"/>
      <c r="O179" s="83"/>
      <c r="P179" s="26"/>
      <c r="Q179" s="26"/>
      <c r="R179" s="26"/>
      <c r="S179" s="212">
        <v>12</v>
      </c>
      <c r="T179" s="26"/>
      <c r="U179" s="89"/>
      <c r="V179" s="205"/>
      <c r="W179" s="6"/>
    </row>
    <row r="180" spans="1:23" ht="15.6">
      <c r="A180" s="98"/>
      <c r="B180" s="83" t="s">
        <v>75</v>
      </c>
      <c r="C180" s="61"/>
      <c r="D180" s="61"/>
      <c r="E180" s="61"/>
      <c r="F180" s="61"/>
      <c r="G180" s="61"/>
      <c r="H180" s="61"/>
      <c r="I180" s="61"/>
      <c r="J180" s="61"/>
      <c r="K180" s="61"/>
      <c r="L180" s="61"/>
      <c r="M180" s="104"/>
      <c r="N180" s="104"/>
      <c r="O180" s="105"/>
      <c r="P180" s="26"/>
      <c r="Q180" s="26"/>
      <c r="R180" s="26"/>
      <c r="S180" s="213">
        <v>16.760000000000002</v>
      </c>
      <c r="T180" s="26"/>
      <c r="U180" s="89"/>
      <c r="V180" s="205"/>
      <c r="W180" s="6"/>
    </row>
    <row r="181" spans="1:23" ht="15.6">
      <c r="A181" s="98"/>
      <c r="B181" s="83" t="s">
        <v>76</v>
      </c>
      <c r="C181" s="61"/>
      <c r="D181" s="61"/>
      <c r="E181" s="61"/>
      <c r="F181" s="61"/>
      <c r="G181" s="61"/>
      <c r="H181" s="61"/>
      <c r="I181" s="61"/>
      <c r="J181" s="61"/>
      <c r="K181" s="61"/>
      <c r="L181" s="61"/>
      <c r="M181" s="104"/>
      <c r="N181" s="104"/>
      <c r="O181" s="105"/>
      <c r="P181" s="26"/>
      <c r="Q181" s="26"/>
      <c r="R181" s="26"/>
      <c r="S181" s="213">
        <v>206.5</v>
      </c>
      <c r="T181" s="26"/>
      <c r="U181" s="89"/>
      <c r="V181" s="205"/>
      <c r="W181" s="6"/>
    </row>
    <row r="182" spans="1:23" ht="15.6">
      <c r="A182" s="98"/>
      <c r="B182" s="83"/>
      <c r="C182" s="61"/>
      <c r="D182" s="61"/>
      <c r="E182" s="61"/>
      <c r="F182" s="61"/>
      <c r="G182" s="61"/>
      <c r="H182" s="61"/>
      <c r="I182" s="61"/>
      <c r="J182" s="61"/>
      <c r="K182" s="61"/>
      <c r="L182" s="61"/>
      <c r="M182" s="106"/>
      <c r="N182" s="104"/>
      <c r="O182" s="105"/>
      <c r="P182" s="26"/>
      <c r="Q182" s="26"/>
      <c r="R182" s="26"/>
      <c r="S182" s="212"/>
      <c r="T182" s="26"/>
      <c r="U182" s="89"/>
      <c r="V182" s="205"/>
      <c r="W182" s="6"/>
    </row>
    <row r="183" spans="1:23" ht="15.6">
      <c r="A183" s="98"/>
      <c r="B183" s="156" t="s">
        <v>77</v>
      </c>
      <c r="C183" s="61"/>
      <c r="D183" s="61"/>
      <c r="E183" s="61"/>
      <c r="F183" s="61"/>
      <c r="G183" s="61"/>
      <c r="H183" s="61"/>
      <c r="I183" s="61"/>
      <c r="J183" s="61"/>
      <c r="K183" s="61"/>
      <c r="L183" s="61"/>
      <c r="M183" s="61"/>
      <c r="N183" s="106"/>
      <c r="O183" s="104"/>
      <c r="P183" s="105"/>
      <c r="Q183" s="26"/>
      <c r="R183" s="33"/>
      <c r="S183" s="157"/>
      <c r="T183" s="107"/>
      <c r="U183" s="33"/>
      <c r="V183" s="206"/>
      <c r="W183" s="6"/>
    </row>
    <row r="184" spans="1:23" ht="15.6">
      <c r="A184" s="98"/>
      <c r="B184" s="83" t="s">
        <v>78</v>
      </c>
      <c r="C184" s="61"/>
      <c r="D184" s="61"/>
      <c r="E184" s="61"/>
      <c r="F184" s="61"/>
      <c r="G184" s="61"/>
      <c r="H184" s="61"/>
      <c r="I184" s="61"/>
      <c r="J184" s="61"/>
      <c r="K184" s="61"/>
      <c r="L184" s="61"/>
      <c r="M184" s="61"/>
      <c r="N184" s="106"/>
      <c r="O184" s="104"/>
      <c r="P184" s="105"/>
      <c r="Q184" s="26"/>
      <c r="R184" s="33"/>
      <c r="S184" s="216">
        <v>175</v>
      </c>
      <c r="T184" s="108"/>
      <c r="U184" s="33"/>
      <c r="V184" s="206"/>
      <c r="W184" s="6"/>
    </row>
    <row r="185" spans="1:23" ht="15.6">
      <c r="A185" s="98"/>
      <c r="B185" s="83" t="s">
        <v>75</v>
      </c>
      <c r="C185" s="61"/>
      <c r="D185" s="61"/>
      <c r="E185" s="61"/>
      <c r="F185" s="61"/>
      <c r="G185" s="61"/>
      <c r="H185" s="61"/>
      <c r="I185" s="61"/>
      <c r="J185" s="61"/>
      <c r="K185" s="61"/>
      <c r="L185" s="61"/>
      <c r="M185" s="61"/>
      <c r="N185" s="106"/>
      <c r="O185" s="104"/>
      <c r="P185" s="105"/>
      <c r="Q185" s="26"/>
      <c r="R185" s="33"/>
      <c r="S185" s="216">
        <v>3.43</v>
      </c>
      <c r="T185" s="108"/>
      <c r="U185" s="33"/>
      <c r="V185" s="206"/>
      <c r="W185" s="6"/>
    </row>
    <row r="186" spans="1:23" ht="15.6">
      <c r="A186" s="98"/>
      <c r="B186" s="83" t="s">
        <v>79</v>
      </c>
      <c r="C186" s="61"/>
      <c r="D186" s="61"/>
      <c r="E186" s="61"/>
      <c r="F186" s="61"/>
      <c r="G186" s="61"/>
      <c r="H186" s="61"/>
      <c r="I186" s="61"/>
      <c r="J186" s="61"/>
      <c r="K186" s="61"/>
      <c r="L186" s="61"/>
      <c r="M186" s="61"/>
      <c r="N186" s="106"/>
      <c r="O186" s="104"/>
      <c r="P186" s="105"/>
      <c r="Q186" s="26"/>
      <c r="R186" s="33"/>
      <c r="S186" s="216">
        <v>78.319999999999993</v>
      </c>
      <c r="T186" s="108"/>
      <c r="U186" s="33"/>
      <c r="V186" s="206"/>
      <c r="W186" s="6"/>
    </row>
    <row r="187" spans="1:23" ht="15.6">
      <c r="A187" s="98"/>
      <c r="B187" s="83"/>
      <c r="C187" s="61"/>
      <c r="D187" s="61"/>
      <c r="E187" s="61"/>
      <c r="F187" s="61"/>
      <c r="G187" s="61"/>
      <c r="H187" s="61"/>
      <c r="I187" s="61"/>
      <c r="J187" s="61"/>
      <c r="K187" s="61"/>
      <c r="L187" s="61"/>
      <c r="M187" s="106"/>
      <c r="N187" s="104"/>
      <c r="O187" s="105"/>
      <c r="P187" s="26"/>
      <c r="Q187" s="26"/>
      <c r="R187" s="26"/>
      <c r="S187" s="79"/>
      <c r="T187" s="26"/>
      <c r="U187" s="89"/>
      <c r="V187" s="205"/>
      <c r="W187" s="6"/>
    </row>
    <row r="188" spans="1:23" ht="17.399999999999999">
      <c r="A188" s="98"/>
      <c r="B188" s="180" t="s">
        <v>196</v>
      </c>
      <c r="C188" s="61"/>
      <c r="D188" s="61"/>
      <c r="E188" s="61"/>
      <c r="F188" s="61"/>
      <c r="G188" s="61"/>
      <c r="H188" s="61"/>
      <c r="I188" s="61"/>
      <c r="J188" s="61"/>
      <c r="K188" s="181" t="s">
        <v>195</v>
      </c>
      <c r="L188" s="61"/>
      <c r="M188" s="106"/>
      <c r="N188" s="104"/>
      <c r="O188" s="105"/>
      <c r="P188" s="26"/>
      <c r="Q188" s="26"/>
      <c r="R188" s="26"/>
      <c r="S188" s="79"/>
      <c r="T188" s="26"/>
      <c r="U188" s="89"/>
      <c r="V188" s="205"/>
      <c r="W188" s="6"/>
    </row>
    <row r="189" spans="1:23" ht="15.6">
      <c r="A189" s="25"/>
      <c r="B189" s="109" t="s">
        <v>80</v>
      </c>
      <c r="C189" s="110"/>
      <c r="D189" s="110"/>
      <c r="E189" s="110"/>
      <c r="F189" s="110"/>
      <c r="G189" s="110"/>
      <c r="H189" s="110"/>
      <c r="I189" s="110"/>
      <c r="J189" s="110"/>
      <c r="K189" s="110"/>
      <c r="L189" s="110"/>
      <c r="M189" s="111"/>
      <c r="N189" s="110"/>
      <c r="O189" s="111"/>
      <c r="P189" s="110"/>
      <c r="Q189" s="111"/>
      <c r="R189" s="110"/>
      <c r="S189" s="111"/>
      <c r="T189" s="110"/>
      <c r="U189" s="112"/>
      <c r="V189" s="205"/>
      <c r="W189" s="6"/>
    </row>
    <row r="190" spans="1:23" ht="15.6">
      <c r="A190" s="25"/>
      <c r="B190" s="30"/>
      <c r="C190" s="189"/>
      <c r="D190" s="189"/>
      <c r="E190" s="189"/>
      <c r="F190" s="189"/>
      <c r="G190" s="189"/>
      <c r="H190" s="189"/>
      <c r="I190" s="189"/>
      <c r="J190" s="189"/>
      <c r="K190" s="189"/>
      <c r="L190" s="189"/>
      <c r="M190" s="109" t="s">
        <v>100</v>
      </c>
      <c r="N190" s="110"/>
      <c r="O190" s="111"/>
      <c r="P190" s="110"/>
      <c r="Q190" s="109" t="s">
        <v>26</v>
      </c>
      <c r="R190" s="110"/>
      <c r="S190" s="111"/>
      <c r="T190" s="110"/>
      <c r="U190" s="112"/>
      <c r="V190" s="205"/>
      <c r="W190" s="6"/>
    </row>
    <row r="191" spans="1:23" ht="15.6">
      <c r="A191" s="25"/>
      <c r="B191" s="189"/>
      <c r="C191" s="111"/>
      <c r="D191" s="111"/>
      <c r="E191" s="111"/>
      <c r="F191" s="111"/>
      <c r="G191" s="111"/>
      <c r="H191" s="111"/>
      <c r="I191" s="111"/>
      <c r="J191" s="111"/>
      <c r="K191" s="111"/>
      <c r="L191" s="111" t="s">
        <v>94</v>
      </c>
      <c r="M191" s="110" t="s">
        <v>101</v>
      </c>
      <c r="N191" s="111" t="s">
        <v>103</v>
      </c>
      <c r="O191" s="110" t="s">
        <v>101</v>
      </c>
      <c r="P191" s="110"/>
      <c r="Q191" s="111" t="s">
        <v>94</v>
      </c>
      <c r="R191" s="110" t="s">
        <v>101</v>
      </c>
      <c r="S191" s="111" t="s">
        <v>103</v>
      </c>
      <c r="T191" s="110" t="s">
        <v>101</v>
      </c>
      <c r="U191" s="112"/>
      <c r="V191" s="205"/>
      <c r="W191" s="6"/>
    </row>
    <row r="192" spans="1:23" ht="15.6">
      <c r="A192" s="25"/>
      <c r="B192" s="61" t="s">
        <v>81</v>
      </c>
      <c r="C192" s="113"/>
      <c r="D192" s="113"/>
      <c r="E192" s="113"/>
      <c r="F192" s="113"/>
      <c r="G192" s="113"/>
      <c r="H192" s="113"/>
      <c r="I192" s="113"/>
      <c r="J192" s="113"/>
      <c r="K192" s="113"/>
      <c r="L192" s="113">
        <v>4157</v>
      </c>
      <c r="M192" s="86">
        <f t="shared" ref="M192:M198" si="0">+L192/$L$199</f>
        <v>0.8890076988879384</v>
      </c>
      <c r="N192" s="113">
        <v>12565</v>
      </c>
      <c r="O192" s="86">
        <f t="shared" ref="O192:O198" si="1">N192/$N$199</f>
        <v>0.8678684901229452</v>
      </c>
      <c r="P192" s="110"/>
      <c r="Q192" s="113">
        <v>13124</v>
      </c>
      <c r="R192" s="86">
        <f t="shared" ref="R192:R198" si="2">+Q192/$Q$199</f>
        <v>0.95753684517729465</v>
      </c>
      <c r="S192" s="113">
        <v>11431</v>
      </c>
      <c r="T192" s="86">
        <f t="shared" ref="T192:T198" si="3">+S192/$S$199</f>
        <v>0.93390522875816995</v>
      </c>
      <c r="U192" s="112"/>
      <c r="V192" s="205"/>
      <c r="W192" s="6"/>
    </row>
    <row r="193" spans="1:24" ht="15.6">
      <c r="A193" s="25"/>
      <c r="B193" s="61" t="s">
        <v>82</v>
      </c>
      <c r="C193" s="113"/>
      <c r="D193" s="113"/>
      <c r="E193" s="113"/>
      <c r="F193" s="113"/>
      <c r="G193" s="113"/>
      <c r="H193" s="113"/>
      <c r="I193" s="113"/>
      <c r="J193" s="113"/>
      <c r="K193" s="113"/>
      <c r="L193" s="113">
        <v>54</v>
      </c>
      <c r="M193" s="86">
        <f t="shared" si="0"/>
        <v>1.1548331907613344E-2</v>
      </c>
      <c r="N193" s="113">
        <v>203</v>
      </c>
      <c r="O193" s="86">
        <f t="shared" si="1"/>
        <v>1.40212736565824E-2</v>
      </c>
      <c r="P193" s="110"/>
      <c r="Q193" s="113">
        <v>72</v>
      </c>
      <c r="R193" s="86">
        <f t="shared" si="2"/>
        <v>5.2531737924996352E-3</v>
      </c>
      <c r="S193" s="113">
        <v>62</v>
      </c>
      <c r="T193" s="86">
        <f t="shared" si="3"/>
        <v>5.0653594771241832E-3</v>
      </c>
      <c r="U193" s="112"/>
      <c r="V193" s="205"/>
      <c r="W193" s="6"/>
    </row>
    <row r="194" spans="1:24" ht="15.6">
      <c r="A194" s="25"/>
      <c r="B194" s="61" t="s">
        <v>83</v>
      </c>
      <c r="C194" s="113"/>
      <c r="D194" s="113"/>
      <c r="E194" s="113"/>
      <c r="F194" s="113"/>
      <c r="G194" s="113"/>
      <c r="H194" s="113"/>
      <c r="I194" s="113"/>
      <c r="J194" s="113"/>
      <c r="K194" s="113"/>
      <c r="L194" s="113">
        <v>55</v>
      </c>
      <c r="M194" s="86">
        <f t="shared" si="0"/>
        <v>1.1762189905902481E-2</v>
      </c>
      <c r="N194" s="113">
        <v>202</v>
      </c>
      <c r="O194" s="86">
        <f t="shared" si="1"/>
        <v>1.3952203343003178E-2</v>
      </c>
      <c r="P194" s="110"/>
      <c r="Q194" s="113">
        <v>52</v>
      </c>
      <c r="R194" s="86">
        <f t="shared" si="2"/>
        <v>3.7939588501386253E-3</v>
      </c>
      <c r="S194" s="113">
        <v>71</v>
      </c>
      <c r="T194" s="86">
        <f t="shared" si="3"/>
        <v>5.800653594771242E-3</v>
      </c>
      <c r="U194" s="112"/>
      <c r="V194" s="205"/>
      <c r="W194" s="6"/>
    </row>
    <row r="195" spans="1:24" ht="15.6">
      <c r="A195" s="25"/>
      <c r="B195" s="61" t="s">
        <v>186</v>
      </c>
      <c r="C195" s="113"/>
      <c r="D195" s="113"/>
      <c r="E195" s="113"/>
      <c r="F195" s="113"/>
      <c r="G195" s="113"/>
      <c r="H195" s="113"/>
      <c r="I195" s="113"/>
      <c r="J195" s="113"/>
      <c r="K195" s="113"/>
      <c r="L195" s="113">
        <v>47</v>
      </c>
      <c r="M195" s="86">
        <f t="shared" si="0"/>
        <v>1.0051325919589392E-2</v>
      </c>
      <c r="N195" s="113">
        <v>182</v>
      </c>
      <c r="O195" s="86">
        <f t="shared" si="1"/>
        <v>1.2570797071418704E-2</v>
      </c>
      <c r="P195" s="110"/>
      <c r="Q195" s="113">
        <v>56</v>
      </c>
      <c r="R195" s="86">
        <f t="shared" si="2"/>
        <v>4.0858018386108275E-3</v>
      </c>
      <c r="S195" s="113">
        <v>61</v>
      </c>
      <c r="T195" s="86">
        <f t="shared" si="3"/>
        <v>4.9836601307189539E-3</v>
      </c>
      <c r="U195" s="112"/>
      <c r="V195" s="205"/>
      <c r="W195" s="6"/>
    </row>
    <row r="196" spans="1:24" ht="15.6">
      <c r="A196" s="25"/>
      <c r="B196" s="61" t="s">
        <v>187</v>
      </c>
      <c r="C196" s="113"/>
      <c r="D196" s="113"/>
      <c r="E196" s="113"/>
      <c r="F196" s="113"/>
      <c r="G196" s="113"/>
      <c r="H196" s="113"/>
      <c r="I196" s="113"/>
      <c r="J196" s="113"/>
      <c r="K196" s="113"/>
      <c r="L196" s="113">
        <v>46</v>
      </c>
      <c r="M196" s="86">
        <f t="shared" si="0"/>
        <v>9.8374679213002574E-3</v>
      </c>
      <c r="N196" s="113">
        <v>168</v>
      </c>
      <c r="O196" s="86">
        <f t="shared" si="1"/>
        <v>1.1603812681309573E-2</v>
      </c>
      <c r="P196" s="110"/>
      <c r="Q196" s="113">
        <v>66</v>
      </c>
      <c r="R196" s="86">
        <f t="shared" si="2"/>
        <v>4.815409309791332E-3</v>
      </c>
      <c r="S196" s="113">
        <v>108</v>
      </c>
      <c r="T196" s="86">
        <f t="shared" si="3"/>
        <v>8.8235294117647058E-3</v>
      </c>
      <c r="U196" s="112"/>
      <c r="V196" s="205"/>
      <c r="W196" s="6"/>
    </row>
    <row r="197" spans="1:24" ht="15.6">
      <c r="A197" s="25"/>
      <c r="B197" s="61" t="s">
        <v>188</v>
      </c>
      <c r="C197" s="113"/>
      <c r="D197" s="113"/>
      <c r="E197" s="113"/>
      <c r="F197" s="113"/>
      <c r="G197" s="113"/>
      <c r="H197" s="113"/>
      <c r="I197" s="113"/>
      <c r="J197" s="113"/>
      <c r="K197" s="113"/>
      <c r="L197" s="113">
        <v>57</v>
      </c>
      <c r="M197" s="86">
        <f t="shared" si="0"/>
        <v>1.2189905902480752E-2</v>
      </c>
      <c r="N197" s="113">
        <v>201</v>
      </c>
      <c r="O197" s="86">
        <f t="shared" si="1"/>
        <v>1.3883133029423953E-2</v>
      </c>
      <c r="P197" s="110"/>
      <c r="Q197" s="113">
        <v>59</v>
      </c>
      <c r="R197" s="86">
        <f t="shared" si="2"/>
        <v>4.3046840799649787E-3</v>
      </c>
      <c r="S197" s="113">
        <v>59</v>
      </c>
      <c r="T197" s="86">
        <f t="shared" si="3"/>
        <v>4.820261437908497E-3</v>
      </c>
      <c r="U197" s="112"/>
      <c r="V197" s="205"/>
      <c r="W197" s="6"/>
    </row>
    <row r="198" spans="1:24" ht="15.6">
      <c r="A198" s="25"/>
      <c r="B198" s="61" t="s">
        <v>189</v>
      </c>
      <c r="C198" s="113"/>
      <c r="D198" s="113"/>
      <c r="E198" s="113"/>
      <c r="F198" s="113"/>
      <c r="G198" s="113"/>
      <c r="H198" s="113"/>
      <c r="I198" s="113"/>
      <c r="J198" s="113"/>
      <c r="K198" s="113"/>
      <c r="L198" s="113">
        <v>260</v>
      </c>
      <c r="M198" s="86">
        <f t="shared" si="0"/>
        <v>5.5603079555175364E-2</v>
      </c>
      <c r="N198" s="113">
        <v>957</v>
      </c>
      <c r="O198" s="86">
        <f t="shared" si="1"/>
        <v>6.6100290095317038E-2</v>
      </c>
      <c r="P198" s="110"/>
      <c r="Q198" s="113">
        <v>277</v>
      </c>
      <c r="R198" s="86">
        <f t="shared" si="2"/>
        <v>2.0210126951699985E-2</v>
      </c>
      <c r="S198" s="113">
        <v>448</v>
      </c>
      <c r="T198" s="86">
        <f t="shared" si="3"/>
        <v>3.6601307189542485E-2</v>
      </c>
      <c r="U198" s="112"/>
      <c r="V198" s="205"/>
      <c r="W198" s="6"/>
    </row>
    <row r="199" spans="1:24" ht="15.6">
      <c r="A199" s="25"/>
      <c r="B199" s="61" t="s">
        <v>84</v>
      </c>
      <c r="C199" s="113"/>
      <c r="D199" s="113"/>
      <c r="E199" s="113"/>
      <c r="F199" s="113"/>
      <c r="G199" s="113"/>
      <c r="H199" s="113"/>
      <c r="I199" s="113"/>
      <c r="J199" s="113"/>
      <c r="K199" s="113"/>
      <c r="L199" s="113">
        <f>SUM(L192:L198)</f>
        <v>4676</v>
      </c>
      <c r="M199" s="86">
        <f>SUM(M192:M198)</f>
        <v>1</v>
      </c>
      <c r="N199" s="113">
        <f>SUM(N192:N198)</f>
        <v>14478</v>
      </c>
      <c r="O199" s="86">
        <f>SUM(O192:O198)</f>
        <v>1</v>
      </c>
      <c r="P199" s="110"/>
      <c r="Q199" s="113">
        <f>SUM(Q192:Q198)</f>
        <v>13706</v>
      </c>
      <c r="R199" s="86">
        <f>SUM(R192:R198)</f>
        <v>1</v>
      </c>
      <c r="S199" s="113">
        <f>SUM(S192:S198)</f>
        <v>12240</v>
      </c>
      <c r="T199" s="86">
        <f>SUM(T192:T198)</f>
        <v>0.99999999999999989</v>
      </c>
      <c r="U199" s="112"/>
      <c r="V199" s="205"/>
      <c r="W199" s="6"/>
      <c r="X199" s="64"/>
    </row>
    <row r="200" spans="1:24" ht="15.6">
      <c r="A200" s="25"/>
      <c r="B200" s="61" t="s">
        <v>85</v>
      </c>
      <c r="C200" s="113"/>
      <c r="D200" s="113"/>
      <c r="E200" s="113"/>
      <c r="F200" s="113"/>
      <c r="G200" s="113"/>
      <c r="H200" s="113"/>
      <c r="I200" s="113"/>
      <c r="J200" s="113"/>
      <c r="K200" s="113"/>
      <c r="L200" s="113">
        <v>1094</v>
      </c>
      <c r="M200" s="114"/>
      <c r="N200" s="113">
        <v>6960</v>
      </c>
      <c r="O200" s="114"/>
      <c r="P200" s="110"/>
      <c r="Q200" s="113">
        <v>487</v>
      </c>
      <c r="R200" s="114"/>
      <c r="S200" s="113">
        <v>993</v>
      </c>
      <c r="T200" s="114"/>
      <c r="U200" s="112"/>
      <c r="V200" s="205"/>
      <c r="W200" s="6"/>
      <c r="X200" s="64"/>
    </row>
    <row r="201" spans="1:24" ht="15.6">
      <c r="A201" s="25"/>
      <c r="B201" s="61" t="s">
        <v>86</v>
      </c>
      <c r="C201" s="113"/>
      <c r="D201" s="113"/>
      <c r="E201" s="113"/>
      <c r="F201" s="113"/>
      <c r="G201" s="113"/>
      <c r="H201" s="113"/>
      <c r="I201" s="113"/>
      <c r="J201" s="113"/>
      <c r="K201" s="113"/>
      <c r="L201" s="113">
        <f>SUM(L199:L200)</f>
        <v>5770</v>
      </c>
      <c r="M201" s="189"/>
      <c r="N201" s="113">
        <f>SUM(N199:N200)</f>
        <v>21438</v>
      </c>
      <c r="O201" s="115"/>
      <c r="P201" s="189"/>
      <c r="Q201" s="113">
        <f>SUM(Q199:Q200)</f>
        <v>14193</v>
      </c>
      <c r="R201" s="189"/>
      <c r="S201" s="113">
        <f>SUM(S199:S200)</f>
        <v>13233</v>
      </c>
      <c r="T201" s="189"/>
      <c r="U201" s="189"/>
      <c r="V201" s="205"/>
      <c r="W201" s="6"/>
      <c r="X201" s="64"/>
    </row>
    <row r="202" spans="1:24" ht="15.6">
      <c r="A202" s="25"/>
      <c r="B202" s="61"/>
      <c r="C202" s="113"/>
      <c r="D202" s="113"/>
      <c r="E202" s="113"/>
      <c r="F202" s="113"/>
      <c r="G202" s="113"/>
      <c r="H202" s="113"/>
      <c r="I202" s="113"/>
      <c r="J202" s="113"/>
      <c r="K202" s="113"/>
      <c r="L202" s="113"/>
      <c r="M202" s="115"/>
      <c r="N202" s="113"/>
      <c r="O202" s="115"/>
      <c r="P202" s="110"/>
      <c r="Q202" s="113"/>
      <c r="R202" s="115"/>
      <c r="S202" s="113"/>
      <c r="T202" s="115"/>
      <c r="U202" s="112"/>
      <c r="V202" s="205"/>
      <c r="W202" s="6"/>
    </row>
    <row r="203" spans="1:24" ht="15.6">
      <c r="A203" s="25"/>
      <c r="B203" s="61"/>
      <c r="C203" s="110"/>
      <c r="D203" s="110"/>
      <c r="E203" s="110"/>
      <c r="F203" s="110"/>
      <c r="G203" s="110"/>
      <c r="H203" s="110"/>
      <c r="I203" s="110"/>
      <c r="J203" s="110"/>
      <c r="K203" s="110"/>
      <c r="L203" s="110"/>
      <c r="M203" s="109" t="s">
        <v>27</v>
      </c>
      <c r="N203" s="110"/>
      <c r="O203" s="111"/>
      <c r="P203" s="110"/>
      <c r="Q203" s="109" t="s">
        <v>28</v>
      </c>
      <c r="R203" s="110"/>
      <c r="S203" s="111"/>
      <c r="T203" s="110"/>
      <c r="U203" s="112"/>
      <c r="V203" s="205"/>
      <c r="W203" s="6"/>
    </row>
    <row r="204" spans="1:24" ht="15.6">
      <c r="A204" s="25"/>
      <c r="B204" s="189"/>
      <c r="C204" s="111"/>
      <c r="D204" s="111"/>
      <c r="E204" s="111"/>
      <c r="F204" s="111"/>
      <c r="G204" s="111"/>
      <c r="H204" s="111"/>
      <c r="I204" s="111"/>
      <c r="J204" s="111"/>
      <c r="K204" s="111"/>
      <c r="L204" s="111" t="s">
        <v>94</v>
      </c>
      <c r="M204" s="110" t="s">
        <v>101</v>
      </c>
      <c r="N204" s="111" t="s">
        <v>103</v>
      </c>
      <c r="O204" s="110" t="s">
        <v>101</v>
      </c>
      <c r="P204" s="110"/>
      <c r="Q204" s="111" t="s">
        <v>94</v>
      </c>
      <c r="R204" s="110" t="s">
        <v>101</v>
      </c>
      <c r="S204" s="111" t="s">
        <v>103</v>
      </c>
      <c r="T204" s="110" t="s">
        <v>101</v>
      </c>
      <c r="U204" s="112"/>
      <c r="V204" s="205"/>
      <c r="W204" s="6"/>
    </row>
    <row r="205" spans="1:24" ht="15.6">
      <c r="A205" s="25"/>
      <c r="B205" s="61" t="s">
        <v>81</v>
      </c>
      <c r="C205" s="113"/>
      <c r="D205" s="113"/>
      <c r="E205" s="113"/>
      <c r="F205" s="113"/>
      <c r="G205" s="113"/>
      <c r="H205" s="113"/>
      <c r="I205" s="113"/>
      <c r="J205" s="113"/>
      <c r="K205" s="113"/>
      <c r="L205" s="113">
        <v>8969</v>
      </c>
      <c r="M205" s="86">
        <f t="shared" ref="M205:M211" si="4">+L205/$L$212</f>
        <v>0.93700376096949434</v>
      </c>
      <c r="N205" s="113">
        <v>241518</v>
      </c>
      <c r="O205" s="86">
        <f t="shared" ref="O205:O211" si="5">+N205/$N$212</f>
        <v>0.92871178241693164</v>
      </c>
      <c r="P205" s="110"/>
      <c r="Q205" s="113">
        <v>5413</v>
      </c>
      <c r="R205" s="86">
        <f t="shared" ref="R205:R211" si="6">Q205/$Q$212</f>
        <v>0.96060337178349597</v>
      </c>
      <c r="S205" s="113">
        <v>67280</v>
      </c>
      <c r="T205" s="86">
        <f t="shared" ref="T205:T211" si="7">+S205/$S$212</f>
        <v>0.95679626838078446</v>
      </c>
      <c r="U205" s="112"/>
      <c r="V205" s="205"/>
      <c r="W205" s="6"/>
    </row>
    <row r="206" spans="1:24" ht="15.6">
      <c r="A206" s="25"/>
      <c r="B206" s="61" t="s">
        <v>82</v>
      </c>
      <c r="C206" s="113"/>
      <c r="D206" s="113"/>
      <c r="E206" s="113"/>
      <c r="F206" s="113"/>
      <c r="G206" s="113"/>
      <c r="H206" s="113"/>
      <c r="I206" s="113"/>
      <c r="J206" s="113"/>
      <c r="K206" s="113"/>
      <c r="L206" s="113">
        <v>203</v>
      </c>
      <c r="M206" s="86">
        <f t="shared" si="4"/>
        <v>2.1207689093188466E-2</v>
      </c>
      <c r="N206" s="113">
        <v>5901</v>
      </c>
      <c r="O206" s="86">
        <f t="shared" si="5"/>
        <v>2.2691179241473985E-2</v>
      </c>
      <c r="P206" s="110"/>
      <c r="Q206" s="113">
        <v>82</v>
      </c>
      <c r="R206" s="86">
        <f t="shared" si="6"/>
        <v>1.4551907719609583E-2</v>
      </c>
      <c r="S206" s="113">
        <v>1061</v>
      </c>
      <c r="T206" s="86">
        <f t="shared" si="7"/>
        <v>1.5088597514150004E-2</v>
      </c>
      <c r="U206" s="112"/>
      <c r="V206" s="205"/>
      <c r="W206" s="6"/>
    </row>
    <row r="207" spans="1:24" ht="15.6">
      <c r="A207" s="25"/>
      <c r="B207" s="61" t="s">
        <v>83</v>
      </c>
      <c r="C207" s="113"/>
      <c r="D207" s="113"/>
      <c r="E207" s="113"/>
      <c r="F207" s="113"/>
      <c r="G207" s="113"/>
      <c r="H207" s="113"/>
      <c r="I207" s="113"/>
      <c r="J207" s="113"/>
      <c r="K207" s="113"/>
      <c r="L207" s="113">
        <v>130</v>
      </c>
      <c r="M207" s="86">
        <f t="shared" si="4"/>
        <v>1.3581278729628082E-2</v>
      </c>
      <c r="N207" s="113">
        <v>4024</v>
      </c>
      <c r="O207" s="86">
        <f t="shared" si="5"/>
        <v>1.5473530802862449E-2</v>
      </c>
      <c r="P207" s="110"/>
      <c r="Q207" s="113">
        <v>44</v>
      </c>
      <c r="R207" s="86">
        <f t="shared" si="6"/>
        <v>7.8083407275953863E-3</v>
      </c>
      <c r="S207" s="113">
        <v>670</v>
      </c>
      <c r="T207" s="86">
        <f t="shared" si="7"/>
        <v>9.5281435763246956E-3</v>
      </c>
      <c r="U207" s="112"/>
      <c r="V207" s="205"/>
      <c r="W207" s="6"/>
      <c r="X207" s="182"/>
    </row>
    <row r="208" spans="1:24" ht="15.6">
      <c r="A208" s="25"/>
      <c r="B208" s="61" t="s">
        <v>186</v>
      </c>
      <c r="C208" s="113"/>
      <c r="D208" s="113"/>
      <c r="E208" s="113"/>
      <c r="F208" s="113"/>
      <c r="G208" s="113"/>
      <c r="H208" s="113"/>
      <c r="I208" s="113"/>
      <c r="J208" s="113"/>
      <c r="K208" s="113"/>
      <c r="L208" s="113">
        <v>74</v>
      </c>
      <c r="M208" s="86">
        <f t="shared" si="4"/>
        <v>7.7308817384036778E-3</v>
      </c>
      <c r="N208" s="113">
        <v>2297</v>
      </c>
      <c r="O208" s="86">
        <f t="shared" si="5"/>
        <v>8.8326789896061245E-3</v>
      </c>
      <c r="P208" s="110"/>
      <c r="Q208" s="113">
        <v>31</v>
      </c>
      <c r="R208" s="86">
        <f t="shared" si="6"/>
        <v>5.5013309671694769E-3</v>
      </c>
      <c r="S208" s="113">
        <v>385</v>
      </c>
      <c r="T208" s="86">
        <f t="shared" si="7"/>
        <v>5.4751272789328479E-3</v>
      </c>
      <c r="U208" s="112"/>
      <c r="V208" s="205"/>
      <c r="W208" s="6"/>
    </row>
    <row r="209" spans="1:24" ht="15.6">
      <c r="A209" s="25"/>
      <c r="B209" s="61" t="s">
        <v>187</v>
      </c>
      <c r="C209" s="113"/>
      <c r="D209" s="113"/>
      <c r="E209" s="113"/>
      <c r="F209" s="113"/>
      <c r="G209" s="113"/>
      <c r="H209" s="113"/>
      <c r="I209" s="113"/>
      <c r="J209" s="113"/>
      <c r="K209" s="113"/>
      <c r="L209" s="113">
        <v>51</v>
      </c>
      <c r="M209" s="86">
        <f t="shared" si="4"/>
        <v>5.3280401170079398E-3</v>
      </c>
      <c r="N209" s="113">
        <v>1664</v>
      </c>
      <c r="O209" s="86">
        <f t="shared" si="5"/>
        <v>6.3985972306071365E-3</v>
      </c>
      <c r="P209" s="110"/>
      <c r="Q209" s="113">
        <v>16</v>
      </c>
      <c r="R209" s="86">
        <f t="shared" si="6"/>
        <v>2.8393966282165041E-3</v>
      </c>
      <c r="S209" s="113">
        <v>223</v>
      </c>
      <c r="T209" s="86">
        <f t="shared" si="7"/>
        <v>3.1713074888364287E-3</v>
      </c>
      <c r="U209" s="112"/>
      <c r="V209" s="205"/>
      <c r="W209" s="6"/>
    </row>
    <row r="210" spans="1:24" ht="15.6">
      <c r="A210" s="25"/>
      <c r="B210" s="61" t="s">
        <v>188</v>
      </c>
      <c r="C210" s="113"/>
      <c r="D210" s="113"/>
      <c r="E210" s="113"/>
      <c r="F210" s="113"/>
      <c r="G210" s="113"/>
      <c r="H210" s="113"/>
      <c r="I210" s="113"/>
      <c r="J210" s="113"/>
      <c r="K210" s="113"/>
      <c r="L210" s="113">
        <v>39</v>
      </c>
      <c r="M210" s="86">
        <f t="shared" si="4"/>
        <v>4.0743836188884249E-3</v>
      </c>
      <c r="N210" s="113">
        <v>1455</v>
      </c>
      <c r="O210" s="86">
        <f t="shared" si="5"/>
        <v>5.5949272659455429E-3</v>
      </c>
      <c r="P210" s="110"/>
      <c r="Q210" s="113">
        <v>7</v>
      </c>
      <c r="R210" s="86">
        <f t="shared" si="6"/>
        <v>1.2422360248447205E-3</v>
      </c>
      <c r="S210" s="113">
        <v>69</v>
      </c>
      <c r="T210" s="86">
        <f t="shared" si="7"/>
        <v>9.812565772632897E-4</v>
      </c>
      <c r="U210" s="112"/>
      <c r="V210" s="205"/>
      <c r="W210" s="6"/>
    </row>
    <row r="211" spans="1:24" ht="15.6">
      <c r="A211" s="25"/>
      <c r="B211" s="61" t="s">
        <v>189</v>
      </c>
      <c r="C211" s="113"/>
      <c r="D211" s="113"/>
      <c r="E211" s="113"/>
      <c r="F211" s="113"/>
      <c r="G211" s="113"/>
      <c r="H211" s="113"/>
      <c r="I211" s="113"/>
      <c r="J211" s="113"/>
      <c r="K211" s="113"/>
      <c r="L211" s="113">
        <v>106</v>
      </c>
      <c r="M211" s="86">
        <f t="shared" si="4"/>
        <v>1.1073965733389051E-2</v>
      </c>
      <c r="N211" s="113">
        <v>3198</v>
      </c>
      <c r="O211" s="86">
        <f t="shared" si="5"/>
        <v>1.229730405257309E-2</v>
      </c>
      <c r="P211" s="110"/>
      <c r="Q211" s="113">
        <v>42</v>
      </c>
      <c r="R211" s="86">
        <f t="shared" si="6"/>
        <v>7.4534161490683228E-3</v>
      </c>
      <c r="S211" s="113">
        <v>630</v>
      </c>
      <c r="T211" s="86">
        <f t="shared" si="7"/>
        <v>8.9592991837082973E-3</v>
      </c>
      <c r="U211" s="112"/>
      <c r="V211" s="205"/>
      <c r="W211" s="6"/>
    </row>
    <row r="212" spans="1:24" ht="15.6">
      <c r="A212" s="25"/>
      <c r="B212" s="61" t="str">
        <f>B199</f>
        <v>Total Performing  Assets</v>
      </c>
      <c r="C212" s="113"/>
      <c r="D212" s="113"/>
      <c r="E212" s="113"/>
      <c r="F212" s="113"/>
      <c r="G212" s="113"/>
      <c r="H212" s="113"/>
      <c r="I212" s="113"/>
      <c r="J212" s="113"/>
      <c r="K212" s="113"/>
      <c r="L212" s="113">
        <f>SUM(L205:L211)</f>
        <v>9572</v>
      </c>
      <c r="M212" s="86">
        <f>SUM(M205:M211)</f>
        <v>1</v>
      </c>
      <c r="N212" s="113">
        <f>SUM(N205:N211)</f>
        <v>260057</v>
      </c>
      <c r="O212" s="86">
        <f>SUM(O205:O211)</f>
        <v>1</v>
      </c>
      <c r="P212" s="110"/>
      <c r="Q212" s="113">
        <f>SUM(Q205:Q211)</f>
        <v>5635</v>
      </c>
      <c r="R212" s="86">
        <f>SUM(R205:R211)</f>
        <v>1</v>
      </c>
      <c r="S212" s="113">
        <f>SUM(S205:S211)</f>
        <v>70318</v>
      </c>
      <c r="T212" s="86">
        <f>SUM(T205:T211)</f>
        <v>1</v>
      </c>
      <c r="U212" s="112"/>
      <c r="V212" s="205"/>
      <c r="W212" s="6"/>
    </row>
    <row r="213" spans="1:24" ht="15.6">
      <c r="A213" s="25"/>
      <c r="B213" s="61" t="s">
        <v>85</v>
      </c>
      <c r="C213" s="113"/>
      <c r="D213" s="113"/>
      <c r="E213" s="113"/>
      <c r="F213" s="113"/>
      <c r="G213" s="113"/>
      <c r="H213" s="113"/>
      <c r="I213" s="113"/>
      <c r="J213" s="113"/>
      <c r="K213" s="113"/>
      <c r="L213" s="113">
        <v>71</v>
      </c>
      <c r="M213" s="116"/>
      <c r="N213" s="113">
        <v>2483</v>
      </c>
      <c r="O213" s="114"/>
      <c r="P213" s="110"/>
      <c r="Q213" s="113">
        <v>17</v>
      </c>
      <c r="R213" s="116"/>
      <c r="S213" s="113">
        <v>244</v>
      </c>
      <c r="T213" s="116"/>
      <c r="U213" s="112"/>
      <c r="V213" s="205"/>
      <c r="W213" s="6"/>
    </row>
    <row r="214" spans="1:24" ht="15.6">
      <c r="A214" s="25"/>
      <c r="B214" s="61" t="s">
        <v>86</v>
      </c>
      <c r="C214" s="113"/>
      <c r="D214" s="113"/>
      <c r="E214" s="113"/>
      <c r="F214" s="113"/>
      <c r="G214" s="113"/>
      <c r="H214" s="113"/>
      <c r="I214" s="113"/>
      <c r="J214" s="113"/>
      <c r="K214" s="113"/>
      <c r="L214" s="113">
        <f>SUM(L212:L213)</f>
        <v>9643</v>
      </c>
      <c r="M214" s="189"/>
      <c r="N214" s="113">
        <f>SUM(N212:N213)</f>
        <v>262540</v>
      </c>
      <c r="O214" s="86"/>
      <c r="P214" s="189"/>
      <c r="Q214" s="113">
        <f>SUM(Q212:Q213)</f>
        <v>5652</v>
      </c>
      <c r="R214" s="189"/>
      <c r="S214" s="113">
        <f>SUM(S212:S213)</f>
        <v>70562</v>
      </c>
      <c r="T214" s="189"/>
      <c r="U214" s="189"/>
      <c r="V214" s="190"/>
    </row>
    <row r="215" spans="1:24" ht="15.6">
      <c r="A215" s="25"/>
      <c r="B215" s="61"/>
      <c r="C215" s="110"/>
      <c r="D215" s="110"/>
      <c r="E215" s="110"/>
      <c r="F215" s="110"/>
      <c r="G215" s="110"/>
      <c r="H215" s="110"/>
      <c r="I215" s="110"/>
      <c r="J215" s="110"/>
      <c r="K215" s="110"/>
      <c r="L215" s="110"/>
      <c r="M215" s="111"/>
      <c r="N215" s="110"/>
      <c r="O215" s="111"/>
      <c r="P215" s="110"/>
      <c r="Q215" s="117"/>
      <c r="R215" s="110"/>
      <c r="S215" s="113"/>
      <c r="T215" s="110"/>
      <c r="U215" s="112"/>
      <c r="V215" s="205"/>
      <c r="W215" s="6"/>
    </row>
    <row r="216" spans="1:24" ht="15.6">
      <c r="A216" s="25"/>
      <c r="B216" s="61" t="s">
        <v>86</v>
      </c>
      <c r="C216" s="110"/>
      <c r="D216" s="110"/>
      <c r="E216" s="110"/>
      <c r="F216" s="110"/>
      <c r="G216" s="110"/>
      <c r="H216" s="110"/>
      <c r="I216" s="110"/>
      <c r="J216" s="110"/>
      <c r="K216" s="110"/>
      <c r="L216" s="110"/>
      <c r="M216" s="111"/>
      <c r="N216" s="110"/>
      <c r="O216" s="111"/>
      <c r="P216" s="110"/>
      <c r="Q216" s="117"/>
      <c r="R216" s="116"/>
      <c r="S216" s="113">
        <f>+N201+S201+N214+S214</f>
        <v>367773</v>
      </c>
      <c r="T216" s="115"/>
      <c r="U216" s="112"/>
      <c r="V216" s="205"/>
      <c r="W216" s="6"/>
      <c r="X216" s="182"/>
    </row>
    <row r="217" spans="1:24" ht="15.6">
      <c r="A217" s="25"/>
      <c r="B217" s="61"/>
      <c r="C217" s="110"/>
      <c r="D217" s="110"/>
      <c r="E217" s="110"/>
      <c r="F217" s="110"/>
      <c r="G217" s="110"/>
      <c r="H217" s="110"/>
      <c r="I217" s="110"/>
      <c r="J217" s="110"/>
      <c r="K217" s="110"/>
      <c r="L217" s="110"/>
      <c r="M217" s="111"/>
      <c r="N217" s="110"/>
      <c r="O217" s="111"/>
      <c r="P217" s="110"/>
      <c r="Q217" s="111"/>
      <c r="R217" s="110"/>
      <c r="S217" s="113"/>
      <c r="T217" s="116"/>
      <c r="U217" s="112"/>
      <c r="V217" s="205"/>
      <c r="W217" s="6"/>
    </row>
    <row r="218" spans="1:24" ht="15.6">
      <c r="A218" s="25"/>
      <c r="B218" s="118" t="s">
        <v>87</v>
      </c>
      <c r="C218" s="110"/>
      <c r="D218" s="110"/>
      <c r="E218" s="110"/>
      <c r="F218" s="110"/>
      <c r="G218" s="110"/>
      <c r="H218" s="110"/>
      <c r="I218" s="110"/>
      <c r="J218" s="110"/>
      <c r="K218" s="110"/>
      <c r="L218" s="110"/>
      <c r="M218" s="111"/>
      <c r="N218" s="110"/>
      <c r="O218" s="111"/>
      <c r="P218" s="110"/>
      <c r="Q218" s="111"/>
      <c r="R218" s="110"/>
      <c r="S218" s="113"/>
      <c r="T218" s="110"/>
      <c r="U218" s="209"/>
      <c r="V218" s="205"/>
      <c r="W218" s="6"/>
    </row>
    <row r="219" spans="1:24" ht="15.6">
      <c r="A219" s="25"/>
      <c r="B219" s="61"/>
      <c r="C219" s="110"/>
      <c r="D219" s="110"/>
      <c r="E219" s="110"/>
      <c r="F219" s="110"/>
      <c r="G219" s="110"/>
      <c r="H219" s="110"/>
      <c r="I219" s="110"/>
      <c r="J219" s="110"/>
      <c r="K219" s="110"/>
      <c r="L219" s="110"/>
      <c r="M219" s="111"/>
      <c r="N219" s="110"/>
      <c r="O219" s="111"/>
      <c r="P219" s="110"/>
      <c r="Q219" s="111"/>
      <c r="R219" s="110"/>
      <c r="S219" s="113"/>
      <c r="T219" s="110"/>
      <c r="U219" s="112"/>
      <c r="V219" s="205"/>
      <c r="W219" s="6"/>
    </row>
    <row r="220" spans="1:24" ht="15.6">
      <c r="A220" s="25"/>
      <c r="B220" s="61" t="s">
        <v>88</v>
      </c>
      <c r="C220" s="110"/>
      <c r="D220" s="110"/>
      <c r="E220" s="110"/>
      <c r="F220" s="110"/>
      <c r="G220" s="110"/>
      <c r="H220" s="110"/>
      <c r="I220" s="110"/>
      <c r="J220" s="110"/>
      <c r="K220" s="110"/>
      <c r="L220" s="110"/>
      <c r="M220" s="111"/>
      <c r="N220" s="110"/>
      <c r="O220" s="111"/>
      <c r="P220" s="110"/>
      <c r="Q220" s="111"/>
      <c r="R220" s="110"/>
      <c r="S220" s="113">
        <f>+N199+S199+N212+S212</f>
        <v>357093</v>
      </c>
      <c r="T220" s="110"/>
      <c r="U220" s="112"/>
      <c r="V220" s="205"/>
      <c r="W220" s="6"/>
      <c r="X220" s="182"/>
    </row>
    <row r="221" spans="1:24" ht="15.6">
      <c r="A221" s="25"/>
      <c r="B221" s="61" t="s">
        <v>89</v>
      </c>
      <c r="C221" s="110"/>
      <c r="D221" s="110"/>
      <c r="E221" s="110"/>
      <c r="F221" s="110"/>
      <c r="G221" s="110"/>
      <c r="H221" s="110"/>
      <c r="I221" s="110"/>
      <c r="J221" s="110"/>
      <c r="K221" s="110"/>
      <c r="L221" s="110"/>
      <c r="M221" s="111"/>
      <c r="N221" s="110"/>
      <c r="O221" s="111"/>
      <c r="P221" s="110"/>
      <c r="Q221" s="111"/>
      <c r="R221" s="110"/>
      <c r="S221" s="113">
        <f>-U103</f>
        <v>92907</v>
      </c>
      <c r="T221" s="110"/>
      <c r="U221" s="112"/>
      <c r="V221" s="205"/>
      <c r="W221" s="119"/>
    </row>
    <row r="222" spans="1:24" ht="15.6">
      <c r="A222" s="25"/>
      <c r="B222" s="61" t="s">
        <v>90</v>
      </c>
      <c r="C222" s="110"/>
      <c r="D222" s="110"/>
      <c r="E222" s="110"/>
      <c r="F222" s="110"/>
      <c r="G222" s="110"/>
      <c r="H222" s="110"/>
      <c r="I222" s="110"/>
      <c r="J222" s="110"/>
      <c r="K222" s="110"/>
      <c r="L222" s="110"/>
      <c r="M222" s="111"/>
      <c r="N222" s="110"/>
      <c r="O222" s="111"/>
      <c r="P222" s="110"/>
      <c r="Q222" s="111"/>
      <c r="R222" s="110"/>
      <c r="S222" s="113">
        <f>SUM(S220:S221)</f>
        <v>450000</v>
      </c>
      <c r="T222" s="110"/>
      <c r="U222" s="112"/>
      <c r="V222" s="205"/>
      <c r="W222" s="6"/>
      <c r="X222" s="182">
        <f>+S222-S220</f>
        <v>92907</v>
      </c>
    </row>
    <row r="223" spans="1:24" ht="15.6">
      <c r="A223" s="25"/>
      <c r="B223" s="61"/>
      <c r="C223" s="110"/>
      <c r="D223" s="110"/>
      <c r="E223" s="110"/>
      <c r="F223" s="110"/>
      <c r="G223" s="110"/>
      <c r="H223" s="110"/>
      <c r="I223" s="110"/>
      <c r="J223" s="110"/>
      <c r="K223" s="110"/>
      <c r="L223" s="110"/>
      <c r="M223" s="111"/>
      <c r="N223" s="110"/>
      <c r="O223" s="111"/>
      <c r="P223" s="110"/>
      <c r="Q223" s="111"/>
      <c r="R223" s="110"/>
      <c r="S223" s="113"/>
      <c r="T223" s="110"/>
      <c r="U223" s="112"/>
      <c r="V223" s="205"/>
      <c r="W223" s="6"/>
    </row>
    <row r="224" spans="1:24" ht="15.6">
      <c r="A224" s="25"/>
      <c r="B224" s="61" t="s">
        <v>91</v>
      </c>
      <c r="C224" s="110"/>
      <c r="D224" s="110"/>
      <c r="E224" s="110"/>
      <c r="F224" s="110"/>
      <c r="G224" s="110"/>
      <c r="H224" s="110"/>
      <c r="I224" s="110"/>
      <c r="J224" s="110"/>
      <c r="K224" s="110"/>
      <c r="L224" s="110"/>
      <c r="M224" s="111"/>
      <c r="N224" s="110"/>
      <c r="O224" s="111"/>
      <c r="P224" s="110"/>
      <c r="Q224" s="111"/>
      <c r="R224" s="110"/>
      <c r="S224" s="113">
        <f>U33</f>
        <v>450000</v>
      </c>
      <c r="T224" s="110"/>
      <c r="U224" s="112"/>
      <c r="V224" s="205"/>
      <c r="W224" s="6"/>
    </row>
    <row r="225" spans="1:23" ht="15.6">
      <c r="A225" s="25"/>
      <c r="B225" s="61"/>
      <c r="C225" s="110"/>
      <c r="D225" s="110"/>
      <c r="E225" s="110"/>
      <c r="F225" s="110"/>
      <c r="G225" s="110"/>
      <c r="H225" s="110"/>
      <c r="I225" s="110"/>
      <c r="J225" s="110"/>
      <c r="K225" s="110"/>
      <c r="L225" s="110"/>
      <c r="M225" s="111"/>
      <c r="N225" s="110"/>
      <c r="O225" s="111"/>
      <c r="P225" s="110"/>
      <c r="Q225" s="111"/>
      <c r="R225" s="110"/>
      <c r="S225" s="113"/>
      <c r="T225" s="110"/>
      <c r="U225" s="112"/>
      <c r="V225" s="205"/>
      <c r="W225" s="6"/>
    </row>
    <row r="226" spans="1:23" ht="15.6">
      <c r="A226" s="25"/>
      <c r="B226" s="61" t="s">
        <v>92</v>
      </c>
      <c r="C226" s="110"/>
      <c r="D226" s="110"/>
      <c r="E226" s="110"/>
      <c r="F226" s="110"/>
      <c r="G226" s="110"/>
      <c r="H226" s="110"/>
      <c r="I226" s="110"/>
      <c r="J226" s="110"/>
      <c r="K226" s="110"/>
      <c r="L226" s="110"/>
      <c r="M226" s="111"/>
      <c r="N226" s="110"/>
      <c r="O226" s="111"/>
      <c r="P226" s="110"/>
      <c r="Q226" s="111"/>
      <c r="R226" s="110"/>
      <c r="S226" s="113">
        <f>S222/S224</f>
        <v>1</v>
      </c>
      <c r="T226" s="110"/>
      <c r="U226" s="112"/>
      <c r="V226" s="205"/>
      <c r="W226" s="6"/>
    </row>
    <row r="227" spans="1:23" ht="15.6">
      <c r="A227" s="25"/>
      <c r="B227" s="26"/>
      <c r="C227" s="26"/>
      <c r="D227" s="26"/>
      <c r="E227" s="26"/>
      <c r="F227" s="26"/>
      <c r="G227" s="26"/>
      <c r="H227" s="26"/>
      <c r="I227" s="26"/>
      <c r="J227" s="26"/>
      <c r="K227" s="26"/>
      <c r="L227" s="26"/>
      <c r="M227" s="33"/>
      <c r="N227" s="26"/>
      <c r="O227" s="26"/>
      <c r="P227" s="26"/>
      <c r="Q227" s="59"/>
      <c r="R227" s="120"/>
      <c r="S227" s="60"/>
      <c r="T227" s="120"/>
      <c r="U227" s="89"/>
      <c r="V227" s="196"/>
      <c r="W227" s="6"/>
    </row>
    <row r="228" spans="1:23" ht="15.6">
      <c r="A228" s="121"/>
      <c r="B228" s="30" t="s">
        <v>127</v>
      </c>
      <c r="C228" s="122"/>
      <c r="D228" s="122"/>
      <c r="E228" s="122"/>
      <c r="F228" s="122"/>
      <c r="G228" s="122"/>
      <c r="H228" s="122"/>
      <c r="I228" s="122"/>
      <c r="J228" s="122"/>
      <c r="K228" s="122"/>
      <c r="L228" s="122"/>
      <c r="M228" s="110"/>
      <c r="N228" s="112"/>
      <c r="O228" s="30"/>
      <c r="P228" s="123"/>
      <c r="Q228" s="123"/>
      <c r="R228" s="123"/>
      <c r="S228" s="124"/>
      <c r="T228" s="29"/>
      <c r="U228" s="29"/>
      <c r="V228" s="203"/>
      <c r="W228" s="6"/>
    </row>
    <row r="229" spans="1:23" ht="15.6">
      <c r="A229" s="125"/>
      <c r="B229" s="13" t="s">
        <v>128</v>
      </c>
      <c r="C229" s="126"/>
      <c r="D229" s="126"/>
      <c r="E229" s="126"/>
      <c r="F229" s="126"/>
      <c r="G229" s="126"/>
      <c r="H229" s="126"/>
      <c r="I229" s="126"/>
      <c r="J229" s="126"/>
      <c r="K229" s="126"/>
      <c r="L229" s="126"/>
      <c r="M229" s="127"/>
      <c r="N229" s="13"/>
      <c r="O229" s="13"/>
      <c r="P229" s="126"/>
      <c r="Q229" s="126"/>
      <c r="R229" s="12"/>
      <c r="S229" s="12"/>
      <c r="T229" s="12"/>
      <c r="U229" s="12"/>
      <c r="V229" s="207"/>
      <c r="W229" s="6"/>
    </row>
    <row r="230" spans="1:23" ht="15.6">
      <c r="A230" s="125"/>
      <c r="B230" s="13" t="s">
        <v>246</v>
      </c>
      <c r="C230" s="13"/>
      <c r="D230" s="13"/>
      <c r="E230" s="13"/>
      <c r="F230" s="13"/>
      <c r="G230" s="13"/>
      <c r="H230" s="13"/>
      <c r="I230" s="13"/>
      <c r="J230" s="13"/>
      <c r="K230" s="13"/>
      <c r="L230" s="13"/>
      <c r="M230" s="13"/>
      <c r="N230" s="13"/>
      <c r="O230" s="13"/>
      <c r="P230" s="13"/>
      <c r="Q230" s="13"/>
      <c r="R230" s="13"/>
      <c r="S230" s="13"/>
      <c r="T230" s="13"/>
      <c r="U230" s="13"/>
      <c r="V230" s="207"/>
      <c r="W230" s="6"/>
    </row>
    <row r="231" spans="1:23" ht="15.6">
      <c r="A231" s="125"/>
      <c r="B231" s="13" t="s">
        <v>129</v>
      </c>
      <c r="C231" s="126"/>
      <c r="D231" s="126"/>
      <c r="E231" s="126"/>
      <c r="F231" s="126"/>
      <c r="G231" s="126"/>
      <c r="H231" s="126"/>
      <c r="I231" s="126"/>
      <c r="J231" s="126"/>
      <c r="K231" s="126"/>
      <c r="L231" s="126"/>
      <c r="M231" s="127"/>
      <c r="N231" s="13"/>
      <c r="O231" s="13"/>
      <c r="P231" s="126"/>
      <c r="Q231" s="126"/>
      <c r="R231" s="12"/>
      <c r="S231" s="12"/>
      <c r="T231" s="12"/>
      <c r="U231" s="12"/>
      <c r="V231" s="207"/>
      <c r="W231" s="6"/>
    </row>
    <row r="232" spans="1:23" ht="15.6">
      <c r="A232" s="125"/>
      <c r="B232" s="13"/>
      <c r="C232" s="126"/>
      <c r="D232" s="126"/>
      <c r="E232" s="126"/>
      <c r="F232" s="126"/>
      <c r="G232" s="126"/>
      <c r="H232" s="126"/>
      <c r="I232" s="126"/>
      <c r="J232" s="126"/>
      <c r="K232" s="126"/>
      <c r="L232" s="126"/>
      <c r="M232" s="127"/>
      <c r="N232" s="13"/>
      <c r="O232" s="13"/>
      <c r="P232" s="126"/>
      <c r="Q232" s="126"/>
      <c r="R232" s="12"/>
      <c r="S232" s="12"/>
      <c r="T232" s="12"/>
      <c r="U232" s="12"/>
      <c r="V232" s="207"/>
      <c r="W232" s="6"/>
    </row>
    <row r="233" spans="1:23" ht="15.6">
      <c r="A233" s="125"/>
      <c r="B233" s="13"/>
      <c r="C233" s="126"/>
      <c r="D233" s="126"/>
      <c r="E233" s="126"/>
      <c r="F233" s="126"/>
      <c r="G233" s="126"/>
      <c r="H233" s="126"/>
      <c r="I233" s="126"/>
      <c r="J233" s="126"/>
      <c r="K233" s="126"/>
      <c r="L233" s="126"/>
      <c r="M233" s="127"/>
      <c r="N233" s="13"/>
      <c r="O233" s="13"/>
      <c r="P233" s="126"/>
      <c r="Q233" s="126"/>
      <c r="R233" s="12"/>
      <c r="S233" s="12"/>
      <c r="T233" s="12"/>
      <c r="U233" s="12"/>
      <c r="V233" s="207"/>
      <c r="W233" s="6"/>
    </row>
    <row r="234" spans="1:23" ht="16.2" thickBot="1">
      <c r="A234" s="125"/>
      <c r="B234" s="13" t="str">
        <f>+B161</f>
        <v>PPAF3 INVESTOR REPORT QUARTER ENDING DECEMBER 2008</v>
      </c>
      <c r="C234" s="126"/>
      <c r="D234" s="126"/>
      <c r="E234" s="126"/>
      <c r="F234" s="126"/>
      <c r="G234" s="126"/>
      <c r="H234" s="126"/>
      <c r="I234" s="126"/>
      <c r="J234" s="126"/>
      <c r="K234" s="126"/>
      <c r="L234" s="126"/>
      <c r="M234" s="127"/>
      <c r="N234" s="13"/>
      <c r="O234" s="13"/>
      <c r="P234" s="126"/>
      <c r="Q234" s="126"/>
      <c r="R234" s="12"/>
      <c r="S234" s="12"/>
      <c r="T234" s="12"/>
      <c r="U234" s="12"/>
      <c r="V234" s="208"/>
      <c r="W234" s="6"/>
    </row>
    <row r="235" spans="1:23">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row>
  </sheetData>
  <phoneticPr fontId="0" type="noConversion"/>
  <hyperlinks>
    <hyperlink ref="I9" r:id="rId1"/>
    <hyperlink ref="K188"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16383" man="1"/>
    <brk id="110" max="16383" man="1"/>
    <brk id="161" max="21" man="1"/>
    <brk id="240" man="1"/>
  </rowBreaks>
  <colBreaks count="1" manualBreakCount="1">
    <brk id="23" max="1048575" man="1"/>
  </colBreak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23"/>
  </sheetPr>
  <dimension ref="A1:Y236"/>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 t="s">
        <v>223</v>
      </c>
      <c r="B1" s="3" t="s">
        <v>123</v>
      </c>
      <c r="C1" s="4"/>
      <c r="D1" s="4"/>
      <c r="E1" s="4"/>
      <c r="F1" s="4"/>
      <c r="G1" s="4"/>
      <c r="H1" s="4"/>
      <c r="I1" s="4"/>
      <c r="J1" s="4"/>
      <c r="K1" s="4"/>
      <c r="L1" s="4"/>
      <c r="M1" s="5"/>
      <c r="N1" s="5"/>
      <c r="O1" s="5"/>
      <c r="P1" s="5"/>
      <c r="Q1" s="5"/>
      <c r="R1" s="5"/>
      <c r="S1" s="5"/>
      <c r="T1" s="5"/>
      <c r="U1" s="5"/>
      <c r="V1" s="193"/>
      <c r="W1" s="6"/>
    </row>
    <row r="2" spans="1:23" ht="15.6">
      <c r="A2" s="7"/>
      <c r="B2" s="8"/>
      <c r="C2" s="8"/>
      <c r="D2" s="8"/>
      <c r="E2" s="8"/>
      <c r="F2" s="8"/>
      <c r="G2" s="8"/>
      <c r="H2" s="8"/>
      <c r="I2" s="8"/>
      <c r="J2" s="8"/>
      <c r="K2" s="8"/>
      <c r="L2" s="8"/>
      <c r="M2" s="9"/>
      <c r="N2" s="9"/>
      <c r="O2" s="9"/>
      <c r="P2" s="9"/>
      <c r="Q2" s="9"/>
      <c r="R2" s="9"/>
      <c r="S2" s="9"/>
      <c r="T2" s="9"/>
      <c r="U2" s="9"/>
      <c r="V2" s="194"/>
      <c r="W2" s="6"/>
    </row>
    <row r="3" spans="1:23" ht="15.6">
      <c r="A3" s="10"/>
      <c r="B3" s="141" t="s">
        <v>125</v>
      </c>
      <c r="C3" s="9"/>
      <c r="D3" s="9"/>
      <c r="E3" s="9"/>
      <c r="F3" s="9"/>
      <c r="G3" s="9"/>
      <c r="H3" s="9"/>
      <c r="I3" s="9"/>
      <c r="J3" s="9"/>
      <c r="K3" s="9"/>
      <c r="L3" s="9"/>
      <c r="M3" s="9"/>
      <c r="N3" s="9"/>
      <c r="O3" s="9"/>
      <c r="P3" s="9"/>
      <c r="Q3" s="9"/>
      <c r="R3" s="9"/>
      <c r="S3" s="9"/>
      <c r="T3" s="9"/>
      <c r="U3" s="9"/>
      <c r="V3" s="194"/>
      <c r="W3" s="6"/>
    </row>
    <row r="4" spans="1:23" ht="15.6">
      <c r="A4" s="7"/>
      <c r="B4" s="8"/>
      <c r="C4" s="8"/>
      <c r="D4" s="8"/>
      <c r="E4" s="8"/>
      <c r="F4" s="8"/>
      <c r="G4" s="8"/>
      <c r="H4" s="8"/>
      <c r="I4" s="8"/>
      <c r="J4" s="8"/>
      <c r="K4" s="8"/>
      <c r="L4" s="8"/>
      <c r="M4" s="9"/>
      <c r="N4" s="9"/>
      <c r="O4" s="9"/>
      <c r="P4" s="9"/>
      <c r="Q4" s="9"/>
      <c r="R4" s="9"/>
      <c r="S4" s="9"/>
      <c r="T4" s="9"/>
      <c r="U4" s="9"/>
      <c r="V4" s="194"/>
      <c r="W4" s="6"/>
    </row>
    <row r="5" spans="1:23" ht="16.2">
      <c r="A5" s="7"/>
      <c r="B5" s="192" t="s">
        <v>0</v>
      </c>
      <c r="C5" s="11"/>
      <c r="D5" s="11"/>
      <c r="E5" s="11"/>
      <c r="F5" s="11"/>
      <c r="G5" s="11"/>
      <c r="H5" s="11"/>
      <c r="I5" s="11"/>
      <c r="J5" s="11"/>
      <c r="K5" s="11"/>
      <c r="L5" s="11"/>
      <c r="M5" s="9"/>
      <c r="N5" s="9"/>
      <c r="O5" s="9"/>
      <c r="P5" s="9"/>
      <c r="Q5" s="9"/>
      <c r="R5" s="9"/>
      <c r="S5" s="9"/>
      <c r="T5" s="9"/>
      <c r="U5" s="9"/>
      <c r="V5" s="194"/>
      <c r="W5" s="6"/>
    </row>
    <row r="6" spans="1:23" ht="16.2">
      <c r="A6" s="7"/>
      <c r="B6" s="192" t="s">
        <v>1</v>
      </c>
      <c r="C6" s="11"/>
      <c r="D6" s="11"/>
      <c r="E6" s="11"/>
      <c r="F6" s="11"/>
      <c r="G6" s="11"/>
      <c r="H6" s="11"/>
      <c r="I6" s="11"/>
      <c r="J6" s="11"/>
      <c r="K6" s="11"/>
      <c r="L6" s="11"/>
      <c r="M6" s="9"/>
      <c r="N6" s="9"/>
      <c r="O6" s="9"/>
      <c r="P6" s="9"/>
      <c r="Q6" s="9"/>
      <c r="R6" s="9"/>
      <c r="S6" s="9"/>
      <c r="T6" s="9"/>
      <c r="U6" s="9"/>
      <c r="V6" s="194"/>
      <c r="W6" s="6"/>
    </row>
    <row r="7" spans="1:23" ht="16.2">
      <c r="A7" s="7"/>
      <c r="B7" s="192" t="s">
        <v>2</v>
      </c>
      <c r="C7" s="11"/>
      <c r="D7" s="11"/>
      <c r="E7" s="11"/>
      <c r="F7" s="11"/>
      <c r="G7" s="11"/>
      <c r="H7" s="11"/>
      <c r="I7" s="11"/>
      <c r="J7" s="11"/>
      <c r="K7" s="11"/>
      <c r="L7" s="11"/>
      <c r="M7" s="9"/>
      <c r="N7" s="9"/>
      <c r="O7" s="9"/>
      <c r="P7" s="9"/>
      <c r="Q7" s="9"/>
      <c r="R7" s="9"/>
      <c r="S7" s="9"/>
      <c r="T7" s="9"/>
      <c r="U7" s="9"/>
      <c r="V7" s="194"/>
      <c r="W7" s="6"/>
    </row>
    <row r="8" spans="1:23" ht="16.2">
      <c r="A8" s="7"/>
      <c r="B8" s="12"/>
      <c r="C8" s="11"/>
      <c r="D8" s="11"/>
      <c r="E8" s="11"/>
      <c r="F8" s="11"/>
      <c r="G8" s="11"/>
      <c r="H8" s="11"/>
      <c r="I8" s="11"/>
      <c r="J8" s="11"/>
      <c r="K8" s="11"/>
      <c r="L8" s="11"/>
      <c r="M8" s="9"/>
      <c r="N8" s="9"/>
      <c r="O8" s="9"/>
      <c r="P8" s="9"/>
      <c r="Q8" s="9"/>
      <c r="R8" s="9"/>
      <c r="S8" s="9"/>
      <c r="T8" s="9"/>
      <c r="U8" s="9"/>
      <c r="V8" s="194"/>
      <c r="W8" s="6"/>
    </row>
    <row r="9" spans="1:23" ht="18">
      <c r="A9" s="7"/>
      <c r="B9" s="178" t="s">
        <v>194</v>
      </c>
      <c r="C9" s="11"/>
      <c r="D9" s="11"/>
      <c r="E9" s="11"/>
      <c r="F9" s="11"/>
      <c r="G9" s="11"/>
      <c r="H9" s="11"/>
      <c r="I9" s="179" t="s">
        <v>195</v>
      </c>
      <c r="J9" s="11"/>
      <c r="K9" s="11"/>
      <c r="L9" s="11"/>
      <c r="M9" s="9"/>
      <c r="N9" s="9"/>
      <c r="O9" s="9"/>
      <c r="P9" s="9"/>
      <c r="Q9" s="9"/>
      <c r="R9" s="9"/>
      <c r="S9" s="9"/>
      <c r="T9" s="9"/>
      <c r="U9" s="9"/>
      <c r="V9" s="194"/>
      <c r="W9" s="6"/>
    </row>
    <row r="10" spans="1:23" ht="16.2">
      <c r="A10" s="7"/>
      <c r="B10" s="11"/>
      <c r="C10" s="11"/>
      <c r="D10" s="11"/>
      <c r="E10" s="11"/>
      <c r="F10" s="11"/>
      <c r="G10" s="11"/>
      <c r="H10" s="11"/>
      <c r="I10" s="11"/>
      <c r="J10" s="11"/>
      <c r="K10" s="11"/>
      <c r="L10" s="11"/>
      <c r="M10" s="13"/>
      <c r="N10" s="13"/>
      <c r="O10" s="9"/>
      <c r="P10" s="9"/>
      <c r="Q10" s="9"/>
      <c r="R10" s="9"/>
      <c r="S10" s="9"/>
      <c r="T10" s="9"/>
      <c r="U10" s="9"/>
      <c r="V10" s="194"/>
      <c r="W10" s="6"/>
    </row>
    <row r="11" spans="1:23" ht="15.6">
      <c r="A11" s="7"/>
      <c r="B11" s="13" t="s">
        <v>3</v>
      </c>
      <c r="C11" s="13"/>
      <c r="D11" s="13"/>
      <c r="E11" s="13"/>
      <c r="F11" s="13"/>
      <c r="G11" s="13"/>
      <c r="H11" s="13"/>
      <c r="I11" s="13"/>
      <c r="J11" s="13"/>
      <c r="K11" s="13"/>
      <c r="L11" s="13"/>
      <c r="M11" s="9"/>
      <c r="N11" s="9"/>
      <c r="O11" s="9"/>
      <c r="P11" s="9"/>
      <c r="Q11" s="9"/>
      <c r="R11" s="9"/>
      <c r="S11" s="9"/>
      <c r="T11" s="9"/>
      <c r="U11" s="9"/>
      <c r="V11" s="194"/>
      <c r="W11" s="6"/>
    </row>
    <row r="12" spans="1:23" ht="16.2" thickBot="1">
      <c r="A12" s="7"/>
      <c r="B12" s="13"/>
      <c r="C12" s="13"/>
      <c r="D12" s="13"/>
      <c r="E12" s="13"/>
      <c r="F12" s="13"/>
      <c r="G12" s="13"/>
      <c r="H12" s="13"/>
      <c r="I12" s="13"/>
      <c r="J12" s="13"/>
      <c r="K12" s="13"/>
      <c r="L12" s="13"/>
      <c r="M12" s="9"/>
      <c r="N12" s="9"/>
      <c r="O12" s="9"/>
      <c r="P12" s="9"/>
      <c r="Q12" s="9"/>
      <c r="R12" s="9"/>
      <c r="S12" s="9"/>
      <c r="T12" s="9"/>
      <c r="U12" s="9"/>
      <c r="V12" s="194"/>
      <c r="W12" s="6"/>
    </row>
    <row r="13" spans="1:23" ht="15.6">
      <c r="A13" s="2"/>
      <c r="B13" s="5"/>
      <c r="C13" s="5"/>
      <c r="D13" s="5"/>
      <c r="E13" s="5"/>
      <c r="F13" s="5"/>
      <c r="G13" s="5"/>
      <c r="H13" s="5"/>
      <c r="I13" s="5"/>
      <c r="J13" s="5"/>
      <c r="K13" s="5"/>
      <c r="L13" s="5"/>
      <c r="M13" s="5"/>
      <c r="N13" s="5"/>
      <c r="O13" s="5"/>
      <c r="P13" s="5"/>
      <c r="Q13" s="5"/>
      <c r="R13" s="5"/>
      <c r="S13" s="5"/>
      <c r="T13" s="5"/>
      <c r="U13" s="5"/>
      <c r="V13" s="193"/>
      <c r="W13" s="6"/>
    </row>
    <row r="14" spans="1:23" ht="15.6">
      <c r="A14" s="7"/>
      <c r="B14" s="14" t="s">
        <v>4</v>
      </c>
      <c r="C14" s="14"/>
      <c r="D14" s="14"/>
      <c r="E14" s="14"/>
      <c r="F14" s="14"/>
      <c r="G14" s="14"/>
      <c r="H14" s="14"/>
      <c r="I14" s="14"/>
      <c r="J14" s="14"/>
      <c r="K14" s="14"/>
      <c r="L14" s="14"/>
      <c r="M14" s="15"/>
      <c r="N14" s="15"/>
      <c r="O14" s="15"/>
      <c r="P14" s="15"/>
      <c r="Q14" s="15"/>
      <c r="R14" s="15"/>
      <c r="S14" s="15"/>
      <c r="T14" s="15"/>
      <c r="U14" s="16" t="s">
        <v>126</v>
      </c>
      <c r="V14" s="194"/>
      <c r="W14" s="6"/>
    </row>
    <row r="15" spans="1:23" ht="15.6">
      <c r="A15" s="7"/>
      <c r="B15" s="14" t="s">
        <v>5</v>
      </c>
      <c r="C15" s="14"/>
      <c r="D15" s="14"/>
      <c r="E15" s="14"/>
      <c r="F15" s="14"/>
      <c r="G15" s="14"/>
      <c r="H15" s="14"/>
      <c r="I15" s="14"/>
      <c r="J15" s="14"/>
      <c r="K15" s="14"/>
      <c r="L15" s="14"/>
      <c r="M15" s="17" t="s">
        <v>93</v>
      </c>
      <c r="N15" s="18">
        <v>0.1492</v>
      </c>
      <c r="O15" s="17" t="s">
        <v>99</v>
      </c>
      <c r="P15" s="18">
        <v>5.4399999999999997E-2</v>
      </c>
      <c r="Q15" s="17" t="s">
        <v>102</v>
      </c>
      <c r="R15" s="18">
        <v>0.48899999999999999</v>
      </c>
      <c r="S15" s="17" t="s">
        <v>108</v>
      </c>
      <c r="T15" s="18">
        <v>0.30740000000000001</v>
      </c>
      <c r="U15" s="16"/>
      <c r="V15" s="195"/>
      <c r="W15" s="6"/>
    </row>
    <row r="16" spans="1:23" ht="15.6">
      <c r="A16" s="7"/>
      <c r="B16" s="14" t="s">
        <v>6</v>
      </c>
      <c r="C16" s="14"/>
      <c r="D16" s="14"/>
      <c r="E16" s="14"/>
      <c r="F16" s="14"/>
      <c r="G16" s="14"/>
      <c r="H16" s="14"/>
      <c r="I16" s="14"/>
      <c r="J16" s="14"/>
      <c r="K16" s="14"/>
      <c r="L16" s="14"/>
      <c r="M16" s="17" t="s">
        <v>93</v>
      </c>
      <c r="N16" s="18">
        <f>+N200/S223</f>
        <v>3.4100877790430938E-2</v>
      </c>
      <c r="O16" s="17" t="s">
        <v>99</v>
      </c>
      <c r="P16" s="18">
        <f>+S200/S223</f>
        <v>2.5140441020220238E-2</v>
      </c>
      <c r="Q16" s="17" t="s">
        <v>102</v>
      </c>
      <c r="R16" s="18">
        <f>+N213/S223</f>
        <v>0.76416533626838268</v>
      </c>
      <c r="S16" s="17" t="s">
        <v>108</v>
      </c>
      <c r="T16" s="18">
        <f>+S213/S223</f>
        <v>0.16705806711745827</v>
      </c>
      <c r="U16" s="16"/>
      <c r="V16" s="195"/>
      <c r="W16" s="6"/>
    </row>
    <row r="17" spans="1:23" ht="15.6">
      <c r="A17" s="7"/>
      <c r="B17" s="14" t="s">
        <v>7</v>
      </c>
      <c r="C17" s="14"/>
      <c r="D17" s="14"/>
      <c r="E17" s="14"/>
      <c r="F17" s="14"/>
      <c r="G17" s="14"/>
      <c r="H17" s="14"/>
      <c r="I17" s="14"/>
      <c r="J17" s="14"/>
      <c r="K17" s="14"/>
      <c r="L17" s="14"/>
      <c r="M17" s="15"/>
      <c r="N17" s="15"/>
      <c r="O17" s="15"/>
      <c r="P17" s="15"/>
      <c r="Q17" s="15"/>
      <c r="R17" s="15"/>
      <c r="S17" s="15"/>
      <c r="T17" s="15"/>
      <c r="U17" s="19">
        <v>38491</v>
      </c>
      <c r="V17" s="194"/>
      <c r="W17" s="6"/>
    </row>
    <row r="18" spans="1:23" ht="15.6">
      <c r="A18" s="7"/>
      <c r="B18" s="14" t="s">
        <v>8</v>
      </c>
      <c r="C18" s="14"/>
      <c r="D18" s="14"/>
      <c r="E18" s="14"/>
      <c r="F18" s="14"/>
      <c r="G18" s="14"/>
      <c r="H18" s="14"/>
      <c r="I18" s="14"/>
      <c r="J18" s="14"/>
      <c r="K18" s="14"/>
      <c r="L18" s="14"/>
      <c r="M18" s="15"/>
      <c r="N18" s="15"/>
      <c r="O18" s="15"/>
      <c r="P18" s="15"/>
      <c r="Q18" s="15"/>
      <c r="R18" s="15"/>
      <c r="S18" s="15"/>
      <c r="T18" s="15"/>
      <c r="U18" s="19">
        <v>39925</v>
      </c>
      <c r="V18" s="194"/>
      <c r="W18" s="6"/>
    </row>
    <row r="19" spans="1:23" ht="15.6">
      <c r="A19" s="7"/>
      <c r="B19" s="9"/>
      <c r="C19" s="9"/>
      <c r="D19" s="9"/>
      <c r="E19" s="9"/>
      <c r="F19" s="9"/>
      <c r="G19" s="9"/>
      <c r="H19" s="9"/>
      <c r="I19" s="9"/>
      <c r="J19" s="9"/>
      <c r="K19" s="9"/>
      <c r="L19" s="9"/>
      <c r="M19" s="9"/>
      <c r="N19" s="9"/>
      <c r="O19" s="9"/>
      <c r="P19" s="9"/>
      <c r="Q19" s="9"/>
      <c r="R19" s="9"/>
      <c r="S19" s="9"/>
      <c r="T19" s="9"/>
      <c r="U19" s="20"/>
      <c r="V19" s="194"/>
      <c r="W19" s="6"/>
    </row>
    <row r="20" spans="1:23" ht="15.6">
      <c r="A20" s="7"/>
      <c r="B20" s="21" t="s">
        <v>9</v>
      </c>
      <c r="C20" s="9"/>
      <c r="D20" s="9"/>
      <c r="E20" s="9"/>
      <c r="F20" s="9"/>
      <c r="G20" s="9"/>
      <c r="H20" s="9"/>
      <c r="I20" s="9"/>
      <c r="J20" s="9"/>
      <c r="K20" s="9"/>
      <c r="L20" s="9"/>
      <c r="M20" s="9"/>
      <c r="N20" s="9"/>
      <c r="O20" s="9"/>
      <c r="P20" s="9"/>
      <c r="Q20" s="9"/>
      <c r="R20" s="9"/>
      <c r="S20" s="20"/>
      <c r="T20" s="9"/>
      <c r="U20" s="12"/>
      <c r="V20" s="194"/>
      <c r="W20" s="6"/>
    </row>
    <row r="21" spans="1:23" ht="15.6">
      <c r="A21" s="7"/>
      <c r="B21" s="9"/>
      <c r="C21" s="9"/>
      <c r="D21" s="9"/>
      <c r="E21" s="9"/>
      <c r="F21" s="9"/>
      <c r="G21" s="9"/>
      <c r="H21" s="9"/>
      <c r="I21" s="9"/>
      <c r="J21" s="9"/>
      <c r="K21" s="9"/>
      <c r="L21" s="9"/>
      <c r="M21" s="9"/>
      <c r="N21" s="9"/>
      <c r="O21" s="9"/>
      <c r="P21" s="9"/>
      <c r="Q21" s="9"/>
      <c r="R21" s="9"/>
      <c r="S21" s="9"/>
      <c r="T21" s="9"/>
      <c r="U21" s="22"/>
      <c r="V21" s="194"/>
      <c r="W21" s="6"/>
    </row>
    <row r="22" spans="1:23" ht="15.6">
      <c r="A22" s="7"/>
      <c r="B22" s="9"/>
      <c r="C22" s="142" t="s">
        <v>130</v>
      </c>
      <c r="D22" s="142"/>
      <c r="E22" s="142" t="s">
        <v>131</v>
      </c>
      <c r="F22" s="142"/>
      <c r="G22" s="142" t="s">
        <v>132</v>
      </c>
      <c r="H22" s="142"/>
      <c r="I22" s="142" t="s">
        <v>133</v>
      </c>
      <c r="J22" s="142"/>
      <c r="K22" s="142" t="s">
        <v>134</v>
      </c>
      <c r="L22" s="142"/>
      <c r="M22" s="144" t="s">
        <v>135</v>
      </c>
      <c r="N22" s="144"/>
      <c r="O22" s="144" t="s">
        <v>136</v>
      </c>
      <c r="P22" s="144"/>
      <c r="Q22" s="144" t="s">
        <v>137</v>
      </c>
      <c r="R22" s="23"/>
      <c r="S22" s="24"/>
      <c r="T22" s="12"/>
      <c r="U22" s="12"/>
      <c r="V22" s="194"/>
      <c r="W22" s="6"/>
    </row>
    <row r="23" spans="1:23" ht="15.6">
      <c r="A23" s="25"/>
      <c r="B23" s="26" t="s">
        <v>10</v>
      </c>
      <c r="C23" s="157" t="s">
        <v>96</v>
      </c>
      <c r="D23" s="157"/>
      <c r="E23" s="157" t="s">
        <v>96</v>
      </c>
      <c r="F23" s="157"/>
      <c r="G23" s="157" t="s">
        <v>138</v>
      </c>
      <c r="H23" s="157"/>
      <c r="I23" s="157" t="s">
        <v>138</v>
      </c>
      <c r="J23" s="157"/>
      <c r="K23" s="157" t="s">
        <v>104</v>
      </c>
      <c r="L23" s="143"/>
      <c r="M23" s="28" t="s">
        <v>104</v>
      </c>
      <c r="N23" s="28"/>
      <c r="O23" s="28" t="s">
        <v>109</v>
      </c>
      <c r="P23" s="28"/>
      <c r="Q23" s="28" t="s">
        <v>109</v>
      </c>
      <c r="R23" s="28"/>
      <c r="S23" s="28"/>
      <c r="T23" s="29"/>
      <c r="U23" s="29"/>
      <c r="V23" s="196"/>
      <c r="W23" s="6"/>
    </row>
    <row r="24" spans="1:23" ht="15.6">
      <c r="A24" s="25"/>
      <c r="B24" s="26" t="s">
        <v>11</v>
      </c>
      <c r="C24" s="157" t="s">
        <v>97</v>
      </c>
      <c r="D24" s="157"/>
      <c r="E24" s="157" t="s">
        <v>97</v>
      </c>
      <c r="F24" s="157"/>
      <c r="G24" s="157" t="s">
        <v>139</v>
      </c>
      <c r="H24" s="157"/>
      <c r="I24" s="157" t="s">
        <v>139</v>
      </c>
      <c r="J24" s="157"/>
      <c r="K24" s="157" t="s">
        <v>105</v>
      </c>
      <c r="L24" s="27"/>
      <c r="M24" s="28" t="s">
        <v>105</v>
      </c>
      <c r="N24" s="28"/>
      <c r="O24" s="28" t="s">
        <v>110</v>
      </c>
      <c r="P24" s="28"/>
      <c r="Q24" s="28" t="s">
        <v>110</v>
      </c>
      <c r="R24" s="28"/>
      <c r="S24" s="28"/>
      <c r="T24" s="29"/>
      <c r="U24" s="29"/>
      <c r="V24" s="196"/>
      <c r="W24" s="6"/>
    </row>
    <row r="25" spans="1:23" ht="15.6">
      <c r="A25" s="25"/>
      <c r="B25" s="30" t="s">
        <v>12</v>
      </c>
      <c r="C25" s="110" t="s">
        <v>96</v>
      </c>
      <c r="D25" s="110"/>
      <c r="E25" s="110" t="s">
        <v>96</v>
      </c>
      <c r="F25" s="110"/>
      <c r="G25" s="110" t="s">
        <v>138</v>
      </c>
      <c r="H25" s="110"/>
      <c r="I25" s="110" t="s">
        <v>138</v>
      </c>
      <c r="J25" s="30"/>
      <c r="K25" s="110" t="s">
        <v>104</v>
      </c>
      <c r="L25" s="30"/>
      <c r="M25" s="31" t="s">
        <v>104</v>
      </c>
      <c r="N25" s="28"/>
      <c r="O25" s="31" t="s">
        <v>109</v>
      </c>
      <c r="P25" s="28"/>
      <c r="Q25" s="31" t="s">
        <v>109</v>
      </c>
      <c r="R25" s="31"/>
      <c r="S25" s="31"/>
      <c r="T25" s="32"/>
      <c r="U25" s="29"/>
      <c r="V25" s="196"/>
      <c r="W25" s="6"/>
    </row>
    <row r="26" spans="1:23" ht="15.6">
      <c r="A26" s="25"/>
      <c r="B26" s="30" t="s">
        <v>13</v>
      </c>
      <c r="C26" s="110" t="s">
        <v>97</v>
      </c>
      <c r="D26" s="110"/>
      <c r="E26" s="110" t="s">
        <v>97</v>
      </c>
      <c r="F26" s="110"/>
      <c r="G26" s="110" t="s">
        <v>139</v>
      </c>
      <c r="H26" s="110"/>
      <c r="I26" s="110" t="s">
        <v>139</v>
      </c>
      <c r="J26" s="30"/>
      <c r="K26" s="110" t="s">
        <v>105</v>
      </c>
      <c r="L26" s="30"/>
      <c r="M26" s="31" t="s">
        <v>105</v>
      </c>
      <c r="N26" s="28"/>
      <c r="O26" s="31" t="s">
        <v>110</v>
      </c>
      <c r="P26" s="28"/>
      <c r="Q26" s="31" t="s">
        <v>110</v>
      </c>
      <c r="R26" s="31"/>
      <c r="S26" s="31"/>
      <c r="T26" s="32"/>
      <c r="U26" s="29"/>
      <c r="V26" s="196"/>
      <c r="W26" s="6"/>
    </row>
    <row r="27" spans="1:23" ht="15.6">
      <c r="A27" s="25"/>
      <c r="B27" s="26" t="s">
        <v>14</v>
      </c>
      <c r="C27" s="33" t="s">
        <v>140</v>
      </c>
      <c r="D27" s="26"/>
      <c r="E27" s="33" t="s">
        <v>141</v>
      </c>
      <c r="F27" s="26"/>
      <c r="G27" s="33" t="s">
        <v>142</v>
      </c>
      <c r="H27" s="26"/>
      <c r="I27" s="33" t="s">
        <v>258</v>
      </c>
      <c r="J27" s="26"/>
      <c r="K27" s="33" t="s">
        <v>143</v>
      </c>
      <c r="L27" s="26"/>
      <c r="M27" s="26" t="s">
        <v>144</v>
      </c>
      <c r="N27" s="28"/>
      <c r="O27" s="26" t="s">
        <v>145</v>
      </c>
      <c r="P27" s="28"/>
      <c r="Q27" s="26" t="s">
        <v>146</v>
      </c>
      <c r="R27" s="28"/>
      <c r="S27" s="33"/>
      <c r="T27" s="29"/>
      <c r="U27" s="29"/>
      <c r="V27" s="196"/>
      <c r="W27" s="6"/>
    </row>
    <row r="28" spans="1:23" ht="15.6">
      <c r="A28" s="25"/>
      <c r="B28" s="26" t="s">
        <v>147</v>
      </c>
      <c r="C28" s="168">
        <v>146000</v>
      </c>
      <c r="D28" s="33"/>
      <c r="E28" s="165">
        <v>259500</v>
      </c>
      <c r="F28" s="33"/>
      <c r="G28" s="168">
        <v>16000</v>
      </c>
      <c r="H28" s="33"/>
      <c r="I28" s="165">
        <v>35500</v>
      </c>
      <c r="J28" s="26"/>
      <c r="K28" s="168">
        <v>18000</v>
      </c>
      <c r="L28" s="26"/>
      <c r="M28" s="165">
        <v>33000</v>
      </c>
      <c r="N28" s="35"/>
      <c r="O28" s="34">
        <v>24500</v>
      </c>
      <c r="P28" s="34"/>
      <c r="Q28" s="165">
        <v>30000</v>
      </c>
      <c r="R28" s="34"/>
      <c r="S28" s="34"/>
      <c r="T28" s="36"/>
      <c r="U28" s="34"/>
      <c r="V28" s="197"/>
      <c r="W28" s="6"/>
    </row>
    <row r="29" spans="1:23" ht="15.6">
      <c r="A29" s="25"/>
      <c r="B29" s="26" t="s">
        <v>15</v>
      </c>
      <c r="C29" s="168">
        <v>146000</v>
      </c>
      <c r="D29" s="169"/>
      <c r="E29" s="165">
        <v>259500</v>
      </c>
      <c r="F29" s="169"/>
      <c r="G29" s="168">
        <v>16000</v>
      </c>
      <c r="H29" s="169"/>
      <c r="I29" s="165">
        <v>35500</v>
      </c>
      <c r="J29" s="38"/>
      <c r="K29" s="168">
        <v>18000</v>
      </c>
      <c r="L29" s="38"/>
      <c r="M29" s="165">
        <v>33000</v>
      </c>
      <c r="N29" s="35"/>
      <c r="O29" s="34">
        <v>24500</v>
      </c>
      <c r="P29" s="34"/>
      <c r="Q29" s="165">
        <v>30000</v>
      </c>
      <c r="R29" s="39"/>
      <c r="S29" s="34"/>
      <c r="T29" s="36"/>
      <c r="U29" s="34"/>
      <c r="V29" s="197"/>
      <c r="W29" s="6"/>
    </row>
    <row r="30" spans="1:23" ht="15.6">
      <c r="A30" s="40"/>
      <c r="B30" s="30" t="s">
        <v>148</v>
      </c>
      <c r="C30" s="162">
        <f>C34*C28</f>
        <v>108624.70080000001</v>
      </c>
      <c r="D30" s="170"/>
      <c r="E30" s="171">
        <f>E34*E28</f>
        <v>193069.24559999999</v>
      </c>
      <c r="F30" s="170"/>
      <c r="G30" s="162">
        <v>16000</v>
      </c>
      <c r="H30" s="170"/>
      <c r="I30" s="171">
        <v>35500</v>
      </c>
      <c r="J30" s="159"/>
      <c r="K30" s="162">
        <v>18000</v>
      </c>
      <c r="L30" s="41"/>
      <c r="M30" s="166">
        <v>33000</v>
      </c>
      <c r="N30" s="43"/>
      <c r="O30" s="42">
        <v>24500</v>
      </c>
      <c r="P30" s="42"/>
      <c r="Q30" s="166">
        <v>30000</v>
      </c>
      <c r="R30" s="42"/>
      <c r="S30" s="42"/>
      <c r="T30" s="44"/>
      <c r="U30" s="42"/>
      <c r="V30" s="196"/>
      <c r="W30" s="6"/>
    </row>
    <row r="31" spans="1:23" ht="15.6">
      <c r="A31" s="40"/>
      <c r="B31" s="158" t="s">
        <v>260</v>
      </c>
      <c r="C31" s="172">
        <v>146000</v>
      </c>
      <c r="D31" s="173"/>
      <c r="E31" s="172">
        <v>178000</v>
      </c>
      <c r="F31" s="172"/>
      <c r="G31" s="172">
        <v>16000</v>
      </c>
      <c r="H31" s="172"/>
      <c r="I31" s="172">
        <v>24500</v>
      </c>
      <c r="J31" s="161"/>
      <c r="K31" s="172">
        <v>18000</v>
      </c>
      <c r="L31" s="161"/>
      <c r="M31" s="167">
        <v>22500</v>
      </c>
      <c r="N31" s="164"/>
      <c r="O31" s="167">
        <v>24500</v>
      </c>
      <c r="P31" s="163"/>
      <c r="Q31" s="167">
        <v>20500</v>
      </c>
      <c r="R31" s="42"/>
      <c r="S31" s="42"/>
      <c r="T31" s="44"/>
      <c r="U31" s="34">
        <f>+Q31+O31+M31+K31+I31+G31+E31+C31</f>
        <v>450000</v>
      </c>
      <c r="V31" s="196"/>
      <c r="W31" s="6"/>
    </row>
    <row r="32" spans="1:23" ht="15.6">
      <c r="A32" s="40"/>
      <c r="B32" s="158" t="s">
        <v>261</v>
      </c>
      <c r="C32" s="172">
        <v>146000</v>
      </c>
      <c r="D32" s="173"/>
      <c r="E32" s="172">
        <v>178000</v>
      </c>
      <c r="F32" s="172"/>
      <c r="G32" s="172">
        <v>16000</v>
      </c>
      <c r="H32" s="172"/>
      <c r="I32" s="172">
        <v>24500</v>
      </c>
      <c r="J32" s="161"/>
      <c r="K32" s="172">
        <v>18000</v>
      </c>
      <c r="L32" s="161"/>
      <c r="M32" s="167">
        <v>22500</v>
      </c>
      <c r="N32" s="164"/>
      <c r="O32" s="167">
        <v>24500</v>
      </c>
      <c r="P32" s="163"/>
      <c r="Q32" s="167">
        <v>20500</v>
      </c>
      <c r="R32" s="42"/>
      <c r="S32" s="42"/>
      <c r="T32" s="44"/>
      <c r="U32" s="34">
        <f>+Q32+O32+M32+K32+I32+G32+E32+C32</f>
        <v>450000</v>
      </c>
      <c r="V32" s="196"/>
      <c r="W32" s="6"/>
    </row>
    <row r="33" spans="1:23" ht="15.6">
      <c r="A33" s="40"/>
      <c r="B33" s="30" t="s">
        <v>262</v>
      </c>
      <c r="C33" s="162">
        <f>C34*C28</f>
        <v>108624.70080000001</v>
      </c>
      <c r="D33" s="162"/>
      <c r="E33" s="162">
        <f>E34*E31</f>
        <v>132432.85440000001</v>
      </c>
      <c r="F33" s="162"/>
      <c r="G33" s="162">
        <v>16000</v>
      </c>
      <c r="H33" s="162"/>
      <c r="I33" s="162">
        <v>24500</v>
      </c>
      <c r="J33" s="160"/>
      <c r="K33" s="162">
        <v>18000</v>
      </c>
      <c r="L33" s="160"/>
      <c r="M33" s="162">
        <v>22500</v>
      </c>
      <c r="N33" s="160"/>
      <c r="O33" s="162">
        <v>24500</v>
      </c>
      <c r="P33" s="162"/>
      <c r="Q33" s="162">
        <v>20500</v>
      </c>
      <c r="R33" s="42"/>
      <c r="S33" s="42"/>
      <c r="T33" s="44"/>
      <c r="U33" s="42">
        <f>+Q33+O33+M33+K33+I33+G33+E33+C33</f>
        <v>367057.5552</v>
      </c>
      <c r="V33" s="196"/>
      <c r="W33" s="6"/>
    </row>
    <row r="34" spans="1:23" ht="15.6">
      <c r="A34" s="40"/>
      <c r="B34" s="174" t="s">
        <v>149</v>
      </c>
      <c r="C34" s="175">
        <v>0.74400480000000002</v>
      </c>
      <c r="D34" s="175"/>
      <c r="E34" s="175">
        <v>0.74400480000000002</v>
      </c>
      <c r="F34" s="175"/>
      <c r="G34" s="175">
        <v>1</v>
      </c>
      <c r="H34" s="175"/>
      <c r="I34" s="175">
        <v>1</v>
      </c>
      <c r="J34" s="175"/>
      <c r="K34" s="175">
        <v>1</v>
      </c>
      <c r="L34" s="175"/>
      <c r="M34" s="175">
        <v>1</v>
      </c>
      <c r="N34" s="175"/>
      <c r="O34" s="175">
        <v>1</v>
      </c>
      <c r="P34" s="175"/>
      <c r="Q34" s="175">
        <v>1</v>
      </c>
      <c r="R34" s="176"/>
      <c r="S34" s="42"/>
      <c r="T34" s="44"/>
      <c r="U34" s="42"/>
      <c r="V34" s="196"/>
      <c r="W34" s="6"/>
    </row>
    <row r="35" spans="1:23" ht="15.6">
      <c r="A35" s="40"/>
      <c r="B35" s="174" t="s">
        <v>150</v>
      </c>
      <c r="C35" s="175">
        <v>1</v>
      </c>
      <c r="D35" s="175"/>
      <c r="E35" s="175">
        <v>1</v>
      </c>
      <c r="F35" s="175"/>
      <c r="G35" s="175">
        <v>1</v>
      </c>
      <c r="H35" s="175"/>
      <c r="I35" s="175">
        <v>1</v>
      </c>
      <c r="J35" s="175"/>
      <c r="K35" s="175">
        <v>1</v>
      </c>
      <c r="L35" s="175"/>
      <c r="M35" s="175">
        <v>1</v>
      </c>
      <c r="N35" s="175"/>
      <c r="O35" s="175">
        <v>1</v>
      </c>
      <c r="P35" s="175"/>
      <c r="Q35" s="175">
        <v>1</v>
      </c>
      <c r="R35" s="176"/>
      <c r="S35" s="42"/>
      <c r="T35" s="44"/>
      <c r="U35" s="42"/>
      <c r="V35" s="196"/>
      <c r="W35" s="6"/>
    </row>
    <row r="36" spans="1:23" ht="15.6">
      <c r="A36" s="25"/>
      <c r="B36" s="26" t="s">
        <v>153</v>
      </c>
      <c r="C36" s="157" t="s">
        <v>157</v>
      </c>
      <c r="D36" s="157"/>
      <c r="E36" s="157" t="s">
        <v>157</v>
      </c>
      <c r="F36" s="157"/>
      <c r="G36" s="157" t="s">
        <v>158</v>
      </c>
      <c r="H36" s="157"/>
      <c r="I36" s="157" t="s">
        <v>158</v>
      </c>
      <c r="J36" s="157"/>
      <c r="K36" s="157" t="s">
        <v>159</v>
      </c>
      <c r="L36" s="184"/>
      <c r="M36" s="157" t="s">
        <v>160</v>
      </c>
      <c r="N36" s="158"/>
      <c r="O36" s="157" t="s">
        <v>161</v>
      </c>
      <c r="P36" s="157"/>
      <c r="Q36" s="157" t="s">
        <v>162</v>
      </c>
      <c r="R36" s="157"/>
      <c r="S36" s="157"/>
      <c r="T36" s="158"/>
      <c r="U36" s="29"/>
      <c r="V36" s="196"/>
      <c r="W36" s="6"/>
    </row>
    <row r="37" spans="1:23" ht="15.6">
      <c r="A37" s="25"/>
      <c r="B37" s="26" t="s">
        <v>151</v>
      </c>
      <c r="C37" s="185">
        <v>2.4862499999999999E-2</v>
      </c>
      <c r="D37" s="185"/>
      <c r="E37" s="185">
        <v>2.8320000000000001E-2</v>
      </c>
      <c r="F37" s="185"/>
      <c r="G37" s="185">
        <v>2.5962499999999999E-2</v>
      </c>
      <c r="H37" s="185"/>
      <c r="I37" s="185">
        <v>2.9420000000000002E-2</v>
      </c>
      <c r="J37" s="185"/>
      <c r="K37" s="185">
        <v>2.86625E-2</v>
      </c>
      <c r="L37" s="185"/>
      <c r="M37" s="185">
        <v>3.1820000000000001E-2</v>
      </c>
      <c r="N37" s="185"/>
      <c r="O37" s="185">
        <v>3.2162499999999997E-2</v>
      </c>
      <c r="P37" s="185"/>
      <c r="Q37" s="185">
        <v>3.5119999999999998E-2</v>
      </c>
      <c r="R37" s="186"/>
      <c r="S37" s="185"/>
      <c r="T37" s="158"/>
      <c r="U37" s="33"/>
      <c r="V37" s="196"/>
      <c r="W37" s="6"/>
    </row>
    <row r="38" spans="1:23" ht="15.6">
      <c r="A38" s="25"/>
      <c r="B38" s="26" t="s">
        <v>152</v>
      </c>
      <c r="C38" s="185">
        <v>6.4299999999999996E-2</v>
      </c>
      <c r="D38" s="185"/>
      <c r="E38" s="185">
        <v>5.5379999999999999E-2</v>
      </c>
      <c r="F38" s="185"/>
      <c r="G38" s="185">
        <v>6.54E-2</v>
      </c>
      <c r="H38" s="185"/>
      <c r="I38" s="185">
        <v>5.6480000000000002E-2</v>
      </c>
      <c r="J38" s="185"/>
      <c r="K38" s="185">
        <v>6.8099999999999994E-2</v>
      </c>
      <c r="L38" s="185"/>
      <c r="M38" s="185">
        <v>5.8880000000000002E-2</v>
      </c>
      <c r="N38" s="185"/>
      <c r="O38" s="185">
        <v>7.1599999999999997E-2</v>
      </c>
      <c r="P38" s="185"/>
      <c r="Q38" s="185">
        <v>6.2179999999999999E-2</v>
      </c>
      <c r="R38" s="186"/>
      <c r="S38" s="185"/>
      <c r="T38" s="158"/>
      <c r="U38" s="29"/>
      <c r="V38" s="196"/>
      <c r="W38" s="6"/>
    </row>
    <row r="39" spans="1:23" ht="15.6">
      <c r="A39" s="25"/>
      <c r="B39" s="26" t="s">
        <v>263</v>
      </c>
      <c r="C39" s="157" t="s">
        <v>157</v>
      </c>
      <c r="D39" s="185"/>
      <c r="E39" s="185" t="s">
        <v>198</v>
      </c>
      <c r="F39" s="185"/>
      <c r="G39" s="157" t="s">
        <v>158</v>
      </c>
      <c r="H39" s="185"/>
      <c r="I39" s="185" t="s">
        <v>225</v>
      </c>
      <c r="J39" s="185"/>
      <c r="K39" s="157" t="s">
        <v>159</v>
      </c>
      <c r="L39" s="185"/>
      <c r="M39" s="185" t="s">
        <v>199</v>
      </c>
      <c r="N39" s="185"/>
      <c r="O39" s="157" t="s">
        <v>161</v>
      </c>
      <c r="P39" s="185"/>
      <c r="Q39" s="185" t="s">
        <v>200</v>
      </c>
      <c r="R39" s="186"/>
      <c r="S39" s="185"/>
      <c r="T39" s="158"/>
      <c r="U39" s="29"/>
      <c r="V39" s="196"/>
      <c r="W39" s="6"/>
    </row>
    <row r="40" spans="1:23" ht="15.6">
      <c r="A40" s="25"/>
      <c r="B40" s="26" t="s">
        <v>264</v>
      </c>
      <c r="C40" s="185">
        <f>+C37</f>
        <v>2.4862499999999999E-2</v>
      </c>
      <c r="D40" s="185"/>
      <c r="E40" s="185">
        <v>2.5150499999999999E-2</v>
      </c>
      <c r="F40" s="185"/>
      <c r="G40" s="185">
        <f>+G37</f>
        <v>2.5962499999999999E-2</v>
      </c>
      <c r="H40" s="185"/>
      <c r="I40" s="185">
        <v>2.6329000000000002E-2</v>
      </c>
      <c r="J40" s="185"/>
      <c r="K40" s="185">
        <f>+K37</f>
        <v>2.86625E-2</v>
      </c>
      <c r="L40" s="184"/>
      <c r="M40" s="185">
        <v>2.8942699999999998E-2</v>
      </c>
      <c r="N40" s="184"/>
      <c r="O40" s="185">
        <f>+O37</f>
        <v>3.2162499999999997E-2</v>
      </c>
      <c r="P40" s="185"/>
      <c r="Q40" s="185">
        <v>3.2575699999999999E-2</v>
      </c>
      <c r="R40" s="186"/>
      <c r="S40" s="185"/>
      <c r="T40" s="158"/>
      <c r="U40" s="45">
        <f>SUMPRODUCT(C40:Q40,C31:Q31)/U31</f>
        <v>2.6200207444444443E-2</v>
      </c>
      <c r="V40" s="196"/>
      <c r="W40" s="6"/>
    </row>
    <row r="41" spans="1:23" ht="15.6">
      <c r="A41" s="25"/>
      <c r="B41" s="26" t="s">
        <v>265</v>
      </c>
      <c r="C41" s="185">
        <f>+C38</f>
        <v>6.4299999999999996E-2</v>
      </c>
      <c r="D41" s="185"/>
      <c r="E41" s="185">
        <v>6.4588000000000007E-2</v>
      </c>
      <c r="F41" s="185"/>
      <c r="G41" s="185">
        <f>+G38</f>
        <v>6.54E-2</v>
      </c>
      <c r="H41" s="185"/>
      <c r="I41" s="185">
        <v>6.5766500000000006E-2</v>
      </c>
      <c r="J41" s="185"/>
      <c r="K41" s="185">
        <f>+K38</f>
        <v>6.8099999999999994E-2</v>
      </c>
      <c r="L41" s="184"/>
      <c r="M41" s="185">
        <v>6.8380200000000002E-2</v>
      </c>
      <c r="N41" s="184"/>
      <c r="O41" s="185">
        <f>+O38</f>
        <v>7.1599999999999997E-2</v>
      </c>
      <c r="P41" s="185"/>
      <c r="Q41" s="185">
        <v>7.2013199999999999E-2</v>
      </c>
      <c r="R41" s="186"/>
      <c r="S41" s="185"/>
      <c r="T41" s="158"/>
      <c r="U41" s="29"/>
      <c r="V41" s="196"/>
      <c r="W41" s="6"/>
    </row>
    <row r="42" spans="1:23" ht="15.6">
      <c r="A42" s="25"/>
      <c r="B42" s="26" t="s">
        <v>17</v>
      </c>
      <c r="C42" s="187">
        <v>39918</v>
      </c>
      <c r="D42" s="187"/>
      <c r="E42" s="187">
        <v>39918</v>
      </c>
      <c r="F42" s="187"/>
      <c r="G42" s="187">
        <v>39918</v>
      </c>
      <c r="H42" s="187"/>
      <c r="I42" s="187">
        <v>39918</v>
      </c>
      <c r="J42" s="187"/>
      <c r="K42" s="187">
        <v>39918</v>
      </c>
      <c r="L42" s="187"/>
      <c r="M42" s="187">
        <v>39918</v>
      </c>
      <c r="N42" s="187"/>
      <c r="O42" s="187">
        <v>39918</v>
      </c>
      <c r="P42" s="187"/>
      <c r="Q42" s="187">
        <v>39918</v>
      </c>
      <c r="R42" s="157"/>
      <c r="S42" s="157"/>
      <c r="T42" s="158"/>
      <c r="U42" s="29"/>
      <c r="V42" s="196"/>
      <c r="W42" s="6"/>
    </row>
    <row r="43" spans="1:23" ht="15.6">
      <c r="A43" s="25"/>
      <c r="B43" s="26" t="s">
        <v>18</v>
      </c>
      <c r="C43" s="46">
        <v>40283</v>
      </c>
      <c r="D43" s="51"/>
      <c r="E43" s="46">
        <v>40283</v>
      </c>
      <c r="F43" s="51"/>
      <c r="G43" s="46">
        <v>40283</v>
      </c>
      <c r="H43" s="51"/>
      <c r="I43" s="46">
        <v>40283</v>
      </c>
      <c r="J43" s="51"/>
      <c r="K43" s="46">
        <v>40283</v>
      </c>
      <c r="L43" s="51"/>
      <c r="M43" s="46">
        <v>40283</v>
      </c>
      <c r="N43" s="51"/>
      <c r="O43" s="46">
        <v>40283</v>
      </c>
      <c r="P43" s="46"/>
      <c r="Q43" s="46">
        <v>40283</v>
      </c>
      <c r="R43" s="33"/>
      <c r="S43" s="33"/>
      <c r="T43" s="29"/>
      <c r="U43" s="29"/>
      <c r="V43" s="196"/>
      <c r="W43" s="6"/>
    </row>
    <row r="44" spans="1:23" ht="15.6">
      <c r="A44" s="25"/>
      <c r="B44" s="26" t="s">
        <v>154</v>
      </c>
      <c r="C44" s="33" t="s">
        <v>163</v>
      </c>
      <c r="D44" s="33"/>
      <c r="E44" s="33" t="s">
        <v>163</v>
      </c>
      <c r="F44" s="33"/>
      <c r="G44" s="33" t="s">
        <v>164</v>
      </c>
      <c r="H44" s="33"/>
      <c r="I44" s="33" t="s">
        <v>164</v>
      </c>
      <c r="J44" s="33"/>
      <c r="K44" s="33" t="s">
        <v>106</v>
      </c>
      <c r="L44" s="33"/>
      <c r="M44" s="33" t="s">
        <v>165</v>
      </c>
      <c r="N44" s="33"/>
      <c r="O44" s="33" t="s">
        <v>166</v>
      </c>
      <c r="P44" s="33"/>
      <c r="Q44" s="33" t="s">
        <v>167</v>
      </c>
      <c r="R44" s="33"/>
      <c r="S44" s="33"/>
      <c r="T44" s="29"/>
      <c r="U44" s="29"/>
      <c r="V44" s="196"/>
      <c r="W44" s="6"/>
    </row>
    <row r="45" spans="1:23" ht="15.6">
      <c r="A45" s="25"/>
      <c r="B45" s="26" t="s">
        <v>266</v>
      </c>
      <c r="C45" s="33" t="s">
        <v>163</v>
      </c>
      <c r="D45" s="26"/>
      <c r="E45" s="33" t="s">
        <v>228</v>
      </c>
      <c r="F45" s="26"/>
      <c r="G45" s="33" t="s">
        <v>164</v>
      </c>
      <c r="H45" s="26"/>
      <c r="I45" s="33" t="s">
        <v>226</v>
      </c>
      <c r="J45" s="26"/>
      <c r="K45" s="33" t="s">
        <v>106</v>
      </c>
      <c r="L45" s="26"/>
      <c r="M45" s="33" t="s">
        <v>227</v>
      </c>
      <c r="N45" s="26"/>
      <c r="O45" s="33" t="s">
        <v>166</v>
      </c>
      <c r="P45" s="33"/>
      <c r="Q45" s="33" t="s">
        <v>229</v>
      </c>
      <c r="R45" s="33"/>
      <c r="S45" s="33"/>
      <c r="T45" s="29"/>
      <c r="U45" s="29"/>
      <c r="V45" s="196"/>
      <c r="W45" s="6"/>
    </row>
    <row r="46" spans="1:23" ht="15.6">
      <c r="A46" s="25"/>
      <c r="B46" s="26"/>
      <c r="C46" s="26"/>
      <c r="D46" s="26"/>
      <c r="E46" s="26"/>
      <c r="F46" s="26"/>
      <c r="G46" s="26"/>
      <c r="H46" s="26"/>
      <c r="I46" s="26"/>
      <c r="J46" s="26"/>
      <c r="K46" s="26"/>
      <c r="L46" s="26"/>
      <c r="M46" s="47"/>
      <c r="N46" s="47"/>
      <c r="O46" s="26"/>
      <c r="P46" s="47"/>
      <c r="Q46" s="47"/>
      <c r="R46" s="47"/>
      <c r="S46" s="47"/>
      <c r="T46" s="47"/>
      <c r="U46" s="47"/>
      <c r="V46" s="196"/>
      <c r="W46" s="6"/>
    </row>
    <row r="47" spans="1:23" ht="15.6">
      <c r="A47" s="25"/>
      <c r="B47" s="26" t="s">
        <v>201</v>
      </c>
      <c r="C47" s="26"/>
      <c r="D47" s="26"/>
      <c r="E47" s="26"/>
      <c r="F47" s="26"/>
      <c r="G47" s="26"/>
      <c r="H47" s="26"/>
      <c r="I47" s="26"/>
      <c r="J47" s="26"/>
      <c r="K47" s="26"/>
      <c r="L47" s="26"/>
      <c r="M47" s="26"/>
      <c r="N47" s="26"/>
      <c r="O47" s="26"/>
      <c r="P47" s="26"/>
      <c r="Q47" s="26"/>
      <c r="R47" s="26"/>
      <c r="S47" s="26"/>
      <c r="T47" s="26"/>
      <c r="U47" s="45">
        <f>SUM(G31:Q31)/(C31+E31)</f>
        <v>0.3888888888888889</v>
      </c>
      <c r="V47" s="196"/>
      <c r="W47" s="6"/>
    </row>
    <row r="48" spans="1:23" ht="15.6">
      <c r="A48" s="25"/>
      <c r="B48" s="26" t="s">
        <v>202</v>
      </c>
      <c r="C48" s="26"/>
      <c r="D48" s="26"/>
      <c r="E48" s="26"/>
      <c r="F48" s="26"/>
      <c r="G48" s="26"/>
      <c r="H48" s="26"/>
      <c r="I48" s="26"/>
      <c r="J48" s="26"/>
      <c r="K48" s="26"/>
      <c r="L48" s="26"/>
      <c r="M48" s="26"/>
      <c r="N48" s="26"/>
      <c r="O48" s="26"/>
      <c r="P48" s="26"/>
      <c r="Q48" s="26"/>
      <c r="R48" s="26"/>
      <c r="S48" s="26"/>
      <c r="T48" s="26"/>
      <c r="U48" s="45">
        <f>SUM(F33:Q33)/(C33+E33)</f>
        <v>0.52269674723723403</v>
      </c>
      <c r="V48" s="196"/>
      <c r="W48" s="6"/>
    </row>
    <row r="49" spans="1:23" ht="15.6">
      <c r="A49" s="25"/>
      <c r="B49" s="26" t="s">
        <v>203</v>
      </c>
      <c r="C49" s="26"/>
      <c r="D49" s="26"/>
      <c r="E49" s="26"/>
      <c r="F49" s="26"/>
      <c r="G49" s="26"/>
      <c r="H49" s="26"/>
      <c r="I49" s="26"/>
      <c r="J49" s="26"/>
      <c r="K49" s="26"/>
      <c r="L49" s="26"/>
      <c r="M49" s="26"/>
      <c r="N49" s="26"/>
      <c r="O49" s="26"/>
      <c r="P49" s="26"/>
      <c r="Q49" s="26"/>
      <c r="R49" s="26"/>
      <c r="S49" s="33" t="s">
        <v>95</v>
      </c>
      <c r="T49" s="33" t="s">
        <v>117</v>
      </c>
      <c r="U49" s="34">
        <v>99000</v>
      </c>
      <c r="V49" s="196"/>
      <c r="W49" s="6"/>
    </row>
    <row r="50" spans="1:23" ht="15.6">
      <c r="A50" s="25"/>
      <c r="B50" s="26"/>
      <c r="C50" s="26"/>
      <c r="D50" s="26"/>
      <c r="E50" s="26"/>
      <c r="F50" s="26"/>
      <c r="G50" s="26"/>
      <c r="H50" s="26"/>
      <c r="I50" s="26"/>
      <c r="J50" s="26"/>
      <c r="K50" s="26"/>
      <c r="L50" s="26"/>
      <c r="M50" s="26"/>
      <c r="N50" s="26"/>
      <c r="O50" s="26"/>
      <c r="P50" s="26"/>
      <c r="Q50" s="26"/>
      <c r="R50" s="26"/>
      <c r="S50" s="26" t="s">
        <v>213</v>
      </c>
      <c r="T50" s="26"/>
      <c r="U50" s="48"/>
      <c r="V50" s="196"/>
      <c r="W50" s="6"/>
    </row>
    <row r="51" spans="1:23" ht="15.6">
      <c r="A51" s="25"/>
      <c r="B51" s="26" t="s">
        <v>19</v>
      </c>
      <c r="C51" s="26"/>
      <c r="D51" s="26"/>
      <c r="E51" s="26"/>
      <c r="F51" s="26"/>
      <c r="G51" s="26"/>
      <c r="H51" s="26"/>
      <c r="I51" s="26"/>
      <c r="J51" s="26"/>
      <c r="K51" s="26"/>
      <c r="L51" s="26"/>
      <c r="M51" s="26"/>
      <c r="N51" s="26"/>
      <c r="O51" s="26"/>
      <c r="P51" s="26"/>
      <c r="Q51" s="26"/>
      <c r="R51" s="26"/>
      <c r="S51" s="33"/>
      <c r="T51" s="33"/>
      <c r="U51" s="33" t="s">
        <v>118</v>
      </c>
      <c r="V51" s="196"/>
      <c r="W51" s="6"/>
    </row>
    <row r="52" spans="1:23" ht="15.6">
      <c r="A52" s="40"/>
      <c r="B52" s="30" t="s">
        <v>20</v>
      </c>
      <c r="C52" s="30"/>
      <c r="D52" s="30"/>
      <c r="E52" s="30"/>
      <c r="F52" s="30"/>
      <c r="G52" s="30"/>
      <c r="H52" s="30"/>
      <c r="I52" s="30"/>
      <c r="J52" s="30"/>
      <c r="K52" s="30"/>
      <c r="L52" s="30"/>
      <c r="M52" s="30"/>
      <c r="N52" s="30"/>
      <c r="O52" s="30"/>
      <c r="P52" s="30"/>
      <c r="Q52" s="30"/>
      <c r="R52" s="30"/>
      <c r="S52" s="49"/>
      <c r="T52" s="49"/>
      <c r="U52" s="50">
        <v>39918</v>
      </c>
      <c r="V52" s="198"/>
      <c r="W52" s="6"/>
    </row>
    <row r="53" spans="1:23" ht="15.6">
      <c r="A53" s="25"/>
      <c r="B53" s="26" t="s">
        <v>155</v>
      </c>
      <c r="C53" s="26"/>
      <c r="D53" s="26"/>
      <c r="E53" s="26"/>
      <c r="F53" s="26"/>
      <c r="G53" s="26"/>
      <c r="H53" s="26"/>
      <c r="I53" s="26"/>
      <c r="J53" s="26"/>
      <c r="K53" s="26"/>
      <c r="L53" s="26"/>
      <c r="M53" s="26"/>
      <c r="N53" s="26"/>
      <c r="O53" s="26"/>
      <c r="P53" s="26"/>
      <c r="Q53" s="29"/>
      <c r="R53" s="26">
        <f>U53-S53+1</f>
        <v>92</v>
      </c>
      <c r="S53" s="52">
        <v>39736</v>
      </c>
      <c r="T53" s="53"/>
      <c r="U53" s="52">
        <v>39827</v>
      </c>
      <c r="V53" s="196"/>
      <c r="W53" s="6"/>
    </row>
    <row r="54" spans="1:23" ht="15.6">
      <c r="A54" s="25"/>
      <c r="B54" s="26" t="s">
        <v>156</v>
      </c>
      <c r="C54" s="26"/>
      <c r="D54" s="26"/>
      <c r="E54" s="26"/>
      <c r="F54" s="26"/>
      <c r="G54" s="26"/>
      <c r="H54" s="26"/>
      <c r="I54" s="26"/>
      <c r="J54" s="26"/>
      <c r="K54" s="26"/>
      <c r="L54" s="26"/>
      <c r="M54" s="26"/>
      <c r="N54" s="26"/>
      <c r="O54" s="26"/>
      <c r="P54" s="26"/>
      <c r="Q54" s="29"/>
      <c r="R54" s="26">
        <f>U54-S54+1</f>
        <v>90</v>
      </c>
      <c r="S54" s="52">
        <v>39828</v>
      </c>
      <c r="T54" s="53"/>
      <c r="U54" s="52">
        <v>39917</v>
      </c>
      <c r="V54" s="196"/>
      <c r="W54" s="6"/>
    </row>
    <row r="55" spans="1:23" ht="15.6">
      <c r="A55" s="25"/>
      <c r="B55" s="26" t="s">
        <v>21</v>
      </c>
      <c r="C55" s="26"/>
      <c r="D55" s="26"/>
      <c r="E55" s="26"/>
      <c r="F55" s="26"/>
      <c r="G55" s="26"/>
      <c r="H55" s="26"/>
      <c r="I55" s="26"/>
      <c r="J55" s="26"/>
      <c r="K55" s="26"/>
      <c r="L55" s="26"/>
      <c r="M55" s="26"/>
      <c r="N55" s="26"/>
      <c r="O55" s="26"/>
      <c r="P55" s="26"/>
      <c r="Q55" s="26"/>
      <c r="R55" s="26"/>
      <c r="S55" s="52"/>
      <c r="T55" s="53"/>
      <c r="U55" s="52" t="s">
        <v>119</v>
      </c>
      <c r="V55" s="196"/>
      <c r="W55" s="6"/>
    </row>
    <row r="56" spans="1:23" ht="15.6">
      <c r="A56" s="25"/>
      <c r="B56" s="26" t="s">
        <v>22</v>
      </c>
      <c r="C56" s="26"/>
      <c r="D56" s="26"/>
      <c r="E56" s="26"/>
      <c r="F56" s="26"/>
      <c r="G56" s="26"/>
      <c r="H56" s="26"/>
      <c r="I56" s="26"/>
      <c r="J56" s="26"/>
      <c r="K56" s="26"/>
      <c r="L56" s="26"/>
      <c r="M56" s="26"/>
      <c r="N56" s="26"/>
      <c r="O56" s="26"/>
      <c r="P56" s="26"/>
      <c r="Q56" s="26"/>
      <c r="R56" s="26"/>
      <c r="S56" s="52"/>
      <c r="T56" s="53"/>
      <c r="U56" s="52">
        <v>39904</v>
      </c>
      <c r="V56" s="196"/>
      <c r="W56" s="6"/>
    </row>
    <row r="57" spans="1:23" ht="15.6">
      <c r="A57" s="25"/>
      <c r="B57" s="26"/>
      <c r="C57" s="26"/>
      <c r="D57" s="26"/>
      <c r="E57" s="26"/>
      <c r="F57" s="26"/>
      <c r="G57" s="26"/>
      <c r="H57" s="26"/>
      <c r="I57" s="26"/>
      <c r="J57" s="26"/>
      <c r="K57" s="26"/>
      <c r="L57" s="26"/>
      <c r="M57" s="26"/>
      <c r="N57" s="26"/>
      <c r="O57" s="26"/>
      <c r="P57" s="26"/>
      <c r="Q57" s="26"/>
      <c r="R57" s="26"/>
      <c r="S57" s="26"/>
      <c r="T57" s="26"/>
      <c r="U57" s="54"/>
      <c r="V57" s="196"/>
      <c r="W57" s="6"/>
    </row>
    <row r="58" spans="1:23" ht="15.6">
      <c r="A58" s="7"/>
      <c r="B58" s="9"/>
      <c r="C58" s="9"/>
      <c r="D58" s="9"/>
      <c r="E58" s="9"/>
      <c r="F58" s="9"/>
      <c r="G58" s="9"/>
      <c r="H58" s="9"/>
      <c r="I58" s="9"/>
      <c r="J58" s="9"/>
      <c r="K58" s="9"/>
      <c r="L58" s="9"/>
      <c r="M58" s="9"/>
      <c r="N58" s="9"/>
      <c r="O58" s="9"/>
      <c r="P58" s="9"/>
      <c r="Q58" s="9"/>
      <c r="R58" s="9"/>
      <c r="S58" s="9"/>
      <c r="T58" s="9"/>
      <c r="U58" s="55"/>
      <c r="V58" s="194"/>
      <c r="W58" s="6"/>
    </row>
    <row r="59" spans="1:23" ht="16.2" thickBot="1">
      <c r="A59" s="130"/>
      <c r="B59" s="131" t="s">
        <v>252</v>
      </c>
      <c r="C59" s="132"/>
      <c r="D59" s="132"/>
      <c r="E59" s="132"/>
      <c r="F59" s="132"/>
      <c r="G59" s="132"/>
      <c r="H59" s="132"/>
      <c r="I59" s="132"/>
      <c r="J59" s="132"/>
      <c r="K59" s="132"/>
      <c r="L59" s="132"/>
      <c r="M59" s="132"/>
      <c r="N59" s="132"/>
      <c r="O59" s="132"/>
      <c r="P59" s="132"/>
      <c r="Q59" s="132"/>
      <c r="R59" s="132"/>
      <c r="S59" s="132"/>
      <c r="T59" s="132"/>
      <c r="U59" s="133"/>
      <c r="V59" s="134"/>
      <c r="W59" s="6"/>
    </row>
    <row r="60" spans="1:23" ht="15.6">
      <c r="A60" s="2"/>
      <c r="B60" s="5" t="s">
        <v>237</v>
      </c>
      <c r="C60" s="5"/>
      <c r="D60" s="5"/>
      <c r="E60" s="5"/>
      <c r="F60" s="5"/>
      <c r="G60" s="5"/>
      <c r="H60" s="5"/>
      <c r="I60" s="5"/>
      <c r="J60" s="5"/>
      <c r="K60" s="5"/>
      <c r="L60" s="5"/>
      <c r="M60" s="5"/>
      <c r="N60" s="5"/>
      <c r="O60" s="5"/>
      <c r="P60" s="5"/>
      <c r="Q60" s="5"/>
      <c r="R60" s="5"/>
      <c r="S60" s="5"/>
      <c r="T60" s="5"/>
      <c r="U60" s="56"/>
      <c r="V60" s="193"/>
      <c r="W60" s="6"/>
    </row>
    <row r="61" spans="1:23" ht="15.6">
      <c r="A61" s="7"/>
      <c r="B61" s="57" t="s">
        <v>23</v>
      </c>
      <c r="C61" s="13"/>
      <c r="D61" s="13"/>
      <c r="E61" s="13"/>
      <c r="F61" s="13"/>
      <c r="G61" s="13"/>
      <c r="H61" s="13"/>
      <c r="I61" s="13"/>
      <c r="J61" s="13"/>
      <c r="K61" s="13"/>
      <c r="L61" s="13"/>
      <c r="M61" s="9"/>
      <c r="N61" s="9"/>
      <c r="O61" s="9"/>
      <c r="P61" s="9"/>
      <c r="Q61" s="9"/>
      <c r="R61" s="9"/>
      <c r="S61" s="9"/>
      <c r="T61" s="9"/>
      <c r="U61" s="58"/>
      <c r="V61" s="194"/>
      <c r="W61" s="6"/>
    </row>
    <row r="62" spans="1:23" ht="15.6">
      <c r="A62" s="7"/>
      <c r="B62" s="13"/>
      <c r="C62" s="13"/>
      <c r="D62" s="13"/>
      <c r="E62" s="13"/>
      <c r="F62" s="13"/>
      <c r="G62" s="13"/>
      <c r="H62" s="13"/>
      <c r="I62" s="13"/>
      <c r="J62" s="13"/>
      <c r="K62" s="13"/>
      <c r="L62" s="13"/>
      <c r="M62" s="9"/>
      <c r="N62" s="9"/>
      <c r="O62" s="9"/>
      <c r="P62" s="9"/>
      <c r="Q62" s="9"/>
      <c r="R62" s="9"/>
      <c r="S62" s="9"/>
      <c r="T62" s="9"/>
      <c r="U62" s="58"/>
      <c r="V62" s="194"/>
      <c r="W62" s="6"/>
    </row>
    <row r="63" spans="1:23" s="151" customFormat="1" ht="46.8">
      <c r="A63" s="145"/>
      <c r="B63" s="146"/>
      <c r="C63" s="147"/>
      <c r="D63" s="147"/>
      <c r="E63" s="147"/>
      <c r="F63" s="147"/>
      <c r="G63" s="147"/>
      <c r="H63" s="147"/>
      <c r="I63" s="147"/>
      <c r="J63" s="147"/>
      <c r="K63" s="147" t="s">
        <v>197</v>
      </c>
      <c r="L63" s="147"/>
      <c r="M63" s="147" t="s">
        <v>98</v>
      </c>
      <c r="N63" s="147"/>
      <c r="O63" s="147" t="s">
        <v>107</v>
      </c>
      <c r="P63" s="147"/>
      <c r="Q63" s="147" t="s">
        <v>111</v>
      </c>
      <c r="R63" s="147"/>
      <c r="S63" s="147" t="s">
        <v>113</v>
      </c>
      <c r="T63" s="147"/>
      <c r="U63" s="148" t="s">
        <v>120</v>
      </c>
      <c r="V63" s="199"/>
      <c r="W63" s="150"/>
    </row>
    <row r="64" spans="1:23" ht="15.6">
      <c r="A64" s="25"/>
      <c r="B64" s="26" t="s">
        <v>24</v>
      </c>
      <c r="C64" s="59"/>
      <c r="D64" s="59"/>
      <c r="E64" s="59"/>
      <c r="F64" s="59"/>
      <c r="G64" s="59"/>
      <c r="H64" s="59"/>
      <c r="I64" s="59"/>
      <c r="J64" s="59"/>
      <c r="K64" s="59">
        <f>265+63566+3306</f>
        <v>67137</v>
      </c>
      <c r="L64" s="59"/>
      <c r="M64" s="59">
        <v>21438</v>
      </c>
      <c r="N64" s="59"/>
      <c r="O64" s="59">
        <f>1+1580+9+59</f>
        <v>1649</v>
      </c>
      <c r="P64" s="59"/>
      <c r="Q64" s="59">
        <v>0</v>
      </c>
      <c r="R64" s="59"/>
      <c r="S64" s="59">
        <v>0</v>
      </c>
      <c r="T64" s="59"/>
      <c r="U64" s="60">
        <f>+M64-O64+Q64-S64</f>
        <v>19789</v>
      </c>
      <c r="V64" s="196"/>
      <c r="W64" s="6"/>
    </row>
    <row r="65" spans="1:24" ht="15.6">
      <c r="A65" s="25"/>
      <c r="B65" s="26" t="s">
        <v>25</v>
      </c>
      <c r="C65" s="59"/>
      <c r="D65" s="59"/>
      <c r="E65" s="59"/>
      <c r="F65" s="59"/>
      <c r="G65" s="59"/>
      <c r="H65" s="59"/>
      <c r="I65" s="59"/>
      <c r="J65" s="59"/>
      <c r="K65" s="59"/>
      <c r="L65" s="59"/>
      <c r="M65" s="59"/>
      <c r="N65" s="59"/>
      <c r="O65" s="59"/>
      <c r="P65" s="59"/>
      <c r="Q65" s="59">
        <v>0</v>
      </c>
      <c r="R65" s="59"/>
      <c r="S65" s="59">
        <v>0</v>
      </c>
      <c r="T65" s="59"/>
      <c r="U65" s="60">
        <f>M65-O65</f>
        <v>0</v>
      </c>
      <c r="V65" s="196"/>
      <c r="W65" s="6"/>
    </row>
    <row r="66" spans="1:24" ht="15.6">
      <c r="A66" s="25"/>
      <c r="B66" s="26"/>
      <c r="C66" s="59"/>
      <c r="D66" s="59"/>
      <c r="E66" s="59"/>
      <c r="F66" s="59"/>
      <c r="G66" s="59"/>
      <c r="H66" s="59"/>
      <c r="I66" s="59"/>
      <c r="J66" s="59"/>
      <c r="K66" s="59"/>
      <c r="L66" s="59"/>
      <c r="M66" s="59"/>
      <c r="N66" s="59"/>
      <c r="O66" s="59"/>
      <c r="P66" s="59"/>
      <c r="Q66" s="59"/>
      <c r="R66" s="59"/>
      <c r="S66" s="59"/>
      <c r="T66" s="59"/>
      <c r="U66" s="60"/>
      <c r="V66" s="196"/>
      <c r="W66" s="6"/>
    </row>
    <row r="67" spans="1:24" ht="15.6">
      <c r="A67" s="25"/>
      <c r="B67" s="26" t="s">
        <v>26</v>
      </c>
      <c r="C67" s="59"/>
      <c r="D67" s="59"/>
      <c r="E67" s="59"/>
      <c r="F67" s="59"/>
      <c r="G67" s="59"/>
      <c r="H67" s="59"/>
      <c r="I67" s="59"/>
      <c r="J67" s="59"/>
      <c r="K67" s="59">
        <v>24470</v>
      </c>
      <c r="L67" s="59"/>
      <c r="M67" s="59">
        <v>13233</v>
      </c>
      <c r="N67" s="59"/>
      <c r="O67" s="59">
        <v>2918</v>
      </c>
      <c r="P67" s="59"/>
      <c r="Q67" s="59">
        <v>0</v>
      </c>
      <c r="R67" s="59"/>
      <c r="S67" s="59">
        <f>SUM(S64:S66)</f>
        <v>0</v>
      </c>
      <c r="T67" s="59"/>
      <c r="U67" s="60">
        <f>+M67-O67+Q67-S67</f>
        <v>10315</v>
      </c>
      <c r="V67" s="196"/>
      <c r="W67" s="6"/>
    </row>
    <row r="68" spans="1:24" ht="15.6">
      <c r="A68" s="25"/>
      <c r="B68" s="26" t="s">
        <v>25</v>
      </c>
      <c r="C68" s="59"/>
      <c r="D68" s="59"/>
      <c r="E68" s="59"/>
      <c r="F68" s="59"/>
      <c r="G68" s="59"/>
      <c r="H68" s="59"/>
      <c r="I68" s="59"/>
      <c r="J68" s="59"/>
      <c r="K68" s="59"/>
      <c r="L68" s="59"/>
      <c r="M68" s="59"/>
      <c r="N68" s="59"/>
      <c r="O68" s="59"/>
      <c r="P68" s="59"/>
      <c r="Q68" s="59">
        <v>0</v>
      </c>
      <c r="R68" s="59"/>
      <c r="S68" s="59">
        <v>0</v>
      </c>
      <c r="T68" s="59"/>
      <c r="U68" s="61"/>
      <c r="V68" s="196"/>
      <c r="W68" s="6"/>
    </row>
    <row r="69" spans="1:24" ht="15.6">
      <c r="A69" s="25"/>
      <c r="B69" s="62"/>
      <c r="C69" s="59"/>
      <c r="D69" s="59"/>
      <c r="E69" s="59"/>
      <c r="F69" s="59"/>
      <c r="G69" s="59"/>
      <c r="H69" s="59"/>
      <c r="I69" s="59"/>
      <c r="J69" s="59"/>
      <c r="K69" s="59"/>
      <c r="L69" s="59"/>
      <c r="M69" s="59"/>
      <c r="N69" s="59"/>
      <c r="O69" s="63"/>
      <c r="P69" s="59"/>
      <c r="Q69" s="59"/>
      <c r="R69" s="59"/>
      <c r="S69" s="59"/>
      <c r="T69" s="59"/>
      <c r="U69" s="61"/>
      <c r="V69" s="196"/>
      <c r="W69" s="6"/>
    </row>
    <row r="70" spans="1:24" ht="15.6">
      <c r="A70" s="25"/>
      <c r="B70" s="26" t="s">
        <v>27</v>
      </c>
      <c r="C70" s="59"/>
      <c r="D70" s="59"/>
      <c r="E70" s="59"/>
      <c r="F70" s="59"/>
      <c r="G70" s="59"/>
      <c r="H70" s="59"/>
      <c r="I70" s="59"/>
      <c r="J70" s="59"/>
      <c r="K70" s="59">
        <v>220072</v>
      </c>
      <c r="L70" s="59"/>
      <c r="M70" s="59">
        <v>262540</v>
      </c>
      <c r="N70" s="59"/>
      <c r="O70" s="59">
        <f>8075+1556</f>
        <v>9631</v>
      </c>
      <c r="P70" s="59"/>
      <c r="Q70" s="59">
        <f>28823+148+252</f>
        <v>29223</v>
      </c>
      <c r="R70" s="59"/>
      <c r="S70" s="59">
        <v>0</v>
      </c>
      <c r="T70" s="59"/>
      <c r="U70" s="60">
        <f>+M70-O70+Q70-S70</f>
        <v>282132</v>
      </c>
      <c r="V70" s="196"/>
      <c r="W70" s="6"/>
    </row>
    <row r="71" spans="1:24" ht="15.6">
      <c r="A71" s="25"/>
      <c r="B71" s="26" t="s">
        <v>25</v>
      </c>
      <c r="C71" s="59"/>
      <c r="D71" s="59"/>
      <c r="E71" s="59"/>
      <c r="F71" s="59"/>
      <c r="G71" s="59"/>
      <c r="H71" s="59"/>
      <c r="I71" s="59"/>
      <c r="J71" s="59"/>
      <c r="K71" s="59"/>
      <c r="L71" s="59"/>
      <c r="M71" s="59"/>
      <c r="N71" s="59"/>
      <c r="O71" s="59"/>
      <c r="P71" s="59"/>
      <c r="Q71" s="59">
        <v>0</v>
      </c>
      <c r="R71" s="59"/>
      <c r="S71" s="59">
        <v>0</v>
      </c>
      <c r="T71" s="59"/>
      <c r="U71" s="60">
        <f>M71-O71+Q71-S71</f>
        <v>0</v>
      </c>
      <c r="V71" s="196"/>
      <c r="W71" s="6"/>
    </row>
    <row r="72" spans="1:24" ht="15.6">
      <c r="A72" s="25"/>
      <c r="B72" s="26"/>
      <c r="C72" s="59"/>
      <c r="D72" s="59"/>
      <c r="E72" s="59"/>
      <c r="F72" s="59"/>
      <c r="G72" s="59"/>
      <c r="H72" s="59"/>
      <c r="I72" s="59"/>
      <c r="J72" s="59"/>
      <c r="K72" s="59"/>
      <c r="L72" s="59"/>
      <c r="M72" s="59"/>
      <c r="N72" s="59"/>
      <c r="O72" s="59"/>
      <c r="P72" s="59"/>
      <c r="Q72" s="59"/>
      <c r="R72" s="59"/>
      <c r="S72" s="59"/>
      <c r="T72" s="59"/>
      <c r="U72" s="60"/>
      <c r="V72" s="196"/>
      <c r="W72" s="6"/>
    </row>
    <row r="73" spans="1:24" ht="15.6">
      <c r="A73" s="25"/>
      <c r="B73" s="26" t="s">
        <v>28</v>
      </c>
      <c r="C73" s="59"/>
      <c r="D73" s="59"/>
      <c r="E73" s="59"/>
      <c r="F73" s="59"/>
      <c r="G73" s="59"/>
      <c r="H73" s="59"/>
      <c r="I73" s="59"/>
      <c r="J73" s="59"/>
      <c r="K73" s="59">
        <v>138321</v>
      </c>
      <c r="L73" s="59"/>
      <c r="M73" s="59">
        <v>70562</v>
      </c>
      <c r="N73" s="59"/>
      <c r="O73" s="59">
        <f>7913+1016</f>
        <v>8929</v>
      </c>
      <c r="P73" s="59"/>
      <c r="Q73" s="59">
        <v>0</v>
      </c>
      <c r="R73" s="59"/>
      <c r="S73" s="59">
        <v>0</v>
      </c>
      <c r="T73" s="59"/>
      <c r="U73" s="60">
        <f>+M73-O73+Q73-S73</f>
        <v>61633</v>
      </c>
      <c r="V73" s="196"/>
      <c r="W73" s="6"/>
    </row>
    <row r="74" spans="1:24" ht="15.6">
      <c r="A74" s="25"/>
      <c r="B74" s="26" t="s">
        <v>25</v>
      </c>
      <c r="C74" s="59"/>
      <c r="D74" s="59"/>
      <c r="E74" s="59"/>
      <c r="F74" s="59"/>
      <c r="G74" s="59"/>
      <c r="H74" s="59"/>
      <c r="I74" s="59"/>
      <c r="J74" s="59"/>
      <c r="K74" s="59"/>
      <c r="L74" s="59"/>
      <c r="M74" s="59"/>
      <c r="N74" s="59"/>
      <c r="O74" s="59"/>
      <c r="P74" s="59"/>
      <c r="Q74" s="59">
        <v>0</v>
      </c>
      <c r="R74" s="59"/>
      <c r="S74" s="59">
        <v>0</v>
      </c>
      <c r="T74" s="59"/>
      <c r="U74" s="60"/>
      <c r="V74" s="196"/>
      <c r="W74" s="6"/>
    </row>
    <row r="75" spans="1:24" ht="15.6">
      <c r="A75" s="25"/>
      <c r="B75" s="59"/>
      <c r="C75" s="59"/>
      <c r="D75" s="59"/>
      <c r="E75" s="59"/>
      <c r="F75" s="59"/>
      <c r="G75" s="59"/>
      <c r="H75" s="59"/>
      <c r="I75" s="59"/>
      <c r="J75" s="59"/>
      <c r="K75" s="59"/>
      <c r="L75" s="59"/>
      <c r="M75" s="59"/>
      <c r="N75" s="59"/>
      <c r="O75" s="59"/>
      <c r="P75" s="59"/>
      <c r="Q75" s="59"/>
      <c r="R75" s="59"/>
      <c r="S75" s="59"/>
      <c r="T75" s="59"/>
      <c r="U75" s="60"/>
      <c r="V75" s="196"/>
      <c r="W75" s="6"/>
    </row>
    <row r="76" spans="1:24" ht="15.6">
      <c r="A76" s="25"/>
      <c r="B76" s="26" t="s">
        <v>29</v>
      </c>
      <c r="C76" s="59"/>
      <c r="D76" s="59"/>
      <c r="E76" s="59"/>
      <c r="F76" s="59"/>
      <c r="G76" s="59"/>
      <c r="H76" s="59"/>
      <c r="I76" s="59"/>
      <c r="J76" s="59"/>
      <c r="K76" s="59">
        <f>SUM(K64:K73)</f>
        <v>450000</v>
      </c>
      <c r="L76" s="59"/>
      <c r="M76" s="59">
        <f>SUM(M64:M73)</f>
        <v>367773</v>
      </c>
      <c r="N76" s="59"/>
      <c r="O76" s="59">
        <f>SUM(O64:O74)</f>
        <v>23127</v>
      </c>
      <c r="P76" s="59"/>
      <c r="Q76" s="59">
        <f>SUM(Q64:Q74)</f>
        <v>29223</v>
      </c>
      <c r="R76" s="59"/>
      <c r="S76" s="59">
        <f>SUM(S71:S75)</f>
        <v>0</v>
      </c>
      <c r="T76" s="59"/>
      <c r="U76" s="59">
        <f>SUM(U64:U74)</f>
        <v>373869</v>
      </c>
      <c r="V76" s="196"/>
      <c r="W76" s="6"/>
      <c r="X76" s="182"/>
    </row>
    <row r="77" spans="1:24" ht="15.6">
      <c r="A77" s="25"/>
      <c r="B77" s="26"/>
      <c r="C77" s="59"/>
      <c r="D77" s="59"/>
      <c r="E77" s="59"/>
      <c r="F77" s="59"/>
      <c r="G77" s="59"/>
      <c r="H77" s="59"/>
      <c r="I77" s="59"/>
      <c r="J77" s="59"/>
      <c r="K77" s="59"/>
      <c r="L77" s="59"/>
      <c r="M77" s="59"/>
      <c r="N77" s="59"/>
      <c r="O77" s="59"/>
      <c r="P77" s="59"/>
      <c r="Q77" s="59"/>
      <c r="R77" s="59"/>
      <c r="S77" s="59"/>
      <c r="T77" s="59"/>
      <c r="U77" s="61"/>
      <c r="V77" s="196"/>
      <c r="W77" s="6"/>
    </row>
    <row r="78" spans="1:24" ht="15.6">
      <c r="A78" s="25"/>
      <c r="B78" s="26" t="s">
        <v>214</v>
      </c>
      <c r="C78" s="59"/>
      <c r="D78" s="59"/>
      <c r="E78" s="59"/>
      <c r="F78" s="59"/>
      <c r="G78" s="59"/>
      <c r="H78" s="59"/>
      <c r="I78" s="59"/>
      <c r="J78" s="59"/>
      <c r="K78" s="59">
        <v>0</v>
      </c>
      <c r="L78" s="59"/>
      <c r="M78" s="59">
        <v>-10680</v>
      </c>
      <c r="N78" s="59"/>
      <c r="O78" s="59">
        <v>-369</v>
      </c>
      <c r="P78" s="59"/>
      <c r="Q78" s="59"/>
      <c r="R78" s="59"/>
      <c r="S78" s="59"/>
      <c r="T78" s="59"/>
      <c r="U78" s="60">
        <f>+M78-O78</f>
        <v>-10311</v>
      </c>
      <c r="V78" s="196"/>
      <c r="W78" s="6"/>
    </row>
    <row r="79" spans="1:24" ht="15.6">
      <c r="A79" s="25"/>
      <c r="B79" s="26" t="s">
        <v>30</v>
      </c>
      <c r="C79" s="59"/>
      <c r="D79" s="59"/>
      <c r="E79" s="59"/>
      <c r="F79" s="59"/>
      <c r="G79" s="59"/>
      <c r="H79" s="59"/>
      <c r="I79" s="59"/>
      <c r="J79" s="59"/>
      <c r="K79" s="59">
        <v>0</v>
      </c>
      <c r="L79" s="59"/>
      <c r="M79" s="59">
        <v>0</v>
      </c>
      <c r="N79" s="59"/>
      <c r="O79" s="59">
        <v>0</v>
      </c>
      <c r="P79" s="59"/>
      <c r="Q79" s="59">
        <v>0</v>
      </c>
      <c r="R79" s="59"/>
      <c r="S79" s="59"/>
      <c r="T79" s="59"/>
      <c r="U79" s="61">
        <v>3500</v>
      </c>
      <c r="V79" s="196"/>
      <c r="W79" s="6"/>
      <c r="X79" s="182"/>
    </row>
    <row r="80" spans="1:24" ht="15.6">
      <c r="A80" s="25"/>
      <c r="B80" s="26" t="s">
        <v>31</v>
      </c>
      <c r="C80" s="59"/>
      <c r="D80" s="59"/>
      <c r="E80" s="59"/>
      <c r="F80" s="59"/>
      <c r="G80" s="59"/>
      <c r="H80" s="59"/>
      <c r="I80" s="59"/>
      <c r="J80" s="59"/>
      <c r="K80" s="59">
        <v>0</v>
      </c>
      <c r="L80" s="59"/>
      <c r="M80" s="59">
        <v>0</v>
      </c>
      <c r="N80" s="59"/>
      <c r="O80" s="59"/>
      <c r="P80" s="59"/>
      <c r="Q80" s="59">
        <v>0</v>
      </c>
      <c r="R80" s="59"/>
      <c r="S80" s="59"/>
      <c r="T80" s="59"/>
      <c r="U80" s="61">
        <f>Q80+M80</f>
        <v>0</v>
      </c>
      <c r="V80" s="196"/>
      <c r="W80" s="6"/>
    </row>
    <row r="81" spans="1:24" ht="15.6">
      <c r="A81" s="25"/>
      <c r="B81" s="26" t="s">
        <v>16</v>
      </c>
      <c r="C81" s="61"/>
      <c r="D81" s="61"/>
      <c r="E81" s="61"/>
      <c r="F81" s="61"/>
      <c r="G81" s="61"/>
      <c r="H81" s="61"/>
      <c r="I81" s="61"/>
      <c r="J81" s="61"/>
      <c r="K81" s="61">
        <f>SUM(K76:K80)</f>
        <v>450000</v>
      </c>
      <c r="L81" s="61"/>
      <c r="M81" s="61">
        <f>SUM(M76:M80)</f>
        <v>357093</v>
      </c>
      <c r="N81" s="59"/>
      <c r="O81" s="59">
        <f>O79-O80</f>
        <v>0</v>
      </c>
      <c r="P81" s="59"/>
      <c r="Q81" s="59"/>
      <c r="R81" s="59"/>
      <c r="S81" s="59"/>
      <c r="T81" s="59"/>
      <c r="U81" s="61">
        <f>SUM(U76:U80)</f>
        <v>367058</v>
      </c>
      <c r="V81" s="196"/>
      <c r="W81" s="6"/>
    </row>
    <row r="82" spans="1:24" ht="15.6">
      <c r="A82" s="25"/>
      <c r="B82" s="59"/>
      <c r="C82" s="26"/>
      <c r="D82" s="26"/>
      <c r="E82" s="26"/>
      <c r="F82" s="26"/>
      <c r="G82" s="26"/>
      <c r="H82" s="26"/>
      <c r="I82" s="26"/>
      <c r="J82" s="26"/>
      <c r="K82" s="26"/>
      <c r="L82" s="26"/>
      <c r="M82" s="26"/>
      <c r="N82" s="26"/>
      <c r="O82" s="26"/>
      <c r="P82" s="26"/>
      <c r="Q82" s="26"/>
      <c r="R82" s="26"/>
      <c r="S82" s="33"/>
      <c r="T82" s="26"/>
      <c r="U82" s="33"/>
      <c r="V82" s="196"/>
      <c r="W82" s="6"/>
    </row>
    <row r="83" spans="1:24" ht="15.6">
      <c r="A83" s="7"/>
      <c r="B83" s="57" t="s">
        <v>32</v>
      </c>
      <c r="C83" s="14"/>
      <c r="D83" s="14"/>
      <c r="E83" s="14"/>
      <c r="F83" s="14"/>
      <c r="G83" s="14"/>
      <c r="H83" s="14"/>
      <c r="I83" s="14"/>
      <c r="J83" s="14"/>
      <c r="K83" s="14"/>
      <c r="L83" s="14"/>
      <c r="M83" s="14"/>
      <c r="N83" s="14"/>
      <c r="O83" s="14"/>
      <c r="P83" s="14"/>
      <c r="Q83" s="14"/>
      <c r="R83" s="17"/>
      <c r="S83" s="17"/>
      <c r="T83" s="17"/>
      <c r="U83" s="17" t="s">
        <v>121</v>
      </c>
      <c r="V83" s="200"/>
      <c r="W83" s="6"/>
    </row>
    <row r="84" spans="1:24" ht="15.6">
      <c r="A84" s="25"/>
      <c r="B84" s="26" t="s">
        <v>33</v>
      </c>
      <c r="C84" s="26"/>
      <c r="D84" s="26"/>
      <c r="E84" s="26"/>
      <c r="F84" s="26"/>
      <c r="G84" s="26"/>
      <c r="H84" s="26"/>
      <c r="I84" s="26"/>
      <c r="J84" s="26"/>
      <c r="K84" s="26"/>
      <c r="L84" s="26"/>
      <c r="M84" s="26"/>
      <c r="N84" s="26"/>
      <c r="O84" s="59"/>
      <c r="P84" s="26"/>
      <c r="Q84" s="26"/>
      <c r="R84" s="26"/>
      <c r="S84" s="59"/>
      <c r="T84" s="26"/>
      <c r="U84" s="60">
        <f>134150</f>
        <v>134150</v>
      </c>
      <c r="V84" s="196"/>
      <c r="W84" s="6"/>
    </row>
    <row r="85" spans="1:24" ht="15.6">
      <c r="A85" s="25"/>
      <c r="B85" s="26" t="s">
        <v>34</v>
      </c>
      <c r="C85" s="47"/>
      <c r="D85" s="47"/>
      <c r="E85" s="47"/>
      <c r="F85" s="47"/>
      <c r="G85" s="47"/>
      <c r="H85" s="47"/>
      <c r="I85" s="47"/>
      <c r="J85" s="47"/>
      <c r="K85" s="47"/>
      <c r="L85" s="47"/>
      <c r="M85" s="51"/>
      <c r="N85" s="26"/>
      <c r="O85" s="26"/>
      <c r="P85" s="26"/>
      <c r="Q85" s="26"/>
      <c r="R85" s="26"/>
      <c r="S85" s="59"/>
      <c r="T85" s="26"/>
      <c r="U85" s="60">
        <f>437+497-23+19-5-24</f>
        <v>901</v>
      </c>
      <c r="V85" s="196"/>
      <c r="W85" s="6"/>
    </row>
    <row r="86" spans="1:24" ht="15.6">
      <c r="A86" s="25"/>
      <c r="B86" s="26" t="s">
        <v>253</v>
      </c>
      <c r="C86" s="47"/>
      <c r="D86" s="47"/>
      <c r="E86" s="47"/>
      <c r="F86" s="47"/>
      <c r="G86" s="47"/>
      <c r="H86" s="47"/>
      <c r="I86" s="47"/>
      <c r="J86" s="47"/>
      <c r="K86" s="47"/>
      <c r="L86" s="47"/>
      <c r="M86" s="51"/>
      <c r="N86" s="26"/>
      <c r="O86" s="26"/>
      <c r="P86" s="26"/>
      <c r="Q86" s="26"/>
      <c r="R86" s="26"/>
      <c r="S86" s="59"/>
      <c r="T86" s="26"/>
      <c r="U86" s="60">
        <v>0</v>
      </c>
      <c r="V86" s="196"/>
      <c r="W86" s="6"/>
    </row>
    <row r="87" spans="1:24" ht="15.6">
      <c r="A87" s="25"/>
      <c r="B87" s="26" t="s">
        <v>230</v>
      </c>
      <c r="C87" s="26"/>
      <c r="D87" s="26"/>
      <c r="E87" s="26"/>
      <c r="F87" s="26"/>
      <c r="G87" s="26"/>
      <c r="H87" s="26"/>
      <c r="I87" s="26"/>
      <c r="J87" s="26"/>
      <c r="K87" s="26"/>
      <c r="L87" s="26"/>
      <c r="M87" s="26"/>
      <c r="N87" s="26"/>
      <c r="O87" s="26"/>
      <c r="P87" s="26"/>
      <c r="Q87" s="26"/>
      <c r="R87" s="26"/>
      <c r="S87" s="59"/>
      <c r="T87" s="26"/>
      <c r="U87" s="60">
        <v>0</v>
      </c>
      <c r="V87" s="196"/>
      <c r="W87" s="6"/>
      <c r="X87" s="64"/>
    </row>
    <row r="88" spans="1:24" ht="15.6">
      <c r="A88" s="25"/>
      <c r="B88" s="26" t="s">
        <v>231</v>
      </c>
      <c r="C88" s="26"/>
      <c r="D88" s="26"/>
      <c r="E88" s="26"/>
      <c r="F88" s="26"/>
      <c r="G88" s="26"/>
      <c r="H88" s="26"/>
      <c r="I88" s="26"/>
      <c r="J88" s="26"/>
      <c r="K88" s="26"/>
      <c r="L88" s="26"/>
      <c r="M88" s="26"/>
      <c r="N88" s="26"/>
      <c r="O88" s="26"/>
      <c r="P88" s="26"/>
      <c r="Q88" s="26"/>
      <c r="R88" s="26"/>
      <c r="S88" s="59"/>
      <c r="T88" s="26"/>
      <c r="U88" s="60">
        <v>0</v>
      </c>
      <c r="V88" s="196"/>
      <c r="W88" s="6"/>
      <c r="X88" s="64"/>
    </row>
    <row r="89" spans="1:24" ht="15.6">
      <c r="A89" s="25"/>
      <c r="B89" s="26" t="s">
        <v>35</v>
      </c>
      <c r="C89" s="26"/>
      <c r="D89" s="26"/>
      <c r="E89" s="26"/>
      <c r="F89" s="26"/>
      <c r="G89" s="26"/>
      <c r="H89" s="26"/>
      <c r="I89" s="26"/>
      <c r="J89" s="26"/>
      <c r="K89" s="26"/>
      <c r="L89" s="26"/>
      <c r="M89" s="26"/>
      <c r="N89" s="26"/>
      <c r="O89" s="26"/>
      <c r="P89" s="26"/>
      <c r="Q89" s="26"/>
      <c r="R89" s="26"/>
      <c r="S89" s="59"/>
      <c r="T89" s="26"/>
      <c r="U89" s="60">
        <f>SUM(U84:U88)</f>
        <v>135051</v>
      </c>
      <c r="V89" s="196"/>
      <c r="W89" s="6"/>
      <c r="X89" s="64"/>
    </row>
    <row r="90" spans="1:24" ht="15.6">
      <c r="A90" s="25"/>
      <c r="B90" s="26"/>
      <c r="C90" s="26"/>
      <c r="D90" s="26"/>
      <c r="E90" s="26"/>
      <c r="F90" s="26"/>
      <c r="G90" s="26"/>
      <c r="H90" s="26"/>
      <c r="I90" s="26"/>
      <c r="J90" s="26"/>
      <c r="K90" s="26"/>
      <c r="L90" s="26"/>
      <c r="M90" s="26"/>
      <c r="N90" s="26"/>
      <c r="O90" s="26"/>
      <c r="P90" s="26"/>
      <c r="Q90" s="26"/>
      <c r="R90" s="26"/>
      <c r="S90" s="59"/>
      <c r="T90" s="26"/>
      <c r="U90" s="61"/>
      <c r="V90" s="196"/>
      <c r="W90" s="6"/>
    </row>
    <row r="91" spans="1:24" ht="15.6">
      <c r="A91" s="25"/>
      <c r="B91" s="152" t="s">
        <v>36</v>
      </c>
      <c r="C91" s="65"/>
      <c r="D91" s="65"/>
      <c r="E91" s="65"/>
      <c r="F91" s="65"/>
      <c r="G91" s="65"/>
      <c r="H91" s="65"/>
      <c r="I91" s="65"/>
      <c r="J91" s="65"/>
      <c r="K91" s="65"/>
      <c r="L91" s="65"/>
      <c r="M91" s="26"/>
      <c r="N91" s="26"/>
      <c r="O91" s="26"/>
      <c r="P91" s="26"/>
      <c r="Q91" s="26"/>
      <c r="R91" s="26"/>
      <c r="S91" s="59"/>
      <c r="T91" s="26"/>
      <c r="U91" s="60"/>
      <c r="V91" s="196"/>
      <c r="W91" s="6"/>
      <c r="X91" s="64"/>
    </row>
    <row r="92" spans="1:24" ht="15.6">
      <c r="A92" s="25">
        <v>1</v>
      </c>
      <c r="B92" s="26" t="s">
        <v>37</v>
      </c>
      <c r="C92" s="26"/>
      <c r="D92" s="26"/>
      <c r="E92" s="26"/>
      <c r="F92" s="26"/>
      <c r="G92" s="26"/>
      <c r="H92" s="26"/>
      <c r="I92" s="26"/>
      <c r="J92" s="26"/>
      <c r="K92" s="26"/>
      <c r="L92" s="26"/>
      <c r="M92" s="26"/>
      <c r="N92" s="26"/>
      <c r="O92" s="26"/>
      <c r="P92" s="26"/>
      <c r="Q92" s="26"/>
      <c r="R92" s="26"/>
      <c r="S92" s="26"/>
      <c r="T92" s="26"/>
      <c r="U92" s="60">
        <v>-2</v>
      </c>
      <c r="V92" s="196"/>
      <c r="W92" s="6"/>
    </row>
    <row r="93" spans="1:24" ht="15.6">
      <c r="A93" s="25">
        <f>A92+1</f>
        <v>2</v>
      </c>
      <c r="B93" s="26" t="s">
        <v>168</v>
      </c>
      <c r="C93" s="26"/>
      <c r="D93" s="26"/>
      <c r="E93" s="26"/>
      <c r="F93" s="26"/>
      <c r="G93" s="26"/>
      <c r="H93" s="26"/>
      <c r="I93" s="26"/>
      <c r="J93" s="26"/>
      <c r="K93" s="26"/>
      <c r="L93" s="26"/>
      <c r="M93" s="26"/>
      <c r="N93" s="26"/>
      <c r="O93" s="26"/>
      <c r="P93" s="26"/>
      <c r="Q93" s="26"/>
      <c r="R93" s="26"/>
      <c r="S93" s="26"/>
      <c r="T93" s="26"/>
      <c r="U93" s="60">
        <f>-352-147-7</f>
        <v>-506</v>
      </c>
      <c r="V93" s="196"/>
      <c r="W93" s="6"/>
      <c r="X93" s="64"/>
    </row>
    <row r="94" spans="1:24" ht="15.6">
      <c r="A94" s="25">
        <v>3</v>
      </c>
      <c r="B94" s="26" t="s">
        <v>38</v>
      </c>
      <c r="C94" s="26"/>
      <c r="D94" s="26"/>
      <c r="E94" s="26"/>
      <c r="F94" s="26"/>
      <c r="G94" s="26"/>
      <c r="H94" s="26"/>
      <c r="I94" s="26"/>
      <c r="J94" s="26"/>
      <c r="K94" s="26"/>
      <c r="L94" s="26"/>
      <c r="M94" s="26"/>
      <c r="N94" s="26"/>
      <c r="O94" s="26"/>
      <c r="P94" s="26"/>
      <c r="Q94" s="26"/>
      <c r="R94" s="26"/>
      <c r="S94" s="26"/>
      <c r="T94" s="26"/>
      <c r="U94" s="60">
        <v>-948</v>
      </c>
      <c r="V94" s="196"/>
      <c r="W94" s="6"/>
      <c r="X94" s="64"/>
    </row>
    <row r="95" spans="1:24" ht="15.6">
      <c r="A95" s="177" t="s">
        <v>190</v>
      </c>
      <c r="B95" s="26" t="s">
        <v>169</v>
      </c>
      <c r="C95" s="26"/>
      <c r="D95" s="26"/>
      <c r="E95" s="26"/>
      <c r="F95" s="26"/>
      <c r="G95" s="26"/>
      <c r="H95" s="26"/>
      <c r="I95" s="26"/>
      <c r="J95" s="26"/>
      <c r="K95" s="26"/>
      <c r="L95" s="26"/>
      <c r="M95" s="26"/>
      <c r="N95" s="26"/>
      <c r="O95" s="26"/>
      <c r="P95" s="26"/>
      <c r="Q95" s="26"/>
      <c r="R95" s="26"/>
      <c r="S95" s="26"/>
      <c r="T95" s="26"/>
      <c r="U95" s="60">
        <v>-895</v>
      </c>
      <c r="V95" s="196"/>
      <c r="W95" s="6"/>
      <c r="X95" s="64"/>
    </row>
    <row r="96" spans="1:24" ht="15.6">
      <c r="A96" s="177" t="s">
        <v>191</v>
      </c>
      <c r="B96" s="26" t="s">
        <v>170</v>
      </c>
      <c r="C96" s="26"/>
      <c r="D96" s="26"/>
      <c r="E96" s="26"/>
      <c r="F96" s="26"/>
      <c r="G96" s="26"/>
      <c r="H96" s="26"/>
      <c r="I96" s="26"/>
      <c r="J96" s="26"/>
      <c r="K96" s="26"/>
      <c r="L96" s="26"/>
      <c r="M96" s="26"/>
      <c r="N96" s="26"/>
      <c r="O96" s="26"/>
      <c r="P96" s="26"/>
      <c r="Q96" s="26"/>
      <c r="R96" s="26"/>
      <c r="S96" s="26"/>
      <c r="T96" s="26"/>
      <c r="U96" s="60">
        <v>-1104</v>
      </c>
      <c r="V96" s="196"/>
      <c r="W96" s="6"/>
      <c r="X96" s="182"/>
    </row>
    <row r="97" spans="1:24" ht="15.6">
      <c r="A97" s="25">
        <v>5</v>
      </c>
      <c r="B97" s="26" t="s">
        <v>171</v>
      </c>
      <c r="C97" s="26"/>
      <c r="D97" s="26"/>
      <c r="E97" s="26"/>
      <c r="F97" s="26"/>
      <c r="G97" s="26"/>
      <c r="H97" s="26"/>
      <c r="I97" s="26"/>
      <c r="J97" s="26"/>
      <c r="K97" s="26"/>
      <c r="L97" s="26"/>
      <c r="M97" s="26"/>
      <c r="N97" s="26"/>
      <c r="O97" s="26"/>
      <c r="P97" s="26"/>
      <c r="Q97" s="26"/>
      <c r="R97" s="26"/>
      <c r="S97" s="26"/>
      <c r="T97" s="26"/>
      <c r="U97" s="60">
        <v>-7</v>
      </c>
      <c r="V97" s="196"/>
      <c r="W97" s="6"/>
    </row>
    <row r="98" spans="1:24" ht="15.6">
      <c r="A98" s="177" t="s">
        <v>174</v>
      </c>
      <c r="B98" s="26" t="s">
        <v>172</v>
      </c>
      <c r="C98" s="26"/>
      <c r="D98" s="26"/>
      <c r="E98" s="26"/>
      <c r="F98" s="26"/>
      <c r="G98" s="26"/>
      <c r="H98" s="26"/>
      <c r="I98" s="26"/>
      <c r="J98" s="26"/>
      <c r="K98" s="26"/>
      <c r="L98" s="26"/>
      <c r="M98" s="26"/>
      <c r="N98" s="26"/>
      <c r="O98" s="26"/>
      <c r="P98" s="26"/>
      <c r="Q98" s="26"/>
      <c r="R98" s="26"/>
      <c r="S98" s="26"/>
      <c r="T98" s="26"/>
      <c r="U98" s="60">
        <v>-102</v>
      </c>
      <c r="V98" s="196"/>
      <c r="W98" s="6"/>
      <c r="X98" s="182"/>
    </row>
    <row r="99" spans="1:24" ht="15.6">
      <c r="A99" s="177" t="s">
        <v>176</v>
      </c>
      <c r="B99" s="26" t="s">
        <v>173</v>
      </c>
      <c r="C99" s="26"/>
      <c r="D99" s="26"/>
      <c r="E99" s="26"/>
      <c r="F99" s="26"/>
      <c r="G99" s="26"/>
      <c r="H99" s="26"/>
      <c r="I99" s="26"/>
      <c r="J99" s="26"/>
      <c r="K99" s="26"/>
      <c r="L99" s="26"/>
      <c r="M99" s="26"/>
      <c r="N99" s="26"/>
      <c r="O99" s="26"/>
      <c r="P99" s="26"/>
      <c r="Q99" s="26"/>
      <c r="R99" s="26"/>
      <c r="S99" s="26"/>
      <c r="T99" s="26"/>
      <c r="U99" s="60">
        <v>-159</v>
      </c>
      <c r="V99" s="196"/>
      <c r="W99" s="119"/>
      <c r="X99" s="182"/>
    </row>
    <row r="100" spans="1:24" ht="15.6">
      <c r="A100" s="177" t="s">
        <v>178</v>
      </c>
      <c r="B100" s="26" t="s">
        <v>175</v>
      </c>
      <c r="C100" s="26"/>
      <c r="D100" s="26"/>
      <c r="E100" s="26"/>
      <c r="F100" s="26"/>
      <c r="G100" s="26"/>
      <c r="H100" s="26"/>
      <c r="I100" s="26"/>
      <c r="J100" s="26"/>
      <c r="K100" s="26"/>
      <c r="L100" s="26"/>
      <c r="M100" s="26"/>
      <c r="N100" s="26"/>
      <c r="O100" s="26"/>
      <c r="P100" s="26"/>
      <c r="Q100" s="26"/>
      <c r="R100" s="26"/>
      <c r="S100" s="26"/>
      <c r="T100" s="26"/>
      <c r="U100" s="60">
        <v>-127</v>
      </c>
      <c r="V100" s="196"/>
      <c r="W100" s="6"/>
      <c r="X100" s="182"/>
    </row>
    <row r="101" spans="1:24" ht="15.6">
      <c r="A101" s="177" t="s">
        <v>180</v>
      </c>
      <c r="B101" s="26" t="s">
        <v>177</v>
      </c>
      <c r="C101" s="26"/>
      <c r="D101" s="26"/>
      <c r="E101" s="26"/>
      <c r="F101" s="26"/>
      <c r="G101" s="26"/>
      <c r="H101" s="26"/>
      <c r="I101" s="26"/>
      <c r="J101" s="26"/>
      <c r="K101" s="26"/>
      <c r="L101" s="26"/>
      <c r="M101" s="26"/>
      <c r="N101" s="26"/>
      <c r="O101" s="26"/>
      <c r="P101" s="26"/>
      <c r="Q101" s="26"/>
      <c r="R101" s="26"/>
      <c r="S101" s="26"/>
      <c r="T101" s="26"/>
      <c r="U101" s="60">
        <v>-161</v>
      </c>
      <c r="V101" s="196"/>
      <c r="W101" s="119"/>
      <c r="X101" s="182"/>
    </row>
    <row r="102" spans="1:24" ht="15.6">
      <c r="A102" s="177" t="s">
        <v>192</v>
      </c>
      <c r="B102" s="26" t="s">
        <v>179</v>
      </c>
      <c r="C102" s="26"/>
      <c r="D102" s="26"/>
      <c r="E102" s="26"/>
      <c r="F102" s="26"/>
      <c r="G102" s="26"/>
      <c r="H102" s="26"/>
      <c r="I102" s="26"/>
      <c r="J102" s="26"/>
      <c r="K102" s="26"/>
      <c r="L102" s="26"/>
      <c r="M102" s="26"/>
      <c r="N102" s="26"/>
      <c r="O102" s="26"/>
      <c r="P102" s="26"/>
      <c r="Q102" s="26"/>
      <c r="R102" s="26"/>
      <c r="S102" s="26"/>
      <c r="T102" s="26"/>
      <c r="U102" s="60">
        <v>-194</v>
      </c>
      <c r="V102" s="196"/>
      <c r="W102" s="6"/>
      <c r="X102" s="182"/>
    </row>
    <row r="103" spans="1:24" ht="15.6">
      <c r="A103" s="177" t="s">
        <v>193</v>
      </c>
      <c r="B103" s="26" t="s">
        <v>181</v>
      </c>
      <c r="C103" s="26"/>
      <c r="D103" s="26"/>
      <c r="E103" s="26"/>
      <c r="F103" s="26"/>
      <c r="G103" s="26"/>
      <c r="H103" s="26"/>
      <c r="I103" s="26"/>
      <c r="J103" s="26"/>
      <c r="K103" s="26"/>
      <c r="L103" s="26"/>
      <c r="M103" s="26"/>
      <c r="N103" s="26"/>
      <c r="O103" s="26"/>
      <c r="P103" s="26"/>
      <c r="Q103" s="26"/>
      <c r="R103" s="26"/>
      <c r="S103" s="26"/>
      <c r="T103" s="26"/>
      <c r="U103" s="60">
        <v>-165</v>
      </c>
      <c r="V103" s="196"/>
      <c r="W103" s="119"/>
      <c r="X103" s="182"/>
    </row>
    <row r="104" spans="1:24" ht="15.6">
      <c r="A104" s="25">
        <v>9</v>
      </c>
      <c r="B104" s="26" t="s">
        <v>182</v>
      </c>
      <c r="C104" s="26"/>
      <c r="D104" s="26"/>
      <c r="E104" s="26"/>
      <c r="F104" s="26"/>
      <c r="G104" s="26"/>
      <c r="H104" s="26"/>
      <c r="I104" s="26"/>
      <c r="J104" s="26"/>
      <c r="K104" s="26"/>
      <c r="L104" s="26"/>
      <c r="M104" s="26"/>
      <c r="N104" s="26"/>
      <c r="O104" s="26"/>
      <c r="P104" s="26"/>
      <c r="Q104" s="26"/>
      <c r="R104" s="26"/>
      <c r="S104" s="26"/>
      <c r="T104" s="26"/>
      <c r="U104" s="60">
        <f>+U81-U32-U79</f>
        <v>-86442</v>
      </c>
      <c r="V104" s="196"/>
      <c r="W104" s="6"/>
      <c r="X104" s="182"/>
    </row>
    <row r="105" spans="1:24" ht="15.6">
      <c r="A105" s="25">
        <v>10</v>
      </c>
      <c r="B105" s="26" t="s">
        <v>234</v>
      </c>
      <c r="C105" s="26"/>
      <c r="D105" s="26"/>
      <c r="E105" s="26"/>
      <c r="F105" s="26"/>
      <c r="G105" s="26"/>
      <c r="H105" s="26"/>
      <c r="I105" s="26"/>
      <c r="J105" s="26"/>
      <c r="K105" s="26"/>
      <c r="L105" s="26"/>
      <c r="M105" s="26"/>
      <c r="N105" s="26"/>
      <c r="O105" s="26"/>
      <c r="P105" s="26"/>
      <c r="Q105" s="26"/>
      <c r="R105" s="26"/>
      <c r="S105" s="26"/>
      <c r="T105" s="26"/>
      <c r="U105" s="60">
        <v>-40500</v>
      </c>
      <c r="V105" s="196"/>
      <c r="W105" s="6"/>
      <c r="X105" s="64"/>
    </row>
    <row r="106" spans="1:24" ht="15.6">
      <c r="A106" s="25">
        <v>11</v>
      </c>
      <c r="B106" s="26" t="s">
        <v>183</v>
      </c>
      <c r="C106" s="26"/>
      <c r="D106" s="26"/>
      <c r="E106" s="26"/>
      <c r="F106" s="26"/>
      <c r="G106" s="26"/>
      <c r="H106" s="26"/>
      <c r="I106" s="26"/>
      <c r="J106" s="26"/>
      <c r="K106" s="26"/>
      <c r="L106" s="26"/>
      <c r="M106" s="26"/>
      <c r="N106" s="26"/>
      <c r="O106" s="26"/>
      <c r="P106" s="26"/>
      <c r="Q106" s="26"/>
      <c r="R106" s="26"/>
      <c r="S106" s="26"/>
      <c r="T106" s="26"/>
      <c r="U106" s="60">
        <v>0</v>
      </c>
      <c r="V106" s="196"/>
      <c r="W106" s="6"/>
      <c r="X106" s="64"/>
    </row>
    <row r="107" spans="1:24" ht="15.6">
      <c r="A107" s="25">
        <v>12</v>
      </c>
      <c r="B107" s="26" t="s">
        <v>184</v>
      </c>
      <c r="C107" s="26"/>
      <c r="D107" s="26"/>
      <c r="E107" s="26"/>
      <c r="F107" s="26"/>
      <c r="G107" s="26"/>
      <c r="H107" s="26"/>
      <c r="I107" s="26"/>
      <c r="J107" s="26"/>
      <c r="K107" s="26"/>
      <c r="L107" s="26"/>
      <c r="M107" s="26"/>
      <c r="N107" s="26"/>
      <c r="O107" s="26"/>
      <c r="P107" s="26"/>
      <c r="Q107" s="26"/>
      <c r="R107" s="26"/>
      <c r="S107" s="26"/>
      <c r="T107" s="26"/>
      <c r="U107" s="60">
        <v>-396</v>
      </c>
      <c r="V107" s="196"/>
      <c r="W107" s="6"/>
      <c r="X107" s="182"/>
    </row>
    <row r="108" spans="1:24" ht="15.6">
      <c r="A108" s="25">
        <v>13</v>
      </c>
      <c r="B108" s="26" t="s">
        <v>40</v>
      </c>
      <c r="C108" s="26"/>
      <c r="D108" s="26"/>
      <c r="E108" s="26"/>
      <c r="F108" s="26"/>
      <c r="G108" s="26"/>
      <c r="H108" s="26"/>
      <c r="I108" s="26"/>
      <c r="J108" s="26"/>
      <c r="K108" s="26"/>
      <c r="L108" s="26"/>
      <c r="M108" s="26"/>
      <c r="N108" s="26"/>
      <c r="O108" s="26"/>
      <c r="P108" s="26"/>
      <c r="Q108" s="26"/>
      <c r="R108" s="26"/>
      <c r="S108" s="26"/>
      <c r="T108" s="26"/>
      <c r="U108" s="60">
        <f>-SUM(U89:U107)</f>
        <v>-3343</v>
      </c>
      <c r="V108" s="196"/>
      <c r="W108" s="6"/>
      <c r="X108" s="182"/>
    </row>
    <row r="109" spans="1:24" ht="15.6">
      <c r="A109" s="25"/>
      <c r="B109" s="29"/>
      <c r="C109" s="26"/>
      <c r="D109" s="26"/>
      <c r="E109" s="26"/>
      <c r="F109" s="26"/>
      <c r="G109" s="26"/>
      <c r="H109" s="26"/>
      <c r="I109" s="26"/>
      <c r="J109" s="26"/>
      <c r="K109" s="26"/>
      <c r="L109" s="26"/>
      <c r="M109" s="26"/>
      <c r="N109" s="26"/>
      <c r="O109" s="26"/>
      <c r="P109" s="26"/>
      <c r="Q109" s="26"/>
      <c r="R109" s="26"/>
      <c r="S109" s="59"/>
      <c r="T109" s="59"/>
      <c r="U109" s="59"/>
      <c r="V109" s="196"/>
      <c r="W109" s="6"/>
      <c r="X109" s="182"/>
    </row>
    <row r="110" spans="1:24" ht="15.6">
      <c r="A110" s="7"/>
      <c r="B110" s="12"/>
      <c r="C110" s="9"/>
      <c r="D110" s="9"/>
      <c r="E110" s="9"/>
      <c r="F110" s="9"/>
      <c r="G110" s="9"/>
      <c r="H110" s="9"/>
      <c r="I110" s="9"/>
      <c r="J110" s="9"/>
      <c r="K110" s="9"/>
      <c r="L110" s="9"/>
      <c r="M110" s="9"/>
      <c r="N110" s="9"/>
      <c r="O110" s="9"/>
      <c r="P110" s="9"/>
      <c r="Q110" s="9"/>
      <c r="R110" s="9"/>
      <c r="S110" s="66"/>
      <c r="T110" s="66"/>
      <c r="U110" s="66"/>
      <c r="V110" s="194"/>
      <c r="W110" s="6"/>
    </row>
    <row r="111" spans="1:24" ht="16.2" thickBot="1">
      <c r="A111" s="130"/>
      <c r="B111" s="131" t="str">
        <f>+B59</f>
        <v>PPAF3 INVESTOR REPORT QUARTER ENDING MARCH 2009</v>
      </c>
      <c r="C111" s="132"/>
      <c r="D111" s="132"/>
      <c r="E111" s="132"/>
      <c r="F111" s="132"/>
      <c r="G111" s="132"/>
      <c r="H111" s="132"/>
      <c r="I111" s="132"/>
      <c r="J111" s="132"/>
      <c r="K111" s="132"/>
      <c r="L111" s="132"/>
      <c r="M111" s="132"/>
      <c r="N111" s="132"/>
      <c r="O111" s="132"/>
      <c r="P111" s="132"/>
      <c r="Q111" s="132"/>
      <c r="R111" s="132"/>
      <c r="S111" s="135"/>
      <c r="T111" s="135"/>
      <c r="U111" s="135"/>
      <c r="V111" s="134"/>
      <c r="W111" s="6"/>
    </row>
    <row r="112" spans="1:24" ht="15.6">
      <c r="A112" s="2"/>
      <c r="B112" s="5"/>
      <c r="C112" s="5"/>
      <c r="D112" s="5"/>
      <c r="E112" s="5"/>
      <c r="F112" s="5"/>
      <c r="G112" s="5"/>
      <c r="H112" s="5"/>
      <c r="I112" s="5"/>
      <c r="J112" s="5"/>
      <c r="K112" s="5"/>
      <c r="L112" s="5"/>
      <c r="M112" s="5"/>
      <c r="N112" s="5"/>
      <c r="O112" s="5"/>
      <c r="P112" s="5"/>
      <c r="Q112" s="5"/>
      <c r="R112" s="5"/>
      <c r="S112" s="67"/>
      <c r="T112" s="67"/>
      <c r="U112" s="67"/>
      <c r="V112" s="193"/>
      <c r="W112" s="6"/>
    </row>
    <row r="113" spans="1:23" ht="15.6">
      <c r="A113" s="68"/>
      <c r="B113" s="69" t="s">
        <v>41</v>
      </c>
      <c r="C113" s="70"/>
      <c r="D113" s="70"/>
      <c r="E113" s="70"/>
      <c r="F113" s="70"/>
      <c r="G113" s="70"/>
      <c r="H113" s="70"/>
      <c r="I113" s="70"/>
      <c r="J113" s="70"/>
      <c r="K113" s="70"/>
      <c r="L113" s="70"/>
      <c r="M113" s="70"/>
      <c r="N113" s="70"/>
      <c r="O113" s="70"/>
      <c r="P113" s="70"/>
      <c r="Q113" s="70"/>
      <c r="R113" s="70"/>
      <c r="S113" s="70"/>
      <c r="T113" s="70"/>
      <c r="U113" s="71"/>
      <c r="V113" s="201"/>
      <c r="W113" s="6"/>
    </row>
    <row r="114" spans="1:23" ht="15.6">
      <c r="A114" s="68"/>
      <c r="B114" s="70"/>
      <c r="C114" s="70"/>
      <c r="D114" s="70"/>
      <c r="E114" s="70"/>
      <c r="F114" s="70"/>
      <c r="G114" s="70"/>
      <c r="H114" s="70"/>
      <c r="I114" s="70"/>
      <c r="J114" s="70"/>
      <c r="K114" s="70"/>
      <c r="L114" s="70"/>
      <c r="M114" s="70"/>
      <c r="N114" s="70"/>
      <c r="O114" s="70"/>
      <c r="P114" s="70"/>
      <c r="Q114" s="70"/>
      <c r="R114" s="70"/>
      <c r="S114" s="70"/>
      <c r="T114" s="70"/>
      <c r="U114" s="71"/>
      <c r="V114" s="202"/>
      <c r="W114" s="6"/>
    </row>
    <row r="115" spans="1:23" ht="15.6">
      <c r="A115" s="7"/>
      <c r="B115" s="153" t="s">
        <v>42</v>
      </c>
      <c r="C115" s="13"/>
      <c r="D115" s="13"/>
      <c r="E115" s="13"/>
      <c r="F115" s="13"/>
      <c r="G115" s="13"/>
      <c r="H115" s="13"/>
      <c r="I115" s="13"/>
      <c r="J115" s="13"/>
      <c r="K115" s="13"/>
      <c r="L115" s="13"/>
      <c r="M115" s="9"/>
      <c r="N115" s="9"/>
      <c r="O115" s="9"/>
      <c r="P115" s="9"/>
      <c r="Q115" s="9"/>
      <c r="R115" s="9"/>
      <c r="S115" s="9"/>
      <c r="T115" s="9"/>
      <c r="U115" s="58"/>
      <c r="V115" s="194"/>
      <c r="W115" s="6"/>
    </row>
    <row r="116" spans="1:23" ht="15.6">
      <c r="A116" s="25"/>
      <c r="B116" s="26" t="s">
        <v>43</v>
      </c>
      <c r="C116" s="26"/>
      <c r="D116" s="26"/>
      <c r="E116" s="26"/>
      <c r="F116" s="26"/>
      <c r="G116" s="26"/>
      <c r="H116" s="26"/>
      <c r="I116" s="26"/>
      <c r="J116" s="26"/>
      <c r="K116" s="26"/>
      <c r="L116" s="26"/>
      <c r="M116" s="26"/>
      <c r="N116" s="26"/>
      <c r="O116" s="26"/>
      <c r="P116" s="26"/>
      <c r="Q116" s="26"/>
      <c r="R116" s="26"/>
      <c r="S116" s="26"/>
      <c r="T116" s="26"/>
      <c r="U116" s="60">
        <v>40500</v>
      </c>
      <c r="V116" s="196"/>
      <c r="W116" s="6"/>
    </row>
    <row r="117" spans="1:23" ht="15.6">
      <c r="A117" s="25"/>
      <c r="B117" s="26" t="s">
        <v>240</v>
      </c>
      <c r="C117" s="26"/>
      <c r="D117" s="26"/>
      <c r="E117" s="26"/>
      <c r="F117" s="26"/>
      <c r="G117" s="26"/>
      <c r="H117" s="26"/>
      <c r="I117" s="26"/>
      <c r="J117" s="26"/>
      <c r="K117" s="26"/>
      <c r="L117" s="26"/>
      <c r="M117" s="26"/>
      <c r="N117" s="26"/>
      <c r="O117" s="26"/>
      <c r="P117" s="26"/>
      <c r="Q117" s="26"/>
      <c r="R117" s="26"/>
      <c r="S117" s="26"/>
      <c r="T117" s="26"/>
      <c r="U117" s="60">
        <v>40500</v>
      </c>
      <c r="V117" s="196"/>
      <c r="W117" s="6"/>
    </row>
    <row r="118" spans="1:23" ht="15.6">
      <c r="A118" s="25"/>
      <c r="B118" s="26" t="s">
        <v>241</v>
      </c>
      <c r="C118" s="26"/>
      <c r="D118" s="26"/>
      <c r="E118" s="26"/>
      <c r="F118" s="26"/>
      <c r="G118" s="26"/>
      <c r="H118" s="26"/>
      <c r="I118" s="26"/>
      <c r="J118" s="26"/>
      <c r="K118" s="26"/>
      <c r="L118" s="26"/>
      <c r="M118" s="26"/>
      <c r="N118" s="26"/>
      <c r="O118" s="26"/>
      <c r="P118" s="26"/>
      <c r="Q118" s="26"/>
      <c r="R118" s="26"/>
      <c r="S118" s="26"/>
      <c r="T118" s="26"/>
      <c r="U118" s="60">
        <v>0</v>
      </c>
      <c r="V118" s="196"/>
      <c r="W118" s="6"/>
    </row>
    <row r="119" spans="1:23" ht="15.6">
      <c r="A119" s="25"/>
      <c r="B119" s="26" t="s">
        <v>209</v>
      </c>
      <c r="C119" s="26"/>
      <c r="D119" s="26"/>
      <c r="E119" s="26"/>
      <c r="F119" s="26"/>
      <c r="G119" s="26"/>
      <c r="H119" s="26"/>
      <c r="I119" s="26"/>
      <c r="J119" s="26"/>
      <c r="K119" s="26"/>
      <c r="L119" s="26"/>
      <c r="M119" s="26"/>
      <c r="N119" s="26"/>
      <c r="O119" s="26"/>
      <c r="P119" s="26"/>
      <c r="Q119" s="26"/>
      <c r="R119" s="26"/>
      <c r="S119" s="26"/>
      <c r="T119" s="26"/>
      <c r="U119" s="60">
        <v>0</v>
      </c>
      <c r="V119" s="196"/>
      <c r="W119" s="6"/>
    </row>
    <row r="120" spans="1:23" ht="15.6">
      <c r="A120" s="25"/>
      <c r="B120" s="26" t="s">
        <v>210</v>
      </c>
      <c r="C120" s="26"/>
      <c r="D120" s="26"/>
      <c r="E120" s="26"/>
      <c r="F120" s="26"/>
      <c r="G120" s="26"/>
      <c r="H120" s="26"/>
      <c r="I120" s="26"/>
      <c r="J120" s="26"/>
      <c r="K120" s="26"/>
      <c r="L120" s="26"/>
      <c r="M120" s="26"/>
      <c r="N120" s="26"/>
      <c r="O120" s="26"/>
      <c r="P120" s="26"/>
      <c r="Q120" s="26"/>
      <c r="R120" s="26"/>
      <c r="S120" s="26"/>
      <c r="T120" s="26"/>
      <c r="U120" s="60">
        <v>0</v>
      </c>
      <c r="V120" s="196"/>
      <c r="W120" s="6"/>
    </row>
    <row r="121" spans="1:23" ht="15.6">
      <c r="A121" s="25"/>
      <c r="B121" s="26" t="s">
        <v>211</v>
      </c>
      <c r="C121" s="26"/>
      <c r="D121" s="26"/>
      <c r="E121" s="26"/>
      <c r="F121" s="26"/>
      <c r="G121" s="26"/>
      <c r="H121" s="26"/>
      <c r="I121" s="26"/>
      <c r="J121" s="26"/>
      <c r="K121" s="26"/>
      <c r="L121" s="26"/>
      <c r="M121" s="26"/>
      <c r="N121" s="26"/>
      <c r="O121" s="26"/>
      <c r="P121" s="26"/>
      <c r="Q121" s="26"/>
      <c r="R121" s="26"/>
      <c r="S121" s="26"/>
      <c r="T121" s="26"/>
      <c r="U121" s="60">
        <v>0</v>
      </c>
      <c r="V121" s="196"/>
      <c r="W121" s="6"/>
    </row>
    <row r="122" spans="1:23" ht="15.6">
      <c r="A122" s="25"/>
      <c r="B122" s="26" t="s">
        <v>212</v>
      </c>
      <c r="C122" s="26"/>
      <c r="D122" s="26"/>
      <c r="E122" s="26"/>
      <c r="F122" s="26"/>
      <c r="G122" s="26"/>
      <c r="H122" s="26"/>
      <c r="I122" s="26"/>
      <c r="J122" s="26"/>
      <c r="K122" s="26"/>
      <c r="L122" s="26"/>
      <c r="M122" s="26"/>
      <c r="N122" s="26"/>
      <c r="O122" s="26"/>
      <c r="P122" s="26"/>
      <c r="Q122" s="26"/>
      <c r="R122" s="26"/>
      <c r="S122" s="26"/>
      <c r="T122" s="26"/>
      <c r="U122" s="60">
        <v>0</v>
      </c>
      <c r="V122" s="196"/>
      <c r="W122" s="6"/>
    </row>
    <row r="123" spans="1:23" ht="15.6">
      <c r="A123" s="25"/>
      <c r="B123" s="26" t="s">
        <v>242</v>
      </c>
      <c r="C123" s="26"/>
      <c r="D123" s="26"/>
      <c r="E123" s="26"/>
      <c r="F123" s="26"/>
      <c r="G123" s="26"/>
      <c r="H123" s="26"/>
      <c r="I123" s="26"/>
      <c r="J123" s="26"/>
      <c r="K123" s="26"/>
      <c r="L123" s="26"/>
      <c r="M123" s="26"/>
      <c r="N123" s="26"/>
      <c r="O123" s="26"/>
      <c r="P123" s="26"/>
      <c r="Q123" s="26"/>
      <c r="R123" s="26"/>
      <c r="S123" s="26"/>
      <c r="T123" s="26"/>
      <c r="U123" s="60">
        <v>0</v>
      </c>
      <c r="V123" s="196"/>
      <c r="W123" s="6"/>
    </row>
    <row r="124" spans="1:23" ht="15.6">
      <c r="A124" s="25"/>
      <c r="B124" s="26" t="s">
        <v>45</v>
      </c>
      <c r="C124" s="26"/>
      <c r="D124" s="26"/>
      <c r="E124" s="26"/>
      <c r="F124" s="26"/>
      <c r="G124" s="26"/>
      <c r="H124" s="26"/>
      <c r="I124" s="26"/>
      <c r="J124" s="26"/>
      <c r="K124" s="26"/>
      <c r="L124" s="26"/>
      <c r="M124" s="26"/>
      <c r="N124" s="26"/>
      <c r="O124" s="26"/>
      <c r="P124" s="26"/>
      <c r="Q124" s="26"/>
      <c r="R124" s="26"/>
      <c r="S124" s="26"/>
      <c r="T124" s="26"/>
      <c r="U124" s="60">
        <f>SUM(U117:U123)</f>
        <v>40500</v>
      </c>
      <c r="V124" s="196"/>
      <c r="W124" s="6"/>
    </row>
    <row r="125" spans="1:23" ht="15.6">
      <c r="A125" s="25"/>
      <c r="B125" s="26"/>
      <c r="C125" s="26"/>
      <c r="D125" s="26"/>
      <c r="E125" s="26"/>
      <c r="F125" s="26"/>
      <c r="G125" s="26"/>
      <c r="H125" s="26"/>
      <c r="I125" s="26"/>
      <c r="J125" s="26"/>
      <c r="K125" s="26"/>
      <c r="L125" s="26"/>
      <c r="M125" s="26"/>
      <c r="N125" s="26"/>
      <c r="O125" s="26"/>
      <c r="P125" s="26"/>
      <c r="Q125" s="26"/>
      <c r="R125" s="26"/>
      <c r="S125" s="26"/>
      <c r="T125" s="26"/>
      <c r="U125" s="73"/>
      <c r="V125" s="196"/>
      <c r="W125" s="6"/>
    </row>
    <row r="126" spans="1:23" ht="15.6">
      <c r="A126" s="7"/>
      <c r="B126" s="153" t="s">
        <v>46</v>
      </c>
      <c r="C126" s="13"/>
      <c r="D126" s="13"/>
      <c r="E126" s="13"/>
      <c r="F126" s="13"/>
      <c r="G126" s="13"/>
      <c r="H126" s="13"/>
      <c r="I126" s="13"/>
      <c r="J126" s="13"/>
      <c r="K126" s="13"/>
      <c r="L126" s="13"/>
      <c r="M126" s="9"/>
      <c r="N126" s="9"/>
      <c r="O126" s="9"/>
      <c r="P126" s="188"/>
      <c r="Q126" s="9"/>
      <c r="R126" s="9"/>
      <c r="S126" s="9"/>
      <c r="T126" s="9"/>
      <c r="U126" s="75"/>
      <c r="V126" s="194"/>
      <c r="W126" s="6"/>
    </row>
    <row r="127" spans="1:23" ht="15.6">
      <c r="A127" s="7"/>
      <c r="B127" s="13"/>
      <c r="C127" s="17" t="s">
        <v>185</v>
      </c>
      <c r="D127" s="17"/>
      <c r="E127" s="17" t="s">
        <v>99</v>
      </c>
      <c r="F127" s="17"/>
      <c r="G127" s="17" t="s">
        <v>102</v>
      </c>
      <c r="H127" s="17"/>
      <c r="I127" s="17" t="s">
        <v>108</v>
      </c>
      <c r="J127" s="17"/>
      <c r="K127" s="17"/>
      <c r="L127" s="17"/>
      <c r="M127" s="17"/>
      <c r="N127" s="17"/>
      <c r="O127" s="17"/>
      <c r="P127" s="188"/>
      <c r="Q127" s="188"/>
      <c r="R127" s="9"/>
      <c r="S127" s="9"/>
      <c r="T127" s="9"/>
      <c r="U127" s="75"/>
      <c r="V127" s="194"/>
      <c r="W127" s="6"/>
    </row>
    <row r="128" spans="1:23" ht="15.6">
      <c r="A128" s="25"/>
      <c r="B128" s="26" t="s">
        <v>122</v>
      </c>
      <c r="C128" s="59">
        <f>+N201-'Dec 08'!N200</f>
        <v>312</v>
      </c>
      <c r="D128" s="26"/>
      <c r="E128" s="59">
        <f>+S201-'Dec 08'!S200</f>
        <v>94</v>
      </c>
      <c r="F128" s="26"/>
      <c r="G128" s="59">
        <f>+N214-'Dec 08'!N213</f>
        <v>-844</v>
      </c>
      <c r="H128" s="26"/>
      <c r="I128" s="59">
        <f>+S214-'Dec 08'!S213</f>
        <v>69</v>
      </c>
      <c r="J128" s="26"/>
      <c r="K128" s="26"/>
      <c r="L128" s="26"/>
      <c r="M128" s="26"/>
      <c r="N128" s="26"/>
      <c r="O128" s="26"/>
      <c r="P128" s="189"/>
      <c r="Q128" s="189"/>
      <c r="R128" s="26"/>
      <c r="S128" s="26"/>
      <c r="T128" s="26"/>
      <c r="U128" s="60">
        <f>SUM(C128:I128)</f>
        <v>-369</v>
      </c>
      <c r="V128" s="196"/>
      <c r="W128" s="6"/>
    </row>
    <row r="129" spans="1:25" ht="15.6">
      <c r="A129" s="25"/>
      <c r="B129" s="26" t="s">
        <v>47</v>
      </c>
      <c r="C129" s="26">
        <v>59</v>
      </c>
      <c r="D129" s="26"/>
      <c r="E129" s="26">
        <v>0</v>
      </c>
      <c r="F129" s="26"/>
      <c r="G129" s="26">
        <v>1556</v>
      </c>
      <c r="H129" s="26"/>
      <c r="I129" s="59">
        <v>1016</v>
      </c>
      <c r="J129" s="26"/>
      <c r="K129" s="26"/>
      <c r="L129" s="26"/>
      <c r="M129" s="26"/>
      <c r="N129" s="26"/>
      <c r="O129" s="26"/>
      <c r="P129" s="189"/>
      <c r="Q129" s="189"/>
      <c r="R129" s="26"/>
      <c r="S129" s="26"/>
      <c r="T129" s="26"/>
      <c r="U129" s="60">
        <f>SUM(C129:I129)</f>
        <v>2631</v>
      </c>
      <c r="V129" s="196"/>
      <c r="W129" s="6"/>
    </row>
    <row r="130" spans="1:25" ht="15.6">
      <c r="A130" s="25"/>
      <c r="B130" s="26" t="s">
        <v>48</v>
      </c>
      <c r="C130" s="26"/>
      <c r="D130" s="26"/>
      <c r="E130" s="26"/>
      <c r="F130" s="26"/>
      <c r="G130" s="26"/>
      <c r="H130" s="26"/>
      <c r="I130" s="26"/>
      <c r="J130" s="26"/>
      <c r="K130" s="26"/>
      <c r="L130" s="26"/>
      <c r="M130" s="26"/>
      <c r="N130" s="26"/>
      <c r="O130" s="26"/>
      <c r="P130" s="26"/>
      <c r="Q130" s="26"/>
      <c r="R130" s="26"/>
      <c r="S130" s="26"/>
      <c r="T130" s="26"/>
      <c r="U130" s="60">
        <f>SUM(U128:U129)</f>
        <v>2262</v>
      </c>
      <c r="V130" s="196"/>
      <c r="W130" s="6"/>
    </row>
    <row r="131" spans="1:25" ht="15.6">
      <c r="A131" s="7"/>
      <c r="B131" s="153" t="s">
        <v>49</v>
      </c>
      <c r="C131" s="13"/>
      <c r="D131" s="13"/>
      <c r="E131" s="13"/>
      <c r="F131" s="13"/>
      <c r="G131" s="13"/>
      <c r="H131" s="13"/>
      <c r="I131" s="13"/>
      <c r="J131" s="13"/>
      <c r="K131" s="13"/>
      <c r="L131" s="13"/>
      <c r="M131" s="9"/>
      <c r="N131" s="9"/>
      <c r="O131" s="9"/>
      <c r="P131" s="9"/>
      <c r="Q131" s="9"/>
      <c r="R131" s="9"/>
      <c r="S131" s="9"/>
      <c r="T131" s="9"/>
      <c r="U131" s="58"/>
      <c r="V131" s="194"/>
      <c r="W131" s="6"/>
    </row>
    <row r="132" spans="1:25" ht="15.6">
      <c r="A132" s="25"/>
      <c r="B132" s="26" t="s">
        <v>50</v>
      </c>
      <c r="C132" s="77"/>
      <c r="D132" s="77"/>
      <c r="E132" s="77"/>
      <c r="F132" s="77"/>
      <c r="G132" s="77"/>
      <c r="H132" s="77"/>
      <c r="I132" s="77"/>
      <c r="J132" s="77"/>
      <c r="K132" s="77"/>
      <c r="L132" s="77"/>
      <c r="M132" s="26"/>
      <c r="N132" s="26"/>
      <c r="O132" s="26"/>
      <c r="P132" s="26"/>
      <c r="Q132" s="26"/>
      <c r="R132" s="26"/>
      <c r="S132" s="26"/>
      <c r="T132" s="26"/>
      <c r="U132" s="60">
        <f>U76+U78</f>
        <v>363558</v>
      </c>
      <c r="V132" s="196"/>
      <c r="W132" s="6"/>
      <c r="X132" s="182"/>
    </row>
    <row r="133" spans="1:25" ht="15.6">
      <c r="A133" s="25"/>
      <c r="B133" s="26" t="s">
        <v>51</v>
      </c>
      <c r="C133" s="77"/>
      <c r="D133" s="77"/>
      <c r="E133" s="77"/>
      <c r="F133" s="77"/>
      <c r="G133" s="77"/>
      <c r="H133" s="77"/>
      <c r="I133" s="77"/>
      <c r="J133" s="77"/>
      <c r="K133" s="77"/>
      <c r="L133" s="77"/>
      <c r="M133" s="26"/>
      <c r="N133" s="26"/>
      <c r="O133" s="26"/>
      <c r="P133" s="26"/>
      <c r="Q133" s="26"/>
      <c r="R133" s="26"/>
      <c r="S133" s="26"/>
      <c r="T133" s="26"/>
      <c r="U133" s="60">
        <f>+S222</f>
        <v>3500</v>
      </c>
      <c r="V133" s="196"/>
      <c r="W133" s="6"/>
      <c r="Y133" s="182"/>
    </row>
    <row r="134" spans="1:25" ht="15.6">
      <c r="A134" s="25"/>
      <c r="B134" s="26" t="s">
        <v>52</v>
      </c>
      <c r="C134" s="77"/>
      <c r="D134" s="77"/>
      <c r="E134" s="77"/>
      <c r="F134" s="77"/>
      <c r="G134" s="77"/>
      <c r="H134" s="77"/>
      <c r="I134" s="77"/>
      <c r="J134" s="77"/>
      <c r="K134" s="77"/>
      <c r="L134" s="77"/>
      <c r="M134" s="26"/>
      <c r="N134" s="26"/>
      <c r="O134" s="26"/>
      <c r="P134" s="26"/>
      <c r="Q134" s="26"/>
      <c r="R134" s="26"/>
      <c r="S134" s="26"/>
      <c r="T134" s="26"/>
      <c r="U134" s="60">
        <f>+U132+U133</f>
        <v>367058</v>
      </c>
      <c r="V134" s="196"/>
      <c r="W134" s="6"/>
    </row>
    <row r="135" spans="1:25" ht="15.6">
      <c r="A135" s="25"/>
      <c r="B135" s="26" t="s">
        <v>53</v>
      </c>
      <c r="C135" s="77"/>
      <c r="D135" s="77"/>
      <c r="E135" s="77"/>
      <c r="F135" s="77"/>
      <c r="G135" s="77"/>
      <c r="H135" s="77"/>
      <c r="I135" s="77"/>
      <c r="J135" s="77"/>
      <c r="K135" s="77"/>
      <c r="L135" s="77"/>
      <c r="M135" s="26"/>
      <c r="N135" s="26"/>
      <c r="O135" s="26"/>
      <c r="P135" s="26"/>
      <c r="Q135" s="26"/>
      <c r="R135" s="26"/>
      <c r="S135" s="26"/>
      <c r="T135" s="26"/>
      <c r="U135" s="60">
        <f>U81</f>
        <v>367058</v>
      </c>
      <c r="V135" s="196"/>
      <c r="W135" s="6"/>
      <c r="X135" s="64"/>
    </row>
    <row r="136" spans="1:25" ht="15.6">
      <c r="A136" s="25"/>
      <c r="B136" s="26"/>
      <c r="C136" s="26"/>
      <c r="D136" s="26"/>
      <c r="E136" s="26"/>
      <c r="F136" s="26"/>
      <c r="G136" s="26"/>
      <c r="H136" s="26"/>
      <c r="I136" s="26"/>
      <c r="J136" s="26"/>
      <c r="K136" s="26"/>
      <c r="L136" s="26"/>
      <c r="M136" s="26"/>
      <c r="N136" s="26"/>
      <c r="O136" s="26"/>
      <c r="P136" s="26"/>
      <c r="Q136" s="26"/>
      <c r="R136" s="26"/>
      <c r="S136" s="26"/>
      <c r="T136" s="26"/>
      <c r="U136" s="78"/>
      <c r="V136" s="196"/>
      <c r="W136" s="6"/>
    </row>
    <row r="137" spans="1:25" ht="15.6">
      <c r="A137" s="7"/>
      <c r="B137" s="153" t="s">
        <v>54</v>
      </c>
      <c r="C137" s="141"/>
      <c r="D137" s="141"/>
      <c r="E137" s="141"/>
      <c r="F137" s="141"/>
      <c r="G137" s="141"/>
      <c r="H137" s="141"/>
      <c r="I137" s="141"/>
      <c r="J137" s="141"/>
      <c r="K137" s="141"/>
      <c r="L137" s="141"/>
      <c r="M137" s="141"/>
      <c r="N137" s="141"/>
      <c r="O137" s="141"/>
      <c r="P137" s="141"/>
      <c r="Q137" s="142" t="s">
        <v>112</v>
      </c>
      <c r="R137" s="154"/>
      <c r="S137" s="142" t="s">
        <v>114</v>
      </c>
      <c r="T137" s="141"/>
      <c r="U137" s="155" t="s">
        <v>90</v>
      </c>
      <c r="V137" s="194"/>
      <c r="W137" s="6"/>
    </row>
    <row r="138" spans="1:25" ht="15.6">
      <c r="A138" s="25"/>
      <c r="B138" s="26" t="s">
        <v>55</v>
      </c>
      <c r="C138" s="26"/>
      <c r="D138" s="26"/>
      <c r="E138" s="26"/>
      <c r="F138" s="26"/>
      <c r="G138" s="26"/>
      <c r="H138" s="26"/>
      <c r="I138" s="26"/>
      <c r="J138" s="26"/>
      <c r="K138" s="26"/>
      <c r="L138" s="26"/>
      <c r="M138" s="26"/>
      <c r="N138" s="26"/>
      <c r="O138" s="26"/>
      <c r="P138" s="26"/>
      <c r="Q138" s="60">
        <v>0</v>
      </c>
      <c r="R138" s="26"/>
      <c r="S138" s="79" t="s">
        <v>115</v>
      </c>
      <c r="T138" s="26"/>
      <c r="U138" s="60">
        <f>Q138</f>
        <v>0</v>
      </c>
      <c r="V138" s="196"/>
      <c r="W138" s="6"/>
    </row>
    <row r="139" spans="1:25" ht="15.6">
      <c r="A139" s="25"/>
      <c r="B139" s="26" t="s">
        <v>56</v>
      </c>
      <c r="C139" s="26"/>
      <c r="D139" s="26"/>
      <c r="E139" s="26"/>
      <c r="F139" s="26"/>
      <c r="G139" s="26"/>
      <c r="H139" s="26"/>
      <c r="I139" s="26"/>
      <c r="J139" s="26"/>
      <c r="K139" s="26"/>
      <c r="L139" s="26"/>
      <c r="M139" s="26"/>
      <c r="N139" s="26"/>
      <c r="O139" s="26"/>
      <c r="P139" s="26"/>
      <c r="Q139" s="60">
        <f>+'Dec 08'!Q140</f>
        <v>4079</v>
      </c>
      <c r="R139" s="26"/>
      <c r="S139" s="79" t="s">
        <v>115</v>
      </c>
      <c r="T139" s="26"/>
      <c r="U139" s="60">
        <f>Q139</f>
        <v>4079</v>
      </c>
      <c r="V139" s="196"/>
      <c r="W139" s="6"/>
    </row>
    <row r="140" spans="1:25" ht="15.6">
      <c r="A140" s="25"/>
      <c r="B140" s="26" t="s">
        <v>57</v>
      </c>
      <c r="C140" s="26"/>
      <c r="D140" s="26"/>
      <c r="E140" s="26"/>
      <c r="F140" s="26"/>
      <c r="G140" s="26"/>
      <c r="H140" s="26"/>
      <c r="I140" s="26"/>
      <c r="J140" s="26"/>
      <c r="K140" s="26"/>
      <c r="L140" s="26"/>
      <c r="M140" s="26"/>
      <c r="N140" s="26"/>
      <c r="O140" s="26"/>
      <c r="P140" s="26"/>
      <c r="Q140" s="60">
        <v>148</v>
      </c>
      <c r="R140" s="26"/>
      <c r="S140" s="79" t="s">
        <v>115</v>
      </c>
      <c r="T140" s="26"/>
      <c r="U140" s="60">
        <f>Q140</f>
        <v>148</v>
      </c>
      <c r="V140" s="196"/>
      <c r="W140" s="6"/>
    </row>
    <row r="141" spans="1:25" ht="15.6">
      <c r="A141" s="25"/>
      <c r="B141" s="26" t="s">
        <v>58</v>
      </c>
      <c r="C141" s="26"/>
      <c r="D141" s="26"/>
      <c r="E141" s="26"/>
      <c r="F141" s="26"/>
      <c r="G141" s="26"/>
      <c r="H141" s="26"/>
      <c r="I141" s="26"/>
      <c r="J141" s="26"/>
      <c r="K141" s="26"/>
      <c r="L141" s="26"/>
      <c r="M141" s="26"/>
      <c r="N141" s="26"/>
      <c r="O141" s="26"/>
      <c r="P141" s="26"/>
      <c r="Q141" s="60">
        <f>SUM(Q139:Q140)</f>
        <v>4227</v>
      </c>
      <c r="R141" s="26"/>
      <c r="S141" s="79" t="s">
        <v>115</v>
      </c>
      <c r="T141" s="26"/>
      <c r="U141" s="60">
        <f>Q141</f>
        <v>4227</v>
      </c>
      <c r="V141" s="196"/>
      <c r="W141" s="6"/>
    </row>
    <row r="142" spans="1:25" ht="15.6">
      <c r="A142" s="25"/>
      <c r="B142" s="26" t="s">
        <v>215</v>
      </c>
      <c r="C142" s="26"/>
      <c r="D142" s="26"/>
      <c r="E142" s="26"/>
      <c r="F142" s="26"/>
      <c r="G142" s="26"/>
      <c r="H142" s="26"/>
      <c r="I142" s="26"/>
      <c r="J142" s="26"/>
      <c r="K142" s="26"/>
      <c r="L142" s="26"/>
      <c r="M142" s="26"/>
      <c r="N142" s="26"/>
      <c r="O142" s="26"/>
      <c r="P142" s="26"/>
      <c r="Q142" s="60"/>
      <c r="R142" s="26"/>
      <c r="S142" s="79"/>
      <c r="T142" s="26"/>
      <c r="U142" s="60"/>
      <c r="V142" s="196"/>
      <c r="W142" s="6"/>
    </row>
    <row r="143" spans="1:25" ht="15.6">
      <c r="A143" s="25"/>
      <c r="B143" s="26"/>
      <c r="C143" s="26"/>
      <c r="D143" s="26"/>
      <c r="E143" s="26"/>
      <c r="F143" s="26"/>
      <c r="G143" s="26"/>
      <c r="H143" s="26"/>
      <c r="I143" s="26"/>
      <c r="J143" s="26"/>
      <c r="K143" s="26"/>
      <c r="L143" s="26"/>
      <c r="M143" s="26"/>
      <c r="N143" s="26"/>
      <c r="O143" s="26"/>
      <c r="P143" s="26"/>
      <c r="Q143" s="26"/>
      <c r="R143" s="26"/>
      <c r="S143" s="26"/>
      <c r="T143" s="26"/>
      <c r="U143" s="26"/>
      <c r="V143" s="196"/>
      <c r="W143" s="6"/>
    </row>
    <row r="144" spans="1:25" ht="15.6">
      <c r="A144" s="25"/>
      <c r="B144" s="29"/>
      <c r="C144" s="29"/>
      <c r="D144" s="29"/>
      <c r="E144" s="29"/>
      <c r="F144" s="29"/>
      <c r="G144" s="29"/>
      <c r="H144" s="29"/>
      <c r="I144" s="29"/>
      <c r="J144" s="29"/>
      <c r="K144" s="29"/>
      <c r="L144" s="29"/>
      <c r="M144" s="29"/>
      <c r="N144" s="29"/>
      <c r="O144" s="29"/>
      <c r="P144" s="29"/>
      <c r="Q144" s="29"/>
      <c r="R144" s="29"/>
      <c r="S144" s="29"/>
      <c r="T144" s="29"/>
      <c r="U144" s="29"/>
      <c r="V144" s="203"/>
      <c r="W144" s="6"/>
    </row>
    <row r="145" spans="1:23" ht="15.6">
      <c r="A145" s="80"/>
      <c r="B145" s="57" t="s">
        <v>59</v>
      </c>
      <c r="C145" s="81"/>
      <c r="D145" s="81"/>
      <c r="E145" s="81"/>
      <c r="F145" s="81"/>
      <c r="G145" s="81"/>
      <c r="H145" s="81"/>
      <c r="I145" s="81"/>
      <c r="J145" s="81"/>
      <c r="K145" s="81"/>
      <c r="L145" s="81"/>
      <c r="M145" s="81"/>
      <c r="N145" s="81"/>
      <c r="O145" s="81"/>
      <c r="P145" s="19"/>
      <c r="Q145" s="19"/>
      <c r="R145" s="19"/>
      <c r="S145" s="19">
        <v>39903</v>
      </c>
      <c r="T145" s="15"/>
      <c r="U145" s="15"/>
      <c r="V145" s="194"/>
      <c r="W145" s="6"/>
    </row>
    <row r="146" spans="1:23" ht="15.6">
      <c r="A146" s="82"/>
      <c r="B146" s="83" t="s">
        <v>60</v>
      </c>
      <c r="C146" s="84"/>
      <c r="D146" s="84"/>
      <c r="E146" s="84"/>
      <c r="F146" s="84"/>
      <c r="G146" s="84"/>
      <c r="H146" s="84"/>
      <c r="I146" s="84"/>
      <c r="J146" s="84"/>
      <c r="K146" s="84"/>
      <c r="L146" s="84"/>
      <c r="M146" s="84"/>
      <c r="N146" s="84"/>
      <c r="O146" s="84"/>
      <c r="P146" s="85"/>
      <c r="Q146" s="85"/>
      <c r="R146" s="85"/>
      <c r="S146" s="86">
        <v>0.10630000000000001</v>
      </c>
      <c r="T146" s="26"/>
      <c r="U146" s="26"/>
      <c r="V146" s="196"/>
      <c r="W146" s="6"/>
    </row>
    <row r="147" spans="1:23" ht="15.6">
      <c r="A147" s="82"/>
      <c r="B147" s="83" t="s">
        <v>61</v>
      </c>
      <c r="C147" s="84"/>
      <c r="D147" s="84"/>
      <c r="E147" s="84"/>
      <c r="F147" s="84"/>
      <c r="G147" s="84"/>
      <c r="H147" s="84"/>
      <c r="I147" s="84"/>
      <c r="J147" s="84"/>
      <c r="K147" s="84"/>
      <c r="L147" s="84"/>
      <c r="M147" s="84"/>
      <c r="N147" s="84"/>
      <c r="O147" s="84"/>
      <c r="P147" s="85"/>
      <c r="Q147" s="85"/>
      <c r="R147" s="85"/>
      <c r="S147" s="86">
        <v>5.2200000000000003E-2</v>
      </c>
      <c r="T147" s="86"/>
      <c r="U147" s="26"/>
      <c r="V147" s="196"/>
      <c r="W147" s="6"/>
    </row>
    <row r="148" spans="1:23" ht="15.6">
      <c r="A148" s="82"/>
      <c r="B148" s="83" t="s">
        <v>62</v>
      </c>
      <c r="C148" s="84"/>
      <c r="D148" s="84"/>
      <c r="E148" s="84"/>
      <c r="F148" s="84"/>
      <c r="G148" s="84"/>
      <c r="H148" s="84"/>
      <c r="I148" s="84"/>
      <c r="J148" s="84"/>
      <c r="K148" s="84"/>
      <c r="L148" s="84"/>
      <c r="M148" s="84"/>
      <c r="N148" s="84"/>
      <c r="O148" s="84"/>
      <c r="P148" s="85"/>
      <c r="Q148" s="85"/>
      <c r="R148" s="85"/>
      <c r="S148" s="86">
        <f>S146-S147</f>
        <v>5.4100000000000002E-2</v>
      </c>
      <c r="T148" s="26"/>
      <c r="U148" s="26"/>
      <c r="V148" s="196"/>
      <c r="W148" s="6"/>
    </row>
    <row r="149" spans="1:23" ht="15.6">
      <c r="A149" s="82"/>
      <c r="B149" s="83" t="s">
        <v>63</v>
      </c>
      <c r="C149" s="84"/>
      <c r="D149" s="84"/>
      <c r="E149" s="84"/>
      <c r="F149" s="84"/>
      <c r="G149" s="84"/>
      <c r="H149" s="84"/>
      <c r="I149" s="84"/>
      <c r="J149" s="84"/>
      <c r="K149" s="84"/>
      <c r="L149" s="84"/>
      <c r="M149" s="84"/>
      <c r="N149" s="84"/>
      <c r="O149" s="84"/>
      <c r="P149" s="85"/>
      <c r="Q149" s="85"/>
      <c r="R149" s="85"/>
      <c r="S149" s="45">
        <v>9.5000000000000001E-2</v>
      </c>
      <c r="T149" s="26"/>
      <c r="U149" s="26"/>
      <c r="V149" s="196"/>
      <c r="W149" s="6"/>
    </row>
    <row r="150" spans="1:23" ht="15.6">
      <c r="A150" s="82"/>
      <c r="B150" s="83" t="s">
        <v>64</v>
      </c>
      <c r="C150" s="84"/>
      <c r="D150" s="84"/>
      <c r="E150" s="84"/>
      <c r="F150" s="84"/>
      <c r="G150" s="84"/>
      <c r="H150" s="84"/>
      <c r="I150" s="84"/>
      <c r="J150" s="84"/>
      <c r="K150" s="84"/>
      <c r="L150" s="84"/>
      <c r="M150" s="84"/>
      <c r="N150" s="84"/>
      <c r="O150" s="84"/>
      <c r="P150" s="85"/>
      <c r="Q150" s="85"/>
      <c r="R150" s="85"/>
      <c r="S150" s="86">
        <f>+U40</f>
        <v>2.6200207444444443E-2</v>
      </c>
      <c r="T150" s="26"/>
      <c r="U150" s="26"/>
      <c r="V150" s="196"/>
      <c r="W150" s="6"/>
    </row>
    <row r="151" spans="1:23" ht="15.6">
      <c r="A151" s="82"/>
      <c r="B151" s="83" t="s">
        <v>65</v>
      </c>
      <c r="C151" s="84"/>
      <c r="D151" s="84"/>
      <c r="E151" s="84"/>
      <c r="F151" s="84"/>
      <c r="G151" s="84"/>
      <c r="H151" s="84"/>
      <c r="I151" s="84"/>
      <c r="J151" s="84"/>
      <c r="K151" s="84"/>
      <c r="L151" s="84"/>
      <c r="M151" s="84"/>
      <c r="N151" s="84"/>
      <c r="O151" s="84"/>
      <c r="P151" s="85"/>
      <c r="Q151" s="85"/>
      <c r="R151" s="85"/>
      <c r="S151" s="86">
        <f>S149-S150</f>
        <v>6.8799792555555558E-2</v>
      </c>
      <c r="T151" s="26"/>
      <c r="U151" s="26"/>
      <c r="V151" s="196"/>
      <c r="W151" s="6"/>
    </row>
    <row r="152" spans="1:23" ht="15.6">
      <c r="A152" s="82"/>
      <c r="B152" s="83" t="s">
        <v>204</v>
      </c>
      <c r="C152" s="84"/>
      <c r="D152" s="84"/>
      <c r="E152" s="84"/>
      <c r="F152" s="84"/>
      <c r="G152" s="84"/>
      <c r="H152" s="84"/>
      <c r="I152" s="84"/>
      <c r="J152" s="84"/>
      <c r="K152" s="84"/>
      <c r="L152" s="84"/>
      <c r="M152" s="84"/>
      <c r="N152" s="84"/>
      <c r="O152" s="84"/>
      <c r="P152" s="85"/>
      <c r="Q152" s="85"/>
      <c r="R152" s="85"/>
      <c r="S152" s="183">
        <v>49780</v>
      </c>
      <c r="T152" s="26"/>
      <c r="U152" s="26"/>
      <c r="V152" s="196"/>
      <c r="W152" s="6"/>
    </row>
    <row r="153" spans="1:23" ht="15.6">
      <c r="A153" s="82"/>
      <c r="B153" s="83" t="s">
        <v>205</v>
      </c>
      <c r="C153" s="84"/>
      <c r="D153" s="84"/>
      <c r="E153" s="84"/>
      <c r="F153" s="84"/>
      <c r="G153" s="84"/>
      <c r="H153" s="84"/>
      <c r="I153" s="84"/>
      <c r="J153" s="84"/>
      <c r="K153" s="84"/>
      <c r="L153" s="84"/>
      <c r="M153" s="84"/>
      <c r="N153" s="84"/>
      <c r="O153" s="84"/>
      <c r="P153" s="85"/>
      <c r="Q153" s="85"/>
      <c r="R153" s="85"/>
      <c r="S153" s="183">
        <v>49780</v>
      </c>
      <c r="T153" s="26"/>
      <c r="U153" s="26"/>
      <c r="V153" s="196"/>
      <c r="W153" s="6"/>
    </row>
    <row r="154" spans="1:23" ht="15.6">
      <c r="A154" s="82"/>
      <c r="B154" s="83" t="s">
        <v>206</v>
      </c>
      <c r="C154" s="84"/>
      <c r="D154" s="84"/>
      <c r="E154" s="84"/>
      <c r="F154" s="84"/>
      <c r="G154" s="84"/>
      <c r="H154" s="84"/>
      <c r="I154" s="84"/>
      <c r="J154" s="84"/>
      <c r="K154" s="84"/>
      <c r="L154" s="84"/>
      <c r="M154" s="84"/>
      <c r="N154" s="84"/>
      <c r="O154" s="84"/>
      <c r="P154" s="85"/>
      <c r="Q154" s="85"/>
      <c r="R154" s="85"/>
      <c r="S154" s="183">
        <v>49780</v>
      </c>
      <c r="T154" s="26"/>
      <c r="U154" s="26"/>
      <c r="V154" s="196"/>
      <c r="W154" s="6"/>
    </row>
    <row r="155" spans="1:23" ht="15.6">
      <c r="A155" s="82"/>
      <c r="B155" s="83" t="s">
        <v>207</v>
      </c>
      <c r="C155" s="84"/>
      <c r="D155" s="84"/>
      <c r="E155" s="84"/>
      <c r="F155" s="84"/>
      <c r="G155" s="84"/>
      <c r="H155" s="84"/>
      <c r="I155" s="84"/>
      <c r="J155" s="84"/>
      <c r="K155" s="84"/>
      <c r="L155" s="84"/>
      <c r="M155" s="84"/>
      <c r="N155" s="84"/>
      <c r="O155" s="84"/>
      <c r="P155" s="85"/>
      <c r="Q155" s="85"/>
      <c r="R155" s="85"/>
      <c r="S155" s="183">
        <v>49780</v>
      </c>
      <c r="T155" s="26"/>
      <c r="U155" s="26"/>
      <c r="V155" s="196"/>
      <c r="W155" s="6"/>
    </row>
    <row r="156" spans="1:23" ht="15.6">
      <c r="A156" s="82"/>
      <c r="B156" s="83" t="s">
        <v>221</v>
      </c>
      <c r="C156" s="84"/>
      <c r="D156" s="84"/>
      <c r="E156" s="84"/>
      <c r="F156" s="84"/>
      <c r="G156" s="84"/>
      <c r="H156" s="84"/>
      <c r="I156" s="84"/>
      <c r="J156" s="84"/>
      <c r="K156" s="84"/>
      <c r="L156" s="84"/>
      <c r="M156" s="84"/>
      <c r="N156" s="84"/>
      <c r="O156" s="84"/>
      <c r="P156" s="85"/>
      <c r="Q156" s="85"/>
      <c r="R156" s="85"/>
      <c r="S156" s="87">
        <v>111.34</v>
      </c>
      <c r="T156" s="26"/>
      <c r="U156" s="26"/>
      <c r="V156" s="196"/>
      <c r="W156" s="6"/>
    </row>
    <row r="157" spans="1:23" ht="15.6">
      <c r="A157" s="82"/>
      <c r="B157" s="83" t="s">
        <v>222</v>
      </c>
      <c r="C157" s="84"/>
      <c r="D157" s="84"/>
      <c r="E157" s="84"/>
      <c r="F157" s="84"/>
      <c r="G157" s="84"/>
      <c r="H157" s="84"/>
      <c r="I157" s="84"/>
      <c r="J157" s="84"/>
      <c r="K157" s="84"/>
      <c r="L157" s="84"/>
      <c r="M157" s="84"/>
      <c r="N157" s="84"/>
      <c r="O157" s="84"/>
      <c r="P157" s="85"/>
      <c r="Q157" s="85"/>
      <c r="R157" s="85"/>
      <c r="S157" s="48">
        <v>149.22</v>
      </c>
      <c r="T157" s="26"/>
      <c r="U157" s="26"/>
      <c r="V157" s="196"/>
      <c r="W157" s="6"/>
    </row>
    <row r="158" spans="1:23" ht="15.6">
      <c r="A158" s="82" t="s">
        <v>223</v>
      </c>
      <c r="B158" s="83" t="s">
        <v>66</v>
      </c>
      <c r="C158" s="84"/>
      <c r="D158" s="84"/>
      <c r="E158" s="84"/>
      <c r="F158" s="84"/>
      <c r="G158" s="84"/>
      <c r="H158" s="84"/>
      <c r="I158" s="84"/>
      <c r="J158" s="84"/>
      <c r="K158" s="84"/>
      <c r="L158" s="84"/>
      <c r="M158" s="84"/>
      <c r="N158" s="84"/>
      <c r="O158" s="84"/>
      <c r="P158" s="85"/>
      <c r="Q158" s="85"/>
      <c r="R158" s="85"/>
      <c r="S158" s="86">
        <v>5.2999999999999999E-2</v>
      </c>
      <c r="T158" s="26"/>
      <c r="U158" s="26"/>
      <c r="V158" s="196"/>
      <c r="W158" s="6"/>
    </row>
    <row r="159" spans="1:23" ht="15.6">
      <c r="A159" s="82"/>
      <c r="B159" s="83" t="s">
        <v>67</v>
      </c>
      <c r="C159" s="84"/>
      <c r="D159" s="84"/>
      <c r="E159" s="84"/>
      <c r="F159" s="84"/>
      <c r="G159" s="84"/>
      <c r="H159" s="84"/>
      <c r="I159" s="84"/>
      <c r="J159" s="84"/>
      <c r="K159" s="84"/>
      <c r="L159" s="84"/>
      <c r="M159" s="84"/>
      <c r="N159" s="84"/>
      <c r="O159" s="84"/>
      <c r="P159" s="85"/>
      <c r="Q159" s="85"/>
      <c r="R159" s="85"/>
      <c r="S159" s="86">
        <v>0.38140000000000002</v>
      </c>
      <c r="T159" s="26"/>
      <c r="U159" s="26"/>
      <c r="V159" s="196"/>
      <c r="W159" s="6"/>
    </row>
    <row r="160" spans="1:23" ht="15.6">
      <c r="A160" s="82"/>
      <c r="B160" s="83"/>
      <c r="C160" s="83"/>
      <c r="D160" s="83"/>
      <c r="E160" s="83"/>
      <c r="F160" s="83"/>
      <c r="G160" s="83"/>
      <c r="H160" s="83"/>
      <c r="I160" s="83"/>
      <c r="J160" s="83"/>
      <c r="K160" s="83"/>
      <c r="L160" s="83"/>
      <c r="M160" s="83"/>
      <c r="N160" s="83"/>
      <c r="O160" s="83"/>
      <c r="P160" s="26"/>
      <c r="Q160" s="26"/>
      <c r="R160" s="33"/>
      <c r="S160" s="88"/>
      <c r="T160" s="26"/>
      <c r="U160" s="89"/>
      <c r="V160" s="196"/>
      <c r="W160" s="6"/>
    </row>
    <row r="161" spans="1:23" ht="15.6">
      <c r="A161" s="80"/>
      <c r="B161" s="90"/>
      <c r="C161" s="90"/>
      <c r="D161" s="90"/>
      <c r="E161" s="90"/>
      <c r="F161" s="90"/>
      <c r="G161" s="90"/>
      <c r="H161" s="90"/>
      <c r="I161" s="90"/>
      <c r="J161" s="90"/>
      <c r="K161" s="90"/>
      <c r="L161" s="90"/>
      <c r="M161" s="90"/>
      <c r="N161" s="90"/>
      <c r="O161" s="90"/>
      <c r="P161" s="9"/>
      <c r="Q161" s="9"/>
      <c r="R161" s="20"/>
      <c r="S161" s="91"/>
      <c r="T161" s="9"/>
      <c r="U161" s="92"/>
      <c r="V161" s="194"/>
      <c r="W161" s="6"/>
    </row>
    <row r="162" spans="1:23" ht="16.2" thickBot="1">
      <c r="A162" s="136"/>
      <c r="B162" s="131" t="str">
        <f>+B111</f>
        <v>PPAF3 INVESTOR REPORT QUARTER ENDING MARCH 2009</v>
      </c>
      <c r="C162" s="137"/>
      <c r="D162" s="137"/>
      <c r="E162" s="137"/>
      <c r="F162" s="137"/>
      <c r="G162" s="137"/>
      <c r="H162" s="137"/>
      <c r="I162" s="137"/>
      <c r="J162" s="137"/>
      <c r="K162" s="137"/>
      <c r="L162" s="137"/>
      <c r="M162" s="137"/>
      <c r="N162" s="137"/>
      <c r="O162" s="137"/>
      <c r="P162" s="132"/>
      <c r="Q162" s="132"/>
      <c r="R162" s="138"/>
      <c r="S162" s="139"/>
      <c r="T162" s="132"/>
      <c r="U162" s="140"/>
      <c r="V162" s="134"/>
      <c r="W162" s="6"/>
    </row>
    <row r="163" spans="1:23" ht="15.6">
      <c r="A163" s="93"/>
      <c r="B163" s="94" t="s">
        <v>68</v>
      </c>
      <c r="C163" s="95"/>
      <c r="D163" s="95"/>
      <c r="E163" s="95"/>
      <c r="F163" s="95"/>
      <c r="G163" s="95"/>
      <c r="H163" s="95"/>
      <c r="I163" s="95"/>
      <c r="J163" s="95"/>
      <c r="K163" s="95"/>
      <c r="L163" s="95"/>
      <c r="M163" s="96"/>
      <c r="N163" s="95"/>
      <c r="O163" s="96"/>
      <c r="P163" s="95"/>
      <c r="Q163" s="96"/>
      <c r="R163" s="95" t="s">
        <v>94</v>
      </c>
      <c r="S163" s="96" t="s">
        <v>116</v>
      </c>
      <c r="T163" s="97"/>
      <c r="U163" s="97"/>
      <c r="V163" s="193"/>
      <c r="W163" s="6"/>
    </row>
    <row r="164" spans="1:23" ht="15.6">
      <c r="A164" s="98"/>
      <c r="B164" s="83" t="s">
        <v>216</v>
      </c>
      <c r="C164" s="61"/>
      <c r="D164" s="61"/>
      <c r="E164" s="61"/>
      <c r="F164" s="61"/>
      <c r="G164" s="61"/>
      <c r="H164" s="61"/>
      <c r="I164" s="61"/>
      <c r="J164" s="61"/>
      <c r="K164" s="61"/>
      <c r="L164" s="61"/>
      <c r="M164" s="61"/>
      <c r="N164" s="61"/>
      <c r="O164" s="26"/>
      <c r="P164" s="26"/>
      <c r="Q164" s="26"/>
      <c r="R164" s="211">
        <v>748</v>
      </c>
      <c r="S164" s="210">
        <v>22222</v>
      </c>
      <c r="T164" s="60"/>
      <c r="U164" s="89"/>
      <c r="V164" s="204"/>
      <c r="W164" s="6"/>
    </row>
    <row r="165" spans="1:23" ht="15.6">
      <c r="A165" s="98"/>
      <c r="B165" s="83" t="s">
        <v>217</v>
      </c>
      <c r="C165" s="61"/>
      <c r="D165" s="61"/>
      <c r="E165" s="61"/>
      <c r="F165" s="61"/>
      <c r="G165" s="61"/>
      <c r="H165" s="61"/>
      <c r="I165" s="61"/>
      <c r="J165" s="61"/>
      <c r="K165" s="61"/>
      <c r="L165" s="61"/>
      <c r="M165" s="61"/>
      <c r="N165" s="61"/>
      <c r="O165" s="26"/>
      <c r="P165" s="26"/>
      <c r="Q165" s="26"/>
      <c r="R165" s="158">
        <v>53</v>
      </c>
      <c r="S165" s="210">
        <v>683</v>
      </c>
      <c r="T165" s="60"/>
      <c r="U165" s="89"/>
      <c r="V165" s="204"/>
      <c r="W165" s="6"/>
    </row>
    <row r="166" spans="1:23" ht="15.6">
      <c r="A166" s="98"/>
      <c r="B166" s="83" t="s">
        <v>218</v>
      </c>
      <c r="C166" s="61"/>
      <c r="D166" s="61"/>
      <c r="E166" s="61"/>
      <c r="F166" s="61"/>
      <c r="G166" s="61"/>
      <c r="H166" s="61"/>
      <c r="I166" s="61"/>
      <c r="J166" s="61"/>
      <c r="K166" s="61"/>
      <c r="L166" s="61"/>
      <c r="M166" s="61"/>
      <c r="N166" s="61"/>
      <c r="O166" s="26"/>
      <c r="P166" s="26"/>
      <c r="Q166" s="26"/>
      <c r="R166" s="158">
        <v>277</v>
      </c>
      <c r="S166" s="210">
        <v>475</v>
      </c>
      <c r="T166" s="60"/>
      <c r="U166" s="89"/>
      <c r="V166" s="204"/>
      <c r="W166" s="6"/>
    </row>
    <row r="167" spans="1:23" ht="15.6">
      <c r="A167" s="98"/>
      <c r="B167" s="83" t="s">
        <v>219</v>
      </c>
      <c r="C167" s="61"/>
      <c r="D167" s="61"/>
      <c r="E167" s="61"/>
      <c r="F167" s="61"/>
      <c r="G167" s="61"/>
      <c r="H167" s="61"/>
      <c r="I167" s="61"/>
      <c r="J167" s="61"/>
      <c r="K167" s="61"/>
      <c r="L167" s="61"/>
      <c r="M167" s="61"/>
      <c r="N167" s="61"/>
      <c r="O167" s="26"/>
      <c r="P167" s="26"/>
      <c r="Q167" s="26"/>
      <c r="R167" s="158">
        <v>238</v>
      </c>
      <c r="S167" s="210">
        <v>889</v>
      </c>
      <c r="T167" s="60"/>
      <c r="U167" s="89"/>
      <c r="V167" s="204"/>
      <c r="W167" s="6"/>
    </row>
    <row r="168" spans="1:23" ht="15.6">
      <c r="A168" s="98"/>
      <c r="B168" s="83" t="s">
        <v>90</v>
      </c>
      <c r="C168" s="61"/>
      <c r="D168" s="61"/>
      <c r="E168" s="61"/>
      <c r="F168" s="61"/>
      <c r="G168" s="61"/>
      <c r="H168" s="61"/>
      <c r="I168" s="61"/>
      <c r="J168" s="61"/>
      <c r="K168" s="61"/>
      <c r="L168" s="61"/>
      <c r="M168" s="61"/>
      <c r="N168" s="61"/>
      <c r="O168" s="26"/>
      <c r="P168" s="26"/>
      <c r="Q168" s="26"/>
      <c r="R168" s="211">
        <f>SUM(R164:R167)</f>
        <v>1316</v>
      </c>
      <c r="S168" s="210">
        <f>SUM(S164:S167)</f>
        <v>24269</v>
      </c>
      <c r="T168" s="60"/>
      <c r="U168" s="89"/>
      <c r="V168" s="204"/>
      <c r="W168" s="6"/>
    </row>
    <row r="169" spans="1:23" ht="15.6">
      <c r="A169" s="98"/>
      <c r="B169" s="83"/>
      <c r="C169" s="61"/>
      <c r="D169" s="61"/>
      <c r="E169" s="61"/>
      <c r="F169" s="61"/>
      <c r="G169" s="61"/>
      <c r="H169" s="61"/>
      <c r="I169" s="61"/>
      <c r="J169" s="61"/>
      <c r="K169" s="61"/>
      <c r="L169" s="61"/>
      <c r="M169" s="61"/>
      <c r="N169" s="61"/>
      <c r="O169" s="26"/>
      <c r="P169" s="26"/>
      <c r="Q169" s="26"/>
      <c r="R169" s="158"/>
      <c r="S169" s="210"/>
      <c r="T169" s="60"/>
      <c r="U169" s="89"/>
      <c r="V169" s="204"/>
      <c r="W169" s="6"/>
    </row>
    <row r="170" spans="1:23" ht="15.6">
      <c r="A170" s="98"/>
      <c r="B170" s="83" t="s">
        <v>220</v>
      </c>
      <c r="C170" s="61"/>
      <c r="D170" s="61"/>
      <c r="E170" s="61"/>
      <c r="F170" s="61"/>
      <c r="G170" s="61"/>
      <c r="H170" s="61"/>
      <c r="I170" s="61"/>
      <c r="J170" s="61"/>
      <c r="K170" s="61"/>
      <c r="L170" s="61"/>
      <c r="M170" s="61"/>
      <c r="N170" s="61"/>
      <c r="O170" s="26"/>
      <c r="P170" s="26"/>
      <c r="Q170" s="26"/>
      <c r="R170" s="158">
        <v>17</v>
      </c>
      <c r="S170" s="210">
        <v>340</v>
      </c>
      <c r="T170" s="60"/>
      <c r="U170" s="89"/>
      <c r="V170" s="204"/>
      <c r="W170" s="6"/>
    </row>
    <row r="171" spans="1:23" ht="15.6">
      <c r="A171" s="98"/>
      <c r="B171" s="83" t="s">
        <v>224</v>
      </c>
      <c r="C171" s="61"/>
      <c r="D171" s="61"/>
      <c r="E171" s="61"/>
      <c r="F171" s="61"/>
      <c r="G171" s="61"/>
      <c r="H171" s="61"/>
      <c r="I171" s="61"/>
      <c r="J171" s="61"/>
      <c r="K171" s="61"/>
      <c r="L171" s="61"/>
      <c r="M171" s="61"/>
      <c r="N171" s="61"/>
      <c r="O171" s="26"/>
      <c r="P171" s="26"/>
      <c r="Q171" s="26"/>
      <c r="R171" s="158">
        <v>23</v>
      </c>
      <c r="S171" s="215">
        <v>739</v>
      </c>
      <c r="T171" s="60"/>
      <c r="U171" s="89"/>
      <c r="V171" s="204"/>
      <c r="W171" s="6"/>
    </row>
    <row r="172" spans="1:23" ht="15.6">
      <c r="A172" s="98"/>
      <c r="B172" s="156" t="s">
        <v>69</v>
      </c>
      <c r="C172" s="61"/>
      <c r="D172" s="61"/>
      <c r="E172" s="61"/>
      <c r="F172" s="61"/>
      <c r="G172" s="61"/>
      <c r="H172" s="61"/>
      <c r="I172" s="61"/>
      <c r="J172" s="61"/>
      <c r="K172" s="61"/>
      <c r="L172" s="61"/>
      <c r="M172" s="61"/>
      <c r="N172" s="61"/>
      <c r="O172" s="26"/>
      <c r="P172" s="26"/>
      <c r="Q172" s="26"/>
      <c r="R172" s="26"/>
      <c r="S172" s="60">
        <v>0</v>
      </c>
      <c r="T172" s="26"/>
      <c r="U172" s="89"/>
      <c r="V172" s="204"/>
      <c r="W172" s="6"/>
    </row>
    <row r="173" spans="1:23" ht="15.6">
      <c r="A173" s="98"/>
      <c r="B173" s="156" t="s">
        <v>70</v>
      </c>
      <c r="C173" s="61"/>
      <c r="D173" s="61"/>
      <c r="E173" s="61"/>
      <c r="F173" s="61"/>
      <c r="G173" s="61"/>
      <c r="H173" s="61"/>
      <c r="I173" s="61"/>
      <c r="J173" s="61"/>
      <c r="K173" s="61"/>
      <c r="L173" s="61"/>
      <c r="M173" s="61"/>
      <c r="N173" s="61"/>
      <c r="O173" s="26"/>
      <c r="P173" s="26"/>
      <c r="Q173" s="26"/>
      <c r="R173" s="26"/>
      <c r="S173" s="60">
        <f>Q76</f>
        <v>29223</v>
      </c>
      <c r="T173" s="26"/>
      <c r="U173" s="89"/>
      <c r="V173" s="204"/>
      <c r="W173" s="6"/>
    </row>
    <row r="174" spans="1:23" ht="15.6">
      <c r="A174" s="101"/>
      <c r="B174" s="156" t="s">
        <v>71</v>
      </c>
      <c r="C174" s="61"/>
      <c r="D174" s="61"/>
      <c r="E174" s="61"/>
      <c r="F174" s="61"/>
      <c r="G174" s="61"/>
      <c r="H174" s="61"/>
      <c r="I174" s="61"/>
      <c r="J174" s="61"/>
      <c r="K174" s="61"/>
      <c r="L174" s="61"/>
      <c r="M174" s="83"/>
      <c r="N174" s="83"/>
      <c r="O174" s="83"/>
      <c r="P174" s="26"/>
      <c r="Q174" s="26"/>
      <c r="R174" s="26"/>
      <c r="S174" s="102"/>
      <c r="T174" s="26"/>
      <c r="U174" s="89"/>
      <c r="V174" s="205"/>
      <c r="W174" s="6"/>
    </row>
    <row r="175" spans="1:23" ht="15.6">
      <c r="A175" s="98"/>
      <c r="B175" s="83" t="s">
        <v>72</v>
      </c>
      <c r="C175" s="61"/>
      <c r="D175" s="61"/>
      <c r="E175" s="61"/>
      <c r="F175" s="61"/>
      <c r="G175" s="61"/>
      <c r="H175" s="61"/>
      <c r="I175" s="61"/>
      <c r="J175" s="61"/>
      <c r="K175" s="61"/>
      <c r="L175" s="61"/>
      <c r="M175" s="61"/>
      <c r="N175" s="61"/>
      <c r="O175" s="61"/>
      <c r="P175" s="26"/>
      <c r="Q175" s="26"/>
      <c r="R175" s="26"/>
      <c r="S175" s="60">
        <f>U130</f>
        <v>2262</v>
      </c>
      <c r="T175" s="26"/>
      <c r="U175" s="89"/>
      <c r="V175" s="205"/>
      <c r="W175" s="6"/>
    </row>
    <row r="176" spans="1:23" ht="15.6">
      <c r="A176" s="98"/>
      <c r="B176" s="83" t="s">
        <v>73</v>
      </c>
      <c r="C176" s="61"/>
      <c r="D176" s="61"/>
      <c r="E176" s="61"/>
      <c r="F176" s="61"/>
      <c r="G176" s="61"/>
      <c r="H176" s="61"/>
      <c r="I176" s="61"/>
      <c r="J176" s="61"/>
      <c r="K176" s="61"/>
      <c r="L176" s="61"/>
      <c r="M176" s="61"/>
      <c r="N176" s="61"/>
      <c r="O176" s="61"/>
      <c r="P176" s="26"/>
      <c r="Q176" s="26"/>
      <c r="R176" s="26"/>
      <c r="S176" s="60">
        <f>'Dec 08'!S175+S175</f>
        <v>53744</v>
      </c>
      <c r="T176" s="26"/>
      <c r="U176" s="89"/>
      <c r="V176" s="205"/>
      <c r="W176" s="6"/>
    </row>
    <row r="177" spans="1:23" ht="15.6">
      <c r="A177" s="98"/>
      <c r="B177" s="83" t="s">
        <v>74</v>
      </c>
      <c r="C177" s="61"/>
      <c r="D177" s="61"/>
      <c r="E177" s="61"/>
      <c r="F177" s="61"/>
      <c r="G177" s="61"/>
      <c r="H177" s="61"/>
      <c r="I177" s="61"/>
      <c r="J177" s="61"/>
      <c r="K177" s="61"/>
      <c r="L177" s="61"/>
      <c r="M177" s="61"/>
      <c r="N177" s="61"/>
      <c r="O177" s="61"/>
      <c r="P177" s="26"/>
      <c r="Q177" s="26"/>
      <c r="R177" s="26"/>
      <c r="S177" s="60">
        <f>'Dec 08'!S176+601</f>
        <v>10383</v>
      </c>
      <c r="T177" s="26"/>
      <c r="U177" s="89"/>
      <c r="V177" s="205"/>
      <c r="W177" s="6"/>
    </row>
    <row r="178" spans="1:23" ht="15.6">
      <c r="A178" s="98"/>
      <c r="B178" s="83"/>
      <c r="C178" s="61"/>
      <c r="D178" s="61"/>
      <c r="E178" s="61"/>
      <c r="F178" s="61"/>
      <c r="G178" s="61"/>
      <c r="H178" s="61"/>
      <c r="I178" s="61"/>
      <c r="J178" s="61"/>
      <c r="K178" s="61"/>
      <c r="L178" s="61"/>
      <c r="M178" s="61"/>
      <c r="N178" s="61"/>
      <c r="O178" s="61"/>
      <c r="P178" s="26"/>
      <c r="Q178" s="26"/>
      <c r="R178" s="26"/>
      <c r="S178" s="60"/>
      <c r="T178" s="26"/>
      <c r="U178" s="89"/>
      <c r="V178" s="205"/>
      <c r="W178" s="6"/>
    </row>
    <row r="179" spans="1:23" ht="15.6">
      <c r="A179" s="101"/>
      <c r="B179" s="156" t="s">
        <v>259</v>
      </c>
      <c r="C179" s="61"/>
      <c r="D179" s="61"/>
      <c r="E179" s="61"/>
      <c r="F179" s="61"/>
      <c r="G179" s="61"/>
      <c r="H179" s="61"/>
      <c r="I179" s="61"/>
      <c r="J179" s="61"/>
      <c r="K179" s="61"/>
      <c r="L179" s="61"/>
      <c r="M179" s="83"/>
      <c r="N179" s="83"/>
      <c r="O179" s="83"/>
      <c r="P179" s="26"/>
      <c r="Q179" s="26"/>
      <c r="R179" s="26"/>
      <c r="S179" s="79"/>
      <c r="T179" s="26"/>
      <c r="U179" s="89"/>
      <c r="V179" s="205"/>
      <c r="W179" s="6"/>
    </row>
    <row r="180" spans="1:23" ht="15.6">
      <c r="A180" s="101"/>
      <c r="B180" s="83" t="s">
        <v>254</v>
      </c>
      <c r="C180" s="61"/>
      <c r="D180" s="61"/>
      <c r="E180" s="61"/>
      <c r="F180" s="61"/>
      <c r="G180" s="61"/>
      <c r="H180" s="61"/>
      <c r="I180" s="61"/>
      <c r="J180" s="61"/>
      <c r="K180" s="61"/>
      <c r="L180" s="61"/>
      <c r="M180" s="83"/>
      <c r="N180" s="83"/>
      <c r="O180" s="83"/>
      <c r="P180" s="26"/>
      <c r="Q180" s="26"/>
      <c r="R180" s="26"/>
      <c r="S180" s="212">
        <v>7</v>
      </c>
      <c r="T180" s="26"/>
      <c r="U180" s="89"/>
      <c r="V180" s="205"/>
      <c r="W180" s="6"/>
    </row>
    <row r="181" spans="1:23" ht="15.6">
      <c r="A181" s="98"/>
      <c r="B181" s="83" t="s">
        <v>75</v>
      </c>
      <c r="C181" s="61"/>
      <c r="D181" s="61"/>
      <c r="E181" s="61"/>
      <c r="F181" s="61"/>
      <c r="G181" s="61"/>
      <c r="H181" s="61"/>
      <c r="I181" s="61"/>
      <c r="J181" s="61"/>
      <c r="K181" s="61"/>
      <c r="L181" s="61"/>
      <c r="M181" s="104"/>
      <c r="N181" s="104"/>
      <c r="O181" s="105"/>
      <c r="P181" s="26"/>
      <c r="Q181" s="26"/>
      <c r="R181" s="26"/>
      <c r="S181" s="213">
        <v>13.26</v>
      </c>
      <c r="T181" s="26"/>
      <c r="U181" s="89"/>
      <c r="V181" s="205"/>
      <c r="W181" s="6"/>
    </row>
    <row r="182" spans="1:23" ht="15.6">
      <c r="A182" s="98"/>
      <c r="B182" s="83" t="s">
        <v>76</v>
      </c>
      <c r="C182" s="61"/>
      <c r="D182" s="61"/>
      <c r="E182" s="61"/>
      <c r="F182" s="61"/>
      <c r="G182" s="61"/>
      <c r="H182" s="61"/>
      <c r="I182" s="61"/>
      <c r="J182" s="61"/>
      <c r="K182" s="61"/>
      <c r="L182" s="61"/>
      <c r="M182" s="104"/>
      <c r="N182" s="104"/>
      <c r="O182" s="105"/>
      <c r="P182" s="26"/>
      <c r="Q182" s="26"/>
      <c r="R182" s="26"/>
      <c r="S182" s="213">
        <v>265</v>
      </c>
      <c r="T182" s="26"/>
      <c r="U182" s="89"/>
      <c r="V182" s="205"/>
      <c r="W182" s="6"/>
    </row>
    <row r="183" spans="1:23" ht="15.6">
      <c r="A183" s="98"/>
      <c r="B183" s="83"/>
      <c r="C183" s="61"/>
      <c r="D183" s="61"/>
      <c r="E183" s="61"/>
      <c r="F183" s="61"/>
      <c r="G183" s="61"/>
      <c r="H183" s="61"/>
      <c r="I183" s="61"/>
      <c r="J183" s="61"/>
      <c r="K183" s="61"/>
      <c r="L183" s="61"/>
      <c r="M183" s="106"/>
      <c r="N183" s="104"/>
      <c r="O183" s="105"/>
      <c r="P183" s="26"/>
      <c r="Q183" s="26"/>
      <c r="R183" s="26"/>
      <c r="S183" s="212"/>
      <c r="T183" s="26"/>
      <c r="U183" s="89"/>
      <c r="V183" s="205"/>
      <c r="W183" s="6"/>
    </row>
    <row r="184" spans="1:23" ht="15.6">
      <c r="A184" s="98"/>
      <c r="B184" s="156" t="s">
        <v>77</v>
      </c>
      <c r="C184" s="61"/>
      <c r="D184" s="61"/>
      <c r="E184" s="61"/>
      <c r="F184" s="61"/>
      <c r="G184" s="61"/>
      <c r="H184" s="61"/>
      <c r="I184" s="61"/>
      <c r="J184" s="61"/>
      <c r="K184" s="61"/>
      <c r="L184" s="61"/>
      <c r="M184" s="61"/>
      <c r="N184" s="106"/>
      <c r="O184" s="104"/>
      <c r="P184" s="105"/>
      <c r="Q184" s="26"/>
      <c r="R184" s="33"/>
      <c r="S184" s="157"/>
      <c r="T184" s="107"/>
      <c r="U184" s="33"/>
      <c r="V184" s="206"/>
      <c r="W184" s="6"/>
    </row>
    <row r="185" spans="1:23" ht="15.6">
      <c r="A185" s="98"/>
      <c r="B185" s="83" t="s">
        <v>78</v>
      </c>
      <c r="C185" s="61"/>
      <c r="D185" s="61"/>
      <c r="E185" s="61"/>
      <c r="F185" s="61"/>
      <c r="G185" s="61"/>
      <c r="H185" s="61"/>
      <c r="I185" s="61"/>
      <c r="J185" s="61"/>
      <c r="K185" s="61"/>
      <c r="L185" s="61"/>
      <c r="M185" s="61"/>
      <c r="N185" s="106"/>
      <c r="O185" s="104"/>
      <c r="P185" s="105"/>
      <c r="Q185" s="26"/>
      <c r="R185" s="33"/>
      <c r="S185" s="216">
        <v>159</v>
      </c>
      <c r="T185" s="108"/>
      <c r="U185" s="33"/>
      <c r="V185" s="206"/>
      <c r="W185" s="6"/>
    </row>
    <row r="186" spans="1:23" ht="15.6">
      <c r="A186" s="98"/>
      <c r="B186" s="83" t="s">
        <v>75</v>
      </c>
      <c r="C186" s="61"/>
      <c r="D186" s="61"/>
      <c r="E186" s="61"/>
      <c r="F186" s="61"/>
      <c r="G186" s="61"/>
      <c r="H186" s="61"/>
      <c r="I186" s="61"/>
      <c r="J186" s="61"/>
      <c r="K186" s="61"/>
      <c r="L186" s="61"/>
      <c r="M186" s="61"/>
      <c r="N186" s="106"/>
      <c r="O186" s="104"/>
      <c r="P186" s="105"/>
      <c r="Q186" s="26"/>
      <c r="R186" s="33"/>
      <c r="S186" s="216">
        <v>3.88</v>
      </c>
      <c r="T186" s="108"/>
      <c r="U186" s="33"/>
      <c r="V186" s="206"/>
      <c r="W186" s="6"/>
    </row>
    <row r="187" spans="1:23" ht="15.6">
      <c r="A187" s="98"/>
      <c r="B187" s="83" t="s">
        <v>79</v>
      </c>
      <c r="C187" s="61"/>
      <c r="D187" s="61"/>
      <c r="E187" s="61"/>
      <c r="F187" s="61"/>
      <c r="G187" s="61"/>
      <c r="H187" s="61"/>
      <c r="I187" s="61"/>
      <c r="J187" s="61"/>
      <c r="K187" s="61"/>
      <c r="L187" s="61"/>
      <c r="M187" s="61"/>
      <c r="N187" s="106"/>
      <c r="O187" s="104"/>
      <c r="P187" s="105"/>
      <c r="Q187" s="26"/>
      <c r="R187" s="33"/>
      <c r="S187" s="216">
        <v>74.89</v>
      </c>
      <c r="T187" s="108"/>
      <c r="U187" s="33"/>
      <c r="V187" s="206"/>
      <c r="W187" s="6"/>
    </row>
    <row r="188" spans="1:23" ht="15.6">
      <c r="A188" s="98"/>
      <c r="B188" s="83"/>
      <c r="C188" s="61"/>
      <c r="D188" s="61"/>
      <c r="E188" s="61"/>
      <c r="F188" s="61"/>
      <c r="G188" s="61"/>
      <c r="H188" s="61"/>
      <c r="I188" s="61"/>
      <c r="J188" s="61"/>
      <c r="K188" s="61"/>
      <c r="L188" s="61"/>
      <c r="M188" s="106"/>
      <c r="N188" s="104"/>
      <c r="O188" s="105"/>
      <c r="P188" s="26"/>
      <c r="Q188" s="26"/>
      <c r="R188" s="26"/>
      <c r="S188" s="79"/>
      <c r="T188" s="26"/>
      <c r="U188" s="89"/>
      <c r="V188" s="205"/>
      <c r="W188" s="6"/>
    </row>
    <row r="189" spans="1:23" ht="17.399999999999999">
      <c r="A189" s="98"/>
      <c r="B189" s="180" t="s">
        <v>196</v>
      </c>
      <c r="C189" s="61"/>
      <c r="D189" s="61"/>
      <c r="E189" s="61"/>
      <c r="F189" s="61"/>
      <c r="G189" s="61"/>
      <c r="H189" s="61"/>
      <c r="I189" s="61"/>
      <c r="J189" s="61"/>
      <c r="K189" s="181" t="s">
        <v>195</v>
      </c>
      <c r="L189" s="61"/>
      <c r="M189" s="106"/>
      <c r="N189" s="104"/>
      <c r="O189" s="105"/>
      <c r="P189" s="26"/>
      <c r="Q189" s="26"/>
      <c r="R189" s="26"/>
      <c r="S189" s="79"/>
      <c r="T189" s="26"/>
      <c r="U189" s="89"/>
      <c r="V189" s="205"/>
      <c r="W189" s="6"/>
    </row>
    <row r="190" spans="1:23" ht="15.6">
      <c r="A190" s="25"/>
      <c r="B190" s="109" t="s">
        <v>80</v>
      </c>
      <c r="C190" s="110"/>
      <c r="D190" s="110"/>
      <c r="E190" s="110"/>
      <c r="F190" s="110"/>
      <c r="G190" s="110"/>
      <c r="H190" s="110"/>
      <c r="I190" s="110"/>
      <c r="J190" s="110"/>
      <c r="K190" s="110"/>
      <c r="L190" s="110"/>
      <c r="M190" s="111"/>
      <c r="N190" s="110"/>
      <c r="O190" s="111"/>
      <c r="P190" s="110"/>
      <c r="Q190" s="111"/>
      <c r="R190" s="110"/>
      <c r="S190" s="111"/>
      <c r="T190" s="110"/>
      <c r="U190" s="112"/>
      <c r="V190" s="205"/>
      <c r="W190" s="6"/>
    </row>
    <row r="191" spans="1:23" ht="15.6">
      <c r="A191" s="25"/>
      <c r="B191" s="30"/>
      <c r="C191" s="189"/>
      <c r="D191" s="189"/>
      <c r="E191" s="189"/>
      <c r="F191" s="189"/>
      <c r="G191" s="189"/>
      <c r="H191" s="189"/>
      <c r="I191" s="189"/>
      <c r="J191" s="189"/>
      <c r="K191" s="189"/>
      <c r="L191" s="189"/>
      <c r="M191" s="109" t="s">
        <v>100</v>
      </c>
      <c r="N191" s="110"/>
      <c r="O191" s="111"/>
      <c r="P191" s="110"/>
      <c r="Q191" s="109" t="s">
        <v>26</v>
      </c>
      <c r="R191" s="110"/>
      <c r="S191" s="111"/>
      <c r="T191" s="110"/>
      <c r="U191" s="112"/>
      <c r="V191" s="205"/>
      <c r="W191" s="6"/>
    </row>
    <row r="192" spans="1:23" ht="15.6">
      <c r="A192" s="25"/>
      <c r="B192" s="189"/>
      <c r="C192" s="111"/>
      <c r="D192" s="111"/>
      <c r="E192" s="111"/>
      <c r="F192" s="111"/>
      <c r="G192" s="111"/>
      <c r="H192" s="111"/>
      <c r="I192" s="111"/>
      <c r="J192" s="111"/>
      <c r="K192" s="111"/>
      <c r="L192" s="111" t="s">
        <v>94</v>
      </c>
      <c r="M192" s="110" t="s">
        <v>101</v>
      </c>
      <c r="N192" s="111" t="s">
        <v>103</v>
      </c>
      <c r="O192" s="110" t="s">
        <v>101</v>
      </c>
      <c r="P192" s="110"/>
      <c r="Q192" s="111" t="s">
        <v>94</v>
      </c>
      <c r="R192" s="110" t="s">
        <v>101</v>
      </c>
      <c r="S192" s="111" t="s">
        <v>103</v>
      </c>
      <c r="T192" s="110" t="s">
        <v>101</v>
      </c>
      <c r="U192" s="112"/>
      <c r="V192" s="205"/>
      <c r="W192" s="6"/>
    </row>
    <row r="193" spans="1:24" ht="15.6">
      <c r="A193" s="25"/>
      <c r="B193" s="61" t="s">
        <v>81</v>
      </c>
      <c r="C193" s="113"/>
      <c r="D193" s="113"/>
      <c r="E193" s="113"/>
      <c r="F193" s="113"/>
      <c r="G193" s="113"/>
      <c r="H193" s="113"/>
      <c r="I193" s="113"/>
      <c r="J193" s="113"/>
      <c r="K193" s="113"/>
      <c r="L193" s="113">
        <v>3596</v>
      </c>
      <c r="M193" s="86">
        <f t="shared" ref="M193:M199" si="0">+L193/$L$200</f>
        <v>0.87281553398058254</v>
      </c>
      <c r="N193" s="113">
        <v>10611</v>
      </c>
      <c r="O193" s="86">
        <f t="shared" ref="O193:O199" si="1">N193/$N$200</f>
        <v>0.84772709115602785</v>
      </c>
      <c r="P193" s="110"/>
      <c r="Q193" s="113">
        <v>10160</v>
      </c>
      <c r="R193" s="86">
        <f t="shared" ref="R193:R199" si="2">+Q193/$Q$200</f>
        <v>0.94441345975088309</v>
      </c>
      <c r="S193" s="113">
        <v>8392</v>
      </c>
      <c r="T193" s="86">
        <f t="shared" ref="T193:T199" si="3">+S193/$S$200</f>
        <v>0.90940615517988732</v>
      </c>
      <c r="U193" s="112"/>
      <c r="V193" s="205"/>
      <c r="W193" s="6"/>
    </row>
    <row r="194" spans="1:24" ht="15.6">
      <c r="A194" s="25"/>
      <c r="B194" s="61" t="s">
        <v>82</v>
      </c>
      <c r="C194" s="113"/>
      <c r="D194" s="113"/>
      <c r="E194" s="113"/>
      <c r="F194" s="113"/>
      <c r="G194" s="113"/>
      <c r="H194" s="113"/>
      <c r="I194" s="113"/>
      <c r="J194" s="113"/>
      <c r="K194" s="113"/>
      <c r="L194" s="113">
        <v>63</v>
      </c>
      <c r="M194" s="86">
        <f t="shared" si="0"/>
        <v>1.5291262135922331E-2</v>
      </c>
      <c r="N194" s="113">
        <v>231</v>
      </c>
      <c r="O194" s="86">
        <f t="shared" si="1"/>
        <v>1.8454901334185508E-2</v>
      </c>
      <c r="P194" s="110"/>
      <c r="Q194" s="113">
        <v>71</v>
      </c>
      <c r="R194" s="86">
        <f t="shared" si="2"/>
        <v>6.5997397285740842E-3</v>
      </c>
      <c r="S194" s="113">
        <v>82</v>
      </c>
      <c r="T194" s="86">
        <f t="shared" si="3"/>
        <v>8.8859991330732559E-3</v>
      </c>
      <c r="U194" s="112"/>
      <c r="V194" s="205"/>
      <c r="W194" s="6"/>
    </row>
    <row r="195" spans="1:24" ht="15.6">
      <c r="A195" s="25"/>
      <c r="B195" s="61" t="s">
        <v>83</v>
      </c>
      <c r="C195" s="113"/>
      <c r="D195" s="113"/>
      <c r="E195" s="113"/>
      <c r="F195" s="113"/>
      <c r="G195" s="113"/>
      <c r="H195" s="113"/>
      <c r="I195" s="113"/>
      <c r="J195" s="113"/>
      <c r="K195" s="113"/>
      <c r="L195" s="113">
        <v>55</v>
      </c>
      <c r="M195" s="86">
        <f t="shared" si="0"/>
        <v>1.3349514563106795E-2</v>
      </c>
      <c r="N195" s="113">
        <v>179</v>
      </c>
      <c r="O195" s="86">
        <f t="shared" si="1"/>
        <v>1.4300551250299592E-2</v>
      </c>
      <c r="P195" s="110"/>
      <c r="Q195" s="113">
        <v>54</v>
      </c>
      <c r="R195" s="86">
        <f t="shared" si="2"/>
        <v>5.0195203569436695E-3</v>
      </c>
      <c r="S195" s="113">
        <v>80</v>
      </c>
      <c r="T195" s="86">
        <f t="shared" si="3"/>
        <v>8.6692674469007365E-3</v>
      </c>
      <c r="U195" s="112"/>
      <c r="V195" s="205"/>
      <c r="W195" s="6"/>
    </row>
    <row r="196" spans="1:24" ht="15.6">
      <c r="A196" s="25"/>
      <c r="B196" s="61" t="s">
        <v>186</v>
      </c>
      <c r="C196" s="113"/>
      <c r="D196" s="113"/>
      <c r="E196" s="113"/>
      <c r="F196" s="113"/>
      <c r="G196" s="113"/>
      <c r="H196" s="113"/>
      <c r="I196" s="113"/>
      <c r="J196" s="113"/>
      <c r="K196" s="113"/>
      <c r="L196" s="113">
        <v>49</v>
      </c>
      <c r="M196" s="86">
        <f t="shared" si="0"/>
        <v>1.1893203883495145E-2</v>
      </c>
      <c r="N196" s="113">
        <v>161</v>
      </c>
      <c r="O196" s="86">
        <f t="shared" si="1"/>
        <v>1.286250699049293E-2</v>
      </c>
      <c r="P196" s="110"/>
      <c r="Q196" s="113">
        <v>55</v>
      </c>
      <c r="R196" s="86">
        <f t="shared" si="2"/>
        <v>5.1124744376278121E-3</v>
      </c>
      <c r="S196" s="113">
        <v>44</v>
      </c>
      <c r="T196" s="86">
        <f t="shared" si="3"/>
        <v>4.7680970957954052E-3</v>
      </c>
      <c r="U196" s="112"/>
      <c r="V196" s="205"/>
      <c r="W196" s="6"/>
    </row>
    <row r="197" spans="1:24" ht="15.6">
      <c r="A197" s="25"/>
      <c r="B197" s="61" t="s">
        <v>187</v>
      </c>
      <c r="C197" s="113"/>
      <c r="D197" s="113"/>
      <c r="E197" s="113"/>
      <c r="F197" s="113"/>
      <c r="G197" s="113"/>
      <c r="H197" s="113"/>
      <c r="I197" s="113"/>
      <c r="J197" s="113"/>
      <c r="K197" s="113"/>
      <c r="L197" s="113">
        <v>39</v>
      </c>
      <c r="M197" s="86">
        <f t="shared" si="0"/>
        <v>9.4660194174757285E-3</v>
      </c>
      <c r="N197" s="113">
        <v>115</v>
      </c>
      <c r="O197" s="86">
        <f t="shared" si="1"/>
        <v>9.1875049932092362E-3</v>
      </c>
      <c r="P197" s="110"/>
      <c r="Q197" s="113">
        <v>58</v>
      </c>
      <c r="R197" s="86">
        <f t="shared" si="2"/>
        <v>5.3913366796802384E-3</v>
      </c>
      <c r="S197" s="113">
        <v>44</v>
      </c>
      <c r="T197" s="86">
        <f t="shared" si="3"/>
        <v>4.7680970957954052E-3</v>
      </c>
      <c r="U197" s="112"/>
      <c r="V197" s="205"/>
      <c r="W197" s="6"/>
    </row>
    <row r="198" spans="1:24" ht="15.6">
      <c r="A198" s="25"/>
      <c r="B198" s="61" t="s">
        <v>188</v>
      </c>
      <c r="C198" s="113"/>
      <c r="D198" s="113"/>
      <c r="E198" s="113"/>
      <c r="F198" s="113"/>
      <c r="G198" s="113"/>
      <c r="H198" s="113"/>
      <c r="I198" s="113"/>
      <c r="J198" s="113"/>
      <c r="K198" s="113"/>
      <c r="L198" s="113">
        <v>43</v>
      </c>
      <c r="M198" s="86">
        <f t="shared" si="0"/>
        <v>1.0436893203883494E-2</v>
      </c>
      <c r="N198" s="113">
        <v>164</v>
      </c>
      <c r="O198" s="86">
        <f t="shared" si="1"/>
        <v>1.310218103379404E-2</v>
      </c>
      <c r="P198" s="110"/>
      <c r="Q198" s="113">
        <v>56</v>
      </c>
      <c r="R198" s="86">
        <f t="shared" si="2"/>
        <v>5.2054285183119539E-3</v>
      </c>
      <c r="S198" s="113">
        <v>76</v>
      </c>
      <c r="T198" s="86">
        <f t="shared" si="3"/>
        <v>8.2358040745556995E-3</v>
      </c>
      <c r="U198" s="112"/>
      <c r="V198" s="205"/>
      <c r="W198" s="6"/>
    </row>
    <row r="199" spans="1:24" ht="15.6">
      <c r="A199" s="25"/>
      <c r="B199" s="61" t="s">
        <v>189</v>
      </c>
      <c r="C199" s="113"/>
      <c r="D199" s="113"/>
      <c r="E199" s="113"/>
      <c r="F199" s="113"/>
      <c r="G199" s="113"/>
      <c r="H199" s="113"/>
      <c r="I199" s="113"/>
      <c r="J199" s="113"/>
      <c r="K199" s="113"/>
      <c r="L199" s="113">
        <v>275</v>
      </c>
      <c r="M199" s="86">
        <f t="shared" si="0"/>
        <v>6.6747572815533979E-2</v>
      </c>
      <c r="N199" s="113">
        <v>1056</v>
      </c>
      <c r="O199" s="86">
        <f t="shared" si="1"/>
        <v>8.4365263241990895E-2</v>
      </c>
      <c r="P199" s="110"/>
      <c r="Q199" s="113">
        <v>304</v>
      </c>
      <c r="R199" s="86">
        <f t="shared" si="2"/>
        <v>2.8258040527979179E-2</v>
      </c>
      <c r="S199" s="113">
        <v>510</v>
      </c>
      <c r="T199" s="86">
        <f t="shared" si="3"/>
        <v>5.5266579973992196E-2</v>
      </c>
      <c r="U199" s="112"/>
      <c r="V199" s="205"/>
      <c r="W199" s="6"/>
    </row>
    <row r="200" spans="1:24" ht="15.6">
      <c r="A200" s="25"/>
      <c r="B200" s="61" t="s">
        <v>84</v>
      </c>
      <c r="C200" s="113"/>
      <c r="D200" s="113"/>
      <c r="E200" s="113"/>
      <c r="F200" s="113"/>
      <c r="G200" s="113"/>
      <c r="H200" s="113"/>
      <c r="I200" s="113"/>
      <c r="J200" s="113"/>
      <c r="K200" s="113"/>
      <c r="L200" s="113">
        <f>SUM(L193:L199)</f>
        <v>4120</v>
      </c>
      <c r="M200" s="86">
        <f>SUM(M193:M199)</f>
        <v>1</v>
      </c>
      <c r="N200" s="113">
        <f>SUM(N193:N199)</f>
        <v>12517</v>
      </c>
      <c r="O200" s="86">
        <f>SUM(O193:O199)</f>
        <v>1</v>
      </c>
      <c r="P200" s="110"/>
      <c r="Q200" s="113">
        <f>SUM(Q193:Q199)</f>
        <v>10758</v>
      </c>
      <c r="R200" s="86">
        <f>SUM(R193:R199)</f>
        <v>1</v>
      </c>
      <c r="S200" s="113">
        <f>SUM(S193:S199)</f>
        <v>9228</v>
      </c>
      <c r="T200" s="86">
        <f>SUM(T193:T199)</f>
        <v>1</v>
      </c>
      <c r="U200" s="112"/>
      <c r="V200" s="205"/>
      <c r="W200" s="6"/>
      <c r="X200" s="64"/>
    </row>
    <row r="201" spans="1:24" ht="15.6">
      <c r="A201" s="25"/>
      <c r="B201" s="61" t="s">
        <v>85</v>
      </c>
      <c r="C201" s="113"/>
      <c r="D201" s="113"/>
      <c r="E201" s="113"/>
      <c r="F201" s="113"/>
      <c r="G201" s="113"/>
      <c r="H201" s="113"/>
      <c r="I201" s="113"/>
      <c r="J201" s="113"/>
      <c r="K201" s="113"/>
      <c r="L201" s="113">
        <v>1155</v>
      </c>
      <c r="M201" s="114"/>
      <c r="N201" s="113">
        <v>7272</v>
      </c>
      <c r="O201" s="114"/>
      <c r="P201" s="110"/>
      <c r="Q201" s="113">
        <v>524</v>
      </c>
      <c r="R201" s="114"/>
      <c r="S201" s="113">
        <v>1087</v>
      </c>
      <c r="T201" s="114"/>
      <c r="U201" s="112"/>
      <c r="V201" s="205"/>
      <c r="W201" s="6"/>
      <c r="X201" s="64"/>
    </row>
    <row r="202" spans="1:24" ht="15.6">
      <c r="A202" s="25"/>
      <c r="B202" s="61" t="s">
        <v>86</v>
      </c>
      <c r="C202" s="113"/>
      <c r="D202" s="113"/>
      <c r="E202" s="113"/>
      <c r="F202" s="113"/>
      <c r="G202" s="113"/>
      <c r="H202" s="113"/>
      <c r="I202" s="113"/>
      <c r="J202" s="113"/>
      <c r="K202" s="113"/>
      <c r="L202" s="113">
        <f>SUM(L200:L201)</f>
        <v>5275</v>
      </c>
      <c r="M202" s="189"/>
      <c r="N202" s="113">
        <f>SUM(N200:N201)</f>
        <v>19789</v>
      </c>
      <c r="O202" s="115"/>
      <c r="P202" s="189"/>
      <c r="Q202" s="113">
        <f>SUM(Q200:Q201)</f>
        <v>11282</v>
      </c>
      <c r="R202" s="189"/>
      <c r="S202" s="113">
        <f>SUM(S200:S201)</f>
        <v>10315</v>
      </c>
      <c r="T202" s="189"/>
      <c r="U202" s="189"/>
      <c r="V202" s="205"/>
      <c r="W202" s="6"/>
      <c r="X202" s="64"/>
    </row>
    <row r="203" spans="1:24" ht="15.6">
      <c r="A203" s="25"/>
      <c r="B203" s="61"/>
      <c r="C203" s="113"/>
      <c r="D203" s="113"/>
      <c r="E203" s="113"/>
      <c r="F203" s="113"/>
      <c r="G203" s="113"/>
      <c r="H203" s="113"/>
      <c r="I203" s="113"/>
      <c r="J203" s="113"/>
      <c r="K203" s="113"/>
      <c r="L203" s="113"/>
      <c r="M203" s="115"/>
      <c r="N203" s="113"/>
      <c r="O203" s="115"/>
      <c r="P203" s="110"/>
      <c r="Q203" s="113"/>
      <c r="R203" s="115"/>
      <c r="S203" s="113"/>
      <c r="T203" s="115"/>
      <c r="U203" s="112"/>
      <c r="V203" s="205"/>
      <c r="W203" s="6"/>
    </row>
    <row r="204" spans="1:24" ht="15.6">
      <c r="A204" s="25"/>
      <c r="B204" s="61"/>
      <c r="C204" s="110"/>
      <c r="D204" s="110"/>
      <c r="E204" s="110"/>
      <c r="F204" s="110"/>
      <c r="G204" s="110"/>
      <c r="H204" s="110"/>
      <c r="I204" s="110"/>
      <c r="J204" s="110"/>
      <c r="K204" s="110"/>
      <c r="L204" s="110"/>
      <c r="M204" s="109" t="s">
        <v>27</v>
      </c>
      <c r="N204" s="110"/>
      <c r="O204" s="111"/>
      <c r="P204" s="110"/>
      <c r="Q204" s="109" t="s">
        <v>28</v>
      </c>
      <c r="R204" s="110"/>
      <c r="S204" s="111"/>
      <c r="T204" s="110"/>
      <c r="U204" s="112"/>
      <c r="V204" s="205"/>
      <c r="W204" s="6"/>
    </row>
    <row r="205" spans="1:24" ht="15.6">
      <c r="A205" s="25"/>
      <c r="B205" s="189"/>
      <c r="C205" s="111"/>
      <c r="D205" s="111"/>
      <c r="E205" s="111"/>
      <c r="F205" s="111"/>
      <c r="G205" s="111"/>
      <c r="H205" s="111"/>
      <c r="I205" s="111"/>
      <c r="J205" s="111"/>
      <c r="K205" s="111"/>
      <c r="L205" s="111" t="s">
        <v>94</v>
      </c>
      <c r="M205" s="110" t="s">
        <v>101</v>
      </c>
      <c r="N205" s="111" t="s">
        <v>103</v>
      </c>
      <c r="O205" s="110" t="s">
        <v>101</v>
      </c>
      <c r="P205" s="110"/>
      <c r="Q205" s="111" t="s">
        <v>94</v>
      </c>
      <c r="R205" s="110" t="s">
        <v>101</v>
      </c>
      <c r="S205" s="111" t="s">
        <v>103</v>
      </c>
      <c r="T205" s="110" t="s">
        <v>101</v>
      </c>
      <c r="U205" s="112"/>
      <c r="V205" s="205"/>
      <c r="W205" s="6"/>
    </row>
    <row r="206" spans="1:24" ht="15.6">
      <c r="A206" s="25"/>
      <c r="B206" s="61" t="s">
        <v>81</v>
      </c>
      <c r="C206" s="113"/>
      <c r="D206" s="113"/>
      <c r="E206" s="113"/>
      <c r="F206" s="113"/>
      <c r="G206" s="113"/>
      <c r="H206" s="113"/>
      <c r="I206" s="113"/>
      <c r="J206" s="113"/>
      <c r="K206" s="113"/>
      <c r="L206" s="113">
        <v>9562</v>
      </c>
      <c r="M206" s="86">
        <f t="shared" ref="M206:M212" si="4">+L206/$L$213</f>
        <v>0.92744907856450054</v>
      </c>
      <c r="N206" s="113">
        <v>258271</v>
      </c>
      <c r="O206" s="86">
        <f t="shared" ref="O206:O212" si="5">+N206/$N$213</f>
        <v>0.92077520651139244</v>
      </c>
      <c r="P206" s="110"/>
      <c r="Q206" s="113">
        <v>4736</v>
      </c>
      <c r="R206" s="86">
        <f t="shared" ref="R206:R212" si="6">Q206/$Q$213</f>
        <v>0.95330112721417071</v>
      </c>
      <c r="S206" s="113">
        <v>57700</v>
      </c>
      <c r="T206" s="86">
        <f t="shared" ref="T206:T212" si="7">+S206/$S$213</f>
        <v>0.94096542726679711</v>
      </c>
      <c r="U206" s="112"/>
      <c r="V206" s="205"/>
      <c r="W206" s="6"/>
    </row>
    <row r="207" spans="1:24" ht="15.6">
      <c r="A207" s="25"/>
      <c r="B207" s="61" t="s">
        <v>82</v>
      </c>
      <c r="C207" s="113"/>
      <c r="D207" s="113"/>
      <c r="E207" s="113"/>
      <c r="F207" s="113"/>
      <c r="G207" s="113"/>
      <c r="H207" s="113"/>
      <c r="I207" s="113"/>
      <c r="J207" s="113"/>
      <c r="K207" s="113"/>
      <c r="L207" s="113">
        <v>240</v>
      </c>
      <c r="M207" s="86">
        <f t="shared" si="4"/>
        <v>2.3278370514064017E-2</v>
      </c>
      <c r="N207" s="113">
        <v>6736</v>
      </c>
      <c r="O207" s="86">
        <f t="shared" si="5"/>
        <v>2.401485955086223E-2</v>
      </c>
      <c r="P207" s="110"/>
      <c r="Q207" s="113">
        <v>96</v>
      </c>
      <c r="R207" s="86">
        <f t="shared" si="6"/>
        <v>1.932367149758454E-2</v>
      </c>
      <c r="S207" s="113">
        <v>1468</v>
      </c>
      <c r="T207" s="86">
        <f t="shared" si="7"/>
        <v>2.3939986953685585E-2</v>
      </c>
      <c r="U207" s="112"/>
      <c r="V207" s="205"/>
      <c r="W207" s="6"/>
    </row>
    <row r="208" spans="1:24" ht="15.6">
      <c r="A208" s="25"/>
      <c r="B208" s="61" t="s">
        <v>83</v>
      </c>
      <c r="C208" s="113"/>
      <c r="D208" s="113"/>
      <c r="E208" s="113"/>
      <c r="F208" s="113"/>
      <c r="G208" s="113"/>
      <c r="H208" s="113"/>
      <c r="I208" s="113"/>
      <c r="J208" s="113"/>
      <c r="K208" s="113"/>
      <c r="L208" s="113">
        <v>146</v>
      </c>
      <c r="M208" s="86">
        <f t="shared" si="4"/>
        <v>1.4161008729388943E-2</v>
      </c>
      <c r="N208" s="113">
        <v>4079</v>
      </c>
      <c r="O208" s="86">
        <f t="shared" si="5"/>
        <v>1.4542252391325275E-2</v>
      </c>
      <c r="P208" s="110"/>
      <c r="Q208" s="113">
        <v>32</v>
      </c>
      <c r="R208" s="86">
        <f t="shared" si="6"/>
        <v>6.4412238325281803E-3</v>
      </c>
      <c r="S208" s="113">
        <v>484</v>
      </c>
      <c r="T208" s="86">
        <f t="shared" si="7"/>
        <v>7.8930202217873443E-3</v>
      </c>
      <c r="U208" s="112"/>
      <c r="V208" s="205"/>
      <c r="W208" s="6"/>
      <c r="X208" s="182"/>
    </row>
    <row r="209" spans="1:24" ht="15.6">
      <c r="A209" s="25"/>
      <c r="B209" s="61" t="s">
        <v>186</v>
      </c>
      <c r="C209" s="113"/>
      <c r="D209" s="113"/>
      <c r="E209" s="113"/>
      <c r="F209" s="113"/>
      <c r="G209" s="113"/>
      <c r="H209" s="113"/>
      <c r="I209" s="113"/>
      <c r="J209" s="113"/>
      <c r="K209" s="113"/>
      <c r="L209" s="113">
        <v>99</v>
      </c>
      <c r="M209" s="86">
        <f t="shared" si="4"/>
        <v>9.6023278370514064E-3</v>
      </c>
      <c r="N209" s="113">
        <v>3185</v>
      </c>
      <c r="O209" s="86">
        <f t="shared" si="5"/>
        <v>1.1355007076825447E-2</v>
      </c>
      <c r="P209" s="110"/>
      <c r="Q209" s="113">
        <v>25</v>
      </c>
      <c r="R209" s="86">
        <f t="shared" si="6"/>
        <v>5.0322061191626407E-3</v>
      </c>
      <c r="S209" s="113">
        <v>577</v>
      </c>
      <c r="T209" s="86">
        <f t="shared" si="7"/>
        <v>9.4096542726679715E-3</v>
      </c>
      <c r="U209" s="112"/>
      <c r="V209" s="205"/>
      <c r="W209" s="6"/>
    </row>
    <row r="210" spans="1:24" ht="15.6">
      <c r="A210" s="25"/>
      <c r="B210" s="61" t="s">
        <v>187</v>
      </c>
      <c r="C210" s="113"/>
      <c r="D210" s="113"/>
      <c r="E210" s="113"/>
      <c r="F210" s="113"/>
      <c r="G210" s="113"/>
      <c r="H210" s="113"/>
      <c r="I210" s="113"/>
      <c r="J210" s="113"/>
      <c r="K210" s="113"/>
      <c r="L210" s="113">
        <v>71</v>
      </c>
      <c r="M210" s="86">
        <f t="shared" si="4"/>
        <v>6.886517943743938E-3</v>
      </c>
      <c r="N210" s="113">
        <v>2150</v>
      </c>
      <c r="O210" s="86">
        <f t="shared" si="5"/>
        <v>7.6650754207769891E-3</v>
      </c>
      <c r="P210" s="110"/>
      <c r="Q210" s="113">
        <v>26</v>
      </c>
      <c r="R210" s="86">
        <f t="shared" si="6"/>
        <v>5.2334943639291464E-3</v>
      </c>
      <c r="S210" s="113">
        <v>347</v>
      </c>
      <c r="T210" s="86">
        <f t="shared" si="7"/>
        <v>5.6588388780169606E-3</v>
      </c>
      <c r="U210" s="112"/>
      <c r="V210" s="205"/>
      <c r="W210" s="6"/>
    </row>
    <row r="211" spans="1:24" ht="15.6">
      <c r="A211" s="25"/>
      <c r="B211" s="61" t="s">
        <v>188</v>
      </c>
      <c r="C211" s="113"/>
      <c r="D211" s="113"/>
      <c r="E211" s="113"/>
      <c r="F211" s="113"/>
      <c r="G211" s="113"/>
      <c r="H211" s="113"/>
      <c r="I211" s="113"/>
      <c r="J211" s="113"/>
      <c r="K211" s="113"/>
      <c r="L211" s="113">
        <v>53</v>
      </c>
      <c r="M211" s="86">
        <f t="shared" si="4"/>
        <v>5.1406401551891369E-3</v>
      </c>
      <c r="N211" s="113">
        <v>1597</v>
      </c>
      <c r="O211" s="86">
        <f t="shared" si="5"/>
        <v>5.6935467195259777E-3</v>
      </c>
      <c r="P211" s="110"/>
      <c r="Q211" s="113">
        <v>13</v>
      </c>
      <c r="R211" s="86">
        <f t="shared" si="6"/>
        <v>2.6167471819645732E-3</v>
      </c>
      <c r="S211" s="113">
        <v>177</v>
      </c>
      <c r="T211" s="86">
        <f t="shared" si="7"/>
        <v>2.8864970645792565E-3</v>
      </c>
      <c r="U211" s="112"/>
      <c r="V211" s="205"/>
      <c r="W211" s="6"/>
    </row>
    <row r="212" spans="1:24" ht="15.6">
      <c r="A212" s="25"/>
      <c r="B212" s="61" t="s">
        <v>189</v>
      </c>
      <c r="C212" s="113"/>
      <c r="D212" s="113"/>
      <c r="E212" s="113"/>
      <c r="F212" s="113"/>
      <c r="G212" s="113"/>
      <c r="H212" s="113"/>
      <c r="I212" s="113"/>
      <c r="J212" s="113"/>
      <c r="K212" s="113"/>
      <c r="L212" s="113">
        <v>139</v>
      </c>
      <c r="M212" s="86">
        <f t="shared" si="4"/>
        <v>1.3482056256062075E-2</v>
      </c>
      <c r="N212" s="113">
        <v>4475</v>
      </c>
      <c r="O212" s="86">
        <f t="shared" si="5"/>
        <v>1.5954052329291639E-2</v>
      </c>
      <c r="P212" s="110"/>
      <c r="Q212" s="113">
        <v>40</v>
      </c>
      <c r="R212" s="86">
        <f t="shared" si="6"/>
        <v>8.0515297906602248E-3</v>
      </c>
      <c r="S212" s="113">
        <v>567</v>
      </c>
      <c r="T212" s="86">
        <f t="shared" si="7"/>
        <v>9.2465753424657536E-3</v>
      </c>
      <c r="U212" s="112"/>
      <c r="V212" s="205"/>
      <c r="W212" s="6"/>
    </row>
    <row r="213" spans="1:24" ht="15.6">
      <c r="A213" s="25"/>
      <c r="B213" s="61" t="str">
        <f>B200</f>
        <v>Total Performing  Assets</v>
      </c>
      <c r="C213" s="113"/>
      <c r="D213" s="113"/>
      <c r="E213" s="113"/>
      <c r="F213" s="113"/>
      <c r="G213" s="113"/>
      <c r="H213" s="113"/>
      <c r="I213" s="113"/>
      <c r="J213" s="113"/>
      <c r="K213" s="113"/>
      <c r="L213" s="113">
        <f>SUM(L206:L212)</f>
        <v>10310</v>
      </c>
      <c r="M213" s="86">
        <f>SUM(M206:M212)</f>
        <v>1</v>
      </c>
      <c r="N213" s="113">
        <f>SUM(N206:N212)</f>
        <v>280493</v>
      </c>
      <c r="O213" s="86">
        <f>SUM(O206:O212)</f>
        <v>0.99999999999999989</v>
      </c>
      <c r="P213" s="110"/>
      <c r="Q213" s="113">
        <f>SUM(Q206:Q212)</f>
        <v>4968</v>
      </c>
      <c r="R213" s="86">
        <f>SUM(R206:R212)</f>
        <v>1</v>
      </c>
      <c r="S213" s="113">
        <f>SUM(S206:S212)</f>
        <v>61320</v>
      </c>
      <c r="T213" s="86">
        <f>SUM(T206:T212)</f>
        <v>1</v>
      </c>
      <c r="U213" s="112"/>
      <c r="V213" s="205"/>
      <c r="W213" s="6"/>
    </row>
    <row r="214" spans="1:24" ht="15.6">
      <c r="A214" s="25"/>
      <c r="B214" s="61" t="s">
        <v>85</v>
      </c>
      <c r="C214" s="113"/>
      <c r="D214" s="113"/>
      <c r="E214" s="113"/>
      <c r="F214" s="113"/>
      <c r="G214" s="113"/>
      <c r="H214" s="113"/>
      <c r="I214" s="113"/>
      <c r="J214" s="113"/>
      <c r="K214" s="113"/>
      <c r="L214" s="113">
        <v>48</v>
      </c>
      <c r="M214" s="116"/>
      <c r="N214" s="113">
        <v>1639</v>
      </c>
      <c r="O214" s="114"/>
      <c r="P214" s="110"/>
      <c r="Q214" s="113">
        <v>18</v>
      </c>
      <c r="R214" s="116"/>
      <c r="S214" s="113">
        <v>313</v>
      </c>
      <c r="T214" s="116"/>
      <c r="U214" s="112"/>
      <c r="V214" s="205"/>
      <c r="W214" s="6"/>
    </row>
    <row r="215" spans="1:24" ht="15.6">
      <c r="A215" s="25"/>
      <c r="B215" s="61" t="s">
        <v>86</v>
      </c>
      <c r="C215" s="113"/>
      <c r="D215" s="113"/>
      <c r="E215" s="113"/>
      <c r="F215" s="113"/>
      <c r="G215" s="113"/>
      <c r="H215" s="113"/>
      <c r="I215" s="113"/>
      <c r="J215" s="113"/>
      <c r="K215" s="113"/>
      <c r="L215" s="113">
        <f>SUM(L213:L214)</f>
        <v>10358</v>
      </c>
      <c r="M215" s="189"/>
      <c r="N215" s="113">
        <f>SUM(N213:N214)</f>
        <v>282132</v>
      </c>
      <c r="O215" s="86"/>
      <c r="P215" s="189"/>
      <c r="Q215" s="113">
        <f>SUM(Q213:Q214)</f>
        <v>4986</v>
      </c>
      <c r="R215" s="189"/>
      <c r="S215" s="113">
        <f>SUM(S213:S214)</f>
        <v>61633</v>
      </c>
      <c r="T215" s="189"/>
      <c r="U215" s="189"/>
      <c r="V215" s="190"/>
    </row>
    <row r="216" spans="1:24" ht="15.6">
      <c r="A216" s="25"/>
      <c r="B216" s="61"/>
      <c r="C216" s="110"/>
      <c r="D216" s="110"/>
      <c r="E216" s="110"/>
      <c r="F216" s="110"/>
      <c r="G216" s="110"/>
      <c r="H216" s="110"/>
      <c r="I216" s="110"/>
      <c r="J216" s="110"/>
      <c r="K216" s="110"/>
      <c r="L216" s="110"/>
      <c r="M216" s="111"/>
      <c r="N216" s="110"/>
      <c r="O216" s="111"/>
      <c r="P216" s="110"/>
      <c r="Q216" s="117"/>
      <c r="R216" s="110"/>
      <c r="S216" s="113"/>
      <c r="T216" s="110"/>
      <c r="U216" s="112"/>
      <c r="V216" s="205"/>
      <c r="W216" s="6"/>
    </row>
    <row r="217" spans="1:24" ht="15.6">
      <c r="A217" s="25"/>
      <c r="B217" s="61" t="s">
        <v>86</v>
      </c>
      <c r="C217" s="110"/>
      <c r="D217" s="110"/>
      <c r="E217" s="110"/>
      <c r="F217" s="110"/>
      <c r="G217" s="110"/>
      <c r="H217" s="110"/>
      <c r="I217" s="110"/>
      <c r="J217" s="110"/>
      <c r="K217" s="110"/>
      <c r="L217" s="110"/>
      <c r="M217" s="111"/>
      <c r="N217" s="110"/>
      <c r="O217" s="111"/>
      <c r="P217" s="110"/>
      <c r="Q217" s="117"/>
      <c r="R217" s="116"/>
      <c r="S217" s="113">
        <f>+N202+S202+N215+S215</f>
        <v>373869</v>
      </c>
      <c r="T217" s="115"/>
      <c r="U217" s="112"/>
      <c r="V217" s="205"/>
      <c r="W217" s="6"/>
      <c r="X217" s="182"/>
    </row>
    <row r="218" spans="1:24" ht="15.6">
      <c r="A218" s="25"/>
      <c r="B218" s="61"/>
      <c r="C218" s="110"/>
      <c r="D218" s="110"/>
      <c r="E218" s="110"/>
      <c r="F218" s="110"/>
      <c r="G218" s="110"/>
      <c r="H218" s="110"/>
      <c r="I218" s="110"/>
      <c r="J218" s="110"/>
      <c r="K218" s="110"/>
      <c r="L218" s="111"/>
      <c r="M218" s="111"/>
      <c r="N218" s="111"/>
      <c r="O218" s="111"/>
      <c r="P218" s="110"/>
      <c r="Q218" s="111"/>
      <c r="R218" s="110"/>
      <c r="S218" s="113"/>
      <c r="T218" s="116"/>
      <c r="U218" s="112"/>
      <c r="V218" s="205"/>
      <c r="W218" s="6"/>
    </row>
    <row r="219" spans="1:24" ht="15.6">
      <c r="A219" s="25"/>
      <c r="B219" s="118" t="s">
        <v>87</v>
      </c>
      <c r="C219" s="110"/>
      <c r="D219" s="110"/>
      <c r="E219" s="110"/>
      <c r="F219" s="110"/>
      <c r="G219" s="110"/>
      <c r="H219" s="110"/>
      <c r="I219" s="110"/>
      <c r="J219" s="110"/>
      <c r="K219" s="110"/>
      <c r="L219" s="110"/>
      <c r="M219" s="111"/>
      <c r="N219" s="110"/>
      <c r="O219" s="111"/>
      <c r="P219" s="110"/>
      <c r="Q219" s="111"/>
      <c r="R219" s="110"/>
      <c r="S219" s="113"/>
      <c r="T219" s="110"/>
      <c r="U219" s="209"/>
      <c r="V219" s="205"/>
      <c r="W219" s="6"/>
    </row>
    <row r="220" spans="1:24" ht="15.6">
      <c r="A220" s="25"/>
      <c r="B220" s="61"/>
      <c r="C220" s="110"/>
      <c r="D220" s="110"/>
      <c r="E220" s="110"/>
      <c r="F220" s="110"/>
      <c r="G220" s="110"/>
      <c r="H220" s="110"/>
      <c r="I220" s="110"/>
      <c r="J220" s="110"/>
      <c r="K220" s="110"/>
      <c r="L220" s="110"/>
      <c r="M220" s="111"/>
      <c r="N220" s="110"/>
      <c r="O220" s="111"/>
      <c r="P220" s="110"/>
      <c r="Q220" s="111"/>
      <c r="R220" s="110"/>
      <c r="S220" s="113"/>
      <c r="T220" s="110"/>
      <c r="U220" s="112"/>
      <c r="V220" s="205"/>
      <c r="W220" s="6"/>
    </row>
    <row r="221" spans="1:24" ht="15.6">
      <c r="A221" s="25"/>
      <c r="B221" s="61" t="s">
        <v>88</v>
      </c>
      <c r="C221" s="110"/>
      <c r="D221" s="110"/>
      <c r="E221" s="110"/>
      <c r="F221" s="110"/>
      <c r="G221" s="110"/>
      <c r="H221" s="110"/>
      <c r="I221" s="110"/>
      <c r="J221" s="110"/>
      <c r="K221" s="110"/>
      <c r="L221" s="110"/>
      <c r="M221" s="111"/>
      <c r="N221" s="110"/>
      <c r="O221" s="111"/>
      <c r="P221" s="110"/>
      <c r="Q221" s="111"/>
      <c r="R221" s="110"/>
      <c r="S221" s="113">
        <f>+N200+S200+N213+S213</f>
        <v>363558</v>
      </c>
      <c r="T221" s="110"/>
      <c r="U221" s="112"/>
      <c r="V221" s="205"/>
      <c r="W221" s="6"/>
      <c r="X221" s="182"/>
    </row>
    <row r="222" spans="1:24" ht="15.6">
      <c r="A222" s="25"/>
      <c r="B222" s="61" t="s">
        <v>89</v>
      </c>
      <c r="C222" s="110"/>
      <c r="D222" s="110"/>
      <c r="E222" s="110"/>
      <c r="F222" s="110"/>
      <c r="G222" s="110"/>
      <c r="H222" s="110"/>
      <c r="I222" s="110"/>
      <c r="J222" s="110"/>
      <c r="K222" s="110"/>
      <c r="L222" s="110"/>
      <c r="M222" s="111"/>
      <c r="N222" s="110"/>
      <c r="O222" s="111"/>
      <c r="P222" s="110"/>
      <c r="Q222" s="111"/>
      <c r="R222" s="110"/>
      <c r="S222" s="113">
        <f>+U79</f>
        <v>3500</v>
      </c>
      <c r="T222" s="110"/>
      <c r="U222" s="112"/>
      <c r="V222" s="205"/>
      <c r="W222" s="119"/>
    </row>
    <row r="223" spans="1:24" ht="15.6">
      <c r="A223" s="25"/>
      <c r="B223" s="61" t="s">
        <v>90</v>
      </c>
      <c r="C223" s="110"/>
      <c r="D223" s="110"/>
      <c r="E223" s="110"/>
      <c r="F223" s="110"/>
      <c r="G223" s="110"/>
      <c r="H223" s="110"/>
      <c r="I223" s="110"/>
      <c r="J223" s="110"/>
      <c r="K223" s="110"/>
      <c r="L223" s="110"/>
      <c r="M223" s="111"/>
      <c r="N223" s="110"/>
      <c r="O223" s="111"/>
      <c r="P223" s="110"/>
      <c r="Q223" s="111"/>
      <c r="R223" s="110"/>
      <c r="S223" s="113">
        <f>SUM(S221:S222)</f>
        <v>367058</v>
      </c>
      <c r="T223" s="110"/>
      <c r="U223" s="112"/>
      <c r="V223" s="205"/>
      <c r="W223" s="6"/>
    </row>
    <row r="224" spans="1:24" ht="15.6">
      <c r="A224" s="25"/>
      <c r="B224" s="61"/>
      <c r="C224" s="110"/>
      <c r="D224" s="110"/>
      <c r="E224" s="110"/>
      <c r="F224" s="110"/>
      <c r="G224" s="110"/>
      <c r="H224" s="110"/>
      <c r="I224" s="110"/>
      <c r="J224" s="110"/>
      <c r="K224" s="110"/>
      <c r="L224" s="110"/>
      <c r="M224" s="111"/>
      <c r="N224" s="110"/>
      <c r="O224" s="111"/>
      <c r="P224" s="110"/>
      <c r="Q224" s="111"/>
      <c r="R224" s="110"/>
      <c r="S224" s="113"/>
      <c r="T224" s="110"/>
      <c r="U224" s="112"/>
      <c r="V224" s="205"/>
      <c r="W224" s="6"/>
    </row>
    <row r="225" spans="1:23" ht="15.6">
      <c r="A225" s="25"/>
      <c r="B225" s="61" t="s">
        <v>91</v>
      </c>
      <c r="C225" s="110"/>
      <c r="D225" s="110"/>
      <c r="E225" s="110"/>
      <c r="F225" s="110"/>
      <c r="G225" s="110"/>
      <c r="H225" s="110"/>
      <c r="I225" s="110"/>
      <c r="J225" s="110"/>
      <c r="K225" s="110"/>
      <c r="L225" s="110"/>
      <c r="M225" s="111"/>
      <c r="N225" s="110"/>
      <c r="O225" s="111"/>
      <c r="P225" s="110"/>
      <c r="Q225" s="111"/>
      <c r="R225" s="110"/>
      <c r="S225" s="113">
        <f>U33</f>
        <v>367057.5552</v>
      </c>
      <c r="T225" s="110"/>
      <c r="U225" s="112"/>
      <c r="V225" s="205"/>
      <c r="W225" s="6"/>
    </row>
    <row r="226" spans="1:23" ht="15.6">
      <c r="A226" s="25"/>
      <c r="B226" s="61"/>
      <c r="C226" s="110"/>
      <c r="D226" s="110"/>
      <c r="E226" s="110"/>
      <c r="F226" s="110"/>
      <c r="G226" s="110"/>
      <c r="H226" s="110"/>
      <c r="I226" s="110"/>
      <c r="J226" s="110"/>
      <c r="K226" s="110"/>
      <c r="L226" s="110"/>
      <c r="M226" s="111"/>
      <c r="N226" s="110"/>
      <c r="O226" s="111"/>
      <c r="P226" s="110"/>
      <c r="Q226" s="111"/>
      <c r="R226" s="110"/>
      <c r="S226" s="113"/>
      <c r="T226" s="110"/>
      <c r="U226" s="112"/>
      <c r="V226" s="205"/>
      <c r="W226" s="6"/>
    </row>
    <row r="227" spans="1:23" ht="15.6">
      <c r="A227" s="25"/>
      <c r="B227" s="61" t="s">
        <v>92</v>
      </c>
      <c r="C227" s="110"/>
      <c r="D227" s="110"/>
      <c r="E227" s="110"/>
      <c r="F227" s="110"/>
      <c r="G227" s="110"/>
      <c r="H227" s="110"/>
      <c r="I227" s="110"/>
      <c r="J227" s="110"/>
      <c r="K227" s="110"/>
      <c r="L227" s="110"/>
      <c r="M227" s="111"/>
      <c r="N227" s="110"/>
      <c r="O227" s="111"/>
      <c r="P227" s="110"/>
      <c r="Q227" s="111"/>
      <c r="R227" s="110"/>
      <c r="S227" s="113">
        <f>S223/S225</f>
        <v>1.0000012117990591</v>
      </c>
      <c r="T227" s="110"/>
      <c r="U227" s="112"/>
      <c r="V227" s="205"/>
      <c r="W227" s="6"/>
    </row>
    <row r="228" spans="1:23" ht="15.6">
      <c r="A228" s="25"/>
      <c r="B228" s="26"/>
      <c r="C228" s="26"/>
      <c r="D228" s="26"/>
      <c r="E228" s="26"/>
      <c r="F228" s="26"/>
      <c r="G228" s="26"/>
      <c r="H228" s="26"/>
      <c r="I228" s="26"/>
      <c r="J228" s="26"/>
      <c r="K228" s="26"/>
      <c r="L228" s="26"/>
      <c r="M228" s="33"/>
      <c r="N228" s="26"/>
      <c r="O228" s="26"/>
      <c r="P228" s="26"/>
      <c r="Q228" s="59"/>
      <c r="R228" s="120"/>
      <c r="S228" s="60"/>
      <c r="T228" s="120"/>
      <c r="U228" s="89"/>
      <c r="V228" s="196"/>
      <c r="W228" s="6"/>
    </row>
    <row r="229" spans="1:23" ht="15.6">
      <c r="A229" s="121"/>
      <c r="B229" s="30" t="s">
        <v>127</v>
      </c>
      <c r="C229" s="122"/>
      <c r="D229" s="122"/>
      <c r="E229" s="122"/>
      <c r="F229" s="122"/>
      <c r="G229" s="122"/>
      <c r="H229" s="122"/>
      <c r="I229" s="122"/>
      <c r="J229" s="122"/>
      <c r="K229" s="122"/>
      <c r="L229" s="122"/>
      <c r="M229" s="110"/>
      <c r="N229" s="112"/>
      <c r="O229" s="30"/>
      <c r="P229" s="123"/>
      <c r="Q229" s="123"/>
      <c r="R229" s="123"/>
      <c r="S229" s="124"/>
      <c r="T229" s="29"/>
      <c r="U229" s="29"/>
      <c r="V229" s="203"/>
      <c r="W229" s="6"/>
    </row>
    <row r="230" spans="1:23" ht="15.6">
      <c r="A230" s="125"/>
      <c r="B230" s="13" t="s">
        <v>128</v>
      </c>
      <c r="C230" s="126"/>
      <c r="D230" s="126"/>
      <c r="E230" s="126"/>
      <c r="F230" s="126"/>
      <c r="G230" s="126"/>
      <c r="H230" s="126"/>
      <c r="I230" s="126"/>
      <c r="J230" s="126"/>
      <c r="K230" s="126"/>
      <c r="L230" s="126"/>
      <c r="M230" s="127"/>
      <c r="N230" s="13"/>
      <c r="O230" s="13"/>
      <c r="P230" s="126"/>
      <c r="Q230" s="126"/>
      <c r="R230" s="12"/>
      <c r="S230" s="12"/>
      <c r="T230" s="12"/>
      <c r="U230" s="12"/>
      <c r="V230" s="207"/>
      <c r="W230" s="6"/>
    </row>
    <row r="231" spans="1:23" ht="15.6">
      <c r="A231" s="125"/>
      <c r="B231" s="13" t="s">
        <v>246</v>
      </c>
      <c r="C231" s="13"/>
      <c r="D231" s="13"/>
      <c r="E231" s="13"/>
      <c r="F231" s="13"/>
      <c r="G231" s="13"/>
      <c r="H231" s="13"/>
      <c r="I231" s="13"/>
      <c r="J231" s="13"/>
      <c r="K231" s="13"/>
      <c r="L231" s="13"/>
      <c r="M231" s="13"/>
      <c r="N231" s="13"/>
      <c r="O231" s="13"/>
      <c r="P231" s="13"/>
      <c r="Q231" s="13"/>
      <c r="R231" s="13"/>
      <c r="S231" s="13"/>
      <c r="T231" s="13"/>
      <c r="U231" s="13"/>
      <c r="V231" s="207"/>
      <c r="W231" s="6"/>
    </row>
    <row r="232" spans="1:23" ht="15.6">
      <c r="A232" s="125"/>
      <c r="B232" s="13" t="s">
        <v>129</v>
      </c>
      <c r="C232" s="126"/>
      <c r="D232" s="126"/>
      <c r="E232" s="126"/>
      <c r="F232" s="126"/>
      <c r="G232" s="126"/>
      <c r="H232" s="126"/>
      <c r="I232" s="126"/>
      <c r="J232" s="126"/>
      <c r="K232" s="126"/>
      <c r="L232" s="126"/>
      <c r="M232" s="127"/>
      <c r="N232" s="13"/>
      <c r="O232" s="13"/>
      <c r="P232" s="126"/>
      <c r="Q232" s="126"/>
      <c r="R232" s="12"/>
      <c r="S232" s="12"/>
      <c r="T232" s="12"/>
      <c r="U232" s="12"/>
      <c r="V232" s="207"/>
      <c r="W232" s="6"/>
    </row>
    <row r="233" spans="1:23" ht="15.6">
      <c r="A233" s="125"/>
      <c r="B233" s="13"/>
      <c r="C233" s="126"/>
      <c r="D233" s="126"/>
      <c r="E233" s="126"/>
      <c r="F233" s="126"/>
      <c r="G233" s="126"/>
      <c r="H233" s="126"/>
      <c r="I233" s="126"/>
      <c r="J233" s="126"/>
      <c r="K233" s="126"/>
      <c r="L233" s="126"/>
      <c r="M233" s="127"/>
      <c r="N233" s="13"/>
      <c r="O233" s="13"/>
      <c r="P233" s="126"/>
      <c r="Q233" s="126"/>
      <c r="R233" s="12"/>
      <c r="S233" s="12"/>
      <c r="T233" s="12"/>
      <c r="U233" s="12"/>
      <c r="V233" s="207"/>
      <c r="W233" s="6"/>
    </row>
    <row r="234" spans="1:23" ht="15.6">
      <c r="A234" s="125"/>
      <c r="B234" s="13"/>
      <c r="C234" s="126"/>
      <c r="D234" s="126"/>
      <c r="E234" s="126"/>
      <c r="F234" s="126"/>
      <c r="G234" s="126"/>
      <c r="H234" s="126"/>
      <c r="I234" s="126"/>
      <c r="J234" s="126"/>
      <c r="K234" s="126"/>
      <c r="L234" s="126"/>
      <c r="M234" s="127"/>
      <c r="N234" s="13"/>
      <c r="O234" s="13"/>
      <c r="P234" s="126"/>
      <c r="Q234" s="126"/>
      <c r="R234" s="12"/>
      <c r="S234" s="12"/>
      <c r="T234" s="12"/>
      <c r="U234" s="12"/>
      <c r="V234" s="207"/>
      <c r="W234" s="6"/>
    </row>
    <row r="235" spans="1:23" ht="16.2" thickBot="1">
      <c r="A235" s="125"/>
      <c r="B235" s="13" t="str">
        <f>+B162</f>
        <v>PPAF3 INVESTOR REPORT QUARTER ENDING MARCH 2009</v>
      </c>
      <c r="C235" s="126"/>
      <c r="D235" s="126"/>
      <c r="E235" s="126"/>
      <c r="F235" s="126"/>
      <c r="G235" s="126"/>
      <c r="H235" s="126"/>
      <c r="I235" s="126"/>
      <c r="J235" s="126"/>
      <c r="K235" s="126"/>
      <c r="L235" s="126"/>
      <c r="M235" s="127"/>
      <c r="N235" s="13"/>
      <c r="O235" s="13"/>
      <c r="P235" s="126"/>
      <c r="Q235" s="126"/>
      <c r="R235" s="12"/>
      <c r="S235" s="12"/>
      <c r="T235" s="12"/>
      <c r="U235" s="12"/>
      <c r="V235" s="208"/>
      <c r="W235" s="6"/>
    </row>
    <row r="236" spans="1:23">
      <c r="A236" s="128"/>
      <c r="B236" s="128"/>
      <c r="C236" s="128"/>
      <c r="D236" s="128"/>
      <c r="E236" s="128"/>
      <c r="F236" s="128"/>
      <c r="G236" s="128"/>
      <c r="H236" s="128"/>
      <c r="I236" s="128"/>
      <c r="J236" s="128"/>
      <c r="K236" s="128"/>
      <c r="L236" s="128"/>
      <c r="M236" s="128"/>
      <c r="N236" s="128"/>
      <c r="O236" s="128"/>
      <c r="P236" s="128"/>
      <c r="Q236" s="128"/>
      <c r="R236" s="128"/>
      <c r="S236" s="128"/>
      <c r="T236" s="128"/>
      <c r="U236" s="128"/>
      <c r="V236" s="128"/>
    </row>
  </sheetData>
  <phoneticPr fontId="0" type="noConversion"/>
  <hyperlinks>
    <hyperlink ref="I9" r:id="rId1"/>
    <hyperlink ref="K189"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16383" man="1"/>
    <brk id="111" max="16383" man="1"/>
    <brk id="162" max="21" man="1"/>
    <brk id="241" man="1"/>
  </rowBreaks>
  <colBreaks count="1" manualBreakCount="1">
    <brk id="23" max="1048575" man="1"/>
  </colBreak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18"/>
  </sheetPr>
  <dimension ref="A1:Y235"/>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 t="s">
        <v>223</v>
      </c>
      <c r="B1" s="3" t="s">
        <v>123</v>
      </c>
      <c r="C1" s="4"/>
      <c r="D1" s="4"/>
      <c r="E1" s="4"/>
      <c r="F1" s="4"/>
      <c r="G1" s="4"/>
      <c r="H1" s="4"/>
      <c r="I1" s="4"/>
      <c r="J1" s="4"/>
      <c r="K1" s="4"/>
      <c r="L1" s="4"/>
      <c r="M1" s="5"/>
      <c r="N1" s="5"/>
      <c r="O1" s="5"/>
      <c r="P1" s="5"/>
      <c r="Q1" s="5"/>
      <c r="R1" s="5"/>
      <c r="S1" s="5"/>
      <c r="T1" s="5"/>
      <c r="U1" s="5"/>
      <c r="V1" s="193"/>
      <c r="W1" s="6"/>
    </row>
    <row r="2" spans="1:23" ht="15.6">
      <c r="A2" s="7"/>
      <c r="B2" s="8"/>
      <c r="C2" s="8"/>
      <c r="D2" s="8"/>
      <c r="E2" s="8"/>
      <c r="F2" s="8"/>
      <c r="G2" s="8"/>
      <c r="H2" s="8"/>
      <c r="I2" s="8"/>
      <c r="J2" s="8"/>
      <c r="K2" s="8"/>
      <c r="L2" s="8"/>
      <c r="M2" s="9"/>
      <c r="N2" s="9"/>
      <c r="O2" s="9"/>
      <c r="P2" s="9"/>
      <c r="Q2" s="9"/>
      <c r="R2" s="9"/>
      <c r="S2" s="9"/>
      <c r="T2" s="9"/>
      <c r="U2" s="9"/>
      <c r="V2" s="194"/>
      <c r="W2" s="6"/>
    </row>
    <row r="3" spans="1:23" ht="15.6">
      <c r="A3" s="10"/>
      <c r="B3" s="141" t="s">
        <v>125</v>
      </c>
      <c r="C3" s="9"/>
      <c r="D3" s="9"/>
      <c r="E3" s="9"/>
      <c r="F3" s="9"/>
      <c r="G3" s="9"/>
      <c r="H3" s="9"/>
      <c r="I3" s="9"/>
      <c r="J3" s="9"/>
      <c r="K3" s="9"/>
      <c r="L3" s="9"/>
      <c r="M3" s="9"/>
      <c r="N3" s="9"/>
      <c r="O3" s="9"/>
      <c r="P3" s="9"/>
      <c r="Q3" s="9"/>
      <c r="R3" s="9"/>
      <c r="S3" s="9"/>
      <c r="T3" s="9"/>
      <c r="U3" s="9"/>
      <c r="V3" s="194"/>
      <c r="W3" s="6"/>
    </row>
    <row r="4" spans="1:23" ht="15.6">
      <c r="A4" s="7"/>
      <c r="B4" s="8"/>
      <c r="C4" s="8"/>
      <c r="D4" s="8"/>
      <c r="E4" s="8"/>
      <c r="F4" s="8"/>
      <c r="G4" s="8"/>
      <c r="H4" s="8"/>
      <c r="I4" s="8"/>
      <c r="J4" s="8"/>
      <c r="K4" s="8"/>
      <c r="L4" s="8"/>
      <c r="M4" s="9"/>
      <c r="N4" s="9"/>
      <c r="O4" s="9"/>
      <c r="P4" s="9"/>
      <c r="Q4" s="9"/>
      <c r="R4" s="9"/>
      <c r="S4" s="9"/>
      <c r="T4" s="9"/>
      <c r="U4" s="9"/>
      <c r="V4" s="194"/>
      <c r="W4" s="6"/>
    </row>
    <row r="5" spans="1:23" ht="16.2">
      <c r="A5" s="7"/>
      <c r="B5" s="192" t="s">
        <v>0</v>
      </c>
      <c r="C5" s="11"/>
      <c r="D5" s="11"/>
      <c r="E5" s="11"/>
      <c r="F5" s="11"/>
      <c r="G5" s="11"/>
      <c r="H5" s="11"/>
      <c r="I5" s="11"/>
      <c r="J5" s="11"/>
      <c r="K5" s="11"/>
      <c r="L5" s="11"/>
      <c r="M5" s="9"/>
      <c r="N5" s="9"/>
      <c r="O5" s="9"/>
      <c r="P5" s="9"/>
      <c r="Q5" s="9"/>
      <c r="R5" s="9"/>
      <c r="S5" s="9"/>
      <c r="T5" s="9"/>
      <c r="U5" s="9"/>
      <c r="V5" s="194"/>
      <c r="W5" s="6"/>
    </row>
    <row r="6" spans="1:23" ht="16.2">
      <c r="A6" s="7"/>
      <c r="B6" s="192" t="s">
        <v>1</v>
      </c>
      <c r="C6" s="11"/>
      <c r="D6" s="11"/>
      <c r="E6" s="11"/>
      <c r="F6" s="11"/>
      <c r="G6" s="11"/>
      <c r="H6" s="11"/>
      <c r="I6" s="11"/>
      <c r="J6" s="11"/>
      <c r="K6" s="11"/>
      <c r="L6" s="11"/>
      <c r="M6" s="9"/>
      <c r="N6" s="9"/>
      <c r="O6" s="9"/>
      <c r="P6" s="9"/>
      <c r="Q6" s="9"/>
      <c r="R6" s="9"/>
      <c r="S6" s="9"/>
      <c r="T6" s="9"/>
      <c r="U6" s="9"/>
      <c r="V6" s="194"/>
      <c r="W6" s="6"/>
    </row>
    <row r="7" spans="1:23" ht="16.2">
      <c r="A7" s="7"/>
      <c r="B7" s="192" t="s">
        <v>2</v>
      </c>
      <c r="C7" s="11"/>
      <c r="D7" s="11"/>
      <c r="E7" s="11"/>
      <c r="F7" s="11"/>
      <c r="G7" s="11"/>
      <c r="H7" s="11"/>
      <c r="I7" s="11"/>
      <c r="J7" s="11"/>
      <c r="K7" s="11"/>
      <c r="L7" s="11"/>
      <c r="M7" s="9"/>
      <c r="N7" s="9"/>
      <c r="O7" s="9"/>
      <c r="P7" s="9"/>
      <c r="Q7" s="9"/>
      <c r="R7" s="9"/>
      <c r="S7" s="9"/>
      <c r="T7" s="9"/>
      <c r="U7" s="9"/>
      <c r="V7" s="194"/>
      <c r="W7" s="6"/>
    </row>
    <row r="8" spans="1:23" ht="16.2">
      <c r="A8" s="7"/>
      <c r="B8" s="12"/>
      <c r="C8" s="11"/>
      <c r="D8" s="11"/>
      <c r="E8" s="11"/>
      <c r="F8" s="11"/>
      <c r="G8" s="11"/>
      <c r="H8" s="11"/>
      <c r="I8" s="11"/>
      <c r="J8" s="11"/>
      <c r="K8" s="11"/>
      <c r="L8" s="11"/>
      <c r="M8" s="9"/>
      <c r="N8" s="9"/>
      <c r="O8" s="9"/>
      <c r="P8" s="9"/>
      <c r="Q8" s="9"/>
      <c r="R8" s="9"/>
      <c r="S8" s="9"/>
      <c r="T8" s="9"/>
      <c r="U8" s="9"/>
      <c r="V8" s="194"/>
      <c r="W8" s="6"/>
    </row>
    <row r="9" spans="1:23" ht="18">
      <c r="A9" s="7"/>
      <c r="B9" s="178" t="s">
        <v>194</v>
      </c>
      <c r="C9" s="11"/>
      <c r="D9" s="11"/>
      <c r="E9" s="11"/>
      <c r="F9" s="11"/>
      <c r="G9" s="11"/>
      <c r="H9" s="11"/>
      <c r="I9" s="179" t="s">
        <v>195</v>
      </c>
      <c r="J9" s="11"/>
      <c r="K9" s="11"/>
      <c r="L9" s="11"/>
      <c r="M9" s="9"/>
      <c r="N9" s="9"/>
      <c r="O9" s="9"/>
      <c r="P9" s="9"/>
      <c r="Q9" s="9"/>
      <c r="R9" s="9"/>
      <c r="S9" s="9"/>
      <c r="T9" s="9"/>
      <c r="U9" s="9"/>
      <c r="V9" s="194"/>
      <c r="W9" s="6"/>
    </row>
    <row r="10" spans="1:23" ht="16.2">
      <c r="A10" s="7"/>
      <c r="B10" s="11"/>
      <c r="C10" s="11"/>
      <c r="D10" s="11"/>
      <c r="E10" s="11"/>
      <c r="F10" s="11"/>
      <c r="G10" s="11"/>
      <c r="H10" s="11"/>
      <c r="I10" s="11"/>
      <c r="J10" s="11"/>
      <c r="K10" s="11"/>
      <c r="L10" s="11"/>
      <c r="M10" s="13"/>
      <c r="N10" s="13"/>
      <c r="O10" s="9"/>
      <c r="P10" s="9"/>
      <c r="Q10" s="9"/>
      <c r="R10" s="9"/>
      <c r="S10" s="9"/>
      <c r="T10" s="9"/>
      <c r="U10" s="9"/>
      <c r="V10" s="194"/>
      <c r="W10" s="6"/>
    </row>
    <row r="11" spans="1:23" ht="15.6">
      <c r="A11" s="7"/>
      <c r="B11" s="13" t="s">
        <v>3</v>
      </c>
      <c r="C11" s="13"/>
      <c r="D11" s="13"/>
      <c r="E11" s="13"/>
      <c r="F11" s="13"/>
      <c r="G11" s="13"/>
      <c r="H11" s="13"/>
      <c r="I11" s="13"/>
      <c r="J11" s="13"/>
      <c r="K11" s="13"/>
      <c r="L11" s="13"/>
      <c r="M11" s="9"/>
      <c r="N11" s="9"/>
      <c r="O11" s="9"/>
      <c r="P11" s="9"/>
      <c r="Q11" s="9"/>
      <c r="R11" s="9"/>
      <c r="S11" s="9"/>
      <c r="T11" s="9"/>
      <c r="U11" s="9"/>
      <c r="V11" s="194"/>
      <c r="W11" s="6"/>
    </row>
    <row r="12" spans="1:23" ht="16.2" thickBot="1">
      <c r="A12" s="7"/>
      <c r="B12" s="13"/>
      <c r="C12" s="13"/>
      <c r="D12" s="13"/>
      <c r="E12" s="13"/>
      <c r="F12" s="13"/>
      <c r="G12" s="13"/>
      <c r="H12" s="13"/>
      <c r="I12" s="13"/>
      <c r="J12" s="13"/>
      <c r="K12" s="13"/>
      <c r="L12" s="13"/>
      <c r="M12" s="9"/>
      <c r="N12" s="9"/>
      <c r="O12" s="9"/>
      <c r="P12" s="9"/>
      <c r="Q12" s="9"/>
      <c r="R12" s="9"/>
      <c r="S12" s="9"/>
      <c r="T12" s="9"/>
      <c r="U12" s="9"/>
      <c r="V12" s="194"/>
      <c r="W12" s="6"/>
    </row>
    <row r="13" spans="1:23" ht="15.6">
      <c r="A13" s="2"/>
      <c r="B13" s="5"/>
      <c r="C13" s="5"/>
      <c r="D13" s="5"/>
      <c r="E13" s="5"/>
      <c r="F13" s="5"/>
      <c r="G13" s="5"/>
      <c r="H13" s="5"/>
      <c r="I13" s="5"/>
      <c r="J13" s="5"/>
      <c r="K13" s="5"/>
      <c r="L13" s="5"/>
      <c r="M13" s="5"/>
      <c r="N13" s="5"/>
      <c r="O13" s="5"/>
      <c r="P13" s="5"/>
      <c r="Q13" s="5"/>
      <c r="R13" s="5"/>
      <c r="S13" s="5"/>
      <c r="T13" s="5"/>
      <c r="U13" s="5"/>
      <c r="V13" s="193"/>
      <c r="W13" s="6"/>
    </row>
    <row r="14" spans="1:23" ht="15.6">
      <c r="A14" s="7"/>
      <c r="B14" s="14" t="s">
        <v>4</v>
      </c>
      <c r="C14" s="14"/>
      <c r="D14" s="14"/>
      <c r="E14" s="14"/>
      <c r="F14" s="14"/>
      <c r="G14" s="14"/>
      <c r="H14" s="14"/>
      <c r="I14" s="14"/>
      <c r="J14" s="14"/>
      <c r="K14" s="14"/>
      <c r="L14" s="14"/>
      <c r="M14" s="15"/>
      <c r="N14" s="15"/>
      <c r="O14" s="15"/>
      <c r="P14" s="15"/>
      <c r="Q14" s="15"/>
      <c r="R14" s="15"/>
      <c r="S14" s="15"/>
      <c r="T14" s="15"/>
      <c r="U14" s="16" t="s">
        <v>126</v>
      </c>
      <c r="V14" s="194"/>
      <c r="W14" s="6"/>
    </row>
    <row r="15" spans="1:23" ht="15.6">
      <c r="A15" s="7"/>
      <c r="B15" s="14" t="s">
        <v>5</v>
      </c>
      <c r="C15" s="14"/>
      <c r="D15" s="14"/>
      <c r="E15" s="14"/>
      <c r="F15" s="14"/>
      <c r="G15" s="14"/>
      <c r="H15" s="14"/>
      <c r="I15" s="14"/>
      <c r="J15" s="14"/>
      <c r="K15" s="14"/>
      <c r="L15" s="14"/>
      <c r="M15" s="17" t="s">
        <v>93</v>
      </c>
      <c r="N15" s="18">
        <v>0.1492</v>
      </c>
      <c r="O15" s="17" t="s">
        <v>99</v>
      </c>
      <c r="P15" s="18">
        <v>5.4399999999999997E-2</v>
      </c>
      <c r="Q15" s="17" t="s">
        <v>102</v>
      </c>
      <c r="R15" s="18">
        <v>0.48899999999999999</v>
      </c>
      <c r="S15" s="17" t="s">
        <v>108</v>
      </c>
      <c r="T15" s="18">
        <v>0.30740000000000001</v>
      </c>
      <c r="U15" s="16"/>
      <c r="V15" s="195"/>
      <c r="W15" s="6"/>
    </row>
    <row r="16" spans="1:23" ht="15.6">
      <c r="A16" s="7"/>
      <c r="B16" s="14" t="s">
        <v>6</v>
      </c>
      <c r="C16" s="14"/>
      <c r="D16" s="14"/>
      <c r="E16" s="14"/>
      <c r="F16" s="14"/>
      <c r="G16" s="14"/>
      <c r="H16" s="14"/>
      <c r="I16" s="14"/>
      <c r="J16" s="14"/>
      <c r="K16" s="14"/>
      <c r="L16" s="14"/>
      <c r="M16" s="17" t="s">
        <v>93</v>
      </c>
      <c r="N16" s="18">
        <f>+N199/S222</f>
        <v>3.2013383433621499E-2</v>
      </c>
      <c r="O16" s="17" t="s">
        <v>99</v>
      </c>
      <c r="P16" s="18">
        <f>+S199/S222</f>
        <v>2.0215291098440058E-2</v>
      </c>
      <c r="Q16" s="17" t="s">
        <v>102</v>
      </c>
      <c r="R16" s="18">
        <f>+N212/S222</f>
        <v>0.79598438599410826</v>
      </c>
      <c r="S16" s="17" t="s">
        <v>108</v>
      </c>
      <c r="T16" s="18">
        <f>+S212/S222</f>
        <v>0.15178693947383018</v>
      </c>
      <c r="U16" s="16"/>
      <c r="V16" s="195"/>
      <c r="W16" s="6"/>
    </row>
    <row r="17" spans="1:23" ht="15.6">
      <c r="A17" s="7"/>
      <c r="B17" s="14" t="s">
        <v>7</v>
      </c>
      <c r="C17" s="14"/>
      <c r="D17" s="14"/>
      <c r="E17" s="14"/>
      <c r="F17" s="14"/>
      <c r="G17" s="14"/>
      <c r="H17" s="14"/>
      <c r="I17" s="14"/>
      <c r="J17" s="14"/>
      <c r="K17" s="14"/>
      <c r="L17" s="14"/>
      <c r="M17" s="15"/>
      <c r="N17" s="15"/>
      <c r="O17" s="15"/>
      <c r="P17" s="15"/>
      <c r="Q17" s="15"/>
      <c r="R17" s="15"/>
      <c r="S17" s="15"/>
      <c r="T17" s="15"/>
      <c r="U17" s="19">
        <v>38491</v>
      </c>
      <c r="V17" s="194"/>
      <c r="W17" s="6"/>
    </row>
    <row r="18" spans="1:23" ht="15.6">
      <c r="A18" s="7"/>
      <c r="B18" s="14" t="s">
        <v>8</v>
      </c>
      <c r="C18" s="14"/>
      <c r="D18" s="14"/>
      <c r="E18" s="14"/>
      <c r="F18" s="14"/>
      <c r="G18" s="14"/>
      <c r="H18" s="14"/>
      <c r="I18" s="14"/>
      <c r="J18" s="14"/>
      <c r="K18" s="14"/>
      <c r="L18" s="14"/>
      <c r="M18" s="15"/>
      <c r="N18" s="15"/>
      <c r="O18" s="15"/>
      <c r="P18" s="15"/>
      <c r="Q18" s="15"/>
      <c r="R18" s="15"/>
      <c r="S18" s="15"/>
      <c r="T18" s="15"/>
      <c r="U18" s="19">
        <v>40016</v>
      </c>
      <c r="V18" s="194"/>
      <c r="W18" s="6"/>
    </row>
    <row r="19" spans="1:23" ht="15.6">
      <c r="A19" s="7"/>
      <c r="B19" s="9"/>
      <c r="C19" s="9"/>
      <c r="D19" s="9"/>
      <c r="E19" s="9"/>
      <c r="F19" s="9"/>
      <c r="G19" s="9"/>
      <c r="H19" s="9"/>
      <c r="I19" s="9"/>
      <c r="J19" s="9"/>
      <c r="K19" s="9"/>
      <c r="L19" s="9"/>
      <c r="M19" s="9"/>
      <c r="N19" s="9"/>
      <c r="O19" s="9"/>
      <c r="P19" s="9"/>
      <c r="Q19" s="9"/>
      <c r="R19" s="9"/>
      <c r="S19" s="9"/>
      <c r="T19" s="9"/>
      <c r="U19" s="20"/>
      <c r="V19" s="194"/>
      <c r="W19" s="6"/>
    </row>
    <row r="20" spans="1:23" ht="15.6">
      <c r="A20" s="7"/>
      <c r="B20" s="21" t="s">
        <v>9</v>
      </c>
      <c r="C20" s="9"/>
      <c r="D20" s="9"/>
      <c r="E20" s="9"/>
      <c r="F20" s="9"/>
      <c r="G20" s="9"/>
      <c r="H20" s="9"/>
      <c r="I20" s="9"/>
      <c r="J20" s="9"/>
      <c r="K20" s="9"/>
      <c r="L20" s="9"/>
      <c r="M20" s="9"/>
      <c r="N20" s="9"/>
      <c r="O20" s="9"/>
      <c r="P20" s="9"/>
      <c r="Q20" s="9"/>
      <c r="R20" s="9"/>
      <c r="S20" s="20"/>
      <c r="T20" s="9"/>
      <c r="U20" s="12"/>
      <c r="V20" s="194"/>
      <c r="W20" s="6"/>
    </row>
    <row r="21" spans="1:23" ht="15.6">
      <c r="A21" s="7"/>
      <c r="B21" s="9"/>
      <c r="C21" s="9"/>
      <c r="D21" s="9"/>
      <c r="E21" s="9"/>
      <c r="F21" s="9"/>
      <c r="G21" s="9"/>
      <c r="H21" s="9"/>
      <c r="I21" s="9"/>
      <c r="J21" s="9"/>
      <c r="K21" s="9"/>
      <c r="L21" s="9"/>
      <c r="M21" s="9"/>
      <c r="N21" s="9"/>
      <c r="O21" s="9"/>
      <c r="P21" s="9"/>
      <c r="Q21" s="9"/>
      <c r="R21" s="9"/>
      <c r="S21" s="9"/>
      <c r="T21" s="9"/>
      <c r="U21" s="22"/>
      <c r="V21" s="194"/>
      <c r="W21" s="6"/>
    </row>
    <row r="22" spans="1:23" ht="15.6">
      <c r="A22" s="7"/>
      <c r="B22" s="9"/>
      <c r="C22" s="142" t="s">
        <v>130</v>
      </c>
      <c r="D22" s="142"/>
      <c r="E22" s="142" t="s">
        <v>131</v>
      </c>
      <c r="F22" s="142"/>
      <c r="G22" s="142" t="s">
        <v>132</v>
      </c>
      <c r="H22" s="142"/>
      <c r="I22" s="142" t="s">
        <v>133</v>
      </c>
      <c r="J22" s="142"/>
      <c r="K22" s="142" t="s">
        <v>134</v>
      </c>
      <c r="L22" s="142"/>
      <c r="M22" s="144" t="s">
        <v>135</v>
      </c>
      <c r="N22" s="144"/>
      <c r="O22" s="144" t="s">
        <v>136</v>
      </c>
      <c r="P22" s="144"/>
      <c r="Q22" s="144" t="s">
        <v>137</v>
      </c>
      <c r="R22" s="23"/>
      <c r="S22" s="24"/>
      <c r="T22" s="12"/>
      <c r="U22" s="12"/>
      <c r="V22" s="194"/>
      <c r="W22" s="6"/>
    </row>
    <row r="23" spans="1:23" ht="15.6">
      <c r="A23" s="25"/>
      <c r="B23" s="26" t="s">
        <v>10</v>
      </c>
      <c r="C23" s="157" t="s">
        <v>96</v>
      </c>
      <c r="D23" s="157"/>
      <c r="E23" s="157" t="s">
        <v>96</v>
      </c>
      <c r="F23" s="157"/>
      <c r="G23" s="157" t="s">
        <v>138</v>
      </c>
      <c r="H23" s="157"/>
      <c r="I23" s="157" t="s">
        <v>138</v>
      </c>
      <c r="J23" s="157"/>
      <c r="K23" s="157" t="s">
        <v>104</v>
      </c>
      <c r="L23" s="143"/>
      <c r="M23" s="28" t="s">
        <v>104</v>
      </c>
      <c r="N23" s="28"/>
      <c r="O23" s="28" t="s">
        <v>109</v>
      </c>
      <c r="P23" s="28"/>
      <c r="Q23" s="28" t="s">
        <v>109</v>
      </c>
      <c r="R23" s="28"/>
      <c r="S23" s="28"/>
      <c r="T23" s="29"/>
      <c r="U23" s="29"/>
      <c r="V23" s="196"/>
      <c r="W23" s="6"/>
    </row>
    <row r="24" spans="1:23" ht="15.6">
      <c r="A24" s="25"/>
      <c r="B24" s="26" t="s">
        <v>11</v>
      </c>
      <c r="C24" s="157" t="s">
        <v>97</v>
      </c>
      <c r="D24" s="157"/>
      <c r="E24" s="157" t="s">
        <v>97</v>
      </c>
      <c r="F24" s="157"/>
      <c r="G24" s="157" t="s">
        <v>139</v>
      </c>
      <c r="H24" s="157"/>
      <c r="I24" s="157" t="s">
        <v>139</v>
      </c>
      <c r="J24" s="157"/>
      <c r="K24" s="157" t="s">
        <v>105</v>
      </c>
      <c r="L24" s="27"/>
      <c r="M24" s="28" t="s">
        <v>105</v>
      </c>
      <c r="N24" s="28"/>
      <c r="O24" s="28" t="s">
        <v>110</v>
      </c>
      <c r="P24" s="28"/>
      <c r="Q24" s="28" t="s">
        <v>110</v>
      </c>
      <c r="R24" s="28"/>
      <c r="S24" s="28"/>
      <c r="T24" s="29"/>
      <c r="U24" s="29"/>
      <c r="V24" s="196"/>
      <c r="W24" s="6"/>
    </row>
    <row r="25" spans="1:23" ht="15.6">
      <c r="A25" s="25"/>
      <c r="B25" s="30" t="s">
        <v>12</v>
      </c>
      <c r="C25" s="110" t="s">
        <v>96</v>
      </c>
      <c r="D25" s="110"/>
      <c r="E25" s="110" t="s">
        <v>96</v>
      </c>
      <c r="F25" s="110"/>
      <c r="G25" s="110" t="s">
        <v>138</v>
      </c>
      <c r="H25" s="110"/>
      <c r="I25" s="110" t="s">
        <v>138</v>
      </c>
      <c r="J25" s="30"/>
      <c r="K25" s="110" t="s">
        <v>104</v>
      </c>
      <c r="L25" s="30"/>
      <c r="M25" s="31" t="s">
        <v>104</v>
      </c>
      <c r="N25" s="28"/>
      <c r="O25" s="31" t="s">
        <v>109</v>
      </c>
      <c r="P25" s="28"/>
      <c r="Q25" s="31" t="s">
        <v>109</v>
      </c>
      <c r="R25" s="31"/>
      <c r="S25" s="31"/>
      <c r="T25" s="32"/>
      <c r="U25" s="29"/>
      <c r="V25" s="196"/>
      <c r="W25" s="6"/>
    </row>
    <row r="26" spans="1:23" ht="15.6">
      <c r="A26" s="25"/>
      <c r="B26" s="30" t="s">
        <v>13</v>
      </c>
      <c r="C26" s="110" t="s">
        <v>97</v>
      </c>
      <c r="D26" s="110"/>
      <c r="E26" s="110" t="s">
        <v>97</v>
      </c>
      <c r="F26" s="110"/>
      <c r="G26" s="110" t="s">
        <v>139</v>
      </c>
      <c r="H26" s="110"/>
      <c r="I26" s="110" t="s">
        <v>139</v>
      </c>
      <c r="J26" s="30"/>
      <c r="K26" s="110" t="s">
        <v>105</v>
      </c>
      <c r="L26" s="30"/>
      <c r="M26" s="31" t="s">
        <v>105</v>
      </c>
      <c r="N26" s="28"/>
      <c r="O26" s="31" t="s">
        <v>110</v>
      </c>
      <c r="P26" s="28"/>
      <c r="Q26" s="31" t="s">
        <v>110</v>
      </c>
      <c r="R26" s="31"/>
      <c r="S26" s="31"/>
      <c r="T26" s="32"/>
      <c r="U26" s="29"/>
      <c r="V26" s="196"/>
      <c r="W26" s="6"/>
    </row>
    <row r="27" spans="1:23" ht="15.6">
      <c r="A27" s="25"/>
      <c r="B27" s="26" t="s">
        <v>14</v>
      </c>
      <c r="C27" s="33" t="s">
        <v>140</v>
      </c>
      <c r="D27" s="26"/>
      <c r="E27" s="33" t="s">
        <v>141</v>
      </c>
      <c r="F27" s="26"/>
      <c r="G27" s="33" t="s">
        <v>142</v>
      </c>
      <c r="H27" s="26"/>
      <c r="I27" s="33" t="s">
        <v>258</v>
      </c>
      <c r="J27" s="26"/>
      <c r="K27" s="33" t="s">
        <v>143</v>
      </c>
      <c r="L27" s="26"/>
      <c r="M27" s="26" t="s">
        <v>144</v>
      </c>
      <c r="N27" s="28"/>
      <c r="O27" s="26" t="s">
        <v>145</v>
      </c>
      <c r="P27" s="28"/>
      <c r="Q27" s="26" t="s">
        <v>146</v>
      </c>
      <c r="R27" s="28"/>
      <c r="S27" s="33"/>
      <c r="T27" s="29"/>
      <c r="U27" s="29"/>
      <c r="V27" s="196"/>
      <c r="W27" s="6"/>
    </row>
    <row r="28" spans="1:23" ht="15.6">
      <c r="A28" s="25"/>
      <c r="B28" s="26" t="s">
        <v>147</v>
      </c>
      <c r="C28" s="168">
        <v>146000</v>
      </c>
      <c r="D28" s="33"/>
      <c r="E28" s="165">
        <v>259500</v>
      </c>
      <c r="F28" s="33"/>
      <c r="G28" s="168">
        <v>16000</v>
      </c>
      <c r="H28" s="33"/>
      <c r="I28" s="165">
        <v>35500</v>
      </c>
      <c r="J28" s="26"/>
      <c r="K28" s="168">
        <v>18000</v>
      </c>
      <c r="L28" s="26"/>
      <c r="M28" s="165">
        <v>33000</v>
      </c>
      <c r="N28" s="35"/>
      <c r="O28" s="34">
        <v>24500</v>
      </c>
      <c r="P28" s="34"/>
      <c r="Q28" s="165">
        <v>30000</v>
      </c>
      <c r="R28" s="34"/>
      <c r="S28" s="34"/>
      <c r="T28" s="36"/>
      <c r="U28" s="34"/>
      <c r="V28" s="197"/>
      <c r="W28" s="6"/>
    </row>
    <row r="29" spans="1:23" ht="15.6">
      <c r="A29" s="25"/>
      <c r="B29" s="26" t="s">
        <v>15</v>
      </c>
      <c r="C29" s="168">
        <f>C28*C35</f>
        <v>108624.70080000001</v>
      </c>
      <c r="D29" s="169"/>
      <c r="E29" s="165">
        <f>E28*E35</f>
        <v>193069.24559999999</v>
      </c>
      <c r="F29" s="169"/>
      <c r="G29" s="168">
        <v>16000</v>
      </c>
      <c r="H29" s="169"/>
      <c r="I29" s="165">
        <v>35500</v>
      </c>
      <c r="J29" s="38"/>
      <c r="K29" s="168">
        <v>18000</v>
      </c>
      <c r="L29" s="38"/>
      <c r="M29" s="165">
        <v>33000</v>
      </c>
      <c r="N29" s="35"/>
      <c r="O29" s="34">
        <v>24500</v>
      </c>
      <c r="P29" s="34"/>
      <c r="Q29" s="165">
        <v>30000</v>
      </c>
      <c r="R29" s="39"/>
      <c r="S29" s="34"/>
      <c r="T29" s="36"/>
      <c r="U29" s="34"/>
      <c r="V29" s="197"/>
      <c r="W29" s="6"/>
    </row>
    <row r="30" spans="1:23" ht="15.6">
      <c r="A30" s="40"/>
      <c r="B30" s="30" t="s">
        <v>148</v>
      </c>
      <c r="C30" s="162">
        <f>C34*C28</f>
        <v>97564.324800000002</v>
      </c>
      <c r="D30" s="170"/>
      <c r="E30" s="171">
        <f>E34*E28</f>
        <v>173410.56359999999</v>
      </c>
      <c r="F30" s="170"/>
      <c r="G30" s="162">
        <v>16000</v>
      </c>
      <c r="H30" s="170"/>
      <c r="I30" s="171">
        <v>35500</v>
      </c>
      <c r="J30" s="159"/>
      <c r="K30" s="162">
        <v>18000</v>
      </c>
      <c r="L30" s="41"/>
      <c r="M30" s="166">
        <v>33000</v>
      </c>
      <c r="N30" s="43"/>
      <c r="O30" s="42">
        <v>24500</v>
      </c>
      <c r="P30" s="42"/>
      <c r="Q30" s="166">
        <v>30000</v>
      </c>
      <c r="R30" s="42"/>
      <c r="S30" s="42"/>
      <c r="T30" s="44"/>
      <c r="U30" s="42"/>
      <c r="V30" s="196"/>
      <c r="W30" s="6"/>
    </row>
    <row r="31" spans="1:23" ht="15.6">
      <c r="A31" s="40"/>
      <c r="B31" s="158" t="s">
        <v>260</v>
      </c>
      <c r="C31" s="172">
        <v>146000</v>
      </c>
      <c r="D31" s="173"/>
      <c r="E31" s="172">
        <v>178000</v>
      </c>
      <c r="F31" s="172"/>
      <c r="G31" s="172">
        <v>16000</v>
      </c>
      <c r="H31" s="172"/>
      <c r="I31" s="172">
        <v>24500</v>
      </c>
      <c r="J31" s="161"/>
      <c r="K31" s="172">
        <v>18000</v>
      </c>
      <c r="L31" s="161"/>
      <c r="M31" s="167">
        <v>22500</v>
      </c>
      <c r="N31" s="164"/>
      <c r="O31" s="167">
        <v>24500</v>
      </c>
      <c r="P31" s="163"/>
      <c r="Q31" s="167">
        <v>20500</v>
      </c>
      <c r="R31" s="42"/>
      <c r="S31" s="42"/>
      <c r="T31" s="44"/>
      <c r="U31" s="34">
        <f>+Q31+O31+M31+K31+I31+G31+E31+C31</f>
        <v>450000</v>
      </c>
      <c r="V31" s="196"/>
      <c r="W31" s="6"/>
    </row>
    <row r="32" spans="1:23" ht="15.6">
      <c r="A32" s="40"/>
      <c r="B32" s="158" t="s">
        <v>261</v>
      </c>
      <c r="C32" s="172">
        <f>C28*C35</f>
        <v>108624.70080000001</v>
      </c>
      <c r="D32" s="173"/>
      <c r="E32" s="172">
        <f>E31*E35</f>
        <v>132432.85440000001</v>
      </c>
      <c r="F32" s="172"/>
      <c r="G32" s="172">
        <v>16000</v>
      </c>
      <c r="H32" s="172"/>
      <c r="I32" s="172">
        <v>24500</v>
      </c>
      <c r="J32" s="161"/>
      <c r="K32" s="172">
        <v>18000</v>
      </c>
      <c r="L32" s="161"/>
      <c r="M32" s="167">
        <v>22500</v>
      </c>
      <c r="N32" s="164"/>
      <c r="O32" s="167">
        <v>24500</v>
      </c>
      <c r="P32" s="163"/>
      <c r="Q32" s="167">
        <v>20500</v>
      </c>
      <c r="R32" s="42"/>
      <c r="S32" s="42"/>
      <c r="T32" s="44"/>
      <c r="U32" s="34">
        <f>+Q32+O32+M32+K32+I32+G32+E32+C32</f>
        <v>367057.5552</v>
      </c>
      <c r="V32" s="196"/>
      <c r="W32" s="6"/>
    </row>
    <row r="33" spans="1:23" ht="15.6">
      <c r="A33" s="40"/>
      <c r="B33" s="30" t="s">
        <v>262</v>
      </c>
      <c r="C33" s="162">
        <f>C34*C28</f>
        <v>97564.324800000002</v>
      </c>
      <c r="D33" s="162"/>
      <c r="E33" s="162">
        <f>E34*E31</f>
        <v>118948.2864</v>
      </c>
      <c r="F33" s="162"/>
      <c r="G33" s="162">
        <v>16000</v>
      </c>
      <c r="H33" s="162"/>
      <c r="I33" s="162">
        <v>24500</v>
      </c>
      <c r="J33" s="160"/>
      <c r="K33" s="162">
        <v>18000</v>
      </c>
      <c r="L33" s="160"/>
      <c r="M33" s="162">
        <v>22500</v>
      </c>
      <c r="N33" s="160"/>
      <c r="O33" s="162">
        <v>24500</v>
      </c>
      <c r="P33" s="162"/>
      <c r="Q33" s="162">
        <v>20500</v>
      </c>
      <c r="R33" s="42"/>
      <c r="S33" s="42"/>
      <c r="T33" s="44"/>
      <c r="U33" s="42">
        <f>+Q33+O33+M33+K33+I33+G33+E33+C33</f>
        <v>342512.61119999998</v>
      </c>
      <c r="V33" s="196"/>
      <c r="W33" s="6"/>
    </row>
    <row r="34" spans="1:23" ht="15.6">
      <c r="A34" s="40"/>
      <c r="B34" s="174" t="s">
        <v>149</v>
      </c>
      <c r="C34" s="175">
        <v>0.66824879999999998</v>
      </c>
      <c r="D34" s="175"/>
      <c r="E34" s="175">
        <v>0.66824879999999998</v>
      </c>
      <c r="F34" s="175"/>
      <c r="G34" s="175">
        <v>1</v>
      </c>
      <c r="H34" s="175"/>
      <c r="I34" s="175">
        <v>1</v>
      </c>
      <c r="J34" s="175"/>
      <c r="K34" s="175">
        <v>1</v>
      </c>
      <c r="L34" s="175"/>
      <c r="M34" s="175">
        <v>1</v>
      </c>
      <c r="N34" s="175"/>
      <c r="O34" s="175">
        <v>1</v>
      </c>
      <c r="P34" s="175"/>
      <c r="Q34" s="175">
        <v>1</v>
      </c>
      <c r="R34" s="176"/>
      <c r="S34" s="42"/>
      <c r="T34" s="44"/>
      <c r="U34" s="42"/>
      <c r="V34" s="196"/>
      <c r="W34" s="6"/>
    </row>
    <row r="35" spans="1:23" ht="15.6">
      <c r="A35" s="40"/>
      <c r="B35" s="174" t="s">
        <v>150</v>
      </c>
      <c r="C35" s="175">
        <v>0.74400480000000002</v>
      </c>
      <c r="D35" s="175"/>
      <c r="E35" s="175">
        <v>0.74400480000000002</v>
      </c>
      <c r="F35" s="175"/>
      <c r="G35" s="175">
        <v>1</v>
      </c>
      <c r="H35" s="175"/>
      <c r="I35" s="175">
        <v>1</v>
      </c>
      <c r="J35" s="175"/>
      <c r="K35" s="175">
        <v>1</v>
      </c>
      <c r="L35" s="175"/>
      <c r="M35" s="175">
        <v>1</v>
      </c>
      <c r="N35" s="175"/>
      <c r="O35" s="175">
        <v>1</v>
      </c>
      <c r="P35" s="175"/>
      <c r="Q35" s="175">
        <v>1</v>
      </c>
      <c r="R35" s="176"/>
      <c r="S35" s="42"/>
      <c r="T35" s="44"/>
      <c r="U35" s="42"/>
      <c r="V35" s="196"/>
      <c r="W35" s="6"/>
    </row>
    <row r="36" spans="1:23" ht="15.6">
      <c r="A36" s="25"/>
      <c r="B36" s="26" t="s">
        <v>153</v>
      </c>
      <c r="C36" s="157" t="s">
        <v>157</v>
      </c>
      <c r="D36" s="157"/>
      <c r="E36" s="157" t="s">
        <v>157</v>
      </c>
      <c r="F36" s="157"/>
      <c r="G36" s="157" t="s">
        <v>158</v>
      </c>
      <c r="H36" s="157"/>
      <c r="I36" s="157" t="s">
        <v>158</v>
      </c>
      <c r="J36" s="157"/>
      <c r="K36" s="157" t="s">
        <v>159</v>
      </c>
      <c r="L36" s="184"/>
      <c r="M36" s="157" t="s">
        <v>160</v>
      </c>
      <c r="N36" s="158"/>
      <c r="O36" s="157" t="s">
        <v>161</v>
      </c>
      <c r="P36" s="157"/>
      <c r="Q36" s="157" t="s">
        <v>162</v>
      </c>
      <c r="R36" s="157"/>
      <c r="S36" s="157"/>
      <c r="T36" s="158"/>
      <c r="U36" s="29"/>
      <c r="V36" s="196"/>
      <c r="W36" s="6"/>
    </row>
    <row r="37" spans="1:23" ht="15.6">
      <c r="A37" s="25"/>
      <c r="B37" s="26" t="s">
        <v>151</v>
      </c>
      <c r="C37" s="185">
        <v>1.7543799999999998E-2</v>
      </c>
      <c r="D37" s="185"/>
      <c r="E37" s="185">
        <v>1.6549999999999999E-2</v>
      </c>
      <c r="F37" s="185"/>
      <c r="G37" s="185">
        <v>1.8643799999999999E-2</v>
      </c>
      <c r="H37" s="185"/>
      <c r="I37" s="185">
        <v>1.7649999999999999E-2</v>
      </c>
      <c r="J37" s="185"/>
      <c r="K37" s="185">
        <v>2.13438E-2</v>
      </c>
      <c r="L37" s="185"/>
      <c r="M37" s="185">
        <v>2.0049999999999998E-2</v>
      </c>
      <c r="N37" s="185"/>
      <c r="O37" s="185">
        <v>2.4843799999999999E-2</v>
      </c>
      <c r="P37" s="185"/>
      <c r="Q37" s="185">
        <v>2.3349999999999999E-2</v>
      </c>
      <c r="R37" s="186"/>
      <c r="S37" s="185"/>
      <c r="T37" s="158"/>
      <c r="U37" s="33"/>
      <c r="V37" s="196"/>
      <c r="W37" s="6"/>
    </row>
    <row r="38" spans="1:23" ht="15.6">
      <c r="A38" s="25"/>
      <c r="B38" s="26" t="s">
        <v>152</v>
      </c>
      <c r="C38" s="185">
        <v>2.4862499999999999E-2</v>
      </c>
      <c r="D38" s="185"/>
      <c r="E38" s="185">
        <v>2.8320000000000001E-2</v>
      </c>
      <c r="F38" s="185"/>
      <c r="G38" s="185">
        <v>2.5962499999999999E-2</v>
      </c>
      <c r="H38" s="185"/>
      <c r="I38" s="185">
        <v>2.9420000000000002E-2</v>
      </c>
      <c r="J38" s="185"/>
      <c r="K38" s="185">
        <v>2.86625E-2</v>
      </c>
      <c r="L38" s="185"/>
      <c r="M38" s="185">
        <v>3.1820000000000001E-2</v>
      </c>
      <c r="N38" s="185"/>
      <c r="O38" s="185">
        <v>3.2162499999999997E-2</v>
      </c>
      <c r="P38" s="185"/>
      <c r="Q38" s="185">
        <v>3.5119999999999998E-2</v>
      </c>
      <c r="R38" s="186"/>
      <c r="S38" s="185"/>
      <c r="T38" s="158"/>
      <c r="U38" s="29"/>
      <c r="V38" s="196"/>
      <c r="W38" s="6"/>
    </row>
    <row r="39" spans="1:23" ht="15.6">
      <c r="A39" s="25"/>
      <c r="B39" s="26" t="s">
        <v>263</v>
      </c>
      <c r="C39" s="157" t="s">
        <v>157</v>
      </c>
      <c r="D39" s="185"/>
      <c r="E39" s="185" t="s">
        <v>198</v>
      </c>
      <c r="F39" s="185"/>
      <c r="G39" s="157" t="s">
        <v>158</v>
      </c>
      <c r="H39" s="185"/>
      <c r="I39" s="185" t="s">
        <v>225</v>
      </c>
      <c r="J39" s="185"/>
      <c r="K39" s="157" t="s">
        <v>159</v>
      </c>
      <c r="L39" s="185"/>
      <c r="M39" s="185" t="s">
        <v>199</v>
      </c>
      <c r="N39" s="185"/>
      <c r="O39" s="157" t="s">
        <v>161</v>
      </c>
      <c r="P39" s="185"/>
      <c r="Q39" s="185" t="s">
        <v>200</v>
      </c>
      <c r="R39" s="186"/>
      <c r="S39" s="185"/>
      <c r="T39" s="158"/>
      <c r="U39" s="29"/>
      <c r="V39" s="196"/>
      <c r="W39" s="6"/>
    </row>
    <row r="40" spans="1:23" ht="15.6">
      <c r="A40" s="25"/>
      <c r="B40" s="26" t="s">
        <v>264</v>
      </c>
      <c r="C40" s="185">
        <f>+C37</f>
        <v>1.7543799999999998E-2</v>
      </c>
      <c r="D40" s="185"/>
      <c r="E40" s="185">
        <v>1.7831799999999998E-2</v>
      </c>
      <c r="F40" s="185"/>
      <c r="G40" s="185">
        <f>+G37</f>
        <v>1.8643799999999999E-2</v>
      </c>
      <c r="H40" s="185"/>
      <c r="I40" s="185">
        <v>1.9010300000000001E-2</v>
      </c>
      <c r="J40" s="185"/>
      <c r="K40" s="185">
        <f>+K37</f>
        <v>2.13438E-2</v>
      </c>
      <c r="L40" s="184"/>
      <c r="M40" s="185">
        <v>2.1624000000000001E-2</v>
      </c>
      <c r="N40" s="184"/>
      <c r="O40" s="185">
        <f>+O37</f>
        <v>2.4843799999999999E-2</v>
      </c>
      <c r="P40" s="185"/>
      <c r="Q40" s="185">
        <v>2.5257000000000002E-2</v>
      </c>
      <c r="R40" s="186"/>
      <c r="S40" s="185"/>
      <c r="T40" s="158"/>
      <c r="U40" s="45">
        <f>SUMPRODUCT(C40:Q40,C32:Q32)/U32</f>
        <v>1.9148030736365999E-2</v>
      </c>
      <c r="V40" s="196"/>
      <c r="W40" s="6"/>
    </row>
    <row r="41" spans="1:23" ht="15.6">
      <c r="A41" s="25"/>
      <c r="B41" s="26" t="s">
        <v>265</v>
      </c>
      <c r="C41" s="185">
        <f>+C38</f>
        <v>2.4862499999999999E-2</v>
      </c>
      <c r="D41" s="185"/>
      <c r="E41" s="185">
        <v>2.5150499999999999E-2</v>
      </c>
      <c r="F41" s="185"/>
      <c r="G41" s="185">
        <f>+G38</f>
        <v>2.5962499999999999E-2</v>
      </c>
      <c r="H41" s="185"/>
      <c r="I41" s="185">
        <v>2.6329000000000002E-2</v>
      </c>
      <c r="J41" s="185"/>
      <c r="K41" s="185">
        <f>+K38</f>
        <v>2.86625E-2</v>
      </c>
      <c r="L41" s="184"/>
      <c r="M41" s="185">
        <v>2.8942699999999998E-2</v>
      </c>
      <c r="N41" s="184"/>
      <c r="O41" s="185">
        <f>+O38</f>
        <v>3.2162499999999997E-2</v>
      </c>
      <c r="P41" s="185"/>
      <c r="Q41" s="185">
        <v>3.2575699999999999E-2</v>
      </c>
      <c r="R41" s="186"/>
      <c r="S41" s="185"/>
      <c r="T41" s="158"/>
      <c r="U41" s="29"/>
      <c r="V41" s="196"/>
      <c r="W41" s="6"/>
    </row>
    <row r="42" spans="1:23" ht="15.6">
      <c r="A42" s="25"/>
      <c r="B42" s="26" t="s">
        <v>17</v>
      </c>
      <c r="C42" s="187">
        <v>39918</v>
      </c>
      <c r="D42" s="187"/>
      <c r="E42" s="187">
        <v>39918</v>
      </c>
      <c r="F42" s="187"/>
      <c r="G42" s="187">
        <v>39918</v>
      </c>
      <c r="H42" s="187"/>
      <c r="I42" s="187">
        <v>39918</v>
      </c>
      <c r="J42" s="187"/>
      <c r="K42" s="187">
        <v>39918</v>
      </c>
      <c r="L42" s="187"/>
      <c r="M42" s="187">
        <v>39918</v>
      </c>
      <c r="N42" s="187"/>
      <c r="O42" s="187">
        <v>39918</v>
      </c>
      <c r="P42" s="187"/>
      <c r="Q42" s="187">
        <v>39918</v>
      </c>
      <c r="R42" s="157"/>
      <c r="S42" s="157"/>
      <c r="T42" s="158"/>
      <c r="U42" s="29"/>
      <c r="V42" s="196"/>
      <c r="W42" s="6"/>
    </row>
    <row r="43" spans="1:23" ht="15.6">
      <c r="A43" s="25"/>
      <c r="B43" s="26" t="s">
        <v>18</v>
      </c>
      <c r="C43" s="46">
        <v>40283</v>
      </c>
      <c r="D43" s="51"/>
      <c r="E43" s="46">
        <v>40283</v>
      </c>
      <c r="F43" s="51"/>
      <c r="G43" s="46">
        <v>40283</v>
      </c>
      <c r="H43" s="51"/>
      <c r="I43" s="46">
        <v>40283</v>
      </c>
      <c r="J43" s="51"/>
      <c r="K43" s="46">
        <v>40283</v>
      </c>
      <c r="L43" s="51"/>
      <c r="M43" s="46">
        <v>40283</v>
      </c>
      <c r="N43" s="51"/>
      <c r="O43" s="46">
        <v>40283</v>
      </c>
      <c r="P43" s="46"/>
      <c r="Q43" s="46">
        <v>40283</v>
      </c>
      <c r="R43" s="33"/>
      <c r="S43" s="33"/>
      <c r="T43" s="29"/>
      <c r="U43" s="29"/>
      <c r="V43" s="196"/>
      <c r="W43" s="6"/>
    </row>
    <row r="44" spans="1:23" ht="15.6">
      <c r="A44" s="25"/>
      <c r="B44" s="26" t="s">
        <v>154</v>
      </c>
      <c r="C44" s="33" t="s">
        <v>163</v>
      </c>
      <c r="D44" s="33"/>
      <c r="E44" s="33" t="s">
        <v>163</v>
      </c>
      <c r="F44" s="33"/>
      <c r="G44" s="33" t="s">
        <v>164</v>
      </c>
      <c r="H44" s="33"/>
      <c r="I44" s="33" t="s">
        <v>164</v>
      </c>
      <c r="J44" s="33"/>
      <c r="K44" s="33" t="s">
        <v>106</v>
      </c>
      <c r="L44" s="33"/>
      <c r="M44" s="33" t="s">
        <v>165</v>
      </c>
      <c r="N44" s="33"/>
      <c r="O44" s="33" t="s">
        <v>166</v>
      </c>
      <c r="P44" s="33"/>
      <c r="Q44" s="33" t="s">
        <v>167</v>
      </c>
      <c r="R44" s="33"/>
      <c r="S44" s="33"/>
      <c r="T44" s="29"/>
      <c r="U44" s="29"/>
      <c r="V44" s="196"/>
      <c r="W44" s="6"/>
    </row>
    <row r="45" spans="1:23" ht="15.6">
      <c r="A45" s="25"/>
      <c r="B45" s="26" t="s">
        <v>266</v>
      </c>
      <c r="C45" s="33" t="s">
        <v>163</v>
      </c>
      <c r="D45" s="26"/>
      <c r="E45" s="33" t="s">
        <v>228</v>
      </c>
      <c r="F45" s="26"/>
      <c r="G45" s="33" t="s">
        <v>164</v>
      </c>
      <c r="H45" s="26"/>
      <c r="I45" s="33" t="s">
        <v>226</v>
      </c>
      <c r="J45" s="26"/>
      <c r="K45" s="33" t="s">
        <v>106</v>
      </c>
      <c r="L45" s="26"/>
      <c r="M45" s="33" t="s">
        <v>227</v>
      </c>
      <c r="N45" s="26"/>
      <c r="O45" s="33" t="s">
        <v>166</v>
      </c>
      <c r="P45" s="33"/>
      <c r="Q45" s="33" t="s">
        <v>229</v>
      </c>
      <c r="R45" s="33"/>
      <c r="S45" s="33"/>
      <c r="T45" s="29"/>
      <c r="U45" s="29"/>
      <c r="V45" s="196"/>
      <c r="W45" s="6"/>
    </row>
    <row r="46" spans="1:23" ht="15.6">
      <c r="A46" s="25"/>
      <c r="B46" s="26"/>
      <c r="C46" s="26"/>
      <c r="D46" s="26"/>
      <c r="E46" s="26"/>
      <c r="F46" s="26"/>
      <c r="G46" s="26"/>
      <c r="H46" s="26"/>
      <c r="I46" s="26"/>
      <c r="J46" s="26"/>
      <c r="K46" s="26"/>
      <c r="L46" s="26"/>
      <c r="M46" s="47"/>
      <c r="N46" s="47"/>
      <c r="O46" s="26"/>
      <c r="P46" s="47"/>
      <c r="Q46" s="47"/>
      <c r="R46" s="47"/>
      <c r="S46" s="47"/>
      <c r="T46" s="47"/>
      <c r="U46" s="47"/>
      <c r="V46" s="196"/>
      <c r="W46" s="6"/>
    </row>
    <row r="47" spans="1:23" ht="15.6">
      <c r="A47" s="25"/>
      <c r="B47" s="26" t="s">
        <v>201</v>
      </c>
      <c r="C47" s="26"/>
      <c r="D47" s="26"/>
      <c r="E47" s="26"/>
      <c r="F47" s="26"/>
      <c r="G47" s="26"/>
      <c r="H47" s="26"/>
      <c r="I47" s="26"/>
      <c r="J47" s="26"/>
      <c r="K47" s="26"/>
      <c r="L47" s="26"/>
      <c r="M47" s="26"/>
      <c r="N47" s="26"/>
      <c r="O47" s="26"/>
      <c r="P47" s="26"/>
      <c r="Q47" s="26"/>
      <c r="R47" s="26"/>
      <c r="S47" s="26"/>
      <c r="T47" s="26"/>
      <c r="U47" s="45">
        <f>SUM(G31:Q31)/(C31+E31)</f>
        <v>0.3888888888888889</v>
      </c>
      <c r="V47" s="196"/>
      <c r="W47" s="6"/>
    </row>
    <row r="48" spans="1:23" ht="15.6">
      <c r="A48" s="25"/>
      <c r="B48" s="26" t="s">
        <v>202</v>
      </c>
      <c r="C48" s="26"/>
      <c r="D48" s="26"/>
      <c r="E48" s="26"/>
      <c r="F48" s="26"/>
      <c r="G48" s="26"/>
      <c r="H48" s="26"/>
      <c r="I48" s="26"/>
      <c r="J48" s="26"/>
      <c r="K48" s="26"/>
      <c r="L48" s="26"/>
      <c r="M48" s="26"/>
      <c r="N48" s="26"/>
      <c r="O48" s="26"/>
      <c r="P48" s="26"/>
      <c r="Q48" s="26"/>
      <c r="R48" s="26"/>
      <c r="S48" s="26"/>
      <c r="T48" s="26"/>
      <c r="U48" s="45">
        <f>SUM(F33:Q33)/(C33+E33)</f>
        <v>0.58195224426723835</v>
      </c>
      <c r="V48" s="196"/>
      <c r="W48" s="6"/>
    </row>
    <row r="49" spans="1:23" ht="15.6">
      <c r="A49" s="25"/>
      <c r="B49" s="26" t="s">
        <v>203</v>
      </c>
      <c r="C49" s="26"/>
      <c r="D49" s="26"/>
      <c r="E49" s="26"/>
      <c r="F49" s="26"/>
      <c r="G49" s="26"/>
      <c r="H49" s="26"/>
      <c r="I49" s="26"/>
      <c r="J49" s="26"/>
      <c r="K49" s="26"/>
      <c r="L49" s="26"/>
      <c r="M49" s="26"/>
      <c r="N49" s="26"/>
      <c r="O49" s="26"/>
      <c r="P49" s="26"/>
      <c r="Q49" s="26"/>
      <c r="R49" s="26"/>
      <c r="S49" s="33" t="s">
        <v>95</v>
      </c>
      <c r="T49" s="33" t="s">
        <v>117</v>
      </c>
      <c r="U49" s="34">
        <v>99000</v>
      </c>
      <c r="V49" s="196"/>
      <c r="W49" s="6"/>
    </row>
    <row r="50" spans="1:23" ht="15.6">
      <c r="A50" s="25"/>
      <c r="B50" s="26"/>
      <c r="C50" s="26"/>
      <c r="D50" s="26"/>
      <c r="E50" s="26"/>
      <c r="F50" s="26"/>
      <c r="G50" s="26"/>
      <c r="H50" s="26"/>
      <c r="I50" s="26"/>
      <c r="J50" s="26"/>
      <c r="K50" s="26"/>
      <c r="L50" s="26"/>
      <c r="M50" s="26"/>
      <c r="N50" s="26"/>
      <c r="O50" s="26"/>
      <c r="P50" s="26"/>
      <c r="Q50" s="26"/>
      <c r="R50" s="26"/>
      <c r="S50" s="26" t="s">
        <v>213</v>
      </c>
      <c r="T50" s="26"/>
      <c r="U50" s="48"/>
      <c r="V50" s="196"/>
      <c r="W50" s="6"/>
    </row>
    <row r="51" spans="1:23" ht="15.6">
      <c r="A51" s="25"/>
      <c r="B51" s="26" t="s">
        <v>19</v>
      </c>
      <c r="C51" s="26"/>
      <c r="D51" s="26"/>
      <c r="E51" s="26"/>
      <c r="F51" s="26"/>
      <c r="G51" s="26"/>
      <c r="H51" s="26"/>
      <c r="I51" s="26"/>
      <c r="J51" s="26"/>
      <c r="K51" s="26"/>
      <c r="L51" s="26"/>
      <c r="M51" s="26"/>
      <c r="N51" s="26"/>
      <c r="O51" s="26"/>
      <c r="P51" s="26"/>
      <c r="Q51" s="26"/>
      <c r="R51" s="26"/>
      <c r="S51" s="33"/>
      <c r="T51" s="33"/>
      <c r="U51" s="33" t="s">
        <v>118</v>
      </c>
      <c r="V51" s="196"/>
      <c r="W51" s="6"/>
    </row>
    <row r="52" spans="1:23" ht="15.6">
      <c r="A52" s="40"/>
      <c r="B52" s="30" t="s">
        <v>20</v>
      </c>
      <c r="C52" s="30"/>
      <c r="D52" s="30"/>
      <c r="E52" s="30"/>
      <c r="F52" s="30"/>
      <c r="G52" s="30"/>
      <c r="H52" s="30"/>
      <c r="I52" s="30"/>
      <c r="J52" s="30"/>
      <c r="K52" s="30"/>
      <c r="L52" s="30"/>
      <c r="M52" s="30"/>
      <c r="N52" s="30"/>
      <c r="O52" s="30"/>
      <c r="P52" s="30"/>
      <c r="Q52" s="30"/>
      <c r="R52" s="30"/>
      <c r="S52" s="49"/>
      <c r="T52" s="49"/>
      <c r="U52" s="50">
        <v>40009</v>
      </c>
      <c r="V52" s="198"/>
      <c r="W52" s="6"/>
    </row>
    <row r="53" spans="1:23" ht="15.6">
      <c r="A53" s="25"/>
      <c r="B53" s="26" t="s">
        <v>155</v>
      </c>
      <c r="C53" s="26"/>
      <c r="D53" s="26"/>
      <c r="E53" s="26"/>
      <c r="F53" s="26"/>
      <c r="G53" s="26"/>
      <c r="H53" s="26"/>
      <c r="I53" s="26"/>
      <c r="J53" s="26"/>
      <c r="K53" s="26"/>
      <c r="L53" s="26"/>
      <c r="M53" s="26"/>
      <c r="N53" s="26"/>
      <c r="O53" s="26"/>
      <c r="P53" s="26"/>
      <c r="Q53" s="29"/>
      <c r="R53" s="26">
        <f>U53-S53+1</f>
        <v>90</v>
      </c>
      <c r="S53" s="52">
        <v>39828</v>
      </c>
      <c r="T53" s="53"/>
      <c r="U53" s="52">
        <v>39917</v>
      </c>
      <c r="V53" s="196"/>
      <c r="W53" s="6"/>
    </row>
    <row r="54" spans="1:23" ht="15.6">
      <c r="A54" s="25"/>
      <c r="B54" s="26" t="s">
        <v>156</v>
      </c>
      <c r="C54" s="26"/>
      <c r="D54" s="26"/>
      <c r="E54" s="26"/>
      <c r="F54" s="26"/>
      <c r="G54" s="26"/>
      <c r="H54" s="26"/>
      <c r="I54" s="26"/>
      <c r="J54" s="26"/>
      <c r="K54" s="26"/>
      <c r="L54" s="26"/>
      <c r="M54" s="26"/>
      <c r="N54" s="26"/>
      <c r="O54" s="26"/>
      <c r="P54" s="26"/>
      <c r="Q54" s="29"/>
      <c r="R54" s="26">
        <f>U54-S54+1</f>
        <v>91</v>
      </c>
      <c r="S54" s="52">
        <v>39918</v>
      </c>
      <c r="T54" s="53"/>
      <c r="U54" s="52">
        <v>40008</v>
      </c>
      <c r="V54" s="196"/>
      <c r="W54" s="6"/>
    </row>
    <row r="55" spans="1:23" ht="15.6">
      <c r="A55" s="25"/>
      <c r="B55" s="26" t="s">
        <v>21</v>
      </c>
      <c r="C55" s="26"/>
      <c r="D55" s="26"/>
      <c r="E55" s="26"/>
      <c r="F55" s="26"/>
      <c r="G55" s="26"/>
      <c r="H55" s="26"/>
      <c r="I55" s="26"/>
      <c r="J55" s="26"/>
      <c r="K55" s="26"/>
      <c r="L55" s="26"/>
      <c r="M55" s="26"/>
      <c r="N55" s="26"/>
      <c r="O55" s="26"/>
      <c r="P55" s="26"/>
      <c r="Q55" s="26"/>
      <c r="R55" s="26"/>
      <c r="S55" s="52"/>
      <c r="T55" s="53"/>
      <c r="U55" s="52" t="s">
        <v>119</v>
      </c>
      <c r="V55" s="196"/>
      <c r="W55" s="6"/>
    </row>
    <row r="56" spans="1:23" ht="15.6">
      <c r="A56" s="25"/>
      <c r="B56" s="26" t="s">
        <v>22</v>
      </c>
      <c r="C56" s="26"/>
      <c r="D56" s="26"/>
      <c r="E56" s="26"/>
      <c r="F56" s="26"/>
      <c r="G56" s="26"/>
      <c r="H56" s="26"/>
      <c r="I56" s="26"/>
      <c r="J56" s="26"/>
      <c r="K56" s="26"/>
      <c r="L56" s="26"/>
      <c r="M56" s="26"/>
      <c r="N56" s="26"/>
      <c r="O56" s="26"/>
      <c r="P56" s="26"/>
      <c r="Q56" s="26"/>
      <c r="R56" s="26"/>
      <c r="S56" s="52"/>
      <c r="T56" s="53"/>
      <c r="U56" s="52">
        <v>39995</v>
      </c>
      <c r="V56" s="196"/>
      <c r="W56" s="6"/>
    </row>
    <row r="57" spans="1:23" ht="15.6">
      <c r="A57" s="25"/>
      <c r="B57" s="26"/>
      <c r="C57" s="26"/>
      <c r="D57" s="26"/>
      <c r="E57" s="26"/>
      <c r="F57" s="26"/>
      <c r="G57" s="26"/>
      <c r="H57" s="26"/>
      <c r="I57" s="26"/>
      <c r="J57" s="26"/>
      <c r="K57" s="26"/>
      <c r="L57" s="26"/>
      <c r="M57" s="26"/>
      <c r="N57" s="26"/>
      <c r="O57" s="26"/>
      <c r="P57" s="26"/>
      <c r="Q57" s="26"/>
      <c r="R57" s="26"/>
      <c r="S57" s="26"/>
      <c r="T57" s="26"/>
      <c r="U57" s="54"/>
      <c r="V57" s="196"/>
      <c r="W57" s="6"/>
    </row>
    <row r="58" spans="1:23" ht="15.6">
      <c r="A58" s="7"/>
      <c r="B58" s="9"/>
      <c r="C58" s="9"/>
      <c r="D58" s="9"/>
      <c r="E58" s="9"/>
      <c r="F58" s="9"/>
      <c r="G58" s="9"/>
      <c r="H58" s="9"/>
      <c r="I58" s="9"/>
      <c r="J58" s="9"/>
      <c r="K58" s="9"/>
      <c r="L58" s="9"/>
      <c r="M58" s="9"/>
      <c r="N58" s="9"/>
      <c r="O58" s="9"/>
      <c r="P58" s="9"/>
      <c r="Q58" s="9"/>
      <c r="R58" s="9"/>
      <c r="S58" s="9"/>
      <c r="T58" s="9"/>
      <c r="U58" s="55"/>
      <c r="V58" s="194"/>
      <c r="W58" s="6"/>
    </row>
    <row r="59" spans="1:23" ht="16.2" thickBot="1">
      <c r="A59" s="130"/>
      <c r="B59" s="131" t="s">
        <v>256</v>
      </c>
      <c r="C59" s="132"/>
      <c r="D59" s="132"/>
      <c r="E59" s="132"/>
      <c r="F59" s="132"/>
      <c r="G59" s="132"/>
      <c r="H59" s="132"/>
      <c r="I59" s="132"/>
      <c r="J59" s="132"/>
      <c r="K59" s="132"/>
      <c r="L59" s="132"/>
      <c r="M59" s="132"/>
      <c r="N59" s="132"/>
      <c r="O59" s="132"/>
      <c r="P59" s="132"/>
      <c r="Q59" s="132"/>
      <c r="R59" s="132"/>
      <c r="S59" s="132"/>
      <c r="T59" s="132"/>
      <c r="U59" s="133"/>
      <c r="V59" s="134"/>
      <c r="W59" s="6"/>
    </row>
    <row r="60" spans="1:23" ht="15.6">
      <c r="A60" s="2"/>
      <c r="B60" s="5" t="s">
        <v>237</v>
      </c>
      <c r="C60" s="5"/>
      <c r="D60" s="5"/>
      <c r="E60" s="5"/>
      <c r="F60" s="5"/>
      <c r="G60" s="5"/>
      <c r="H60" s="5"/>
      <c r="I60" s="5"/>
      <c r="J60" s="5"/>
      <c r="K60" s="5"/>
      <c r="L60" s="5"/>
      <c r="M60" s="5"/>
      <c r="N60" s="5"/>
      <c r="O60" s="5"/>
      <c r="P60" s="5"/>
      <c r="Q60" s="5"/>
      <c r="R60" s="5"/>
      <c r="S60" s="5"/>
      <c r="T60" s="5"/>
      <c r="U60" s="56"/>
      <c r="V60" s="193"/>
      <c r="W60" s="6"/>
    </row>
    <row r="61" spans="1:23" ht="15.6">
      <c r="A61" s="7"/>
      <c r="B61" s="57" t="s">
        <v>23</v>
      </c>
      <c r="C61" s="13"/>
      <c r="D61" s="13"/>
      <c r="E61" s="13"/>
      <c r="F61" s="13"/>
      <c r="G61" s="13"/>
      <c r="H61" s="13"/>
      <c r="I61" s="13"/>
      <c r="J61" s="13"/>
      <c r="K61" s="13"/>
      <c r="L61" s="13"/>
      <c r="M61" s="9"/>
      <c r="N61" s="9"/>
      <c r="O61" s="9"/>
      <c r="P61" s="9"/>
      <c r="Q61" s="9"/>
      <c r="R61" s="9"/>
      <c r="S61" s="9"/>
      <c r="T61" s="9"/>
      <c r="U61" s="58"/>
      <c r="V61" s="194"/>
      <c r="W61" s="6"/>
    </row>
    <row r="62" spans="1:23" ht="15.6">
      <c r="A62" s="7"/>
      <c r="B62" s="13"/>
      <c r="C62" s="13"/>
      <c r="D62" s="13"/>
      <c r="E62" s="13"/>
      <c r="F62" s="13"/>
      <c r="G62" s="13"/>
      <c r="H62" s="13"/>
      <c r="I62" s="13"/>
      <c r="J62" s="13"/>
      <c r="K62" s="13"/>
      <c r="L62" s="13"/>
      <c r="M62" s="9"/>
      <c r="N62" s="9"/>
      <c r="O62" s="9"/>
      <c r="P62" s="9"/>
      <c r="Q62" s="9"/>
      <c r="R62" s="9"/>
      <c r="S62" s="9"/>
      <c r="T62" s="9"/>
      <c r="U62" s="58"/>
      <c r="V62" s="194"/>
      <c r="W62" s="6"/>
    </row>
    <row r="63" spans="1:23" s="151" customFormat="1" ht="46.8">
      <c r="A63" s="145"/>
      <c r="B63" s="146"/>
      <c r="C63" s="147"/>
      <c r="D63" s="147"/>
      <c r="E63" s="147"/>
      <c r="F63" s="147"/>
      <c r="G63" s="147"/>
      <c r="H63" s="147"/>
      <c r="I63" s="147"/>
      <c r="J63" s="147"/>
      <c r="K63" s="147" t="s">
        <v>197</v>
      </c>
      <c r="L63" s="147"/>
      <c r="M63" s="147" t="s">
        <v>98</v>
      </c>
      <c r="N63" s="147"/>
      <c r="O63" s="147" t="s">
        <v>107</v>
      </c>
      <c r="P63" s="147"/>
      <c r="Q63" s="147" t="s">
        <v>111</v>
      </c>
      <c r="R63" s="147"/>
      <c r="S63" s="147" t="s">
        <v>113</v>
      </c>
      <c r="T63" s="147"/>
      <c r="U63" s="148" t="s">
        <v>120</v>
      </c>
      <c r="V63" s="199"/>
      <c r="W63" s="150"/>
    </row>
    <row r="64" spans="1:23" ht="15.6">
      <c r="A64" s="25"/>
      <c r="B64" s="26" t="s">
        <v>24</v>
      </c>
      <c r="C64" s="59"/>
      <c r="D64" s="59"/>
      <c r="E64" s="59"/>
      <c r="F64" s="59"/>
      <c r="G64" s="59"/>
      <c r="H64" s="59"/>
      <c r="I64" s="59"/>
      <c r="J64" s="59"/>
      <c r="K64" s="59">
        <f>265+63566+3306</f>
        <v>67137</v>
      </c>
      <c r="L64" s="59"/>
      <c r="M64" s="59">
        <v>19789</v>
      </c>
      <c r="N64" s="59"/>
      <c r="O64" s="59">
        <f>1+1340+11+60</f>
        <v>1412</v>
      </c>
      <c r="P64" s="59"/>
      <c r="Q64" s="59">
        <v>0</v>
      </c>
      <c r="R64" s="59"/>
      <c r="S64" s="59">
        <v>0</v>
      </c>
      <c r="T64" s="59"/>
      <c r="U64" s="60">
        <f>+M64-O64+Q64-S64</f>
        <v>18377</v>
      </c>
      <c r="V64" s="196"/>
      <c r="W64" s="6"/>
    </row>
    <row r="65" spans="1:24" ht="15.6">
      <c r="A65" s="25"/>
      <c r="B65" s="26" t="s">
        <v>25</v>
      </c>
      <c r="C65" s="59"/>
      <c r="D65" s="59"/>
      <c r="E65" s="59"/>
      <c r="F65" s="59"/>
      <c r="G65" s="59"/>
      <c r="H65" s="59"/>
      <c r="I65" s="59"/>
      <c r="J65" s="59"/>
      <c r="K65" s="59"/>
      <c r="L65" s="59"/>
      <c r="M65" s="59"/>
      <c r="N65" s="59"/>
      <c r="O65" s="59"/>
      <c r="P65" s="59"/>
      <c r="Q65" s="59">
        <v>0</v>
      </c>
      <c r="R65" s="59"/>
      <c r="S65" s="59">
        <v>0</v>
      </c>
      <c r="T65" s="59"/>
      <c r="U65" s="60">
        <f>M65-O65</f>
        <v>0</v>
      </c>
      <c r="V65" s="196"/>
      <c r="W65" s="6"/>
    </row>
    <row r="66" spans="1:24" ht="15.6">
      <c r="A66" s="25"/>
      <c r="B66" s="26"/>
      <c r="C66" s="59"/>
      <c r="D66" s="59"/>
      <c r="E66" s="59"/>
      <c r="F66" s="59"/>
      <c r="G66" s="59"/>
      <c r="H66" s="59"/>
      <c r="I66" s="59"/>
      <c r="J66" s="59"/>
      <c r="K66" s="59"/>
      <c r="L66" s="59"/>
      <c r="M66" s="59"/>
      <c r="N66" s="59"/>
      <c r="O66" s="59"/>
      <c r="P66" s="59"/>
      <c r="Q66" s="59"/>
      <c r="R66" s="59"/>
      <c r="S66" s="59"/>
      <c r="T66" s="59"/>
      <c r="U66" s="60"/>
      <c r="V66" s="196"/>
      <c r="W66" s="6"/>
    </row>
    <row r="67" spans="1:24" ht="15.6">
      <c r="A67" s="25"/>
      <c r="B67" s="26" t="s">
        <v>26</v>
      </c>
      <c r="C67" s="59"/>
      <c r="D67" s="59"/>
      <c r="E67" s="59"/>
      <c r="F67" s="59"/>
      <c r="G67" s="59"/>
      <c r="H67" s="59"/>
      <c r="I67" s="59"/>
      <c r="J67" s="59"/>
      <c r="K67" s="59">
        <v>24470</v>
      </c>
      <c r="L67" s="59"/>
      <c r="M67" s="59">
        <v>10315</v>
      </c>
      <c r="N67" s="59"/>
      <c r="O67" s="59">
        <f>2170-10</f>
        <v>2160</v>
      </c>
      <c r="P67" s="59"/>
      <c r="Q67" s="59">
        <v>0</v>
      </c>
      <c r="R67" s="59"/>
      <c r="S67" s="59">
        <f>SUM(S64:S66)</f>
        <v>0</v>
      </c>
      <c r="T67" s="59"/>
      <c r="U67" s="60">
        <f>+M67-O67+Q67-S67</f>
        <v>8155</v>
      </c>
      <c r="V67" s="196"/>
      <c r="W67" s="6"/>
    </row>
    <row r="68" spans="1:24" ht="15.6">
      <c r="A68" s="25"/>
      <c r="B68" s="26" t="s">
        <v>25</v>
      </c>
      <c r="C68" s="59"/>
      <c r="D68" s="59"/>
      <c r="E68" s="59"/>
      <c r="F68" s="59"/>
      <c r="G68" s="59"/>
      <c r="H68" s="59"/>
      <c r="I68" s="59"/>
      <c r="J68" s="59"/>
      <c r="K68" s="59"/>
      <c r="L68" s="59"/>
      <c r="M68" s="59"/>
      <c r="N68" s="59"/>
      <c r="O68" s="59"/>
      <c r="P68" s="59"/>
      <c r="Q68" s="59">
        <v>0</v>
      </c>
      <c r="R68" s="59"/>
      <c r="S68" s="59">
        <v>0</v>
      </c>
      <c r="T68" s="59"/>
      <c r="U68" s="61"/>
      <c r="V68" s="196"/>
      <c r="W68" s="6"/>
    </row>
    <row r="69" spans="1:24" ht="15.6">
      <c r="A69" s="25"/>
      <c r="B69" s="62"/>
      <c r="C69" s="59"/>
      <c r="D69" s="59"/>
      <c r="E69" s="59"/>
      <c r="F69" s="59"/>
      <c r="G69" s="59"/>
      <c r="H69" s="59"/>
      <c r="I69" s="59"/>
      <c r="J69" s="59"/>
      <c r="K69" s="59"/>
      <c r="L69" s="59"/>
      <c r="M69" s="59"/>
      <c r="N69" s="59"/>
      <c r="O69" s="63"/>
      <c r="P69" s="59"/>
      <c r="Q69" s="59"/>
      <c r="R69" s="59"/>
      <c r="S69" s="59"/>
      <c r="T69" s="59"/>
      <c r="U69" s="61"/>
      <c r="V69" s="196"/>
      <c r="W69" s="6"/>
    </row>
    <row r="70" spans="1:24" ht="15.6">
      <c r="A70" s="25"/>
      <c r="B70" s="26" t="s">
        <v>27</v>
      </c>
      <c r="C70" s="59"/>
      <c r="D70" s="59"/>
      <c r="E70" s="59"/>
      <c r="F70" s="59"/>
      <c r="G70" s="59"/>
      <c r="H70" s="59"/>
      <c r="I70" s="59"/>
      <c r="J70" s="59"/>
      <c r="K70" s="59">
        <v>220072</v>
      </c>
      <c r="L70" s="59"/>
      <c r="M70" s="59">
        <v>282132</v>
      </c>
      <c r="N70" s="59"/>
      <c r="O70" s="59">
        <f>9372+1440</f>
        <v>10812</v>
      </c>
      <c r="P70" s="59"/>
      <c r="Q70" s="59">
        <v>3394</v>
      </c>
      <c r="R70" s="59"/>
      <c r="S70" s="59">
        <v>0</v>
      </c>
      <c r="T70" s="59"/>
      <c r="U70" s="60">
        <f>+M70-O70+Q70-S70</f>
        <v>274714</v>
      </c>
      <c r="V70" s="196"/>
      <c r="W70" s="6"/>
    </row>
    <row r="71" spans="1:24" ht="15.6">
      <c r="A71" s="25"/>
      <c r="B71" s="26" t="s">
        <v>25</v>
      </c>
      <c r="C71" s="59"/>
      <c r="D71" s="59"/>
      <c r="E71" s="59"/>
      <c r="F71" s="59"/>
      <c r="G71" s="59"/>
      <c r="H71" s="59"/>
      <c r="I71" s="59"/>
      <c r="J71" s="59"/>
      <c r="K71" s="59"/>
      <c r="L71" s="59"/>
      <c r="M71" s="59"/>
      <c r="N71" s="59"/>
      <c r="O71" s="59"/>
      <c r="P71" s="59"/>
      <c r="Q71" s="59">
        <v>0</v>
      </c>
      <c r="R71" s="59"/>
      <c r="S71" s="59">
        <v>0</v>
      </c>
      <c r="T71" s="59"/>
      <c r="U71" s="60">
        <f>M71-O71+Q71-S71</f>
        <v>0</v>
      </c>
      <c r="V71" s="196"/>
      <c r="W71" s="6"/>
    </row>
    <row r="72" spans="1:24" ht="15.6">
      <c r="A72" s="25"/>
      <c r="B72" s="26"/>
      <c r="C72" s="59"/>
      <c r="D72" s="59"/>
      <c r="E72" s="59"/>
      <c r="F72" s="59"/>
      <c r="G72" s="59"/>
      <c r="H72" s="59"/>
      <c r="I72" s="59"/>
      <c r="J72" s="59"/>
      <c r="K72" s="59"/>
      <c r="L72" s="59"/>
      <c r="M72" s="59"/>
      <c r="N72" s="59"/>
      <c r="O72" s="59"/>
      <c r="P72" s="59"/>
      <c r="Q72" s="59"/>
      <c r="R72" s="59"/>
      <c r="S72" s="59"/>
      <c r="T72" s="59"/>
      <c r="U72" s="60"/>
      <c r="V72" s="196"/>
      <c r="W72" s="6"/>
    </row>
    <row r="73" spans="1:24" ht="15.6">
      <c r="A73" s="25"/>
      <c r="B73" s="26" t="s">
        <v>28</v>
      </c>
      <c r="C73" s="59"/>
      <c r="D73" s="59"/>
      <c r="E73" s="59"/>
      <c r="F73" s="59"/>
      <c r="G73" s="59"/>
      <c r="H73" s="59"/>
      <c r="I73" s="59"/>
      <c r="J73" s="59"/>
      <c r="K73" s="59">
        <v>138321</v>
      </c>
      <c r="L73" s="59"/>
      <c r="M73" s="59">
        <v>61633</v>
      </c>
      <c r="N73" s="59"/>
      <c r="O73" s="59">
        <f>7980+1188</f>
        <v>9168</v>
      </c>
      <c r="P73" s="59"/>
      <c r="Q73" s="59">
        <v>0</v>
      </c>
      <c r="R73" s="59"/>
      <c r="S73" s="59">
        <v>0</v>
      </c>
      <c r="T73" s="59"/>
      <c r="U73" s="60">
        <f>+M73-O73+Q73-S73</f>
        <v>52465</v>
      </c>
      <c r="V73" s="196"/>
      <c r="W73" s="6"/>
    </row>
    <row r="74" spans="1:24" ht="15.6">
      <c r="A74" s="25"/>
      <c r="B74" s="26" t="s">
        <v>25</v>
      </c>
      <c r="C74" s="59"/>
      <c r="D74" s="59"/>
      <c r="E74" s="59"/>
      <c r="F74" s="59"/>
      <c r="G74" s="59"/>
      <c r="H74" s="59"/>
      <c r="I74" s="59"/>
      <c r="J74" s="59"/>
      <c r="K74" s="59"/>
      <c r="L74" s="59"/>
      <c r="M74" s="59"/>
      <c r="N74" s="59"/>
      <c r="O74" s="59"/>
      <c r="P74" s="59"/>
      <c r="Q74" s="59">
        <v>0</v>
      </c>
      <c r="R74" s="59"/>
      <c r="S74" s="59">
        <v>0</v>
      </c>
      <c r="T74" s="59"/>
      <c r="U74" s="60"/>
      <c r="V74" s="196"/>
      <c r="W74" s="6"/>
    </row>
    <row r="75" spans="1:24" ht="15.6">
      <c r="A75" s="25"/>
      <c r="B75" s="59"/>
      <c r="C75" s="59"/>
      <c r="D75" s="59"/>
      <c r="E75" s="59"/>
      <c r="F75" s="59"/>
      <c r="G75" s="59"/>
      <c r="H75" s="59"/>
      <c r="I75" s="59"/>
      <c r="J75" s="59"/>
      <c r="K75" s="59"/>
      <c r="L75" s="59"/>
      <c r="M75" s="59"/>
      <c r="N75" s="59"/>
      <c r="O75" s="59"/>
      <c r="P75" s="59"/>
      <c r="Q75" s="59"/>
      <c r="R75" s="59"/>
      <c r="S75" s="59"/>
      <c r="T75" s="59"/>
      <c r="U75" s="60"/>
      <c r="V75" s="196"/>
      <c r="W75" s="6"/>
    </row>
    <row r="76" spans="1:24" ht="15.6">
      <c r="A76" s="25"/>
      <c r="B76" s="26" t="s">
        <v>29</v>
      </c>
      <c r="C76" s="59"/>
      <c r="D76" s="59"/>
      <c r="E76" s="59"/>
      <c r="F76" s="59"/>
      <c r="G76" s="59"/>
      <c r="H76" s="59"/>
      <c r="I76" s="59"/>
      <c r="J76" s="59"/>
      <c r="K76" s="59">
        <f>SUM(K64:K73)</f>
        <v>450000</v>
      </c>
      <c r="L76" s="59"/>
      <c r="M76" s="59">
        <f>SUM(M64:M73)</f>
        <v>373869</v>
      </c>
      <c r="N76" s="59"/>
      <c r="O76" s="59">
        <f>SUM(O64:O74)</f>
        <v>23552</v>
      </c>
      <c r="P76" s="59"/>
      <c r="Q76" s="59">
        <f>SUM(Q64:Q74)</f>
        <v>3394</v>
      </c>
      <c r="R76" s="59"/>
      <c r="S76" s="59">
        <f>SUM(S71:S75)</f>
        <v>0</v>
      </c>
      <c r="T76" s="59"/>
      <c r="U76" s="59">
        <f>SUM(U64:U74)</f>
        <v>353711</v>
      </c>
      <c r="V76" s="196"/>
      <c r="W76" s="6"/>
      <c r="X76" s="182"/>
    </row>
    <row r="77" spans="1:24" ht="15.6">
      <c r="A77" s="25"/>
      <c r="B77" s="26"/>
      <c r="C77" s="59"/>
      <c r="D77" s="59"/>
      <c r="E77" s="59"/>
      <c r="F77" s="59"/>
      <c r="G77" s="59"/>
      <c r="H77" s="59"/>
      <c r="I77" s="59"/>
      <c r="J77" s="59"/>
      <c r="K77" s="59"/>
      <c r="L77" s="59"/>
      <c r="M77" s="59"/>
      <c r="N77" s="59"/>
      <c r="O77" s="59"/>
      <c r="P77" s="59"/>
      <c r="Q77" s="59"/>
      <c r="R77" s="59"/>
      <c r="S77" s="59"/>
      <c r="T77" s="59"/>
      <c r="U77" s="61"/>
      <c r="V77" s="196"/>
      <c r="W77" s="6"/>
    </row>
    <row r="78" spans="1:24" ht="15.6">
      <c r="A78" s="25"/>
      <c r="B78" s="26" t="s">
        <v>214</v>
      </c>
      <c r="C78" s="59"/>
      <c r="D78" s="59"/>
      <c r="E78" s="59"/>
      <c r="F78" s="59"/>
      <c r="G78" s="59"/>
      <c r="H78" s="59"/>
      <c r="I78" s="59"/>
      <c r="J78" s="59"/>
      <c r="K78" s="59">
        <v>0</v>
      </c>
      <c r="L78" s="59"/>
      <c r="M78" s="59">
        <v>-10311</v>
      </c>
      <c r="N78" s="59"/>
      <c r="O78" s="59">
        <v>887</v>
      </c>
      <c r="P78" s="59"/>
      <c r="Q78" s="59"/>
      <c r="R78" s="59"/>
      <c r="S78" s="59"/>
      <c r="T78" s="59"/>
      <c r="U78" s="60">
        <f>+M78-O78</f>
        <v>-11198</v>
      </c>
      <c r="V78" s="196"/>
      <c r="W78" s="6"/>
    </row>
    <row r="79" spans="1:24" ht="15.6">
      <c r="A79" s="25"/>
      <c r="B79" s="26" t="s">
        <v>30</v>
      </c>
      <c r="C79" s="59"/>
      <c r="D79" s="59"/>
      <c r="E79" s="59"/>
      <c r="F79" s="59"/>
      <c r="G79" s="59"/>
      <c r="H79" s="59"/>
      <c r="I79" s="59"/>
      <c r="J79" s="59"/>
      <c r="K79" s="59">
        <v>0</v>
      </c>
      <c r="L79" s="59"/>
      <c r="M79" s="59">
        <v>0</v>
      </c>
      <c r="N79" s="59"/>
      <c r="O79" s="59">
        <v>0</v>
      </c>
      <c r="P79" s="59"/>
      <c r="Q79" s="59">
        <v>0</v>
      </c>
      <c r="R79" s="59"/>
      <c r="S79" s="59"/>
      <c r="T79" s="59"/>
      <c r="U79" s="61">
        <v>0</v>
      </c>
      <c r="V79" s="196"/>
      <c r="W79" s="6"/>
      <c r="X79" s="182"/>
    </row>
    <row r="80" spans="1:24" ht="15.6">
      <c r="A80" s="25"/>
      <c r="B80" s="26" t="s">
        <v>31</v>
      </c>
      <c r="C80" s="59"/>
      <c r="D80" s="59"/>
      <c r="E80" s="59"/>
      <c r="F80" s="59"/>
      <c r="G80" s="59"/>
      <c r="H80" s="59"/>
      <c r="I80" s="59"/>
      <c r="J80" s="59"/>
      <c r="K80" s="59">
        <v>0</v>
      </c>
      <c r="L80" s="59"/>
      <c r="M80" s="59">
        <v>0</v>
      </c>
      <c r="N80" s="59"/>
      <c r="O80" s="59"/>
      <c r="P80" s="59"/>
      <c r="Q80" s="59">
        <v>0</v>
      </c>
      <c r="R80" s="59"/>
      <c r="S80" s="59"/>
      <c r="T80" s="59"/>
      <c r="U80" s="61">
        <f>Q80+M80</f>
        <v>0</v>
      </c>
      <c r="V80" s="196"/>
      <c r="W80" s="6"/>
    </row>
    <row r="81" spans="1:24" ht="15.6">
      <c r="A81" s="25"/>
      <c r="B81" s="26" t="s">
        <v>16</v>
      </c>
      <c r="C81" s="61"/>
      <c r="D81" s="61"/>
      <c r="E81" s="61"/>
      <c r="F81" s="61"/>
      <c r="G81" s="61"/>
      <c r="H81" s="61"/>
      <c r="I81" s="61"/>
      <c r="J81" s="61"/>
      <c r="K81" s="61">
        <f>SUM(K76:K80)</f>
        <v>450000</v>
      </c>
      <c r="L81" s="61"/>
      <c r="M81" s="61">
        <f>SUM(M76:M80)</f>
        <v>363558</v>
      </c>
      <c r="N81" s="59"/>
      <c r="O81" s="59">
        <f>O79-O80</f>
        <v>0</v>
      </c>
      <c r="P81" s="59"/>
      <c r="Q81" s="59"/>
      <c r="R81" s="59"/>
      <c r="S81" s="59"/>
      <c r="T81" s="59"/>
      <c r="U81" s="61">
        <f>SUM(U76:U80)</f>
        <v>342513</v>
      </c>
      <c r="V81" s="196"/>
      <c r="W81" s="6"/>
    </row>
    <row r="82" spans="1:24" ht="15.6">
      <c r="A82" s="25"/>
      <c r="B82" s="59"/>
      <c r="C82" s="26"/>
      <c r="D82" s="26"/>
      <c r="E82" s="26"/>
      <c r="F82" s="26"/>
      <c r="G82" s="26"/>
      <c r="H82" s="26"/>
      <c r="I82" s="26"/>
      <c r="J82" s="26"/>
      <c r="K82" s="26"/>
      <c r="L82" s="26"/>
      <c r="M82" s="26"/>
      <c r="N82" s="26"/>
      <c r="O82" s="26"/>
      <c r="P82" s="26"/>
      <c r="Q82" s="26"/>
      <c r="R82" s="26"/>
      <c r="S82" s="33"/>
      <c r="T82" s="26"/>
      <c r="U82" s="33"/>
      <c r="V82" s="196"/>
      <c r="W82" s="6"/>
    </row>
    <row r="83" spans="1:24" ht="15.6">
      <c r="A83" s="7"/>
      <c r="B83" s="57" t="s">
        <v>32</v>
      </c>
      <c r="C83" s="14"/>
      <c r="D83" s="14"/>
      <c r="E83" s="14"/>
      <c r="F83" s="14"/>
      <c r="G83" s="14"/>
      <c r="H83" s="14"/>
      <c r="I83" s="14"/>
      <c r="J83" s="14"/>
      <c r="K83" s="14"/>
      <c r="L83" s="14"/>
      <c r="M83" s="14"/>
      <c r="N83" s="14"/>
      <c r="O83" s="14"/>
      <c r="P83" s="14"/>
      <c r="Q83" s="14"/>
      <c r="R83" s="17"/>
      <c r="S83" s="17"/>
      <c r="T83" s="17"/>
      <c r="U83" s="17" t="s">
        <v>121</v>
      </c>
      <c r="V83" s="200"/>
      <c r="W83" s="6"/>
    </row>
    <row r="84" spans="1:24" ht="15.6">
      <c r="A84" s="25"/>
      <c r="B84" s="26" t="s">
        <v>33</v>
      </c>
      <c r="C84" s="26"/>
      <c r="D84" s="26"/>
      <c r="E84" s="26"/>
      <c r="F84" s="26"/>
      <c r="G84" s="26"/>
      <c r="H84" s="26"/>
      <c r="I84" s="26"/>
      <c r="J84" s="26"/>
      <c r="K84" s="26"/>
      <c r="L84" s="26"/>
      <c r="M84" s="26"/>
      <c r="N84" s="26"/>
      <c r="O84" s="59"/>
      <c r="P84" s="26"/>
      <c r="Q84" s="26"/>
      <c r="R84" s="26"/>
      <c r="S84" s="59"/>
      <c r="T84" s="26"/>
      <c r="U84" s="60">
        <v>70216</v>
      </c>
      <c r="V84" s="196"/>
      <c r="W84" s="6"/>
    </row>
    <row r="85" spans="1:24" ht="15.6">
      <c r="A85" s="25"/>
      <c r="B85" s="26" t="s">
        <v>34</v>
      </c>
      <c r="C85" s="47"/>
      <c r="D85" s="47"/>
      <c r="E85" s="47"/>
      <c r="F85" s="47"/>
      <c r="G85" s="47"/>
      <c r="H85" s="47"/>
      <c r="I85" s="47"/>
      <c r="J85" s="47"/>
      <c r="K85" s="47"/>
      <c r="L85" s="47"/>
      <c r="M85" s="51"/>
      <c r="N85" s="26"/>
      <c r="O85" s="26"/>
      <c r="P85" s="26"/>
      <c r="Q85" s="26"/>
      <c r="R85" s="26"/>
      <c r="S85" s="59"/>
      <c r="T85" s="26"/>
      <c r="U85" s="60">
        <f>605+153+9-33-14</f>
        <v>720</v>
      </c>
      <c r="V85" s="196"/>
      <c r="W85" s="6"/>
    </row>
    <row r="86" spans="1:24" ht="15.6">
      <c r="A86" s="25"/>
      <c r="B86" s="26" t="s">
        <v>230</v>
      </c>
      <c r="C86" s="26"/>
      <c r="D86" s="26"/>
      <c r="E86" s="26"/>
      <c r="F86" s="26"/>
      <c r="G86" s="26"/>
      <c r="H86" s="26"/>
      <c r="I86" s="26"/>
      <c r="J86" s="26"/>
      <c r="K86" s="26"/>
      <c r="L86" s="26"/>
      <c r="M86" s="26"/>
      <c r="N86" s="26"/>
      <c r="O86" s="26"/>
      <c r="P86" s="26"/>
      <c r="Q86" s="26"/>
      <c r="R86" s="26"/>
      <c r="S86" s="59"/>
      <c r="T86" s="26"/>
      <c r="U86" s="60">
        <v>0</v>
      </c>
      <c r="V86" s="196"/>
      <c r="W86" s="6"/>
      <c r="X86" s="64"/>
    </row>
    <row r="87" spans="1:24" ht="15.6">
      <c r="A87" s="25"/>
      <c r="B87" s="26" t="s">
        <v>231</v>
      </c>
      <c r="C87" s="26"/>
      <c r="D87" s="26"/>
      <c r="E87" s="26"/>
      <c r="F87" s="26"/>
      <c r="G87" s="26"/>
      <c r="H87" s="26"/>
      <c r="I87" s="26"/>
      <c r="J87" s="26"/>
      <c r="K87" s="26"/>
      <c r="L87" s="26"/>
      <c r="M87" s="26"/>
      <c r="N87" s="26"/>
      <c r="O87" s="26"/>
      <c r="P87" s="26"/>
      <c r="Q87" s="26"/>
      <c r="R87" s="26"/>
      <c r="S87" s="59"/>
      <c r="T87" s="26"/>
      <c r="U87" s="60">
        <v>0</v>
      </c>
      <c r="V87" s="196"/>
      <c r="W87" s="6"/>
      <c r="X87" s="64"/>
    </row>
    <row r="88" spans="1:24" ht="15.6">
      <c r="A88" s="25"/>
      <c r="B88" s="26" t="s">
        <v>35</v>
      </c>
      <c r="C88" s="26"/>
      <c r="D88" s="26"/>
      <c r="E88" s="26"/>
      <c r="F88" s="26"/>
      <c r="G88" s="26"/>
      <c r="H88" s="26"/>
      <c r="I88" s="26"/>
      <c r="J88" s="26"/>
      <c r="K88" s="26"/>
      <c r="L88" s="26"/>
      <c r="M88" s="26"/>
      <c r="N88" s="26"/>
      <c r="O88" s="26"/>
      <c r="P88" s="26"/>
      <c r="Q88" s="26"/>
      <c r="R88" s="26"/>
      <c r="S88" s="59"/>
      <c r="T88" s="26"/>
      <c r="U88" s="60">
        <f>SUM(U84:U87)</f>
        <v>70936</v>
      </c>
      <c r="V88" s="196"/>
      <c r="W88" s="6"/>
      <c r="X88" s="64"/>
    </row>
    <row r="89" spans="1:24" ht="15.6">
      <c r="A89" s="25"/>
      <c r="B89" s="26"/>
      <c r="C89" s="26"/>
      <c r="D89" s="26"/>
      <c r="E89" s="26"/>
      <c r="F89" s="26"/>
      <c r="G89" s="26"/>
      <c r="H89" s="26"/>
      <c r="I89" s="26"/>
      <c r="J89" s="26"/>
      <c r="K89" s="26"/>
      <c r="L89" s="26"/>
      <c r="M89" s="26"/>
      <c r="N89" s="26"/>
      <c r="O89" s="26"/>
      <c r="P89" s="26"/>
      <c r="Q89" s="26"/>
      <c r="R89" s="26"/>
      <c r="S89" s="59"/>
      <c r="T89" s="26"/>
      <c r="U89" s="61"/>
      <c r="V89" s="196"/>
      <c r="W89" s="6"/>
    </row>
    <row r="90" spans="1:24" ht="15.6">
      <c r="A90" s="25"/>
      <c r="B90" s="152" t="s">
        <v>36</v>
      </c>
      <c r="C90" s="65"/>
      <c r="D90" s="65"/>
      <c r="E90" s="65"/>
      <c r="F90" s="65"/>
      <c r="G90" s="65"/>
      <c r="H90" s="65"/>
      <c r="I90" s="65"/>
      <c r="J90" s="65"/>
      <c r="K90" s="65"/>
      <c r="L90" s="65"/>
      <c r="M90" s="26"/>
      <c r="N90" s="26"/>
      <c r="O90" s="26"/>
      <c r="P90" s="26"/>
      <c r="Q90" s="26"/>
      <c r="R90" s="26"/>
      <c r="S90" s="59"/>
      <c r="T90" s="26"/>
      <c r="U90" s="60"/>
      <c r="V90" s="196"/>
      <c r="W90" s="6"/>
      <c r="X90" s="64"/>
    </row>
    <row r="91" spans="1:24" ht="15.6">
      <c r="A91" s="25">
        <v>1</v>
      </c>
      <c r="B91" s="26" t="s">
        <v>37</v>
      </c>
      <c r="C91" s="26"/>
      <c r="D91" s="26"/>
      <c r="E91" s="26"/>
      <c r="F91" s="26"/>
      <c r="G91" s="26"/>
      <c r="H91" s="26"/>
      <c r="I91" s="26"/>
      <c r="J91" s="26"/>
      <c r="K91" s="26"/>
      <c r="L91" s="26"/>
      <c r="M91" s="26"/>
      <c r="N91" s="26"/>
      <c r="O91" s="26"/>
      <c r="P91" s="26"/>
      <c r="Q91" s="26"/>
      <c r="R91" s="26"/>
      <c r="S91" s="26"/>
      <c r="T91" s="26"/>
      <c r="U91" s="60">
        <v>-2</v>
      </c>
      <c r="V91" s="196"/>
      <c r="W91" s="6"/>
    </row>
    <row r="92" spans="1:24" ht="15.6">
      <c r="A92" s="25">
        <f>A91+1</f>
        <v>2</v>
      </c>
      <c r="B92" s="26" t="s">
        <v>168</v>
      </c>
      <c r="C92" s="26"/>
      <c r="D92" s="26"/>
      <c r="E92" s="26"/>
      <c r="F92" s="26"/>
      <c r="G92" s="26"/>
      <c r="H92" s="26"/>
      <c r="I92" s="26"/>
      <c r="J92" s="26"/>
      <c r="K92" s="26"/>
      <c r="L92" s="26"/>
      <c r="M92" s="26"/>
      <c r="N92" s="26"/>
      <c r="O92" s="26"/>
      <c r="P92" s="26"/>
      <c r="Q92" s="26"/>
      <c r="R92" s="26"/>
      <c r="S92" s="26"/>
      <c r="T92" s="26"/>
      <c r="U92" s="60">
        <f>-362-155-7</f>
        <v>-524</v>
      </c>
      <c r="V92" s="196"/>
      <c r="W92" s="6"/>
      <c r="X92" s="64"/>
    </row>
    <row r="93" spans="1:24" ht="15.6">
      <c r="A93" s="25">
        <v>3</v>
      </c>
      <c r="B93" s="26" t="s">
        <v>38</v>
      </c>
      <c r="C93" s="26"/>
      <c r="D93" s="26"/>
      <c r="E93" s="26"/>
      <c r="F93" s="26"/>
      <c r="G93" s="26"/>
      <c r="H93" s="26"/>
      <c r="I93" s="26"/>
      <c r="J93" s="26"/>
      <c r="K93" s="26"/>
      <c r="L93" s="26"/>
      <c r="M93" s="26"/>
      <c r="N93" s="26"/>
      <c r="O93" s="26"/>
      <c r="P93" s="26"/>
      <c r="Q93" s="26"/>
      <c r="R93" s="26"/>
      <c r="S93" s="26"/>
      <c r="T93" s="26"/>
      <c r="U93" s="60">
        <v>-971</v>
      </c>
      <c r="V93" s="196"/>
      <c r="W93" s="6"/>
      <c r="X93" s="64"/>
    </row>
    <row r="94" spans="1:24" ht="15.6">
      <c r="A94" s="177" t="s">
        <v>190</v>
      </c>
      <c r="B94" s="26" t="s">
        <v>169</v>
      </c>
      <c r="C94" s="26"/>
      <c r="D94" s="26"/>
      <c r="E94" s="26"/>
      <c r="F94" s="26"/>
      <c r="G94" s="26"/>
      <c r="H94" s="26"/>
      <c r="I94" s="26"/>
      <c r="J94" s="26"/>
      <c r="K94" s="26"/>
      <c r="L94" s="26"/>
      <c r="M94" s="26"/>
      <c r="N94" s="26"/>
      <c r="O94" s="26"/>
      <c r="P94" s="26"/>
      <c r="Q94" s="26"/>
      <c r="R94" s="26"/>
      <c r="S94" s="26"/>
      <c r="T94" s="26"/>
      <c r="U94" s="60">
        <v>-475</v>
      </c>
      <c r="V94" s="196"/>
      <c r="W94" s="6"/>
      <c r="X94" s="64"/>
    </row>
    <row r="95" spans="1:24" ht="15.6">
      <c r="A95" s="177" t="s">
        <v>191</v>
      </c>
      <c r="B95" s="26" t="s">
        <v>170</v>
      </c>
      <c r="C95" s="26"/>
      <c r="D95" s="26"/>
      <c r="E95" s="26"/>
      <c r="F95" s="26"/>
      <c r="G95" s="26"/>
      <c r="H95" s="26"/>
      <c r="I95" s="26"/>
      <c r="J95" s="26"/>
      <c r="K95" s="26"/>
      <c r="L95" s="26"/>
      <c r="M95" s="26"/>
      <c r="N95" s="26"/>
      <c r="O95" s="26"/>
      <c r="P95" s="26"/>
      <c r="Q95" s="26"/>
      <c r="R95" s="26"/>
      <c r="S95" s="26"/>
      <c r="T95" s="26"/>
      <c r="U95" s="60">
        <v>-589</v>
      </c>
      <c r="V95" s="196"/>
      <c r="W95" s="6"/>
      <c r="X95" s="182"/>
    </row>
    <row r="96" spans="1:24" ht="15.6">
      <c r="A96" s="25">
        <v>5</v>
      </c>
      <c r="B96" s="26" t="s">
        <v>171</v>
      </c>
      <c r="C96" s="26"/>
      <c r="D96" s="26"/>
      <c r="E96" s="26"/>
      <c r="F96" s="26"/>
      <c r="G96" s="26"/>
      <c r="H96" s="26"/>
      <c r="I96" s="26"/>
      <c r="J96" s="26"/>
      <c r="K96" s="26"/>
      <c r="L96" s="26"/>
      <c r="M96" s="26"/>
      <c r="N96" s="26"/>
      <c r="O96" s="26"/>
      <c r="P96" s="26"/>
      <c r="Q96" s="26"/>
      <c r="R96" s="26"/>
      <c r="S96" s="26"/>
      <c r="T96" s="26"/>
      <c r="U96" s="60">
        <v>-7</v>
      </c>
      <c r="V96" s="196"/>
      <c r="W96" s="6"/>
    </row>
    <row r="97" spans="1:24" ht="15.6">
      <c r="A97" s="177" t="s">
        <v>174</v>
      </c>
      <c r="B97" s="26" t="s">
        <v>172</v>
      </c>
      <c r="C97" s="26"/>
      <c r="D97" s="26"/>
      <c r="E97" s="26"/>
      <c r="F97" s="26"/>
      <c r="G97" s="26"/>
      <c r="H97" s="26"/>
      <c r="I97" s="26"/>
      <c r="J97" s="26"/>
      <c r="K97" s="26"/>
      <c r="L97" s="26"/>
      <c r="M97" s="26"/>
      <c r="N97" s="26"/>
      <c r="O97" s="26"/>
      <c r="P97" s="26"/>
      <c r="Q97" s="26"/>
      <c r="R97" s="26"/>
      <c r="S97" s="26"/>
      <c r="T97" s="26"/>
      <c r="U97" s="60">
        <v>-74</v>
      </c>
      <c r="V97" s="196"/>
      <c r="W97" s="6"/>
      <c r="X97" s="182"/>
    </row>
    <row r="98" spans="1:24" ht="15.6">
      <c r="A98" s="177" t="s">
        <v>176</v>
      </c>
      <c r="B98" s="26" t="s">
        <v>173</v>
      </c>
      <c r="C98" s="26"/>
      <c r="D98" s="26"/>
      <c r="E98" s="26"/>
      <c r="F98" s="26"/>
      <c r="G98" s="26"/>
      <c r="H98" s="26"/>
      <c r="I98" s="26"/>
      <c r="J98" s="26"/>
      <c r="K98" s="26"/>
      <c r="L98" s="26"/>
      <c r="M98" s="26"/>
      <c r="N98" s="26"/>
      <c r="O98" s="26"/>
      <c r="P98" s="26"/>
      <c r="Q98" s="26"/>
      <c r="R98" s="26"/>
      <c r="S98" s="26"/>
      <c r="T98" s="26"/>
      <c r="U98" s="60">
        <v>-116</v>
      </c>
      <c r="V98" s="196"/>
      <c r="W98" s="119"/>
      <c r="X98" s="182"/>
    </row>
    <row r="99" spans="1:24" ht="15.6">
      <c r="A99" s="177" t="s">
        <v>178</v>
      </c>
      <c r="B99" s="26" t="s">
        <v>175</v>
      </c>
      <c r="C99" s="26"/>
      <c r="D99" s="26"/>
      <c r="E99" s="26"/>
      <c r="F99" s="26"/>
      <c r="G99" s="26"/>
      <c r="H99" s="26"/>
      <c r="I99" s="26"/>
      <c r="J99" s="26"/>
      <c r="K99" s="26"/>
      <c r="L99" s="26"/>
      <c r="M99" s="26"/>
      <c r="N99" s="26"/>
      <c r="O99" s="26"/>
      <c r="P99" s="26"/>
      <c r="Q99" s="26"/>
      <c r="R99" s="26"/>
      <c r="S99" s="26"/>
      <c r="T99" s="26"/>
      <c r="U99" s="60">
        <v>-96</v>
      </c>
      <c r="V99" s="196"/>
      <c r="W99" s="6"/>
      <c r="X99" s="182"/>
    </row>
    <row r="100" spans="1:24" ht="15.6">
      <c r="A100" s="177" t="s">
        <v>180</v>
      </c>
      <c r="B100" s="26" t="s">
        <v>177</v>
      </c>
      <c r="C100" s="26"/>
      <c r="D100" s="26"/>
      <c r="E100" s="26"/>
      <c r="F100" s="26"/>
      <c r="G100" s="26"/>
      <c r="H100" s="26"/>
      <c r="I100" s="26"/>
      <c r="J100" s="26"/>
      <c r="K100" s="26"/>
      <c r="L100" s="26"/>
      <c r="M100" s="26"/>
      <c r="N100" s="26"/>
      <c r="O100" s="26"/>
      <c r="P100" s="26"/>
      <c r="Q100" s="26"/>
      <c r="R100" s="26"/>
      <c r="S100" s="26"/>
      <c r="T100" s="26"/>
      <c r="U100" s="60">
        <v>-121</v>
      </c>
      <c r="V100" s="196"/>
      <c r="W100" s="119"/>
      <c r="X100" s="182"/>
    </row>
    <row r="101" spans="1:24" ht="15.6">
      <c r="A101" s="177" t="s">
        <v>192</v>
      </c>
      <c r="B101" s="26" t="s">
        <v>179</v>
      </c>
      <c r="C101" s="26"/>
      <c r="D101" s="26"/>
      <c r="E101" s="26"/>
      <c r="F101" s="26"/>
      <c r="G101" s="26"/>
      <c r="H101" s="26"/>
      <c r="I101" s="26"/>
      <c r="J101" s="26"/>
      <c r="K101" s="26"/>
      <c r="L101" s="26"/>
      <c r="M101" s="26"/>
      <c r="N101" s="26"/>
      <c r="O101" s="26"/>
      <c r="P101" s="26"/>
      <c r="Q101" s="26"/>
      <c r="R101" s="26"/>
      <c r="S101" s="26"/>
      <c r="T101" s="26"/>
      <c r="U101" s="60">
        <v>-152</v>
      </c>
      <c r="V101" s="196"/>
      <c r="W101" s="6"/>
      <c r="X101" s="182"/>
    </row>
    <row r="102" spans="1:24" ht="15.6">
      <c r="A102" s="177" t="s">
        <v>193</v>
      </c>
      <c r="B102" s="26" t="s">
        <v>181</v>
      </c>
      <c r="C102" s="26"/>
      <c r="D102" s="26"/>
      <c r="E102" s="26"/>
      <c r="F102" s="26"/>
      <c r="G102" s="26"/>
      <c r="H102" s="26"/>
      <c r="I102" s="26"/>
      <c r="J102" s="26"/>
      <c r="K102" s="26"/>
      <c r="L102" s="26"/>
      <c r="M102" s="26"/>
      <c r="N102" s="26"/>
      <c r="O102" s="26"/>
      <c r="P102" s="26"/>
      <c r="Q102" s="26"/>
      <c r="R102" s="26"/>
      <c r="S102" s="26"/>
      <c r="T102" s="26"/>
      <c r="U102" s="60">
        <v>-129</v>
      </c>
      <c r="V102" s="196"/>
      <c r="W102" s="119"/>
      <c r="X102" s="182"/>
    </row>
    <row r="103" spans="1:24" ht="15.6">
      <c r="A103" s="25">
        <v>9</v>
      </c>
      <c r="B103" s="26" t="s">
        <v>257</v>
      </c>
      <c r="C103" s="26"/>
      <c r="D103" s="26"/>
      <c r="E103" s="26"/>
      <c r="F103" s="26"/>
      <c r="G103" s="26"/>
      <c r="H103" s="26"/>
      <c r="I103" s="26"/>
      <c r="J103" s="26"/>
      <c r="K103" s="26"/>
      <c r="L103" s="26"/>
      <c r="M103" s="26"/>
      <c r="N103" s="26"/>
      <c r="O103" s="26"/>
      <c r="P103" s="26"/>
      <c r="Q103" s="26"/>
      <c r="R103" s="26"/>
      <c r="S103" s="26"/>
      <c r="T103" s="26"/>
      <c r="U103" s="60">
        <f>+S220-U32</f>
        <v>-24544.555200000003</v>
      </c>
      <c r="V103" s="196"/>
      <c r="W103" s="6"/>
      <c r="X103" s="182"/>
    </row>
    <row r="104" spans="1:24" ht="15.6">
      <c r="A104" s="25">
        <v>10</v>
      </c>
      <c r="B104" s="26" t="s">
        <v>234</v>
      </c>
      <c r="C104" s="26"/>
      <c r="D104" s="26"/>
      <c r="E104" s="26"/>
      <c r="F104" s="26"/>
      <c r="G104" s="26"/>
      <c r="H104" s="26"/>
      <c r="I104" s="26"/>
      <c r="J104" s="26"/>
      <c r="K104" s="26"/>
      <c r="L104" s="26"/>
      <c r="M104" s="26"/>
      <c r="N104" s="26"/>
      <c r="O104" s="26"/>
      <c r="P104" s="26"/>
      <c r="Q104" s="26"/>
      <c r="R104" s="26"/>
      <c r="S104" s="26"/>
      <c r="T104" s="26"/>
      <c r="U104" s="60">
        <v>-40500</v>
      </c>
      <c r="V104" s="196"/>
      <c r="W104" s="6"/>
      <c r="X104" s="64"/>
    </row>
    <row r="105" spans="1:24" ht="15.6">
      <c r="A105" s="25">
        <v>11</v>
      </c>
      <c r="B105" s="26" t="s">
        <v>183</v>
      </c>
      <c r="C105" s="26"/>
      <c r="D105" s="26"/>
      <c r="E105" s="26"/>
      <c r="F105" s="26"/>
      <c r="G105" s="26"/>
      <c r="H105" s="26"/>
      <c r="I105" s="26"/>
      <c r="J105" s="26"/>
      <c r="K105" s="26"/>
      <c r="L105" s="26"/>
      <c r="M105" s="26"/>
      <c r="N105" s="26"/>
      <c r="O105" s="26"/>
      <c r="P105" s="26"/>
      <c r="Q105" s="26"/>
      <c r="R105" s="26"/>
      <c r="S105" s="26"/>
      <c r="T105" s="26"/>
      <c r="U105" s="60">
        <v>0</v>
      </c>
      <c r="V105" s="196"/>
      <c r="W105" s="6"/>
      <c r="X105" s="64"/>
    </row>
    <row r="106" spans="1:24" ht="15.6">
      <c r="A106" s="25">
        <v>12</v>
      </c>
      <c r="B106" s="26" t="s">
        <v>184</v>
      </c>
      <c r="C106" s="26"/>
      <c r="D106" s="26"/>
      <c r="E106" s="26"/>
      <c r="F106" s="26"/>
      <c r="G106" s="26"/>
      <c r="H106" s="26"/>
      <c r="I106" s="26"/>
      <c r="J106" s="26"/>
      <c r="K106" s="26"/>
      <c r="L106" s="26"/>
      <c r="M106" s="26"/>
      <c r="N106" s="26"/>
      <c r="O106" s="26"/>
      <c r="P106" s="26"/>
      <c r="Q106" s="26"/>
      <c r="R106" s="26"/>
      <c r="S106" s="26"/>
      <c r="T106" s="26"/>
      <c r="U106" s="60">
        <v>-408</v>
      </c>
      <c r="V106" s="196"/>
      <c r="W106" s="6"/>
      <c r="X106" s="182"/>
    </row>
    <row r="107" spans="1:24" ht="15.6">
      <c r="A107" s="25">
        <v>13</v>
      </c>
      <c r="B107" s="26" t="s">
        <v>40</v>
      </c>
      <c r="C107" s="26"/>
      <c r="D107" s="26"/>
      <c r="E107" s="26"/>
      <c r="F107" s="26"/>
      <c r="G107" s="26"/>
      <c r="H107" s="26"/>
      <c r="I107" s="26"/>
      <c r="J107" s="26"/>
      <c r="K107" s="26"/>
      <c r="L107" s="26"/>
      <c r="M107" s="26"/>
      <c r="N107" s="26"/>
      <c r="O107" s="26"/>
      <c r="P107" s="26"/>
      <c r="Q107" s="26"/>
      <c r="R107" s="26"/>
      <c r="S107" s="26"/>
      <c r="T107" s="26"/>
      <c r="U107" s="60">
        <f>-SUM(U88:V106)</f>
        <v>-2227.4447999999975</v>
      </c>
      <c r="V107" s="196"/>
      <c r="W107" s="6"/>
      <c r="X107" s="182"/>
    </row>
    <row r="108" spans="1:24" ht="15.6">
      <c r="A108" s="25"/>
      <c r="B108" s="29"/>
      <c r="C108" s="26"/>
      <c r="D108" s="26"/>
      <c r="E108" s="26"/>
      <c r="F108" s="26"/>
      <c r="G108" s="26"/>
      <c r="H108" s="26"/>
      <c r="I108" s="26"/>
      <c r="J108" s="26"/>
      <c r="K108" s="26"/>
      <c r="L108" s="26"/>
      <c r="M108" s="26"/>
      <c r="N108" s="26"/>
      <c r="O108" s="26"/>
      <c r="P108" s="26"/>
      <c r="Q108" s="26"/>
      <c r="R108" s="26"/>
      <c r="S108" s="59"/>
      <c r="T108" s="59"/>
      <c r="U108" s="59"/>
      <c r="V108" s="196"/>
      <c r="W108" s="6"/>
      <c r="X108" s="182"/>
    </row>
    <row r="109" spans="1:24" ht="15.6">
      <c r="A109" s="7"/>
      <c r="B109" s="12"/>
      <c r="C109" s="9"/>
      <c r="D109" s="9"/>
      <c r="E109" s="9"/>
      <c r="F109" s="9"/>
      <c r="G109" s="9"/>
      <c r="H109" s="9"/>
      <c r="I109" s="9"/>
      <c r="J109" s="9"/>
      <c r="K109" s="9"/>
      <c r="L109" s="9"/>
      <c r="M109" s="9"/>
      <c r="N109" s="9"/>
      <c r="O109" s="9"/>
      <c r="P109" s="9"/>
      <c r="Q109" s="9"/>
      <c r="R109" s="9"/>
      <c r="S109" s="66"/>
      <c r="T109" s="66"/>
      <c r="U109" s="66"/>
      <c r="V109" s="194"/>
      <c r="W109" s="6"/>
    </row>
    <row r="110" spans="1:24" ht="16.2" thickBot="1">
      <c r="A110" s="130"/>
      <c r="B110" s="131" t="str">
        <f>+B59</f>
        <v>PPAF3 INVESTOR REPORT QUARTER ENDING JUNE 2009</v>
      </c>
      <c r="C110" s="132"/>
      <c r="D110" s="132"/>
      <c r="E110" s="132"/>
      <c r="F110" s="132"/>
      <c r="G110" s="132"/>
      <c r="H110" s="132"/>
      <c r="I110" s="132"/>
      <c r="J110" s="132"/>
      <c r="K110" s="132"/>
      <c r="L110" s="132"/>
      <c r="M110" s="132"/>
      <c r="N110" s="132"/>
      <c r="O110" s="132"/>
      <c r="P110" s="132"/>
      <c r="Q110" s="132"/>
      <c r="R110" s="132"/>
      <c r="S110" s="135"/>
      <c r="T110" s="135"/>
      <c r="U110" s="135"/>
      <c r="V110" s="134"/>
      <c r="W110" s="6"/>
    </row>
    <row r="111" spans="1:24" ht="15.6">
      <c r="A111" s="2"/>
      <c r="B111" s="5"/>
      <c r="C111" s="5"/>
      <c r="D111" s="5"/>
      <c r="E111" s="5"/>
      <c r="F111" s="5"/>
      <c r="G111" s="5"/>
      <c r="H111" s="5"/>
      <c r="I111" s="5"/>
      <c r="J111" s="5"/>
      <c r="K111" s="5"/>
      <c r="L111" s="5"/>
      <c r="M111" s="5"/>
      <c r="N111" s="5"/>
      <c r="O111" s="5"/>
      <c r="P111" s="5"/>
      <c r="Q111" s="5"/>
      <c r="R111" s="5"/>
      <c r="S111" s="67"/>
      <c r="T111" s="67"/>
      <c r="U111" s="67"/>
      <c r="V111" s="193"/>
      <c r="W111" s="6"/>
    </row>
    <row r="112" spans="1:24" ht="15.6">
      <c r="A112" s="68"/>
      <c r="B112" s="69" t="s">
        <v>41</v>
      </c>
      <c r="C112" s="70"/>
      <c r="D112" s="70"/>
      <c r="E112" s="70"/>
      <c r="F112" s="70"/>
      <c r="G112" s="70"/>
      <c r="H112" s="70"/>
      <c r="I112" s="70"/>
      <c r="J112" s="70"/>
      <c r="K112" s="70"/>
      <c r="L112" s="70"/>
      <c r="M112" s="70"/>
      <c r="N112" s="70"/>
      <c r="O112" s="70"/>
      <c r="P112" s="70"/>
      <c r="Q112" s="70"/>
      <c r="R112" s="70"/>
      <c r="S112" s="70"/>
      <c r="T112" s="70"/>
      <c r="U112" s="71"/>
      <c r="V112" s="201"/>
      <c r="W112" s="6"/>
    </row>
    <row r="113" spans="1:23" ht="15.6">
      <c r="A113" s="68"/>
      <c r="B113" s="70"/>
      <c r="C113" s="70"/>
      <c r="D113" s="70"/>
      <c r="E113" s="70"/>
      <c r="F113" s="70"/>
      <c r="G113" s="70"/>
      <c r="H113" s="70"/>
      <c r="I113" s="70"/>
      <c r="J113" s="70"/>
      <c r="K113" s="70"/>
      <c r="L113" s="70"/>
      <c r="M113" s="70"/>
      <c r="N113" s="70"/>
      <c r="O113" s="70"/>
      <c r="P113" s="70"/>
      <c r="Q113" s="70"/>
      <c r="R113" s="70"/>
      <c r="S113" s="70"/>
      <c r="T113" s="70"/>
      <c r="U113" s="71"/>
      <c r="V113" s="202"/>
      <c r="W113" s="6"/>
    </row>
    <row r="114" spans="1:23" ht="15.6">
      <c r="A114" s="7"/>
      <c r="B114" s="153" t="s">
        <v>42</v>
      </c>
      <c r="C114" s="13"/>
      <c r="D114" s="13"/>
      <c r="E114" s="13"/>
      <c r="F114" s="13"/>
      <c r="G114" s="13"/>
      <c r="H114" s="13"/>
      <c r="I114" s="13"/>
      <c r="J114" s="13"/>
      <c r="K114" s="13"/>
      <c r="L114" s="13"/>
      <c r="M114" s="9"/>
      <c r="N114" s="9"/>
      <c r="O114" s="9"/>
      <c r="P114" s="9"/>
      <c r="Q114" s="9"/>
      <c r="R114" s="9"/>
      <c r="S114" s="9"/>
      <c r="T114" s="9"/>
      <c r="U114" s="58"/>
      <c r="V114" s="194"/>
      <c r="W114" s="6"/>
    </row>
    <row r="115" spans="1:23" ht="15.6">
      <c r="A115" s="25"/>
      <c r="B115" s="26" t="s">
        <v>43</v>
      </c>
      <c r="C115" s="26"/>
      <c r="D115" s="26"/>
      <c r="E115" s="26"/>
      <c r="F115" s="26"/>
      <c r="G115" s="26"/>
      <c r="H115" s="26"/>
      <c r="I115" s="26"/>
      <c r="J115" s="26"/>
      <c r="K115" s="26"/>
      <c r="L115" s="26"/>
      <c r="M115" s="26"/>
      <c r="N115" s="26"/>
      <c r="O115" s="26"/>
      <c r="P115" s="26"/>
      <c r="Q115" s="26"/>
      <c r="R115" s="26"/>
      <c r="S115" s="26"/>
      <c r="T115" s="26"/>
      <c r="U115" s="60">
        <v>40500</v>
      </c>
      <c r="V115" s="196"/>
      <c r="W115" s="6"/>
    </row>
    <row r="116" spans="1:23" ht="15.6">
      <c r="A116" s="25"/>
      <c r="B116" s="26" t="s">
        <v>240</v>
      </c>
      <c r="C116" s="26"/>
      <c r="D116" s="26"/>
      <c r="E116" s="26"/>
      <c r="F116" s="26"/>
      <c r="G116" s="26"/>
      <c r="H116" s="26"/>
      <c r="I116" s="26"/>
      <c r="J116" s="26"/>
      <c r="K116" s="26"/>
      <c r="L116" s="26"/>
      <c r="M116" s="26"/>
      <c r="N116" s="26"/>
      <c r="O116" s="26"/>
      <c r="P116" s="26"/>
      <c r="Q116" s="26"/>
      <c r="R116" s="26"/>
      <c r="S116" s="26"/>
      <c r="T116" s="26"/>
      <c r="U116" s="60">
        <v>40500</v>
      </c>
      <c r="V116" s="196"/>
      <c r="W116" s="6"/>
    </row>
    <row r="117" spans="1:23" ht="15.6">
      <c r="A117" s="25"/>
      <c r="B117" s="26" t="s">
        <v>241</v>
      </c>
      <c r="C117" s="26"/>
      <c r="D117" s="26"/>
      <c r="E117" s="26"/>
      <c r="F117" s="26"/>
      <c r="G117" s="26"/>
      <c r="H117" s="26"/>
      <c r="I117" s="26"/>
      <c r="J117" s="26"/>
      <c r="K117" s="26"/>
      <c r="L117" s="26"/>
      <c r="M117" s="26"/>
      <c r="N117" s="26"/>
      <c r="O117" s="26"/>
      <c r="P117" s="26"/>
      <c r="Q117" s="26"/>
      <c r="R117" s="26"/>
      <c r="S117" s="26"/>
      <c r="T117" s="26"/>
      <c r="U117" s="60">
        <v>0</v>
      </c>
      <c r="V117" s="196"/>
      <c r="W117" s="6"/>
    </row>
    <row r="118" spans="1:23" ht="15.6">
      <c r="A118" s="25"/>
      <c r="B118" s="26" t="s">
        <v>209</v>
      </c>
      <c r="C118" s="26"/>
      <c r="D118" s="26"/>
      <c r="E118" s="26"/>
      <c r="F118" s="26"/>
      <c r="G118" s="26"/>
      <c r="H118" s="26"/>
      <c r="I118" s="26"/>
      <c r="J118" s="26"/>
      <c r="K118" s="26"/>
      <c r="L118" s="26"/>
      <c r="M118" s="26"/>
      <c r="N118" s="26"/>
      <c r="O118" s="26"/>
      <c r="P118" s="26"/>
      <c r="Q118" s="26"/>
      <c r="R118" s="26"/>
      <c r="S118" s="26"/>
      <c r="T118" s="26"/>
      <c r="U118" s="60">
        <v>0</v>
      </c>
      <c r="V118" s="196"/>
      <c r="W118" s="6"/>
    </row>
    <row r="119" spans="1:23" ht="15.6">
      <c r="A119" s="25"/>
      <c r="B119" s="26" t="s">
        <v>210</v>
      </c>
      <c r="C119" s="26"/>
      <c r="D119" s="26"/>
      <c r="E119" s="26"/>
      <c r="F119" s="26"/>
      <c r="G119" s="26"/>
      <c r="H119" s="26"/>
      <c r="I119" s="26"/>
      <c r="J119" s="26"/>
      <c r="K119" s="26"/>
      <c r="L119" s="26"/>
      <c r="M119" s="26"/>
      <c r="N119" s="26"/>
      <c r="O119" s="26"/>
      <c r="P119" s="26"/>
      <c r="Q119" s="26"/>
      <c r="R119" s="26"/>
      <c r="S119" s="26"/>
      <c r="T119" s="26"/>
      <c r="U119" s="60">
        <v>0</v>
      </c>
      <c r="V119" s="196"/>
      <c r="W119" s="6"/>
    </row>
    <row r="120" spans="1:23" ht="15.6">
      <c r="A120" s="25"/>
      <c r="B120" s="26" t="s">
        <v>211</v>
      </c>
      <c r="C120" s="26"/>
      <c r="D120" s="26"/>
      <c r="E120" s="26"/>
      <c r="F120" s="26"/>
      <c r="G120" s="26"/>
      <c r="H120" s="26"/>
      <c r="I120" s="26"/>
      <c r="J120" s="26"/>
      <c r="K120" s="26"/>
      <c r="L120" s="26"/>
      <c r="M120" s="26"/>
      <c r="N120" s="26"/>
      <c r="O120" s="26"/>
      <c r="P120" s="26"/>
      <c r="Q120" s="26"/>
      <c r="R120" s="26"/>
      <c r="S120" s="26"/>
      <c r="T120" s="26"/>
      <c r="U120" s="60">
        <v>0</v>
      </c>
      <c r="V120" s="196"/>
      <c r="W120" s="6"/>
    </row>
    <row r="121" spans="1:23" ht="15.6">
      <c r="A121" s="25"/>
      <c r="B121" s="26" t="s">
        <v>212</v>
      </c>
      <c r="C121" s="26"/>
      <c r="D121" s="26"/>
      <c r="E121" s="26"/>
      <c r="F121" s="26"/>
      <c r="G121" s="26"/>
      <c r="H121" s="26"/>
      <c r="I121" s="26"/>
      <c r="J121" s="26"/>
      <c r="K121" s="26"/>
      <c r="L121" s="26"/>
      <c r="M121" s="26"/>
      <c r="N121" s="26"/>
      <c r="O121" s="26"/>
      <c r="P121" s="26"/>
      <c r="Q121" s="26"/>
      <c r="R121" s="26"/>
      <c r="S121" s="26"/>
      <c r="T121" s="26"/>
      <c r="U121" s="60">
        <v>0</v>
      </c>
      <c r="V121" s="196"/>
      <c r="W121" s="6"/>
    </row>
    <row r="122" spans="1:23" ht="15.6">
      <c r="A122" s="25"/>
      <c r="B122" s="26" t="s">
        <v>242</v>
      </c>
      <c r="C122" s="26"/>
      <c r="D122" s="26"/>
      <c r="E122" s="26"/>
      <c r="F122" s="26"/>
      <c r="G122" s="26"/>
      <c r="H122" s="26"/>
      <c r="I122" s="26"/>
      <c r="J122" s="26"/>
      <c r="K122" s="26"/>
      <c r="L122" s="26"/>
      <c r="M122" s="26"/>
      <c r="N122" s="26"/>
      <c r="O122" s="26"/>
      <c r="P122" s="26"/>
      <c r="Q122" s="26"/>
      <c r="R122" s="26"/>
      <c r="S122" s="26"/>
      <c r="T122" s="26"/>
      <c r="U122" s="60">
        <v>0</v>
      </c>
      <c r="V122" s="196"/>
      <c r="W122" s="6"/>
    </row>
    <row r="123" spans="1:23" ht="15.6">
      <c r="A123" s="25"/>
      <c r="B123" s="26" t="s">
        <v>45</v>
      </c>
      <c r="C123" s="26"/>
      <c r="D123" s="26"/>
      <c r="E123" s="26"/>
      <c r="F123" s="26"/>
      <c r="G123" s="26"/>
      <c r="H123" s="26"/>
      <c r="I123" s="26"/>
      <c r="J123" s="26"/>
      <c r="K123" s="26"/>
      <c r="L123" s="26"/>
      <c r="M123" s="26"/>
      <c r="N123" s="26"/>
      <c r="O123" s="26"/>
      <c r="P123" s="26"/>
      <c r="Q123" s="26"/>
      <c r="R123" s="26"/>
      <c r="S123" s="26"/>
      <c r="T123" s="26"/>
      <c r="U123" s="60">
        <f>SUM(U116:U122)</f>
        <v>40500</v>
      </c>
      <c r="V123" s="196"/>
      <c r="W123" s="6"/>
    </row>
    <row r="124" spans="1:23" ht="15.6">
      <c r="A124" s="25"/>
      <c r="B124" s="26"/>
      <c r="C124" s="26"/>
      <c r="D124" s="26"/>
      <c r="E124" s="26"/>
      <c r="F124" s="26"/>
      <c r="G124" s="26"/>
      <c r="H124" s="26"/>
      <c r="I124" s="26"/>
      <c r="J124" s="26"/>
      <c r="K124" s="26"/>
      <c r="L124" s="26"/>
      <c r="M124" s="26"/>
      <c r="N124" s="26"/>
      <c r="O124" s="26"/>
      <c r="P124" s="26"/>
      <c r="Q124" s="26"/>
      <c r="R124" s="26"/>
      <c r="S124" s="26"/>
      <c r="T124" s="26"/>
      <c r="U124" s="73"/>
      <c r="V124" s="196"/>
      <c r="W124" s="6"/>
    </row>
    <row r="125" spans="1:23" ht="15.6">
      <c r="A125" s="7"/>
      <c r="B125" s="153" t="s">
        <v>46</v>
      </c>
      <c r="C125" s="13"/>
      <c r="D125" s="13"/>
      <c r="E125" s="13"/>
      <c r="F125" s="13"/>
      <c r="G125" s="13"/>
      <c r="H125" s="13"/>
      <c r="I125" s="13"/>
      <c r="J125" s="13"/>
      <c r="K125" s="13"/>
      <c r="L125" s="13"/>
      <c r="M125" s="9"/>
      <c r="N125" s="9"/>
      <c r="O125" s="9"/>
      <c r="P125" s="188"/>
      <c r="Q125" s="9"/>
      <c r="R125" s="9"/>
      <c r="S125" s="9"/>
      <c r="T125" s="9"/>
      <c r="U125" s="75"/>
      <c r="V125" s="194"/>
      <c r="W125" s="6"/>
    </row>
    <row r="126" spans="1:23" ht="15.6">
      <c r="A126" s="7"/>
      <c r="B126" s="13"/>
      <c r="C126" s="17" t="s">
        <v>185</v>
      </c>
      <c r="D126" s="17"/>
      <c r="E126" s="17" t="s">
        <v>99</v>
      </c>
      <c r="F126" s="17"/>
      <c r="G126" s="17" t="s">
        <v>102</v>
      </c>
      <c r="H126" s="17"/>
      <c r="I126" s="17" t="s">
        <v>108</v>
      </c>
      <c r="J126" s="17"/>
      <c r="K126" s="17"/>
      <c r="L126" s="17"/>
      <c r="M126" s="17"/>
      <c r="N126" s="17"/>
      <c r="O126" s="17"/>
      <c r="P126" s="188"/>
      <c r="Q126" s="188"/>
      <c r="R126" s="9"/>
      <c r="S126" s="9"/>
      <c r="T126" s="9"/>
      <c r="U126" s="75"/>
      <c r="V126" s="194"/>
      <c r="W126" s="6"/>
    </row>
    <row r="127" spans="1:23" ht="15.6">
      <c r="A127" s="25"/>
      <c r="B127" s="26" t="s">
        <v>122</v>
      </c>
      <c r="C127" s="59">
        <f>+N200-'March 09'!N201</f>
        <v>140</v>
      </c>
      <c r="D127" s="26"/>
      <c r="E127" s="59">
        <f>+S200-'March 09'!S201</f>
        <v>144</v>
      </c>
      <c r="F127" s="26"/>
      <c r="G127" s="59">
        <f>+'June 09'!N213-'March 09'!N214</f>
        <v>441</v>
      </c>
      <c r="H127" s="26"/>
      <c r="I127" s="59">
        <f>+S213-'March 09'!S214</f>
        <v>162</v>
      </c>
      <c r="J127" s="26"/>
      <c r="K127" s="26"/>
      <c r="L127" s="26"/>
      <c r="M127" s="26"/>
      <c r="N127" s="26"/>
      <c r="O127" s="26"/>
      <c r="P127" s="189"/>
      <c r="Q127" s="189"/>
      <c r="R127" s="26"/>
      <c r="S127" s="26"/>
      <c r="T127" s="26"/>
      <c r="U127" s="60">
        <f>SUM(C127:I127)</f>
        <v>887</v>
      </c>
      <c r="V127" s="196"/>
      <c r="W127" s="6"/>
    </row>
    <row r="128" spans="1:23" ht="15.6">
      <c r="A128" s="25"/>
      <c r="B128" s="26" t="s">
        <v>47</v>
      </c>
      <c r="C128" s="26">
        <v>60</v>
      </c>
      <c r="D128" s="26"/>
      <c r="E128" s="26">
        <v>0</v>
      </c>
      <c r="F128" s="26"/>
      <c r="G128" s="26">
        <v>1440</v>
      </c>
      <c r="H128" s="26"/>
      <c r="I128" s="59">
        <v>1188</v>
      </c>
      <c r="J128" s="26"/>
      <c r="K128" s="26"/>
      <c r="L128" s="26"/>
      <c r="M128" s="26"/>
      <c r="N128" s="26"/>
      <c r="O128" s="26"/>
      <c r="P128" s="189"/>
      <c r="Q128" s="189"/>
      <c r="R128" s="26"/>
      <c r="S128" s="26"/>
      <c r="T128" s="26"/>
      <c r="U128" s="60">
        <f>SUM(C128:I128)</f>
        <v>2688</v>
      </c>
      <c r="V128" s="196"/>
      <c r="W128" s="6"/>
    </row>
    <row r="129" spans="1:25" ht="15.6">
      <c r="A129" s="25"/>
      <c r="B129" s="26" t="s">
        <v>48</v>
      </c>
      <c r="C129" s="26"/>
      <c r="D129" s="26"/>
      <c r="E129" s="26"/>
      <c r="F129" s="26"/>
      <c r="G129" s="26"/>
      <c r="H129" s="26"/>
      <c r="I129" s="26"/>
      <c r="J129" s="26"/>
      <c r="K129" s="26"/>
      <c r="L129" s="26"/>
      <c r="M129" s="26"/>
      <c r="N129" s="26"/>
      <c r="O129" s="26"/>
      <c r="P129" s="26"/>
      <c r="Q129" s="26"/>
      <c r="R129" s="26"/>
      <c r="S129" s="26"/>
      <c r="T129" s="26"/>
      <c r="U129" s="60">
        <f>SUM(U127:U128)</f>
        <v>3575</v>
      </c>
      <c r="V129" s="196"/>
      <c r="W129" s="6"/>
    </row>
    <row r="130" spans="1:25" ht="15.6">
      <c r="A130" s="7"/>
      <c r="B130" s="153" t="s">
        <v>49</v>
      </c>
      <c r="C130" s="13"/>
      <c r="D130" s="13"/>
      <c r="E130" s="13"/>
      <c r="F130" s="13"/>
      <c r="G130" s="13"/>
      <c r="H130" s="13"/>
      <c r="I130" s="13"/>
      <c r="J130" s="13"/>
      <c r="K130" s="13"/>
      <c r="L130" s="13"/>
      <c r="M130" s="9"/>
      <c r="N130" s="9"/>
      <c r="O130" s="9"/>
      <c r="P130" s="9"/>
      <c r="Q130" s="9"/>
      <c r="R130" s="9"/>
      <c r="S130" s="9"/>
      <c r="T130" s="9"/>
      <c r="U130" s="58"/>
      <c r="V130" s="194"/>
      <c r="W130" s="6"/>
    </row>
    <row r="131" spans="1:25" ht="15.6">
      <c r="A131" s="25"/>
      <c r="B131" s="26" t="s">
        <v>50</v>
      </c>
      <c r="C131" s="77"/>
      <c r="D131" s="77"/>
      <c r="E131" s="77"/>
      <c r="F131" s="77"/>
      <c r="G131" s="77"/>
      <c r="H131" s="77"/>
      <c r="I131" s="77"/>
      <c r="J131" s="77"/>
      <c r="K131" s="77"/>
      <c r="L131" s="77"/>
      <c r="M131" s="26"/>
      <c r="N131" s="26"/>
      <c r="O131" s="26"/>
      <c r="P131" s="26"/>
      <c r="Q131" s="26"/>
      <c r="R131" s="26"/>
      <c r="S131" s="26"/>
      <c r="T131" s="26"/>
      <c r="U131" s="60">
        <f>U76+U78</f>
        <v>342513</v>
      </c>
      <c r="V131" s="196"/>
      <c r="W131" s="6"/>
      <c r="X131" s="182"/>
    </row>
    <row r="132" spans="1:25" ht="15.6">
      <c r="A132" s="25"/>
      <c r="B132" s="26" t="s">
        <v>51</v>
      </c>
      <c r="C132" s="77"/>
      <c r="D132" s="77"/>
      <c r="E132" s="77"/>
      <c r="F132" s="77"/>
      <c r="G132" s="77"/>
      <c r="H132" s="77"/>
      <c r="I132" s="77"/>
      <c r="J132" s="77"/>
      <c r="K132" s="77"/>
      <c r="L132" s="77"/>
      <c r="M132" s="26"/>
      <c r="N132" s="26"/>
      <c r="O132" s="26"/>
      <c r="P132" s="26"/>
      <c r="Q132" s="26"/>
      <c r="R132" s="26"/>
      <c r="S132" s="26"/>
      <c r="T132" s="26"/>
      <c r="U132" s="60">
        <v>0</v>
      </c>
      <c r="V132" s="196"/>
      <c r="W132" s="6"/>
      <c r="Y132" s="182"/>
    </row>
    <row r="133" spans="1:25" ht="15.6">
      <c r="A133" s="25"/>
      <c r="B133" s="26" t="s">
        <v>52</v>
      </c>
      <c r="C133" s="77"/>
      <c r="D133" s="77"/>
      <c r="E133" s="77"/>
      <c r="F133" s="77"/>
      <c r="G133" s="77"/>
      <c r="H133" s="77"/>
      <c r="I133" s="77"/>
      <c r="J133" s="77"/>
      <c r="K133" s="77"/>
      <c r="L133" s="77"/>
      <c r="M133" s="26"/>
      <c r="N133" s="26"/>
      <c r="O133" s="26"/>
      <c r="P133" s="26"/>
      <c r="Q133" s="26"/>
      <c r="R133" s="26"/>
      <c r="S133" s="26"/>
      <c r="T133" s="26"/>
      <c r="U133" s="60">
        <f>+U131+U132</f>
        <v>342513</v>
      </c>
      <c r="V133" s="196"/>
      <c r="W133" s="6"/>
    </row>
    <row r="134" spans="1:25" ht="15.6">
      <c r="A134" s="25"/>
      <c r="B134" s="26" t="s">
        <v>53</v>
      </c>
      <c r="C134" s="77"/>
      <c r="D134" s="77"/>
      <c r="E134" s="77"/>
      <c r="F134" s="77"/>
      <c r="G134" s="77"/>
      <c r="H134" s="77"/>
      <c r="I134" s="77"/>
      <c r="J134" s="77"/>
      <c r="K134" s="77"/>
      <c r="L134" s="77"/>
      <c r="M134" s="26"/>
      <c r="N134" s="26"/>
      <c r="O134" s="26"/>
      <c r="P134" s="26"/>
      <c r="Q134" s="26"/>
      <c r="R134" s="26"/>
      <c r="S134" s="26"/>
      <c r="T134" s="26"/>
      <c r="U134" s="60">
        <f>U81</f>
        <v>342513</v>
      </c>
      <c r="V134" s="196"/>
      <c r="W134" s="6"/>
      <c r="X134" s="64"/>
    </row>
    <row r="135" spans="1:25" ht="15.6">
      <c r="A135" s="25"/>
      <c r="B135" s="26"/>
      <c r="C135" s="26"/>
      <c r="D135" s="26"/>
      <c r="E135" s="26"/>
      <c r="F135" s="26"/>
      <c r="G135" s="26"/>
      <c r="H135" s="26"/>
      <c r="I135" s="26"/>
      <c r="J135" s="26"/>
      <c r="K135" s="26"/>
      <c r="L135" s="26"/>
      <c r="M135" s="26"/>
      <c r="N135" s="26"/>
      <c r="O135" s="26"/>
      <c r="P135" s="26"/>
      <c r="Q135" s="26"/>
      <c r="R135" s="26"/>
      <c r="S135" s="26"/>
      <c r="T135" s="26"/>
      <c r="U135" s="78"/>
      <c r="V135" s="196"/>
      <c r="W135" s="6"/>
    </row>
    <row r="136" spans="1:25" ht="15.6">
      <c r="A136" s="7"/>
      <c r="B136" s="153" t="s">
        <v>54</v>
      </c>
      <c r="C136" s="141"/>
      <c r="D136" s="141"/>
      <c r="E136" s="141"/>
      <c r="F136" s="141"/>
      <c r="G136" s="141"/>
      <c r="H136" s="141"/>
      <c r="I136" s="141"/>
      <c r="J136" s="141"/>
      <c r="K136" s="141"/>
      <c r="L136" s="141"/>
      <c r="M136" s="141"/>
      <c r="N136" s="141"/>
      <c r="O136" s="141"/>
      <c r="P136" s="141"/>
      <c r="Q136" s="142" t="s">
        <v>112</v>
      </c>
      <c r="R136" s="154"/>
      <c r="S136" s="142" t="s">
        <v>114</v>
      </c>
      <c r="T136" s="141"/>
      <c r="U136" s="155" t="s">
        <v>90</v>
      </c>
      <c r="V136" s="194"/>
      <c r="W136" s="6"/>
    </row>
    <row r="137" spans="1:25" ht="15.6">
      <c r="A137" s="25"/>
      <c r="B137" s="26" t="s">
        <v>55</v>
      </c>
      <c r="C137" s="26"/>
      <c r="D137" s="26"/>
      <c r="E137" s="26"/>
      <c r="F137" s="26"/>
      <c r="G137" s="26"/>
      <c r="H137" s="26"/>
      <c r="I137" s="26"/>
      <c r="J137" s="26"/>
      <c r="K137" s="26"/>
      <c r="L137" s="26"/>
      <c r="M137" s="26"/>
      <c r="N137" s="26"/>
      <c r="O137" s="26"/>
      <c r="P137" s="26"/>
      <c r="Q137" s="60">
        <v>0</v>
      </c>
      <c r="R137" s="26"/>
      <c r="S137" s="79" t="s">
        <v>115</v>
      </c>
      <c r="T137" s="26"/>
      <c r="U137" s="60">
        <f>Q137</f>
        <v>0</v>
      </c>
      <c r="V137" s="196"/>
      <c r="W137" s="6"/>
    </row>
    <row r="138" spans="1:25" ht="15.6">
      <c r="A138" s="25"/>
      <c r="B138" s="26" t="s">
        <v>56</v>
      </c>
      <c r="C138" s="26"/>
      <c r="D138" s="26"/>
      <c r="E138" s="26"/>
      <c r="F138" s="26"/>
      <c r="G138" s="26"/>
      <c r="H138" s="26"/>
      <c r="I138" s="26"/>
      <c r="J138" s="26"/>
      <c r="K138" s="26"/>
      <c r="L138" s="26"/>
      <c r="M138" s="26"/>
      <c r="N138" s="26"/>
      <c r="O138" s="26"/>
      <c r="P138" s="26"/>
      <c r="Q138" s="60">
        <f>+'March 09'!Q141</f>
        <v>4227</v>
      </c>
      <c r="R138" s="26"/>
      <c r="S138" s="79" t="s">
        <v>115</v>
      </c>
      <c r="T138" s="26"/>
      <c r="U138" s="60">
        <f>Q138</f>
        <v>4227</v>
      </c>
      <c r="V138" s="196"/>
      <c r="W138" s="6"/>
    </row>
    <row r="139" spans="1:25" ht="15.6">
      <c r="A139" s="25"/>
      <c r="B139" s="26" t="s">
        <v>57</v>
      </c>
      <c r="C139" s="26"/>
      <c r="D139" s="26"/>
      <c r="E139" s="26"/>
      <c r="F139" s="26"/>
      <c r="G139" s="26"/>
      <c r="H139" s="26"/>
      <c r="I139" s="26"/>
      <c r="J139" s="26"/>
      <c r="K139" s="26"/>
      <c r="L139" s="26"/>
      <c r="M139" s="26"/>
      <c r="N139" s="26"/>
      <c r="O139" s="26"/>
      <c r="P139" s="26"/>
      <c r="Q139" s="60">
        <v>2</v>
      </c>
      <c r="R139" s="26"/>
      <c r="S139" s="79" t="s">
        <v>115</v>
      </c>
      <c r="T139" s="26"/>
      <c r="U139" s="60">
        <f>Q139</f>
        <v>2</v>
      </c>
      <c r="V139" s="196"/>
      <c r="W139" s="6"/>
    </row>
    <row r="140" spans="1:25" ht="15.6">
      <c r="A140" s="25"/>
      <c r="B140" s="26" t="s">
        <v>58</v>
      </c>
      <c r="C140" s="26"/>
      <c r="D140" s="26"/>
      <c r="E140" s="26"/>
      <c r="F140" s="26"/>
      <c r="G140" s="26"/>
      <c r="H140" s="26"/>
      <c r="I140" s="26"/>
      <c r="J140" s="26"/>
      <c r="K140" s="26"/>
      <c r="L140" s="26"/>
      <c r="M140" s="26"/>
      <c r="N140" s="26"/>
      <c r="O140" s="26"/>
      <c r="P140" s="26"/>
      <c r="Q140" s="60">
        <f>SUM(Q138:Q139)</f>
        <v>4229</v>
      </c>
      <c r="R140" s="26"/>
      <c r="S140" s="79" t="s">
        <v>115</v>
      </c>
      <c r="T140" s="26"/>
      <c r="U140" s="60">
        <f>Q140</f>
        <v>4229</v>
      </c>
      <c r="V140" s="196"/>
      <c r="W140" s="6"/>
    </row>
    <row r="141" spans="1:25" ht="15.6">
      <c r="A141" s="25"/>
      <c r="B141" s="26" t="s">
        <v>215</v>
      </c>
      <c r="C141" s="26"/>
      <c r="D141" s="26"/>
      <c r="E141" s="26"/>
      <c r="F141" s="26"/>
      <c r="G141" s="26"/>
      <c r="H141" s="26"/>
      <c r="I141" s="26"/>
      <c r="J141" s="26"/>
      <c r="K141" s="26"/>
      <c r="L141" s="26"/>
      <c r="M141" s="26"/>
      <c r="N141" s="26"/>
      <c r="O141" s="26"/>
      <c r="P141" s="26"/>
      <c r="Q141" s="60"/>
      <c r="R141" s="26"/>
      <c r="S141" s="79"/>
      <c r="T141" s="26"/>
      <c r="U141" s="60"/>
      <c r="V141" s="196"/>
      <c r="W141" s="6"/>
    </row>
    <row r="142" spans="1:25" ht="15.6">
      <c r="A142" s="25"/>
      <c r="B142" s="26"/>
      <c r="C142" s="26"/>
      <c r="D142" s="26"/>
      <c r="E142" s="26"/>
      <c r="F142" s="26"/>
      <c r="G142" s="26"/>
      <c r="H142" s="26"/>
      <c r="I142" s="26"/>
      <c r="J142" s="26"/>
      <c r="K142" s="26"/>
      <c r="L142" s="26"/>
      <c r="M142" s="26"/>
      <c r="N142" s="26"/>
      <c r="O142" s="26"/>
      <c r="P142" s="26"/>
      <c r="Q142" s="26"/>
      <c r="R142" s="26"/>
      <c r="S142" s="26"/>
      <c r="T142" s="26"/>
      <c r="U142" s="26"/>
      <c r="V142" s="196"/>
      <c r="W142" s="6"/>
    </row>
    <row r="143" spans="1:25" ht="15.6">
      <c r="A143" s="25"/>
      <c r="B143" s="29"/>
      <c r="C143" s="29"/>
      <c r="D143" s="29"/>
      <c r="E143" s="29"/>
      <c r="F143" s="29"/>
      <c r="G143" s="29"/>
      <c r="H143" s="29"/>
      <c r="I143" s="29"/>
      <c r="J143" s="29"/>
      <c r="K143" s="29"/>
      <c r="L143" s="29"/>
      <c r="M143" s="29"/>
      <c r="N143" s="29"/>
      <c r="O143" s="29"/>
      <c r="P143" s="29"/>
      <c r="Q143" s="29"/>
      <c r="R143" s="29"/>
      <c r="S143" s="29"/>
      <c r="T143" s="29"/>
      <c r="U143" s="29"/>
      <c r="V143" s="203"/>
      <c r="W143" s="6"/>
    </row>
    <row r="144" spans="1:25" ht="15.6">
      <c r="A144" s="80"/>
      <c r="B144" s="57" t="s">
        <v>59</v>
      </c>
      <c r="C144" s="81"/>
      <c r="D144" s="81"/>
      <c r="E144" s="81"/>
      <c r="F144" s="81"/>
      <c r="G144" s="81"/>
      <c r="H144" s="81"/>
      <c r="I144" s="81"/>
      <c r="J144" s="81"/>
      <c r="K144" s="81"/>
      <c r="L144" s="81"/>
      <c r="M144" s="81"/>
      <c r="N144" s="81"/>
      <c r="O144" s="81"/>
      <c r="P144" s="19"/>
      <c r="Q144" s="19"/>
      <c r="R144" s="19"/>
      <c r="S144" s="19">
        <v>39994</v>
      </c>
      <c r="T144" s="15"/>
      <c r="U144" s="15"/>
      <c r="V144" s="194"/>
      <c r="W144" s="6"/>
    </row>
    <row r="145" spans="1:23" ht="15.6">
      <c r="A145" s="82"/>
      <c r="B145" s="83" t="s">
        <v>60</v>
      </c>
      <c r="C145" s="84"/>
      <c r="D145" s="84"/>
      <c r="E145" s="84"/>
      <c r="F145" s="84"/>
      <c r="G145" s="84"/>
      <c r="H145" s="84"/>
      <c r="I145" s="84"/>
      <c r="J145" s="84"/>
      <c r="K145" s="84"/>
      <c r="L145" s="84"/>
      <c r="M145" s="84"/>
      <c r="N145" s="84"/>
      <c r="O145" s="84"/>
      <c r="P145" s="85"/>
      <c r="Q145" s="85"/>
      <c r="R145" s="85"/>
      <c r="S145" s="86">
        <v>0.10630000000000001</v>
      </c>
      <c r="T145" s="26"/>
      <c r="U145" s="26"/>
      <c r="V145" s="196"/>
      <c r="W145" s="6"/>
    </row>
    <row r="146" spans="1:23" ht="15.6">
      <c r="A146" s="82"/>
      <c r="B146" s="83" t="s">
        <v>61</v>
      </c>
      <c r="C146" s="84"/>
      <c r="D146" s="84"/>
      <c r="E146" s="84"/>
      <c r="F146" s="84"/>
      <c r="G146" s="84"/>
      <c r="H146" s="84"/>
      <c r="I146" s="84"/>
      <c r="J146" s="84"/>
      <c r="K146" s="84"/>
      <c r="L146" s="84"/>
      <c r="M146" s="84"/>
      <c r="N146" s="84"/>
      <c r="O146" s="84"/>
      <c r="P146" s="85"/>
      <c r="Q146" s="85"/>
      <c r="R146" s="85"/>
      <c r="S146" s="86">
        <v>5.2200000000000003E-2</v>
      </c>
      <c r="T146" s="86"/>
      <c r="U146" s="26"/>
      <c r="V146" s="196"/>
      <c r="W146" s="6"/>
    </row>
    <row r="147" spans="1:23" ht="15.6">
      <c r="A147" s="82"/>
      <c r="B147" s="83" t="s">
        <v>62</v>
      </c>
      <c r="C147" s="84"/>
      <c r="D147" s="84"/>
      <c r="E147" s="84"/>
      <c r="F147" s="84"/>
      <c r="G147" s="84"/>
      <c r="H147" s="84"/>
      <c r="I147" s="84"/>
      <c r="J147" s="84"/>
      <c r="K147" s="84"/>
      <c r="L147" s="84"/>
      <c r="M147" s="84"/>
      <c r="N147" s="84"/>
      <c r="O147" s="84"/>
      <c r="P147" s="85"/>
      <c r="Q147" s="85"/>
      <c r="R147" s="85"/>
      <c r="S147" s="86">
        <f>S145-S146</f>
        <v>5.4100000000000002E-2</v>
      </c>
      <c r="T147" s="26"/>
      <c r="U147" s="26"/>
      <c r="V147" s="196"/>
      <c r="W147" s="6"/>
    </row>
    <row r="148" spans="1:23" ht="15.6">
      <c r="A148" s="82"/>
      <c r="B148" s="83" t="s">
        <v>63</v>
      </c>
      <c r="C148" s="84"/>
      <c r="D148" s="84"/>
      <c r="E148" s="84"/>
      <c r="F148" s="84"/>
      <c r="G148" s="84"/>
      <c r="H148" s="84"/>
      <c r="I148" s="84"/>
      <c r="J148" s="84"/>
      <c r="K148" s="84"/>
      <c r="L148" s="84"/>
      <c r="M148" s="84"/>
      <c r="N148" s="84"/>
      <c r="O148" s="84"/>
      <c r="P148" s="85"/>
      <c r="Q148" s="85"/>
      <c r="R148" s="85"/>
      <c r="S148" s="45">
        <v>9.4630000000000006E-2</v>
      </c>
      <c r="T148" s="26"/>
      <c r="U148" s="26"/>
      <c r="V148" s="196"/>
      <c r="W148" s="6"/>
    </row>
    <row r="149" spans="1:23" ht="15.6">
      <c r="A149" s="82"/>
      <c r="B149" s="83" t="s">
        <v>64</v>
      </c>
      <c r="C149" s="84"/>
      <c r="D149" s="84"/>
      <c r="E149" s="84"/>
      <c r="F149" s="84"/>
      <c r="G149" s="84"/>
      <c r="H149" s="84"/>
      <c r="I149" s="84"/>
      <c r="J149" s="84"/>
      <c r="K149" s="84"/>
      <c r="L149" s="84"/>
      <c r="M149" s="84"/>
      <c r="N149" s="84"/>
      <c r="O149" s="84"/>
      <c r="P149" s="85"/>
      <c r="Q149" s="85"/>
      <c r="R149" s="85"/>
      <c r="S149" s="86">
        <f>+U40</f>
        <v>1.9148030736365999E-2</v>
      </c>
      <c r="T149" s="26"/>
      <c r="U149" s="26"/>
      <c r="V149" s="196"/>
      <c r="W149" s="6"/>
    </row>
    <row r="150" spans="1:23" ht="15.6">
      <c r="A150" s="82"/>
      <c r="B150" s="83" t="s">
        <v>65</v>
      </c>
      <c r="C150" s="84"/>
      <c r="D150" s="84"/>
      <c r="E150" s="84"/>
      <c r="F150" s="84"/>
      <c r="G150" s="84"/>
      <c r="H150" s="84"/>
      <c r="I150" s="84"/>
      <c r="J150" s="84"/>
      <c r="K150" s="84"/>
      <c r="L150" s="84"/>
      <c r="M150" s="84"/>
      <c r="N150" s="84"/>
      <c r="O150" s="84"/>
      <c r="P150" s="85"/>
      <c r="Q150" s="85"/>
      <c r="R150" s="85"/>
      <c r="S150" s="86">
        <f>S148-S149</f>
        <v>7.5481969263634013E-2</v>
      </c>
      <c r="T150" s="26"/>
      <c r="U150" s="26"/>
      <c r="V150" s="196"/>
      <c r="W150" s="6"/>
    </row>
    <row r="151" spans="1:23" ht="15.6">
      <c r="A151" s="82"/>
      <c r="B151" s="83" t="s">
        <v>204</v>
      </c>
      <c r="C151" s="84"/>
      <c r="D151" s="84"/>
      <c r="E151" s="84"/>
      <c r="F151" s="84"/>
      <c r="G151" s="84"/>
      <c r="H151" s="84"/>
      <c r="I151" s="84"/>
      <c r="J151" s="84"/>
      <c r="K151" s="84"/>
      <c r="L151" s="84"/>
      <c r="M151" s="84"/>
      <c r="N151" s="84"/>
      <c r="O151" s="84"/>
      <c r="P151" s="85"/>
      <c r="Q151" s="85"/>
      <c r="R151" s="85"/>
      <c r="S151" s="183">
        <v>49780</v>
      </c>
      <c r="T151" s="26"/>
      <c r="U151" s="26"/>
      <c r="V151" s="196"/>
      <c r="W151" s="6"/>
    </row>
    <row r="152" spans="1:23" ht="15.6">
      <c r="A152" s="82"/>
      <c r="B152" s="83" t="s">
        <v>205</v>
      </c>
      <c r="C152" s="84"/>
      <c r="D152" s="84"/>
      <c r="E152" s="84"/>
      <c r="F152" s="84"/>
      <c r="G152" s="84"/>
      <c r="H152" s="84"/>
      <c r="I152" s="84"/>
      <c r="J152" s="84"/>
      <c r="K152" s="84"/>
      <c r="L152" s="84"/>
      <c r="M152" s="84"/>
      <c r="N152" s="84"/>
      <c r="O152" s="84"/>
      <c r="P152" s="85"/>
      <c r="Q152" s="85"/>
      <c r="R152" s="85"/>
      <c r="S152" s="183">
        <v>49780</v>
      </c>
      <c r="T152" s="26"/>
      <c r="U152" s="26"/>
      <c r="V152" s="196"/>
      <c r="W152" s="6"/>
    </row>
    <row r="153" spans="1:23" ht="15.6">
      <c r="A153" s="82"/>
      <c r="B153" s="83" t="s">
        <v>206</v>
      </c>
      <c r="C153" s="84"/>
      <c r="D153" s="84"/>
      <c r="E153" s="84"/>
      <c r="F153" s="84"/>
      <c r="G153" s="84"/>
      <c r="H153" s="84"/>
      <c r="I153" s="84"/>
      <c r="J153" s="84"/>
      <c r="K153" s="84"/>
      <c r="L153" s="84"/>
      <c r="M153" s="84"/>
      <c r="N153" s="84"/>
      <c r="O153" s="84"/>
      <c r="P153" s="85"/>
      <c r="Q153" s="85"/>
      <c r="R153" s="85"/>
      <c r="S153" s="183">
        <v>49780</v>
      </c>
      <c r="T153" s="26"/>
      <c r="U153" s="26"/>
      <c r="V153" s="196"/>
      <c r="W153" s="6"/>
    </row>
    <row r="154" spans="1:23" ht="15.6">
      <c r="A154" s="82"/>
      <c r="B154" s="83" t="s">
        <v>207</v>
      </c>
      <c r="C154" s="84"/>
      <c r="D154" s="84"/>
      <c r="E154" s="84"/>
      <c r="F154" s="84"/>
      <c r="G154" s="84"/>
      <c r="H154" s="84"/>
      <c r="I154" s="84"/>
      <c r="J154" s="84"/>
      <c r="K154" s="84"/>
      <c r="L154" s="84"/>
      <c r="M154" s="84"/>
      <c r="N154" s="84"/>
      <c r="O154" s="84"/>
      <c r="P154" s="85"/>
      <c r="Q154" s="85"/>
      <c r="R154" s="85"/>
      <c r="S154" s="183">
        <v>49780</v>
      </c>
      <c r="T154" s="26"/>
      <c r="U154" s="26"/>
      <c r="V154" s="196"/>
      <c r="W154" s="6"/>
    </row>
    <row r="155" spans="1:23" ht="15.6">
      <c r="A155" s="82"/>
      <c r="B155" s="83" t="s">
        <v>221</v>
      </c>
      <c r="C155" s="84"/>
      <c r="D155" s="84"/>
      <c r="E155" s="84"/>
      <c r="F155" s="84"/>
      <c r="G155" s="84"/>
      <c r="H155" s="84"/>
      <c r="I155" s="84"/>
      <c r="J155" s="84"/>
      <c r="K155" s="84"/>
      <c r="L155" s="84"/>
      <c r="M155" s="84"/>
      <c r="N155" s="84"/>
      <c r="O155" s="84"/>
      <c r="P155" s="85"/>
      <c r="Q155" s="85"/>
      <c r="R155" s="85"/>
      <c r="S155" s="87">
        <v>111.34</v>
      </c>
      <c r="T155" s="26"/>
      <c r="U155" s="26"/>
      <c r="V155" s="196"/>
      <c r="W155" s="6"/>
    </row>
    <row r="156" spans="1:23" ht="15.6">
      <c r="A156" s="82"/>
      <c r="B156" s="83" t="s">
        <v>222</v>
      </c>
      <c r="C156" s="84"/>
      <c r="D156" s="84"/>
      <c r="E156" s="84"/>
      <c r="F156" s="84"/>
      <c r="G156" s="84"/>
      <c r="H156" s="84"/>
      <c r="I156" s="84"/>
      <c r="J156" s="84"/>
      <c r="K156" s="84"/>
      <c r="L156" s="84"/>
      <c r="M156" s="84"/>
      <c r="N156" s="84"/>
      <c r="O156" s="84"/>
      <c r="P156" s="85"/>
      <c r="Q156" s="85"/>
      <c r="R156" s="85"/>
      <c r="S156" s="48">
        <v>150.99</v>
      </c>
      <c r="T156" s="26"/>
      <c r="U156" s="26"/>
      <c r="V156" s="196"/>
      <c r="W156" s="6"/>
    </row>
    <row r="157" spans="1:23" ht="15.6">
      <c r="A157" s="82" t="s">
        <v>223</v>
      </c>
      <c r="B157" s="83" t="s">
        <v>66</v>
      </c>
      <c r="C157" s="84"/>
      <c r="D157" s="84"/>
      <c r="E157" s="84"/>
      <c r="F157" s="84"/>
      <c r="G157" s="84"/>
      <c r="H157" s="84"/>
      <c r="I157" s="84"/>
      <c r="J157" s="84"/>
      <c r="K157" s="84"/>
      <c r="L157" s="84"/>
      <c r="M157" s="84"/>
      <c r="N157" s="84"/>
      <c r="O157" s="84"/>
      <c r="P157" s="85"/>
      <c r="Q157" s="85"/>
      <c r="R157" s="85"/>
      <c r="S157" s="86">
        <v>5.6899999999999999E-2</v>
      </c>
      <c r="T157" s="26"/>
      <c r="U157" s="26"/>
      <c r="V157" s="196"/>
      <c r="W157" s="6"/>
    </row>
    <row r="158" spans="1:23" ht="15.6">
      <c r="A158" s="82"/>
      <c r="B158" s="83" t="s">
        <v>67</v>
      </c>
      <c r="C158" s="84"/>
      <c r="D158" s="84"/>
      <c r="E158" s="84"/>
      <c r="F158" s="84"/>
      <c r="G158" s="84"/>
      <c r="H158" s="84"/>
      <c r="I158" s="84"/>
      <c r="J158" s="84"/>
      <c r="K158" s="84"/>
      <c r="L158" s="84"/>
      <c r="M158" s="84"/>
      <c r="N158" s="84"/>
      <c r="O158" s="84"/>
      <c r="P158" s="85"/>
      <c r="Q158" s="85"/>
      <c r="R158" s="85"/>
      <c r="S158" s="86">
        <v>0.37209999999999999</v>
      </c>
      <c r="T158" s="26"/>
      <c r="U158" s="26"/>
      <c r="V158" s="196"/>
      <c r="W158" s="6"/>
    </row>
    <row r="159" spans="1:23" ht="15.6">
      <c r="A159" s="82"/>
      <c r="B159" s="83"/>
      <c r="C159" s="83"/>
      <c r="D159" s="83"/>
      <c r="E159" s="83"/>
      <c r="F159" s="83"/>
      <c r="G159" s="83"/>
      <c r="H159" s="83"/>
      <c r="I159" s="83"/>
      <c r="J159" s="83"/>
      <c r="K159" s="83"/>
      <c r="L159" s="83"/>
      <c r="M159" s="83"/>
      <c r="N159" s="83"/>
      <c r="O159" s="83"/>
      <c r="P159" s="26"/>
      <c r="Q159" s="26"/>
      <c r="R159" s="33"/>
      <c r="S159" s="88"/>
      <c r="T159" s="26"/>
      <c r="U159" s="89"/>
      <c r="V159" s="196"/>
      <c r="W159" s="6"/>
    </row>
    <row r="160" spans="1:23" ht="15.6">
      <c r="A160" s="80"/>
      <c r="B160" s="90"/>
      <c r="C160" s="90"/>
      <c r="D160" s="90"/>
      <c r="E160" s="90"/>
      <c r="F160" s="90"/>
      <c r="G160" s="90"/>
      <c r="H160" s="90"/>
      <c r="I160" s="90"/>
      <c r="J160" s="90"/>
      <c r="K160" s="90"/>
      <c r="L160" s="90"/>
      <c r="M160" s="90"/>
      <c r="N160" s="90"/>
      <c r="O160" s="90"/>
      <c r="P160" s="9"/>
      <c r="Q160" s="9"/>
      <c r="R160" s="20"/>
      <c r="S160" s="91"/>
      <c r="T160" s="9"/>
      <c r="U160" s="92"/>
      <c r="V160" s="194"/>
      <c r="W160" s="6"/>
    </row>
    <row r="161" spans="1:23" ht="16.2" thickBot="1">
      <c r="A161" s="136"/>
      <c r="B161" s="131" t="str">
        <f>+B110</f>
        <v>PPAF3 INVESTOR REPORT QUARTER ENDING JUNE 2009</v>
      </c>
      <c r="C161" s="137"/>
      <c r="D161" s="137"/>
      <c r="E161" s="137"/>
      <c r="F161" s="137"/>
      <c r="G161" s="137"/>
      <c r="H161" s="137"/>
      <c r="I161" s="137"/>
      <c r="J161" s="137"/>
      <c r="K161" s="137"/>
      <c r="L161" s="137"/>
      <c r="M161" s="137"/>
      <c r="N161" s="137"/>
      <c r="O161" s="137"/>
      <c r="P161" s="132"/>
      <c r="Q161" s="132"/>
      <c r="R161" s="138"/>
      <c r="S161" s="139"/>
      <c r="T161" s="132"/>
      <c r="U161" s="140"/>
      <c r="V161" s="134"/>
      <c r="W161" s="6"/>
    </row>
    <row r="162" spans="1:23" ht="15.6">
      <c r="A162" s="93"/>
      <c r="B162" s="94" t="s">
        <v>68</v>
      </c>
      <c r="C162" s="95"/>
      <c r="D162" s="95"/>
      <c r="E162" s="95"/>
      <c r="F162" s="95"/>
      <c r="G162" s="95"/>
      <c r="H162" s="95"/>
      <c r="I162" s="95"/>
      <c r="J162" s="95"/>
      <c r="K162" s="95"/>
      <c r="L162" s="95"/>
      <c r="M162" s="96"/>
      <c r="N162" s="95"/>
      <c r="O162" s="96"/>
      <c r="P162" s="95"/>
      <c r="Q162" s="96"/>
      <c r="R162" s="95" t="s">
        <v>94</v>
      </c>
      <c r="S162" s="96" t="s">
        <v>116</v>
      </c>
      <c r="T162" s="97"/>
      <c r="U162" s="97"/>
      <c r="V162" s="193"/>
      <c r="W162" s="6"/>
    </row>
    <row r="163" spans="1:23" ht="15.6">
      <c r="A163" s="98"/>
      <c r="B163" s="83" t="s">
        <v>216</v>
      </c>
      <c r="C163" s="61"/>
      <c r="D163" s="61"/>
      <c r="E163" s="61"/>
      <c r="F163" s="61"/>
      <c r="G163" s="61"/>
      <c r="H163" s="61"/>
      <c r="I163" s="61"/>
      <c r="J163" s="61"/>
      <c r="K163" s="61"/>
      <c r="L163" s="61"/>
      <c r="M163" s="61"/>
      <c r="N163" s="61"/>
      <c r="O163" s="26"/>
      <c r="P163" s="26"/>
      <c r="Q163" s="26"/>
      <c r="R163" s="211">
        <v>786</v>
      </c>
      <c r="S163" s="210">
        <v>23206</v>
      </c>
      <c r="T163" s="60"/>
      <c r="U163" s="89"/>
      <c r="V163" s="204"/>
      <c r="W163" s="6"/>
    </row>
    <row r="164" spans="1:23" ht="15.6">
      <c r="A164" s="98"/>
      <c r="B164" s="83" t="s">
        <v>217</v>
      </c>
      <c r="C164" s="61"/>
      <c r="D164" s="61"/>
      <c r="E164" s="61"/>
      <c r="F164" s="61"/>
      <c r="G164" s="61"/>
      <c r="H164" s="61"/>
      <c r="I164" s="61"/>
      <c r="J164" s="61"/>
      <c r="K164" s="61"/>
      <c r="L164" s="61"/>
      <c r="M164" s="61"/>
      <c r="N164" s="61"/>
      <c r="O164" s="26"/>
      <c r="P164" s="26"/>
      <c r="Q164" s="26"/>
      <c r="R164" s="158">
        <v>74</v>
      </c>
      <c r="S164" s="210">
        <v>1075</v>
      </c>
      <c r="T164" s="60"/>
      <c r="U164" s="89"/>
      <c r="V164" s="204"/>
      <c r="W164" s="6"/>
    </row>
    <row r="165" spans="1:23" ht="15.6">
      <c r="A165" s="98"/>
      <c r="B165" s="83" t="s">
        <v>218</v>
      </c>
      <c r="C165" s="61"/>
      <c r="D165" s="61"/>
      <c r="E165" s="61"/>
      <c r="F165" s="61"/>
      <c r="G165" s="61"/>
      <c r="H165" s="61"/>
      <c r="I165" s="61"/>
      <c r="J165" s="61"/>
      <c r="K165" s="61"/>
      <c r="L165" s="61"/>
      <c r="M165" s="61"/>
      <c r="N165" s="61"/>
      <c r="O165" s="26"/>
      <c r="P165" s="26"/>
      <c r="Q165" s="26"/>
      <c r="R165" s="158">
        <v>326</v>
      </c>
      <c r="S165" s="210">
        <v>461</v>
      </c>
      <c r="T165" s="60"/>
      <c r="U165" s="89"/>
      <c r="V165" s="204"/>
      <c r="W165" s="6"/>
    </row>
    <row r="166" spans="1:23" ht="15.6">
      <c r="A166" s="98"/>
      <c r="B166" s="83" t="s">
        <v>219</v>
      </c>
      <c r="C166" s="61"/>
      <c r="D166" s="61"/>
      <c r="E166" s="61"/>
      <c r="F166" s="61"/>
      <c r="G166" s="61"/>
      <c r="H166" s="61"/>
      <c r="I166" s="61"/>
      <c r="J166" s="61"/>
      <c r="K166" s="61"/>
      <c r="L166" s="61"/>
      <c r="M166" s="61"/>
      <c r="N166" s="61"/>
      <c r="O166" s="26"/>
      <c r="P166" s="26"/>
      <c r="Q166" s="26"/>
      <c r="R166" s="158">
        <v>297</v>
      </c>
      <c r="S166" s="210">
        <v>1087</v>
      </c>
      <c r="T166" s="60"/>
      <c r="U166" s="89"/>
      <c r="V166" s="204"/>
      <c r="W166" s="6"/>
    </row>
    <row r="167" spans="1:23" ht="15.6">
      <c r="A167" s="98"/>
      <c r="B167" s="83" t="s">
        <v>90</v>
      </c>
      <c r="C167" s="61"/>
      <c r="D167" s="61"/>
      <c r="E167" s="61"/>
      <c r="F167" s="61"/>
      <c r="G167" s="61"/>
      <c r="H167" s="61"/>
      <c r="I167" s="61"/>
      <c r="J167" s="61"/>
      <c r="K167" s="61"/>
      <c r="L167" s="61"/>
      <c r="M167" s="61"/>
      <c r="N167" s="61"/>
      <c r="O167" s="26"/>
      <c r="P167" s="26"/>
      <c r="Q167" s="26"/>
      <c r="R167" s="211">
        <f>SUM(R163:R166)</f>
        <v>1483</v>
      </c>
      <c r="S167" s="210">
        <f>SUM(S163:S166)</f>
        <v>25829</v>
      </c>
      <c r="T167" s="60"/>
      <c r="U167" s="89"/>
      <c r="V167" s="204"/>
      <c r="W167" s="6"/>
    </row>
    <row r="168" spans="1:23" ht="15.6">
      <c r="A168" s="98"/>
      <c r="B168" s="83"/>
      <c r="C168" s="61"/>
      <c r="D168" s="61"/>
      <c r="E168" s="61"/>
      <c r="F168" s="61"/>
      <c r="G168" s="61"/>
      <c r="H168" s="61"/>
      <c r="I168" s="61"/>
      <c r="J168" s="61"/>
      <c r="K168" s="61"/>
      <c r="L168" s="61"/>
      <c r="M168" s="61"/>
      <c r="N168" s="61"/>
      <c r="O168" s="26"/>
      <c r="P168" s="26"/>
      <c r="Q168" s="26"/>
      <c r="R168" s="158"/>
      <c r="S168" s="210"/>
      <c r="T168" s="60"/>
      <c r="U168" s="89"/>
      <c r="V168" s="204"/>
      <c r="W168" s="6"/>
    </row>
    <row r="169" spans="1:23" ht="15.6">
      <c r="A169" s="98"/>
      <c r="B169" s="83" t="s">
        <v>220</v>
      </c>
      <c r="C169" s="61"/>
      <c r="D169" s="61"/>
      <c r="E169" s="61"/>
      <c r="F169" s="61"/>
      <c r="G169" s="61"/>
      <c r="H169" s="61"/>
      <c r="I169" s="61"/>
      <c r="J169" s="61"/>
      <c r="K169" s="61"/>
      <c r="L169" s="61"/>
      <c r="M169" s="61"/>
      <c r="N169" s="61"/>
      <c r="O169" s="26"/>
      <c r="P169" s="26"/>
      <c r="Q169" s="26"/>
      <c r="R169" s="158">
        <v>15</v>
      </c>
      <c r="S169" s="210">
        <v>468</v>
      </c>
      <c r="T169" s="60"/>
      <c r="U169" s="89"/>
      <c r="V169" s="204"/>
      <c r="W169" s="6"/>
    </row>
    <row r="170" spans="1:23" ht="15.6">
      <c r="A170" s="98"/>
      <c r="B170" s="83" t="s">
        <v>224</v>
      </c>
      <c r="C170" s="61"/>
      <c r="D170" s="61"/>
      <c r="E170" s="61"/>
      <c r="F170" s="61"/>
      <c r="G170" s="61"/>
      <c r="H170" s="61"/>
      <c r="I170" s="61"/>
      <c r="J170" s="61"/>
      <c r="K170" s="61"/>
      <c r="L170" s="61"/>
      <c r="M170" s="61"/>
      <c r="N170" s="61"/>
      <c r="O170" s="26"/>
      <c r="P170" s="26"/>
      <c r="Q170" s="26"/>
      <c r="R170" s="158">
        <v>20</v>
      </c>
      <c r="S170" s="215">
        <v>676</v>
      </c>
      <c r="T170" s="60"/>
      <c r="U170" s="89"/>
      <c r="V170" s="204"/>
      <c r="W170" s="6"/>
    </row>
    <row r="171" spans="1:23" ht="15.6">
      <c r="A171" s="98"/>
      <c r="B171" s="156" t="s">
        <v>69</v>
      </c>
      <c r="C171" s="61"/>
      <c r="D171" s="61"/>
      <c r="E171" s="61"/>
      <c r="F171" s="61"/>
      <c r="G171" s="61"/>
      <c r="H171" s="61"/>
      <c r="I171" s="61"/>
      <c r="J171" s="61"/>
      <c r="K171" s="61"/>
      <c r="L171" s="61"/>
      <c r="M171" s="61"/>
      <c r="N171" s="61"/>
      <c r="O171" s="26"/>
      <c r="P171" s="26"/>
      <c r="Q171" s="26"/>
      <c r="R171" s="26"/>
      <c r="S171" s="60">
        <v>0</v>
      </c>
      <c r="T171" s="26"/>
      <c r="U171" s="89"/>
      <c r="V171" s="204"/>
      <c r="W171" s="6"/>
    </row>
    <row r="172" spans="1:23" ht="15.6">
      <c r="A172" s="98"/>
      <c r="B172" s="156" t="s">
        <v>70</v>
      </c>
      <c r="C172" s="61"/>
      <c r="D172" s="61"/>
      <c r="E172" s="61"/>
      <c r="F172" s="61"/>
      <c r="G172" s="61"/>
      <c r="H172" s="61"/>
      <c r="I172" s="61"/>
      <c r="J172" s="61"/>
      <c r="K172" s="61"/>
      <c r="L172" s="61"/>
      <c r="M172" s="61"/>
      <c r="N172" s="61"/>
      <c r="O172" s="26"/>
      <c r="P172" s="26"/>
      <c r="Q172" s="26"/>
      <c r="R172" s="26"/>
      <c r="S172" s="60">
        <f>Q76</f>
        <v>3394</v>
      </c>
      <c r="T172" s="26"/>
      <c r="U172" s="89"/>
      <c r="V172" s="204"/>
      <c r="W172" s="6"/>
    </row>
    <row r="173" spans="1:23" ht="15.6">
      <c r="A173" s="101"/>
      <c r="B173" s="156" t="s">
        <v>71</v>
      </c>
      <c r="C173" s="61"/>
      <c r="D173" s="61"/>
      <c r="E173" s="61"/>
      <c r="F173" s="61"/>
      <c r="G173" s="61"/>
      <c r="H173" s="61"/>
      <c r="I173" s="61"/>
      <c r="J173" s="61"/>
      <c r="K173" s="61"/>
      <c r="L173" s="61"/>
      <c r="M173" s="83"/>
      <c r="N173" s="83"/>
      <c r="O173" s="83"/>
      <c r="P173" s="26"/>
      <c r="Q173" s="26"/>
      <c r="R173" s="26"/>
      <c r="S173" s="102"/>
      <c r="T173" s="26"/>
      <c r="U173" s="89"/>
      <c r="V173" s="205"/>
      <c r="W173" s="6"/>
    </row>
    <row r="174" spans="1:23" ht="15.6">
      <c r="A174" s="98"/>
      <c r="B174" s="83" t="s">
        <v>72</v>
      </c>
      <c r="C174" s="61"/>
      <c r="D174" s="61"/>
      <c r="E174" s="61"/>
      <c r="F174" s="61"/>
      <c r="G174" s="61"/>
      <c r="H174" s="61"/>
      <c r="I174" s="61"/>
      <c r="J174" s="61"/>
      <c r="K174" s="61"/>
      <c r="L174" s="61"/>
      <c r="M174" s="61"/>
      <c r="N174" s="61"/>
      <c r="O174" s="61"/>
      <c r="P174" s="26"/>
      <c r="Q174" s="26"/>
      <c r="R174" s="26"/>
      <c r="S174" s="60">
        <f>U129</f>
        <v>3575</v>
      </c>
      <c r="T174" s="26"/>
      <c r="U174" s="89"/>
      <c r="V174" s="205"/>
      <c r="W174" s="6"/>
    </row>
    <row r="175" spans="1:23" ht="15.6">
      <c r="A175" s="98"/>
      <c r="B175" s="83" t="s">
        <v>73</v>
      </c>
      <c r="C175" s="61"/>
      <c r="D175" s="61"/>
      <c r="E175" s="61"/>
      <c r="F175" s="61"/>
      <c r="G175" s="61"/>
      <c r="H175" s="61"/>
      <c r="I175" s="61"/>
      <c r="J175" s="61"/>
      <c r="K175" s="61"/>
      <c r="L175" s="61"/>
      <c r="M175" s="61"/>
      <c r="N175" s="61"/>
      <c r="O175" s="61"/>
      <c r="P175" s="26"/>
      <c r="Q175" s="26"/>
      <c r="R175" s="26"/>
      <c r="S175" s="60">
        <f>'March 09'!S176+S174</f>
        <v>57319</v>
      </c>
      <c r="T175" s="26"/>
      <c r="U175" s="89"/>
      <c r="V175" s="205"/>
      <c r="W175" s="6"/>
    </row>
    <row r="176" spans="1:23" ht="15.6">
      <c r="A176" s="98"/>
      <c r="B176" s="83" t="s">
        <v>74</v>
      </c>
      <c r="C176" s="61"/>
      <c r="D176" s="61"/>
      <c r="E176" s="61"/>
      <c r="F176" s="61"/>
      <c r="G176" s="61"/>
      <c r="H176" s="61"/>
      <c r="I176" s="61"/>
      <c r="J176" s="61"/>
      <c r="K176" s="61"/>
      <c r="L176" s="61"/>
      <c r="M176" s="61"/>
      <c r="N176" s="61"/>
      <c r="O176" s="61"/>
      <c r="P176" s="26"/>
      <c r="Q176" s="26"/>
      <c r="R176" s="26"/>
      <c r="S176" s="73">
        <f>'March 09'!S177+580</f>
        <v>10963</v>
      </c>
      <c r="T176" s="26"/>
      <c r="U176" s="89"/>
      <c r="V176" s="205"/>
      <c r="W176" s="6"/>
    </row>
    <row r="177" spans="1:23" ht="15.6">
      <c r="A177" s="98"/>
      <c r="B177" s="83"/>
      <c r="C177" s="61"/>
      <c r="D177" s="61"/>
      <c r="E177" s="61"/>
      <c r="F177" s="61"/>
      <c r="G177" s="61"/>
      <c r="H177" s="61"/>
      <c r="I177" s="61"/>
      <c r="J177" s="61"/>
      <c r="K177" s="61"/>
      <c r="L177" s="61"/>
      <c r="M177" s="61"/>
      <c r="N177" s="61"/>
      <c r="O177" s="61"/>
      <c r="P177" s="26"/>
      <c r="Q177" s="26"/>
      <c r="R177" s="26"/>
      <c r="S177" s="60"/>
      <c r="T177" s="26"/>
      <c r="U177" s="89"/>
      <c r="V177" s="205"/>
      <c r="W177" s="6"/>
    </row>
    <row r="178" spans="1:23" ht="15.6">
      <c r="A178" s="101"/>
      <c r="B178" s="156" t="s">
        <v>259</v>
      </c>
      <c r="C178" s="61"/>
      <c r="D178" s="61"/>
      <c r="E178" s="61"/>
      <c r="F178" s="61"/>
      <c r="G178" s="61"/>
      <c r="H178" s="61"/>
      <c r="I178" s="61"/>
      <c r="J178" s="61"/>
      <c r="K178" s="61"/>
      <c r="L178" s="61"/>
      <c r="M178" s="83"/>
      <c r="N178" s="83"/>
      <c r="O178" s="83"/>
      <c r="P178" s="26"/>
      <c r="Q178" s="26"/>
      <c r="R178" s="26"/>
      <c r="S178" s="79"/>
      <c r="T178" s="26"/>
      <c r="U178" s="89"/>
      <c r="V178" s="205"/>
      <c r="W178" s="6"/>
    </row>
    <row r="179" spans="1:23" ht="15.6">
      <c r="A179" s="101"/>
      <c r="B179" s="83" t="s">
        <v>254</v>
      </c>
      <c r="C179" s="61"/>
      <c r="D179" s="61"/>
      <c r="E179" s="61"/>
      <c r="F179" s="61"/>
      <c r="G179" s="61"/>
      <c r="H179" s="61"/>
      <c r="I179" s="61"/>
      <c r="J179" s="61"/>
      <c r="K179" s="61"/>
      <c r="L179" s="61"/>
      <c r="M179" s="83"/>
      <c r="N179" s="83"/>
      <c r="O179" s="83"/>
      <c r="P179" s="26"/>
      <c r="Q179" s="26"/>
      <c r="R179" s="26"/>
      <c r="S179" s="212">
        <v>9</v>
      </c>
      <c r="T179" s="26"/>
      <c r="U179" s="89"/>
      <c r="V179" s="205"/>
      <c r="W179" s="6"/>
    </row>
    <row r="180" spans="1:23" ht="15.6">
      <c r="A180" s="98"/>
      <c r="B180" s="83" t="s">
        <v>75</v>
      </c>
      <c r="C180" s="61"/>
      <c r="D180" s="61"/>
      <c r="E180" s="61"/>
      <c r="F180" s="61"/>
      <c r="G180" s="61"/>
      <c r="H180" s="61"/>
      <c r="I180" s="61"/>
      <c r="J180" s="61"/>
      <c r="K180" s="61"/>
      <c r="L180" s="61"/>
      <c r="M180" s="104"/>
      <c r="N180" s="104"/>
      <c r="O180" s="105"/>
      <c r="P180" s="26"/>
      <c r="Q180" s="26"/>
      <c r="R180" s="26"/>
      <c r="S180" s="213">
        <v>11.29</v>
      </c>
      <c r="T180" s="26"/>
      <c r="U180" s="89"/>
      <c r="V180" s="205"/>
      <c r="W180" s="6"/>
    </row>
    <row r="181" spans="1:23" ht="15.6">
      <c r="A181" s="98"/>
      <c r="B181" s="83" t="s">
        <v>76</v>
      </c>
      <c r="C181" s="61"/>
      <c r="D181" s="61"/>
      <c r="E181" s="61"/>
      <c r="F181" s="61"/>
      <c r="G181" s="61"/>
      <c r="H181" s="61"/>
      <c r="I181" s="61"/>
      <c r="J181" s="61"/>
      <c r="K181" s="61"/>
      <c r="L181" s="61"/>
      <c r="M181" s="104"/>
      <c r="N181" s="104"/>
      <c r="O181" s="105"/>
      <c r="P181" s="26"/>
      <c r="Q181" s="26"/>
      <c r="R181" s="26"/>
      <c r="S181" s="213">
        <v>260.44</v>
      </c>
      <c r="T181" s="26"/>
      <c r="U181" s="89"/>
      <c r="V181" s="205"/>
      <c r="W181" s="6"/>
    </row>
    <row r="182" spans="1:23" ht="15.6">
      <c r="A182" s="98"/>
      <c r="B182" s="83"/>
      <c r="C182" s="61"/>
      <c r="D182" s="61"/>
      <c r="E182" s="61"/>
      <c r="F182" s="61"/>
      <c r="G182" s="61"/>
      <c r="H182" s="61"/>
      <c r="I182" s="61"/>
      <c r="J182" s="61"/>
      <c r="K182" s="61"/>
      <c r="L182" s="61"/>
      <c r="M182" s="106"/>
      <c r="N182" s="104"/>
      <c r="O182" s="105"/>
      <c r="P182" s="26"/>
      <c r="Q182" s="26"/>
      <c r="R182" s="26"/>
      <c r="S182" s="212"/>
      <c r="T182" s="26"/>
      <c r="U182" s="89"/>
      <c r="V182" s="205"/>
      <c r="W182" s="6"/>
    </row>
    <row r="183" spans="1:23" ht="15.6">
      <c r="A183" s="98"/>
      <c r="B183" s="156" t="s">
        <v>77</v>
      </c>
      <c r="C183" s="61"/>
      <c r="D183" s="61"/>
      <c r="E183" s="61"/>
      <c r="F183" s="61"/>
      <c r="G183" s="61"/>
      <c r="H183" s="61"/>
      <c r="I183" s="61"/>
      <c r="J183" s="61"/>
      <c r="K183" s="61"/>
      <c r="L183" s="61"/>
      <c r="M183" s="61"/>
      <c r="N183" s="106"/>
      <c r="O183" s="104"/>
      <c r="P183" s="105"/>
      <c r="Q183" s="26"/>
      <c r="R183" s="33"/>
      <c r="S183" s="157"/>
      <c r="T183" s="107"/>
      <c r="U183" s="33"/>
      <c r="V183" s="206"/>
      <c r="W183" s="6"/>
    </row>
    <row r="184" spans="1:23" ht="15.6">
      <c r="A184" s="98"/>
      <c r="B184" s="83" t="s">
        <v>78</v>
      </c>
      <c r="C184" s="61"/>
      <c r="D184" s="61"/>
      <c r="E184" s="61"/>
      <c r="F184" s="61"/>
      <c r="G184" s="61"/>
      <c r="H184" s="61"/>
      <c r="I184" s="61"/>
      <c r="J184" s="61"/>
      <c r="K184" s="61"/>
      <c r="L184" s="61"/>
      <c r="M184" s="61"/>
      <c r="N184" s="106"/>
      <c r="O184" s="104"/>
      <c r="P184" s="105"/>
      <c r="Q184" s="26"/>
      <c r="R184" s="33"/>
      <c r="S184" s="216">
        <v>230</v>
      </c>
      <c r="T184" s="108"/>
      <c r="U184" s="33"/>
      <c r="V184" s="206"/>
      <c r="W184" s="6"/>
    </row>
    <row r="185" spans="1:23" ht="15.6">
      <c r="A185" s="98"/>
      <c r="B185" s="83" t="s">
        <v>75</v>
      </c>
      <c r="C185" s="61"/>
      <c r="D185" s="61"/>
      <c r="E185" s="61"/>
      <c r="F185" s="61"/>
      <c r="G185" s="61"/>
      <c r="H185" s="61"/>
      <c r="I185" s="61"/>
      <c r="J185" s="61"/>
      <c r="K185" s="61"/>
      <c r="L185" s="61"/>
      <c r="M185" s="61"/>
      <c r="N185" s="106"/>
      <c r="O185" s="104"/>
      <c r="P185" s="105"/>
      <c r="Q185" s="26"/>
      <c r="R185" s="33"/>
      <c r="S185" s="216">
        <v>2.99</v>
      </c>
      <c r="T185" s="108"/>
      <c r="U185" s="33"/>
      <c r="V185" s="206"/>
      <c r="W185" s="6"/>
    </row>
    <row r="186" spans="1:23" ht="15.6">
      <c r="A186" s="98"/>
      <c r="B186" s="83" t="s">
        <v>79</v>
      </c>
      <c r="C186" s="61"/>
      <c r="D186" s="61"/>
      <c r="E186" s="61"/>
      <c r="F186" s="61"/>
      <c r="G186" s="61"/>
      <c r="H186" s="61"/>
      <c r="I186" s="61"/>
      <c r="J186" s="61"/>
      <c r="K186" s="61"/>
      <c r="L186" s="61"/>
      <c r="M186" s="61"/>
      <c r="N186" s="106"/>
      <c r="O186" s="104"/>
      <c r="P186" s="105"/>
      <c r="Q186" s="26"/>
      <c r="R186" s="33"/>
      <c r="S186" s="216">
        <v>56.43</v>
      </c>
      <c r="T186" s="108"/>
      <c r="U186" s="33"/>
      <c r="V186" s="206"/>
      <c r="W186" s="6"/>
    </row>
    <row r="187" spans="1:23" ht="15.6">
      <c r="A187" s="98"/>
      <c r="B187" s="83"/>
      <c r="C187" s="61"/>
      <c r="D187" s="61"/>
      <c r="E187" s="61"/>
      <c r="F187" s="61"/>
      <c r="G187" s="61"/>
      <c r="H187" s="61"/>
      <c r="I187" s="61"/>
      <c r="J187" s="61"/>
      <c r="K187" s="61"/>
      <c r="L187" s="61"/>
      <c r="M187" s="106"/>
      <c r="N187" s="104"/>
      <c r="O187" s="105"/>
      <c r="P187" s="26"/>
      <c r="Q187" s="26"/>
      <c r="R187" s="26"/>
      <c r="S187" s="79"/>
      <c r="T187" s="26"/>
      <c r="U187" s="89"/>
      <c r="V187" s="205"/>
      <c r="W187" s="6"/>
    </row>
    <row r="188" spans="1:23" ht="17.399999999999999">
      <c r="A188" s="98"/>
      <c r="B188" s="180" t="s">
        <v>196</v>
      </c>
      <c r="C188" s="61"/>
      <c r="D188" s="61"/>
      <c r="E188" s="61"/>
      <c r="F188" s="61"/>
      <c r="G188" s="61"/>
      <c r="H188" s="61"/>
      <c r="I188" s="61"/>
      <c r="J188" s="61"/>
      <c r="K188" s="181" t="s">
        <v>195</v>
      </c>
      <c r="L188" s="61"/>
      <c r="M188" s="106"/>
      <c r="N188" s="104"/>
      <c r="O188" s="105"/>
      <c r="P188" s="26"/>
      <c r="Q188" s="26"/>
      <c r="R188" s="26"/>
      <c r="S188" s="79"/>
      <c r="T188" s="26"/>
      <c r="U188" s="89"/>
      <c r="V188" s="205"/>
      <c r="W188" s="6"/>
    </row>
    <row r="189" spans="1:23" ht="15.6">
      <c r="A189" s="25"/>
      <c r="B189" s="109" t="s">
        <v>80</v>
      </c>
      <c r="C189" s="110"/>
      <c r="D189" s="110"/>
      <c r="E189" s="110"/>
      <c r="F189" s="110"/>
      <c r="G189" s="110"/>
      <c r="H189" s="110"/>
      <c r="I189" s="110"/>
      <c r="J189" s="110"/>
      <c r="K189" s="110"/>
      <c r="L189" s="110"/>
      <c r="M189" s="111"/>
      <c r="N189" s="110"/>
      <c r="O189" s="111"/>
      <c r="P189" s="110"/>
      <c r="Q189" s="111"/>
      <c r="R189" s="110"/>
      <c r="S189" s="111"/>
      <c r="T189" s="110"/>
      <c r="U189" s="112"/>
      <c r="V189" s="205"/>
      <c r="W189" s="6"/>
    </row>
    <row r="190" spans="1:23" ht="15.6">
      <c r="A190" s="25"/>
      <c r="B190" s="30"/>
      <c r="C190" s="189"/>
      <c r="D190" s="189"/>
      <c r="E190" s="189"/>
      <c r="F190" s="189"/>
      <c r="G190" s="189"/>
      <c r="H190" s="189"/>
      <c r="I190" s="189"/>
      <c r="J190" s="189"/>
      <c r="K190" s="189"/>
      <c r="L190" s="189"/>
      <c r="M190" s="109" t="s">
        <v>100</v>
      </c>
      <c r="N190" s="110"/>
      <c r="O190" s="111"/>
      <c r="P190" s="110"/>
      <c r="Q190" s="109" t="s">
        <v>26</v>
      </c>
      <c r="R190" s="110"/>
      <c r="S190" s="111"/>
      <c r="T190" s="110"/>
      <c r="U190" s="112"/>
      <c r="V190" s="205"/>
      <c r="W190" s="6"/>
    </row>
    <row r="191" spans="1:23" ht="15.6">
      <c r="A191" s="25"/>
      <c r="B191" s="189"/>
      <c r="C191" s="111"/>
      <c r="D191" s="111"/>
      <c r="E191" s="111"/>
      <c r="F191" s="111"/>
      <c r="G191" s="111"/>
      <c r="H191" s="111"/>
      <c r="I191" s="111"/>
      <c r="J191" s="111"/>
      <c r="K191" s="111"/>
      <c r="L191" s="111" t="s">
        <v>94</v>
      </c>
      <c r="M191" s="110" t="s">
        <v>101</v>
      </c>
      <c r="N191" s="111" t="s">
        <v>103</v>
      </c>
      <c r="O191" s="110" t="s">
        <v>101</v>
      </c>
      <c r="P191" s="110"/>
      <c r="Q191" s="111" t="s">
        <v>94</v>
      </c>
      <c r="R191" s="110" t="s">
        <v>101</v>
      </c>
      <c r="S191" s="111" t="s">
        <v>103</v>
      </c>
      <c r="T191" s="110" t="s">
        <v>101</v>
      </c>
      <c r="U191" s="112"/>
      <c r="V191" s="205"/>
      <c r="W191" s="6"/>
    </row>
    <row r="192" spans="1:23" ht="15.6">
      <c r="A192" s="25"/>
      <c r="B192" s="61" t="s">
        <v>81</v>
      </c>
      <c r="C192" s="113"/>
      <c r="D192" s="113"/>
      <c r="E192" s="113"/>
      <c r="F192" s="113"/>
      <c r="G192" s="113"/>
      <c r="H192" s="113"/>
      <c r="I192" s="113"/>
      <c r="J192" s="113"/>
      <c r="K192" s="113"/>
      <c r="L192" s="113">
        <v>3181</v>
      </c>
      <c r="M192" s="86">
        <f t="shared" ref="M192:M198" si="0">+L192/$L$199</f>
        <v>0.86042737354611842</v>
      </c>
      <c r="N192" s="113">
        <v>9132</v>
      </c>
      <c r="O192" s="86">
        <f t="shared" ref="O192:O198" si="1">N192/$N$199</f>
        <v>0.83283173734610128</v>
      </c>
      <c r="P192" s="110"/>
      <c r="Q192" s="113">
        <v>7871</v>
      </c>
      <c r="R192" s="86">
        <f t="shared" ref="R192:R198" si="2">+Q192/$Q$199</f>
        <v>0.93181011009825976</v>
      </c>
      <c r="S192" s="113">
        <v>6181</v>
      </c>
      <c r="T192" s="86">
        <f t="shared" ref="T192:T198" si="3">+S192/$S$199</f>
        <v>0.89269208549971113</v>
      </c>
      <c r="U192" s="112"/>
      <c r="V192" s="205"/>
      <c r="W192" s="6"/>
    </row>
    <row r="193" spans="1:24" ht="15.6">
      <c r="A193" s="25"/>
      <c r="B193" s="61" t="s">
        <v>82</v>
      </c>
      <c r="C193" s="113"/>
      <c r="D193" s="113"/>
      <c r="E193" s="113"/>
      <c r="F193" s="113"/>
      <c r="G193" s="113"/>
      <c r="H193" s="113"/>
      <c r="I193" s="113"/>
      <c r="J193" s="113"/>
      <c r="K193" s="113"/>
      <c r="L193" s="113">
        <v>58</v>
      </c>
      <c r="M193" s="86">
        <f t="shared" si="0"/>
        <v>1.5688395996754124E-2</v>
      </c>
      <c r="N193" s="113">
        <v>200</v>
      </c>
      <c r="O193" s="86">
        <f t="shared" si="1"/>
        <v>1.823985408116735E-2</v>
      </c>
      <c r="P193" s="110"/>
      <c r="Q193" s="113">
        <v>58</v>
      </c>
      <c r="R193" s="86">
        <f t="shared" si="2"/>
        <v>6.8663430803835683E-3</v>
      </c>
      <c r="S193" s="113">
        <v>42</v>
      </c>
      <c r="T193" s="86">
        <f t="shared" si="3"/>
        <v>6.0658578856152513E-3</v>
      </c>
      <c r="U193" s="112"/>
      <c r="V193" s="205"/>
      <c r="W193" s="6"/>
    </row>
    <row r="194" spans="1:24" ht="15.6">
      <c r="A194" s="25"/>
      <c r="B194" s="61" t="s">
        <v>83</v>
      </c>
      <c r="C194" s="113"/>
      <c r="D194" s="113"/>
      <c r="E194" s="113"/>
      <c r="F194" s="113"/>
      <c r="G194" s="113"/>
      <c r="H194" s="113"/>
      <c r="I194" s="113"/>
      <c r="J194" s="113"/>
      <c r="K194" s="113"/>
      <c r="L194" s="113">
        <v>50</v>
      </c>
      <c r="M194" s="86">
        <f t="shared" si="0"/>
        <v>1.3524479307546659E-2</v>
      </c>
      <c r="N194" s="113">
        <v>172</v>
      </c>
      <c r="O194" s="86">
        <f t="shared" si="1"/>
        <v>1.5686274509803921E-2</v>
      </c>
      <c r="P194" s="110"/>
      <c r="Q194" s="113">
        <v>54</v>
      </c>
      <c r="R194" s="86">
        <f t="shared" si="2"/>
        <v>6.3928021782881494E-3</v>
      </c>
      <c r="S194" s="113">
        <v>62</v>
      </c>
      <c r="T194" s="86">
        <f t="shared" si="3"/>
        <v>8.9543616406701325E-3</v>
      </c>
      <c r="U194" s="112"/>
      <c r="V194" s="205"/>
      <c r="W194" s="6"/>
    </row>
    <row r="195" spans="1:24" ht="15.6">
      <c r="A195" s="25"/>
      <c r="B195" s="61" t="s">
        <v>186</v>
      </c>
      <c r="C195" s="113"/>
      <c r="D195" s="113"/>
      <c r="E195" s="113"/>
      <c r="F195" s="113"/>
      <c r="G195" s="113"/>
      <c r="H195" s="113"/>
      <c r="I195" s="113"/>
      <c r="J195" s="113"/>
      <c r="K195" s="113"/>
      <c r="L195" s="113">
        <v>46</v>
      </c>
      <c r="M195" s="86">
        <f t="shared" si="0"/>
        <v>1.2442520962942927E-2</v>
      </c>
      <c r="N195" s="113">
        <v>192</v>
      </c>
      <c r="O195" s="86">
        <f t="shared" si="1"/>
        <v>1.7510259917920656E-2</v>
      </c>
      <c r="P195" s="110"/>
      <c r="Q195" s="113">
        <v>56</v>
      </c>
      <c r="R195" s="86">
        <f t="shared" si="2"/>
        <v>6.6295726293358588E-3</v>
      </c>
      <c r="S195" s="113">
        <v>54</v>
      </c>
      <c r="T195" s="86">
        <f t="shared" si="3"/>
        <v>7.7989601386481804E-3</v>
      </c>
      <c r="U195" s="112"/>
      <c r="V195" s="205"/>
      <c r="W195" s="6"/>
    </row>
    <row r="196" spans="1:24" ht="15.6">
      <c r="A196" s="25"/>
      <c r="B196" s="61" t="s">
        <v>187</v>
      </c>
      <c r="C196" s="113"/>
      <c r="D196" s="113"/>
      <c r="E196" s="113"/>
      <c r="F196" s="113"/>
      <c r="G196" s="113"/>
      <c r="H196" s="113"/>
      <c r="I196" s="113"/>
      <c r="J196" s="113"/>
      <c r="K196" s="113"/>
      <c r="L196" s="113">
        <v>43</v>
      </c>
      <c r="M196" s="86">
        <f t="shared" si="0"/>
        <v>1.1631052204490127E-2</v>
      </c>
      <c r="N196" s="113">
        <v>124</v>
      </c>
      <c r="O196" s="86">
        <f t="shared" si="1"/>
        <v>1.1308709530323757E-2</v>
      </c>
      <c r="P196" s="110"/>
      <c r="Q196" s="113">
        <v>66</v>
      </c>
      <c r="R196" s="86">
        <f t="shared" si="2"/>
        <v>7.8134248845744044E-3</v>
      </c>
      <c r="S196" s="113">
        <v>77</v>
      </c>
      <c r="T196" s="86">
        <f t="shared" si="3"/>
        <v>1.1120739456961294E-2</v>
      </c>
      <c r="U196" s="112"/>
      <c r="V196" s="205"/>
      <c r="W196" s="6"/>
    </row>
    <row r="197" spans="1:24" ht="15.6">
      <c r="A197" s="25"/>
      <c r="B197" s="61" t="s">
        <v>188</v>
      </c>
      <c r="C197" s="113"/>
      <c r="D197" s="113"/>
      <c r="E197" s="113"/>
      <c r="F197" s="113"/>
      <c r="G197" s="113"/>
      <c r="H197" s="113"/>
      <c r="I197" s="113"/>
      <c r="J197" s="113"/>
      <c r="K197" s="113"/>
      <c r="L197" s="113">
        <v>39</v>
      </c>
      <c r="M197" s="86">
        <f t="shared" si="0"/>
        <v>1.0549093859886394E-2</v>
      </c>
      <c r="N197" s="113">
        <v>132</v>
      </c>
      <c r="O197" s="86">
        <f t="shared" si="1"/>
        <v>1.2038303693570451E-2</v>
      </c>
      <c r="P197" s="110"/>
      <c r="Q197" s="113">
        <v>42</v>
      </c>
      <c r="R197" s="86">
        <f t="shared" si="2"/>
        <v>4.9721794720018943E-3</v>
      </c>
      <c r="S197" s="113">
        <v>67</v>
      </c>
      <c r="T197" s="86">
        <f t="shared" si="3"/>
        <v>9.6764875794338526E-3</v>
      </c>
      <c r="U197" s="112"/>
      <c r="V197" s="205"/>
      <c r="W197" s="6"/>
    </row>
    <row r="198" spans="1:24" ht="15.6">
      <c r="A198" s="25"/>
      <c r="B198" s="61" t="s">
        <v>189</v>
      </c>
      <c r="C198" s="113"/>
      <c r="D198" s="113"/>
      <c r="E198" s="113"/>
      <c r="F198" s="113"/>
      <c r="G198" s="113"/>
      <c r="H198" s="113"/>
      <c r="I198" s="113"/>
      <c r="J198" s="113"/>
      <c r="K198" s="113"/>
      <c r="L198" s="113">
        <v>280</v>
      </c>
      <c r="M198" s="86">
        <f t="shared" si="0"/>
        <v>7.5737084122261294E-2</v>
      </c>
      <c r="N198" s="113">
        <v>1013</v>
      </c>
      <c r="O198" s="86">
        <f t="shared" si="1"/>
        <v>9.238486092111263E-2</v>
      </c>
      <c r="P198" s="110"/>
      <c r="Q198" s="113">
        <v>300</v>
      </c>
      <c r="R198" s="86">
        <f t="shared" si="2"/>
        <v>3.551556765715639E-2</v>
      </c>
      <c r="S198" s="113">
        <v>441</v>
      </c>
      <c r="T198" s="86">
        <f t="shared" si="3"/>
        <v>6.3691507798960142E-2</v>
      </c>
      <c r="U198" s="112"/>
      <c r="V198" s="205"/>
      <c r="W198" s="6"/>
    </row>
    <row r="199" spans="1:24" ht="15.6">
      <c r="A199" s="25"/>
      <c r="B199" s="61" t="s">
        <v>84</v>
      </c>
      <c r="C199" s="113"/>
      <c r="D199" s="113"/>
      <c r="E199" s="113"/>
      <c r="F199" s="113"/>
      <c r="G199" s="113"/>
      <c r="H199" s="113"/>
      <c r="I199" s="113"/>
      <c r="J199" s="113"/>
      <c r="K199" s="113"/>
      <c r="L199" s="113">
        <f>SUM(L192:L198)</f>
        <v>3697</v>
      </c>
      <c r="M199" s="86">
        <f>SUM(M192:M198)</f>
        <v>1</v>
      </c>
      <c r="N199" s="113">
        <f>SUM(N192:N198)</f>
        <v>10965</v>
      </c>
      <c r="O199" s="86">
        <f>SUM(O192:O198)</f>
        <v>1</v>
      </c>
      <c r="P199" s="110"/>
      <c r="Q199" s="113">
        <f>SUM(Q192:Q198)</f>
        <v>8447</v>
      </c>
      <c r="R199" s="86">
        <f>SUM(R192:R198)</f>
        <v>1</v>
      </c>
      <c r="S199" s="113">
        <f>SUM(S192:S198)</f>
        <v>6924</v>
      </c>
      <c r="T199" s="86">
        <f>SUM(T192:T198)</f>
        <v>1</v>
      </c>
      <c r="U199" s="112"/>
      <c r="V199" s="205"/>
      <c r="W199" s="6"/>
      <c r="X199" s="64"/>
    </row>
    <row r="200" spans="1:24" ht="15.6">
      <c r="A200" s="25"/>
      <c r="B200" s="61" t="s">
        <v>85</v>
      </c>
      <c r="C200" s="113"/>
      <c r="D200" s="113"/>
      <c r="E200" s="113"/>
      <c r="F200" s="113"/>
      <c r="G200" s="113"/>
      <c r="H200" s="113"/>
      <c r="I200" s="113"/>
      <c r="J200" s="113"/>
      <c r="K200" s="113"/>
      <c r="L200" s="113">
        <v>1179</v>
      </c>
      <c r="M200" s="114"/>
      <c r="N200" s="113">
        <v>7412</v>
      </c>
      <c r="O200" s="114"/>
      <c r="P200" s="110"/>
      <c r="Q200" s="113">
        <v>582</v>
      </c>
      <c r="R200" s="114"/>
      <c r="S200" s="113">
        <v>1231</v>
      </c>
      <c r="T200" s="114"/>
      <c r="U200" s="112"/>
      <c r="V200" s="205"/>
      <c r="W200" s="6"/>
      <c r="X200" s="64"/>
    </row>
    <row r="201" spans="1:24" ht="15.6">
      <c r="A201" s="25"/>
      <c r="B201" s="61" t="s">
        <v>86</v>
      </c>
      <c r="C201" s="113"/>
      <c r="D201" s="113"/>
      <c r="E201" s="113"/>
      <c r="F201" s="113"/>
      <c r="G201" s="113"/>
      <c r="H201" s="113"/>
      <c r="I201" s="113"/>
      <c r="J201" s="113"/>
      <c r="K201" s="113"/>
      <c r="L201" s="113">
        <f>SUM(L199:L200)</f>
        <v>4876</v>
      </c>
      <c r="M201" s="189"/>
      <c r="N201" s="113">
        <f>SUM(N199:N200)</f>
        <v>18377</v>
      </c>
      <c r="O201" s="115"/>
      <c r="P201" s="189"/>
      <c r="Q201" s="113">
        <f>SUM(Q199:Q200)</f>
        <v>9029</v>
      </c>
      <c r="R201" s="189"/>
      <c r="S201" s="113">
        <f>SUM(S199:S200)</f>
        <v>8155</v>
      </c>
      <c r="T201" s="189"/>
      <c r="U201" s="189"/>
      <c r="V201" s="205"/>
      <c r="W201" s="6"/>
      <c r="X201" s="64"/>
    </row>
    <row r="202" spans="1:24" ht="15.6">
      <c r="A202" s="25"/>
      <c r="B202" s="61"/>
      <c r="C202" s="113"/>
      <c r="D202" s="113"/>
      <c r="E202" s="113"/>
      <c r="F202" s="113"/>
      <c r="G202" s="113"/>
      <c r="H202" s="113"/>
      <c r="I202" s="113"/>
      <c r="J202" s="113"/>
      <c r="K202" s="113"/>
      <c r="L202" s="113"/>
      <c r="M202" s="115"/>
      <c r="N202" s="113"/>
      <c r="O202" s="115"/>
      <c r="P202" s="110"/>
      <c r="Q202" s="113"/>
      <c r="R202" s="115"/>
      <c r="S202" s="113"/>
      <c r="T202" s="115"/>
      <c r="U202" s="112"/>
      <c r="V202" s="205"/>
      <c r="W202" s="6"/>
    </row>
    <row r="203" spans="1:24" ht="15.6">
      <c r="A203" s="25"/>
      <c r="B203" s="61"/>
      <c r="C203" s="110"/>
      <c r="D203" s="110"/>
      <c r="E203" s="110"/>
      <c r="F203" s="110"/>
      <c r="G203" s="110"/>
      <c r="H203" s="110"/>
      <c r="I203" s="110"/>
      <c r="J203" s="110"/>
      <c r="K203" s="110"/>
      <c r="L203" s="110"/>
      <c r="M203" s="109" t="s">
        <v>27</v>
      </c>
      <c r="N203" s="110"/>
      <c r="O203" s="111"/>
      <c r="P203" s="110"/>
      <c r="Q203" s="109" t="s">
        <v>28</v>
      </c>
      <c r="R203" s="110"/>
      <c r="S203" s="111"/>
      <c r="T203" s="110"/>
      <c r="U203" s="112"/>
      <c r="V203" s="205"/>
      <c r="W203" s="6"/>
    </row>
    <row r="204" spans="1:24" ht="15.6">
      <c r="A204" s="25"/>
      <c r="B204" s="189"/>
      <c r="C204" s="111"/>
      <c r="D204" s="111"/>
      <c r="E204" s="111"/>
      <c r="F204" s="111"/>
      <c r="G204" s="111"/>
      <c r="H204" s="111"/>
      <c r="I204" s="111"/>
      <c r="J204" s="111"/>
      <c r="K204" s="111"/>
      <c r="L204" s="111" t="s">
        <v>94</v>
      </c>
      <c r="M204" s="110" t="s">
        <v>101</v>
      </c>
      <c r="N204" s="111" t="s">
        <v>103</v>
      </c>
      <c r="O204" s="110" t="s">
        <v>101</v>
      </c>
      <c r="P204" s="110"/>
      <c r="Q204" s="111" t="s">
        <v>94</v>
      </c>
      <c r="R204" s="110" t="s">
        <v>101</v>
      </c>
      <c r="S204" s="111" t="s">
        <v>103</v>
      </c>
      <c r="T204" s="110" t="s">
        <v>101</v>
      </c>
      <c r="U204" s="112"/>
      <c r="V204" s="205"/>
      <c r="W204" s="6"/>
    </row>
    <row r="205" spans="1:24" ht="15.6">
      <c r="A205" s="25"/>
      <c r="B205" s="61" t="s">
        <v>81</v>
      </c>
      <c r="C205" s="113"/>
      <c r="D205" s="113"/>
      <c r="E205" s="113"/>
      <c r="F205" s="113"/>
      <c r="G205" s="113"/>
      <c r="H205" s="113"/>
      <c r="I205" s="113"/>
      <c r="J205" s="113"/>
      <c r="K205" s="113"/>
      <c r="L205" s="113">
        <v>9305</v>
      </c>
      <c r="M205" s="86">
        <f t="shared" ref="M205:M211" si="4">+L205/$L$212</f>
        <v>0.92210880983054211</v>
      </c>
      <c r="N205" s="113">
        <v>249429</v>
      </c>
      <c r="O205" s="86">
        <f t="shared" ref="O205:O211" si="5">+N205/$N$212</f>
        <v>0.9148825352577622</v>
      </c>
      <c r="P205" s="110"/>
      <c r="Q205" s="113">
        <v>4025</v>
      </c>
      <c r="R205" s="86">
        <f t="shared" ref="R205:R211" si="6">Q205/$Q$212</f>
        <v>0.9452794739314232</v>
      </c>
      <c r="S205" s="113">
        <v>48574</v>
      </c>
      <c r="T205" s="86">
        <f t="shared" ref="T205:T211" si="7">+S205/$S$212</f>
        <v>0.93431302775587144</v>
      </c>
      <c r="U205" s="112"/>
      <c r="V205" s="205"/>
      <c r="W205" s="6"/>
    </row>
    <row r="206" spans="1:24" ht="15.6">
      <c r="A206" s="25"/>
      <c r="B206" s="61" t="s">
        <v>82</v>
      </c>
      <c r="C206" s="113"/>
      <c r="D206" s="113"/>
      <c r="E206" s="113"/>
      <c r="F206" s="113"/>
      <c r="G206" s="113"/>
      <c r="H206" s="113"/>
      <c r="I206" s="113"/>
      <c r="J206" s="113"/>
      <c r="K206" s="113"/>
      <c r="L206" s="113">
        <v>238</v>
      </c>
      <c r="M206" s="86">
        <f t="shared" si="4"/>
        <v>2.3585373104746805E-2</v>
      </c>
      <c r="N206" s="113">
        <v>6645</v>
      </c>
      <c r="O206" s="86">
        <f t="shared" si="5"/>
        <v>2.4373246281658628E-2</v>
      </c>
      <c r="P206" s="110"/>
      <c r="Q206" s="113">
        <v>84</v>
      </c>
      <c r="R206" s="86">
        <f t="shared" si="6"/>
        <v>1.9727571629873181E-2</v>
      </c>
      <c r="S206" s="113">
        <v>1095</v>
      </c>
      <c r="T206" s="86">
        <f t="shared" si="7"/>
        <v>2.1062147762026584E-2</v>
      </c>
      <c r="U206" s="112"/>
      <c r="V206" s="205"/>
      <c r="W206" s="6"/>
    </row>
    <row r="207" spans="1:24" ht="15.6">
      <c r="A207" s="25"/>
      <c r="B207" s="61" t="s">
        <v>83</v>
      </c>
      <c r="C207" s="113"/>
      <c r="D207" s="113"/>
      <c r="E207" s="113"/>
      <c r="F207" s="113"/>
      <c r="G207" s="113"/>
      <c r="H207" s="113"/>
      <c r="I207" s="113"/>
      <c r="J207" s="113"/>
      <c r="K207" s="113"/>
      <c r="L207" s="113">
        <v>144</v>
      </c>
      <c r="M207" s="86">
        <f t="shared" si="4"/>
        <v>1.4270141710435041E-2</v>
      </c>
      <c r="N207" s="113">
        <v>4299</v>
      </c>
      <c r="O207" s="86">
        <f t="shared" si="5"/>
        <v>1.5768334953325875E-2</v>
      </c>
      <c r="P207" s="110"/>
      <c r="Q207" s="113">
        <v>47</v>
      </c>
      <c r="R207" s="86">
        <f t="shared" si="6"/>
        <v>1.1038046031000471E-2</v>
      </c>
      <c r="S207" s="113">
        <v>713</v>
      </c>
      <c r="T207" s="86">
        <f t="shared" si="7"/>
        <v>1.3714439592990825E-2</v>
      </c>
      <c r="U207" s="112"/>
      <c r="V207" s="205"/>
      <c r="W207" s="6"/>
      <c r="X207" s="182"/>
    </row>
    <row r="208" spans="1:24" ht="15.6">
      <c r="A208" s="25"/>
      <c r="B208" s="61" t="s">
        <v>186</v>
      </c>
      <c r="C208" s="113"/>
      <c r="D208" s="113"/>
      <c r="E208" s="113"/>
      <c r="F208" s="113"/>
      <c r="G208" s="113"/>
      <c r="H208" s="113"/>
      <c r="I208" s="113"/>
      <c r="J208" s="113"/>
      <c r="K208" s="113"/>
      <c r="L208" s="113">
        <v>116</v>
      </c>
      <c r="M208" s="86">
        <f t="shared" si="4"/>
        <v>1.1495391933406006E-2</v>
      </c>
      <c r="N208" s="113">
        <v>3428</v>
      </c>
      <c r="O208" s="86">
        <f t="shared" si="5"/>
        <v>1.2573587397069342E-2</v>
      </c>
      <c r="P208" s="110"/>
      <c r="Q208" s="113">
        <v>30</v>
      </c>
      <c r="R208" s="86">
        <f t="shared" si="6"/>
        <v>7.0455612963832787E-3</v>
      </c>
      <c r="S208" s="113">
        <v>396</v>
      </c>
      <c r="T208" s="86">
        <f t="shared" si="7"/>
        <v>7.6169959029794765E-3</v>
      </c>
      <c r="U208" s="112"/>
      <c r="V208" s="205"/>
      <c r="W208" s="6"/>
    </row>
    <row r="209" spans="1:24" ht="15.6">
      <c r="A209" s="25"/>
      <c r="B209" s="61" t="s">
        <v>187</v>
      </c>
      <c r="C209" s="113"/>
      <c r="D209" s="113"/>
      <c r="E209" s="113"/>
      <c r="F209" s="113"/>
      <c r="G209" s="113"/>
      <c r="H209" s="113"/>
      <c r="I209" s="113"/>
      <c r="J209" s="113"/>
      <c r="K209" s="113"/>
      <c r="L209" s="113">
        <v>59</v>
      </c>
      <c r="M209" s="86">
        <f t="shared" si="4"/>
        <v>5.8467941730254679E-3</v>
      </c>
      <c r="N209" s="113">
        <v>1809</v>
      </c>
      <c r="O209" s="86">
        <f t="shared" si="5"/>
        <v>6.6352449245328004E-3</v>
      </c>
      <c r="P209" s="110"/>
      <c r="Q209" s="113">
        <v>19</v>
      </c>
      <c r="R209" s="86">
        <f t="shared" si="6"/>
        <v>4.4621888210427431E-3</v>
      </c>
      <c r="S209" s="113">
        <v>268</v>
      </c>
      <c r="T209" s="86">
        <f t="shared" si="7"/>
        <v>5.1549366212083328E-3</v>
      </c>
      <c r="U209" s="112"/>
      <c r="V209" s="205"/>
      <c r="W209" s="6"/>
    </row>
    <row r="210" spans="1:24" ht="15.6">
      <c r="A210" s="25"/>
      <c r="B210" s="61" t="s">
        <v>188</v>
      </c>
      <c r="C210" s="113"/>
      <c r="D210" s="113"/>
      <c r="E210" s="113"/>
      <c r="F210" s="113"/>
      <c r="G210" s="113"/>
      <c r="H210" s="113"/>
      <c r="I210" s="113"/>
      <c r="J210" s="113"/>
      <c r="K210" s="113"/>
      <c r="L210" s="113">
        <v>71</v>
      </c>
      <c r="M210" s="86">
        <f t="shared" si="4"/>
        <v>7.0359726488950546E-3</v>
      </c>
      <c r="N210" s="113">
        <v>2175</v>
      </c>
      <c r="O210" s="86">
        <f t="shared" si="5"/>
        <v>7.9776991215361193E-3</v>
      </c>
      <c r="P210" s="110"/>
      <c r="Q210" s="113">
        <v>8</v>
      </c>
      <c r="R210" s="86">
        <f t="shared" si="6"/>
        <v>1.8788163457022077E-3</v>
      </c>
      <c r="S210" s="113">
        <v>119</v>
      </c>
      <c r="T210" s="86">
        <f t="shared" si="7"/>
        <v>2.2889457385216103E-3</v>
      </c>
      <c r="U210" s="112"/>
      <c r="V210" s="205"/>
      <c r="W210" s="6"/>
    </row>
    <row r="211" spans="1:24" ht="15.6">
      <c r="A211" s="25"/>
      <c r="B211" s="61" t="s">
        <v>189</v>
      </c>
      <c r="C211" s="113"/>
      <c r="D211" s="113"/>
      <c r="E211" s="113"/>
      <c r="F211" s="113"/>
      <c r="G211" s="113"/>
      <c r="H211" s="113"/>
      <c r="I211" s="113"/>
      <c r="J211" s="113"/>
      <c r="K211" s="113"/>
      <c r="L211" s="113">
        <v>158</v>
      </c>
      <c r="M211" s="86">
        <f t="shared" si="4"/>
        <v>1.565751659894956E-2</v>
      </c>
      <c r="N211" s="113">
        <v>4850</v>
      </c>
      <c r="O211" s="86">
        <f t="shared" si="5"/>
        <v>1.7789352064115027E-2</v>
      </c>
      <c r="P211" s="110"/>
      <c r="Q211" s="113">
        <v>45</v>
      </c>
      <c r="R211" s="86">
        <f t="shared" si="6"/>
        <v>1.0568341944574918E-2</v>
      </c>
      <c r="S211" s="113">
        <v>824</v>
      </c>
      <c r="T211" s="86">
        <f t="shared" si="7"/>
        <v>1.5849506626401739E-2</v>
      </c>
      <c r="U211" s="112"/>
      <c r="V211" s="205"/>
      <c r="W211" s="6"/>
    </row>
    <row r="212" spans="1:24" ht="15.6">
      <c r="A212" s="25"/>
      <c r="B212" s="61" t="str">
        <f>B199</f>
        <v>Total Performing  Assets</v>
      </c>
      <c r="C212" s="113"/>
      <c r="D212" s="113"/>
      <c r="E212" s="113"/>
      <c r="F212" s="113"/>
      <c r="G212" s="113"/>
      <c r="H212" s="113"/>
      <c r="I212" s="113"/>
      <c r="J212" s="113"/>
      <c r="K212" s="113"/>
      <c r="L212" s="113">
        <f>SUM(L205:L211)</f>
        <v>10091</v>
      </c>
      <c r="M212" s="86">
        <f>SUM(M205:M211)</f>
        <v>1.0000000000000002</v>
      </c>
      <c r="N212" s="113">
        <f>SUM(N205:N211)</f>
        <v>272635</v>
      </c>
      <c r="O212" s="86">
        <f>SUM(O205:O211)</f>
        <v>1</v>
      </c>
      <c r="P212" s="110"/>
      <c r="Q212" s="113">
        <f>SUM(Q205:Q211)</f>
        <v>4258</v>
      </c>
      <c r="R212" s="86">
        <f>SUM(R205:R211)</f>
        <v>0.99999999999999989</v>
      </c>
      <c r="S212" s="113">
        <f>SUM(S205:S211)</f>
        <v>51989</v>
      </c>
      <c r="T212" s="86">
        <f>SUM(T205:T211)</f>
        <v>1</v>
      </c>
      <c r="U212" s="112"/>
      <c r="V212" s="205"/>
      <c r="W212" s="6"/>
    </row>
    <row r="213" spans="1:24" ht="15.6">
      <c r="A213" s="25"/>
      <c r="B213" s="61" t="s">
        <v>85</v>
      </c>
      <c r="C213" s="113"/>
      <c r="D213" s="113"/>
      <c r="E213" s="113"/>
      <c r="F213" s="113"/>
      <c r="G213" s="113"/>
      <c r="H213" s="113"/>
      <c r="I213" s="113"/>
      <c r="J213" s="113"/>
      <c r="K213" s="113"/>
      <c r="L213" s="113">
        <v>61</v>
      </c>
      <c r="M213" s="116"/>
      <c r="N213" s="113">
        <v>2080</v>
      </c>
      <c r="O213" s="114"/>
      <c r="P213" s="110"/>
      <c r="Q213" s="113">
        <v>26</v>
      </c>
      <c r="R213" s="116"/>
      <c r="S213" s="113">
        <v>475</v>
      </c>
      <c r="T213" s="116"/>
      <c r="U213" s="112"/>
      <c r="V213" s="205"/>
      <c r="W213" s="6"/>
    </row>
    <row r="214" spans="1:24" ht="15.6">
      <c r="A214" s="25"/>
      <c r="B214" s="61" t="s">
        <v>86</v>
      </c>
      <c r="C214" s="113"/>
      <c r="D214" s="113"/>
      <c r="E214" s="113"/>
      <c r="F214" s="113"/>
      <c r="G214" s="113"/>
      <c r="H214" s="113"/>
      <c r="I214" s="113"/>
      <c r="J214" s="113"/>
      <c r="K214" s="113"/>
      <c r="L214" s="113">
        <f>SUM(L212:L213)</f>
        <v>10152</v>
      </c>
      <c r="M214" s="189"/>
      <c r="N214" s="113">
        <f>SUM(N212:N213)</f>
        <v>274715</v>
      </c>
      <c r="O214" s="86"/>
      <c r="P214" s="189"/>
      <c r="Q214" s="113">
        <f>SUM(Q212:Q213)</f>
        <v>4284</v>
      </c>
      <c r="R214" s="189"/>
      <c r="S214" s="113">
        <f>SUM(S212:S213)</f>
        <v>52464</v>
      </c>
      <c r="T214" s="189"/>
      <c r="U214" s="189"/>
      <c r="V214" s="190"/>
    </row>
    <row r="215" spans="1:24" ht="15.6">
      <c r="A215" s="25"/>
      <c r="B215" s="61"/>
      <c r="C215" s="110"/>
      <c r="D215" s="110"/>
      <c r="E215" s="110"/>
      <c r="F215" s="110"/>
      <c r="G215" s="110"/>
      <c r="H215" s="110"/>
      <c r="I215" s="110"/>
      <c r="J215" s="110"/>
      <c r="K215" s="110"/>
      <c r="L215" s="110"/>
      <c r="M215" s="111"/>
      <c r="N215" s="110"/>
      <c r="O215" s="111"/>
      <c r="P215" s="110"/>
      <c r="Q215" s="117"/>
      <c r="R215" s="110"/>
      <c r="S215" s="113"/>
      <c r="T215" s="110"/>
      <c r="U215" s="112"/>
      <c r="V215" s="205"/>
      <c r="W215" s="6"/>
    </row>
    <row r="216" spans="1:24" ht="15.6">
      <c r="A216" s="25"/>
      <c r="B216" s="61" t="s">
        <v>86</v>
      </c>
      <c r="C216" s="110"/>
      <c r="D216" s="110"/>
      <c r="E216" s="110"/>
      <c r="F216" s="110"/>
      <c r="G216" s="110"/>
      <c r="H216" s="110"/>
      <c r="I216" s="110"/>
      <c r="J216" s="110"/>
      <c r="K216" s="110"/>
      <c r="L216" s="110"/>
      <c r="M216" s="111"/>
      <c r="N216" s="110"/>
      <c r="O216" s="111"/>
      <c r="P216" s="110"/>
      <c r="Q216" s="117"/>
      <c r="R216" s="116"/>
      <c r="S216" s="113">
        <f>+N201+S201+N214+S214</f>
        <v>353711</v>
      </c>
      <c r="T216" s="115"/>
      <c r="U216" s="112"/>
      <c r="V216" s="205"/>
      <c r="W216" s="6"/>
      <c r="X216" s="182"/>
    </row>
    <row r="217" spans="1:24" ht="15.6">
      <c r="A217" s="25"/>
      <c r="B217" s="61"/>
      <c r="C217" s="110"/>
      <c r="D217" s="110"/>
      <c r="E217" s="110"/>
      <c r="F217" s="110"/>
      <c r="G217" s="110"/>
      <c r="H217" s="110"/>
      <c r="I217" s="110"/>
      <c r="J217" s="110"/>
      <c r="K217" s="110"/>
      <c r="L217" s="111"/>
      <c r="M217" s="111"/>
      <c r="N217" s="111"/>
      <c r="O217" s="111"/>
      <c r="P217" s="110"/>
      <c r="Q217" s="111"/>
      <c r="R217" s="110"/>
      <c r="S217" s="113"/>
      <c r="T217" s="116"/>
      <c r="U217" s="112"/>
      <c r="V217" s="205"/>
      <c r="W217" s="6"/>
    </row>
    <row r="218" spans="1:24" ht="15.6">
      <c r="A218" s="25"/>
      <c r="B218" s="118" t="s">
        <v>87</v>
      </c>
      <c r="C218" s="110"/>
      <c r="D218" s="110"/>
      <c r="E218" s="110"/>
      <c r="F218" s="110"/>
      <c r="G218" s="110"/>
      <c r="H218" s="110"/>
      <c r="I218" s="110"/>
      <c r="J218" s="110"/>
      <c r="K218" s="110"/>
      <c r="L218" s="110"/>
      <c r="M218" s="111"/>
      <c r="N218" s="110"/>
      <c r="O218" s="111"/>
      <c r="P218" s="110"/>
      <c r="Q218" s="111"/>
      <c r="R218" s="110"/>
      <c r="S218" s="113"/>
      <c r="T218" s="110"/>
      <c r="U218" s="209"/>
      <c r="V218" s="205"/>
      <c r="W218" s="6"/>
    </row>
    <row r="219" spans="1:24" ht="15.6">
      <c r="A219" s="25"/>
      <c r="B219" s="61"/>
      <c r="C219" s="110"/>
      <c r="D219" s="110"/>
      <c r="E219" s="110"/>
      <c r="F219" s="110"/>
      <c r="G219" s="110"/>
      <c r="H219" s="110"/>
      <c r="I219" s="110"/>
      <c r="J219" s="110"/>
      <c r="K219" s="110"/>
      <c r="L219" s="110"/>
      <c r="M219" s="111"/>
      <c r="N219" s="110"/>
      <c r="O219" s="111"/>
      <c r="P219" s="110"/>
      <c r="Q219" s="111"/>
      <c r="R219" s="110"/>
      <c r="S219" s="113"/>
      <c r="T219" s="110"/>
      <c r="U219" s="112"/>
      <c r="V219" s="205"/>
      <c r="W219" s="6"/>
    </row>
    <row r="220" spans="1:24" ht="15.6">
      <c r="A220" s="25"/>
      <c r="B220" s="61" t="s">
        <v>88</v>
      </c>
      <c r="C220" s="110"/>
      <c r="D220" s="110"/>
      <c r="E220" s="110"/>
      <c r="F220" s="110"/>
      <c r="G220" s="110"/>
      <c r="H220" s="110"/>
      <c r="I220" s="110"/>
      <c r="J220" s="110"/>
      <c r="K220" s="110"/>
      <c r="L220" s="110"/>
      <c r="M220" s="111"/>
      <c r="N220" s="110"/>
      <c r="O220" s="111"/>
      <c r="P220" s="110"/>
      <c r="Q220" s="111"/>
      <c r="R220" s="110"/>
      <c r="S220" s="113">
        <f>+N199+S199+N212+S212</f>
        <v>342513</v>
      </c>
      <c r="T220" s="110"/>
      <c r="U220" s="112"/>
      <c r="V220" s="205"/>
      <c r="W220" s="6"/>
      <c r="X220" s="182"/>
    </row>
    <row r="221" spans="1:24" ht="15.6">
      <c r="A221" s="25"/>
      <c r="B221" s="61" t="s">
        <v>89</v>
      </c>
      <c r="C221" s="110"/>
      <c r="D221" s="110"/>
      <c r="E221" s="110"/>
      <c r="F221" s="110"/>
      <c r="G221" s="110"/>
      <c r="H221" s="110"/>
      <c r="I221" s="110"/>
      <c r="J221" s="110"/>
      <c r="K221" s="110"/>
      <c r="L221" s="110"/>
      <c r="M221" s="111"/>
      <c r="N221" s="110"/>
      <c r="O221" s="111"/>
      <c r="P221" s="110"/>
      <c r="Q221" s="111"/>
      <c r="R221" s="110"/>
      <c r="S221" s="113">
        <f>+U79</f>
        <v>0</v>
      </c>
      <c r="T221" s="110"/>
      <c r="U221" s="112"/>
      <c r="V221" s="205"/>
      <c r="W221" s="119"/>
    </row>
    <row r="222" spans="1:24" ht="15.6">
      <c r="A222" s="25"/>
      <c r="B222" s="61" t="s">
        <v>90</v>
      </c>
      <c r="C222" s="110"/>
      <c r="D222" s="110"/>
      <c r="E222" s="110"/>
      <c r="F222" s="110"/>
      <c r="G222" s="110"/>
      <c r="H222" s="110"/>
      <c r="I222" s="110"/>
      <c r="J222" s="110"/>
      <c r="K222" s="110"/>
      <c r="L222" s="110"/>
      <c r="M222" s="111"/>
      <c r="N222" s="110"/>
      <c r="O222" s="111"/>
      <c r="P222" s="110"/>
      <c r="Q222" s="111"/>
      <c r="R222" s="110"/>
      <c r="S222" s="113">
        <f>SUM(S220:S221)</f>
        <v>342513</v>
      </c>
      <c r="T222" s="110"/>
      <c r="U222" s="112"/>
      <c r="V222" s="205"/>
      <c r="W222" s="6"/>
    </row>
    <row r="223" spans="1:24" ht="15.6">
      <c r="A223" s="25"/>
      <c r="B223" s="61"/>
      <c r="C223" s="110"/>
      <c r="D223" s="110"/>
      <c r="E223" s="110"/>
      <c r="F223" s="110"/>
      <c r="G223" s="110"/>
      <c r="H223" s="110"/>
      <c r="I223" s="110"/>
      <c r="J223" s="110"/>
      <c r="K223" s="110"/>
      <c r="L223" s="110"/>
      <c r="M223" s="111"/>
      <c r="N223" s="110"/>
      <c r="O223" s="111"/>
      <c r="P223" s="110"/>
      <c r="Q223" s="111"/>
      <c r="R223" s="110"/>
      <c r="S223" s="113"/>
      <c r="T223" s="110"/>
      <c r="U223" s="112"/>
      <c r="V223" s="205"/>
      <c r="W223" s="6"/>
    </row>
    <row r="224" spans="1:24" ht="15.6">
      <c r="A224" s="25"/>
      <c r="B224" s="61" t="s">
        <v>91</v>
      </c>
      <c r="C224" s="110"/>
      <c r="D224" s="110"/>
      <c r="E224" s="110"/>
      <c r="F224" s="110"/>
      <c r="G224" s="110"/>
      <c r="H224" s="110"/>
      <c r="I224" s="110"/>
      <c r="J224" s="110"/>
      <c r="K224" s="110"/>
      <c r="L224" s="110"/>
      <c r="M224" s="111"/>
      <c r="N224" s="110"/>
      <c r="O224" s="111"/>
      <c r="P224" s="110"/>
      <c r="Q224" s="111"/>
      <c r="R224" s="110"/>
      <c r="S224" s="113">
        <f>U33</f>
        <v>342512.61119999998</v>
      </c>
      <c r="T224" s="110"/>
      <c r="U224" s="112"/>
      <c r="V224" s="205"/>
      <c r="W224" s="6"/>
    </row>
    <row r="225" spans="1:23" ht="15.6">
      <c r="A225" s="25"/>
      <c r="B225" s="61"/>
      <c r="C225" s="110"/>
      <c r="D225" s="110"/>
      <c r="E225" s="110"/>
      <c r="F225" s="110"/>
      <c r="G225" s="110"/>
      <c r="H225" s="110"/>
      <c r="I225" s="110"/>
      <c r="J225" s="110"/>
      <c r="K225" s="110"/>
      <c r="L225" s="110"/>
      <c r="M225" s="111"/>
      <c r="N225" s="110"/>
      <c r="O225" s="111"/>
      <c r="P225" s="110"/>
      <c r="Q225" s="111"/>
      <c r="R225" s="110"/>
      <c r="S225" s="113"/>
      <c r="T225" s="110"/>
      <c r="U225" s="112"/>
      <c r="V225" s="205"/>
      <c r="W225" s="6"/>
    </row>
    <row r="226" spans="1:23" ht="15.6">
      <c r="A226" s="25"/>
      <c r="B226" s="61" t="s">
        <v>92</v>
      </c>
      <c r="C226" s="110"/>
      <c r="D226" s="110"/>
      <c r="E226" s="110"/>
      <c r="F226" s="110"/>
      <c r="G226" s="110"/>
      <c r="H226" s="110"/>
      <c r="I226" s="110"/>
      <c r="J226" s="110"/>
      <c r="K226" s="110"/>
      <c r="L226" s="110"/>
      <c r="M226" s="111"/>
      <c r="N226" s="110"/>
      <c r="O226" s="111"/>
      <c r="P226" s="110"/>
      <c r="Q226" s="111"/>
      <c r="R226" s="110"/>
      <c r="S226" s="113">
        <f>S222/S224</f>
        <v>1.0000011351406848</v>
      </c>
      <c r="T226" s="110"/>
      <c r="U226" s="112"/>
      <c r="V226" s="205"/>
      <c r="W226" s="6"/>
    </row>
    <row r="227" spans="1:23" ht="15.6">
      <c r="A227" s="25"/>
      <c r="B227" s="26"/>
      <c r="C227" s="26"/>
      <c r="D227" s="26"/>
      <c r="E227" s="26"/>
      <c r="F227" s="26"/>
      <c r="G227" s="26"/>
      <c r="H227" s="26"/>
      <c r="I227" s="26"/>
      <c r="J227" s="26"/>
      <c r="K227" s="26"/>
      <c r="L227" s="26"/>
      <c r="M227" s="33"/>
      <c r="N227" s="26"/>
      <c r="O227" s="26"/>
      <c r="P227" s="26"/>
      <c r="Q227" s="59"/>
      <c r="R227" s="120"/>
      <c r="S227" s="60"/>
      <c r="T227" s="120"/>
      <c r="U227" s="89"/>
      <c r="V227" s="196"/>
      <c r="W227" s="6"/>
    </row>
    <row r="228" spans="1:23" ht="15.6">
      <c r="A228" s="121"/>
      <c r="B228" s="30" t="s">
        <v>127</v>
      </c>
      <c r="C228" s="122"/>
      <c r="D228" s="122"/>
      <c r="E228" s="122"/>
      <c r="F228" s="122"/>
      <c r="G228" s="122"/>
      <c r="H228" s="122"/>
      <c r="I228" s="122"/>
      <c r="J228" s="122"/>
      <c r="K228" s="122"/>
      <c r="L228" s="122"/>
      <c r="M228" s="110"/>
      <c r="N228" s="112"/>
      <c r="O228" s="30"/>
      <c r="P228" s="123"/>
      <c r="Q228" s="123"/>
      <c r="R228" s="123"/>
      <c r="S228" s="124"/>
      <c r="T228" s="29"/>
      <c r="U228" s="29"/>
      <c r="V228" s="203"/>
      <c r="W228" s="6"/>
    </row>
    <row r="229" spans="1:23" ht="15.6">
      <c r="A229" s="125"/>
      <c r="B229" s="13" t="s">
        <v>128</v>
      </c>
      <c r="C229" s="126"/>
      <c r="D229" s="126"/>
      <c r="E229" s="126"/>
      <c r="F229" s="126"/>
      <c r="G229" s="126"/>
      <c r="H229" s="126"/>
      <c r="I229" s="126"/>
      <c r="J229" s="126"/>
      <c r="K229" s="126"/>
      <c r="L229" s="126"/>
      <c r="M229" s="127"/>
      <c r="N229" s="13"/>
      <c r="O229" s="13"/>
      <c r="P229" s="126"/>
      <c r="Q229" s="126"/>
      <c r="R229" s="12"/>
      <c r="S229" s="12"/>
      <c r="T229" s="12"/>
      <c r="U229" s="12"/>
      <c r="V229" s="207"/>
      <c r="W229" s="6"/>
    </row>
    <row r="230" spans="1:23" ht="15.6">
      <c r="A230" s="125"/>
      <c r="B230" s="13" t="s">
        <v>246</v>
      </c>
      <c r="C230" s="13"/>
      <c r="D230" s="13"/>
      <c r="E230" s="13"/>
      <c r="F230" s="13"/>
      <c r="G230" s="13"/>
      <c r="H230" s="13"/>
      <c r="I230" s="13"/>
      <c r="J230" s="13"/>
      <c r="K230" s="13"/>
      <c r="L230" s="13"/>
      <c r="M230" s="13"/>
      <c r="N230" s="13"/>
      <c r="O230" s="13"/>
      <c r="P230" s="13"/>
      <c r="Q230" s="13"/>
      <c r="R230" s="13"/>
      <c r="S230" s="13"/>
      <c r="T230" s="13"/>
      <c r="U230" s="13"/>
      <c r="V230" s="207"/>
      <c r="W230" s="6"/>
    </row>
    <row r="231" spans="1:23" ht="15.6">
      <c r="A231" s="125"/>
      <c r="B231" s="13" t="s">
        <v>129</v>
      </c>
      <c r="C231" s="126"/>
      <c r="D231" s="126"/>
      <c r="E231" s="126"/>
      <c r="F231" s="126"/>
      <c r="G231" s="126"/>
      <c r="H231" s="126"/>
      <c r="I231" s="126"/>
      <c r="J231" s="126"/>
      <c r="K231" s="126"/>
      <c r="L231" s="126"/>
      <c r="M231" s="127"/>
      <c r="N231" s="13"/>
      <c r="O231" s="13"/>
      <c r="P231" s="126"/>
      <c r="Q231" s="126"/>
      <c r="R231" s="12"/>
      <c r="S231" s="12"/>
      <c r="T231" s="12"/>
      <c r="U231" s="12"/>
      <c r="V231" s="207"/>
      <c r="W231" s="6"/>
    </row>
    <row r="232" spans="1:23" ht="15.6">
      <c r="A232" s="125"/>
      <c r="B232" s="13"/>
      <c r="C232" s="126"/>
      <c r="D232" s="126"/>
      <c r="E232" s="126"/>
      <c r="F232" s="126"/>
      <c r="G232" s="126"/>
      <c r="H232" s="126"/>
      <c r="I232" s="126"/>
      <c r="J232" s="126"/>
      <c r="K232" s="126"/>
      <c r="L232" s="126"/>
      <c r="M232" s="127"/>
      <c r="N232" s="13"/>
      <c r="O232" s="13"/>
      <c r="P232" s="126"/>
      <c r="Q232" s="126"/>
      <c r="R232" s="12"/>
      <c r="S232" s="12"/>
      <c r="T232" s="12"/>
      <c r="U232" s="12"/>
      <c r="V232" s="207"/>
      <c r="W232" s="6"/>
    </row>
    <row r="233" spans="1:23" ht="15.6">
      <c r="A233" s="125"/>
      <c r="B233" s="13"/>
      <c r="C233" s="126"/>
      <c r="D233" s="126"/>
      <c r="E233" s="126"/>
      <c r="F233" s="126"/>
      <c r="G233" s="126"/>
      <c r="H233" s="126"/>
      <c r="I233" s="126"/>
      <c r="J233" s="126"/>
      <c r="K233" s="126"/>
      <c r="L233" s="126"/>
      <c r="M233" s="127"/>
      <c r="N233" s="13"/>
      <c r="O233" s="13"/>
      <c r="P233" s="126"/>
      <c r="Q233" s="126"/>
      <c r="R233" s="12"/>
      <c r="S233" s="12"/>
      <c r="T233" s="12"/>
      <c r="U233" s="12"/>
      <c r="V233" s="207"/>
      <c r="W233" s="6"/>
    </row>
    <row r="234" spans="1:23" ht="16.2" thickBot="1">
      <c r="A234" s="125"/>
      <c r="B234" s="13" t="str">
        <f>+B161</f>
        <v>PPAF3 INVESTOR REPORT QUARTER ENDING JUNE 2009</v>
      </c>
      <c r="C234" s="126"/>
      <c r="D234" s="126"/>
      <c r="E234" s="126"/>
      <c r="F234" s="126"/>
      <c r="G234" s="126"/>
      <c r="H234" s="126"/>
      <c r="I234" s="126"/>
      <c r="J234" s="126"/>
      <c r="K234" s="126"/>
      <c r="L234" s="126"/>
      <c r="M234" s="127"/>
      <c r="N234" s="13"/>
      <c r="O234" s="13"/>
      <c r="P234" s="126"/>
      <c r="Q234" s="126"/>
      <c r="R234" s="12"/>
      <c r="S234" s="12"/>
      <c r="T234" s="12"/>
      <c r="U234" s="12"/>
      <c r="V234" s="208"/>
      <c r="W234" s="6"/>
    </row>
    <row r="235" spans="1:23">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row>
  </sheetData>
  <phoneticPr fontId="0" type="noConversion"/>
  <hyperlinks>
    <hyperlink ref="I9" r:id="rId1"/>
    <hyperlink ref="K188"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16383" man="1"/>
    <brk id="110" max="16383" man="1"/>
    <brk id="161" max="21" man="1"/>
    <brk id="240" man="1"/>
  </rowBreaks>
  <colBreaks count="1" manualBreakCount="1">
    <brk id="23" max="1048575" man="1"/>
  </colBreak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23"/>
  </sheetPr>
  <dimension ref="A1:Y235"/>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 t="s">
        <v>223</v>
      </c>
      <c r="B1" s="3" t="s">
        <v>123</v>
      </c>
      <c r="C1" s="4"/>
      <c r="D1" s="4"/>
      <c r="E1" s="4"/>
      <c r="F1" s="4"/>
      <c r="G1" s="4"/>
      <c r="H1" s="4"/>
      <c r="I1" s="4"/>
      <c r="J1" s="4"/>
      <c r="K1" s="4"/>
      <c r="L1" s="4"/>
      <c r="M1" s="5"/>
      <c r="N1" s="5"/>
      <c r="O1" s="5"/>
      <c r="P1" s="5"/>
      <c r="Q1" s="5"/>
      <c r="R1" s="5"/>
      <c r="S1" s="5"/>
      <c r="T1" s="5"/>
      <c r="U1" s="5"/>
      <c r="V1" s="193"/>
      <c r="W1" s="6"/>
    </row>
    <row r="2" spans="1:23" ht="15.6">
      <c r="A2" s="7"/>
      <c r="B2" s="8"/>
      <c r="C2" s="8"/>
      <c r="D2" s="8"/>
      <c r="E2" s="8"/>
      <c r="F2" s="8"/>
      <c r="G2" s="8"/>
      <c r="H2" s="8"/>
      <c r="I2" s="8"/>
      <c r="J2" s="8"/>
      <c r="K2" s="8"/>
      <c r="L2" s="8"/>
      <c r="M2" s="9"/>
      <c r="N2" s="9"/>
      <c r="O2" s="9"/>
      <c r="P2" s="9"/>
      <c r="Q2" s="9"/>
      <c r="R2" s="9"/>
      <c r="S2" s="9"/>
      <c r="T2" s="9"/>
      <c r="U2" s="9"/>
      <c r="V2" s="194"/>
      <c r="W2" s="6"/>
    </row>
    <row r="3" spans="1:23" ht="15.6">
      <c r="A3" s="10"/>
      <c r="B3" s="141" t="s">
        <v>125</v>
      </c>
      <c r="C3" s="9"/>
      <c r="D3" s="9"/>
      <c r="E3" s="9"/>
      <c r="F3" s="9"/>
      <c r="G3" s="9"/>
      <c r="H3" s="9"/>
      <c r="I3" s="9"/>
      <c r="J3" s="9"/>
      <c r="K3" s="9"/>
      <c r="L3" s="9"/>
      <c r="M3" s="9"/>
      <c r="N3" s="9"/>
      <c r="O3" s="9"/>
      <c r="P3" s="9"/>
      <c r="Q3" s="9"/>
      <c r="R3" s="9"/>
      <c r="S3" s="9"/>
      <c r="T3" s="9"/>
      <c r="U3" s="9"/>
      <c r="V3" s="194"/>
      <c r="W3" s="6"/>
    </row>
    <row r="4" spans="1:23" ht="15.6">
      <c r="A4" s="7"/>
      <c r="B4" s="8"/>
      <c r="C4" s="8"/>
      <c r="D4" s="8"/>
      <c r="E4" s="8"/>
      <c r="F4" s="8"/>
      <c r="G4" s="8"/>
      <c r="H4" s="8"/>
      <c r="I4" s="8"/>
      <c r="J4" s="8"/>
      <c r="K4" s="8"/>
      <c r="L4" s="8"/>
      <c r="M4" s="9"/>
      <c r="N4" s="9"/>
      <c r="O4" s="9"/>
      <c r="P4" s="9"/>
      <c r="Q4" s="9"/>
      <c r="R4" s="9"/>
      <c r="S4" s="9"/>
      <c r="T4" s="9"/>
      <c r="U4" s="9"/>
      <c r="V4" s="194"/>
      <c r="W4" s="6"/>
    </row>
    <row r="5" spans="1:23" ht="16.2">
      <c r="A5" s="7"/>
      <c r="B5" s="192" t="s">
        <v>0</v>
      </c>
      <c r="C5" s="11"/>
      <c r="D5" s="11"/>
      <c r="E5" s="11"/>
      <c r="F5" s="11"/>
      <c r="G5" s="11"/>
      <c r="H5" s="11"/>
      <c r="I5" s="11"/>
      <c r="J5" s="11"/>
      <c r="K5" s="11"/>
      <c r="L5" s="11"/>
      <c r="M5" s="9"/>
      <c r="N5" s="9"/>
      <c r="O5" s="9"/>
      <c r="P5" s="9"/>
      <c r="Q5" s="9"/>
      <c r="R5" s="9"/>
      <c r="S5" s="9"/>
      <c r="T5" s="9"/>
      <c r="U5" s="9"/>
      <c r="V5" s="194"/>
      <c r="W5" s="6"/>
    </row>
    <row r="6" spans="1:23" ht="16.2">
      <c r="A6" s="7"/>
      <c r="B6" s="192" t="s">
        <v>1</v>
      </c>
      <c r="C6" s="11"/>
      <c r="D6" s="11"/>
      <c r="E6" s="11"/>
      <c r="F6" s="11"/>
      <c r="G6" s="11"/>
      <c r="H6" s="11"/>
      <c r="I6" s="11"/>
      <c r="J6" s="11"/>
      <c r="K6" s="11"/>
      <c r="L6" s="11"/>
      <c r="M6" s="9"/>
      <c r="N6" s="9"/>
      <c r="O6" s="9"/>
      <c r="P6" s="9"/>
      <c r="Q6" s="9"/>
      <c r="R6" s="9"/>
      <c r="S6" s="9"/>
      <c r="T6" s="9"/>
      <c r="U6" s="9"/>
      <c r="V6" s="194"/>
      <c r="W6" s="6"/>
    </row>
    <row r="7" spans="1:23" ht="16.2">
      <c r="A7" s="7"/>
      <c r="B7" s="192" t="s">
        <v>2</v>
      </c>
      <c r="C7" s="11"/>
      <c r="D7" s="11"/>
      <c r="E7" s="11"/>
      <c r="F7" s="11"/>
      <c r="G7" s="11"/>
      <c r="H7" s="11"/>
      <c r="I7" s="11"/>
      <c r="J7" s="11"/>
      <c r="K7" s="11"/>
      <c r="L7" s="11"/>
      <c r="M7" s="9"/>
      <c r="N7" s="9"/>
      <c r="O7" s="9"/>
      <c r="P7" s="9"/>
      <c r="Q7" s="9"/>
      <c r="R7" s="9"/>
      <c r="S7" s="9"/>
      <c r="T7" s="9"/>
      <c r="U7" s="9"/>
      <c r="V7" s="194"/>
      <c r="W7" s="6"/>
    </row>
    <row r="8" spans="1:23" ht="16.2">
      <c r="A8" s="7"/>
      <c r="B8" s="12"/>
      <c r="C8" s="11"/>
      <c r="D8" s="11"/>
      <c r="E8" s="11"/>
      <c r="F8" s="11"/>
      <c r="G8" s="11"/>
      <c r="H8" s="11"/>
      <c r="I8" s="11"/>
      <c r="J8" s="11"/>
      <c r="K8" s="11"/>
      <c r="L8" s="11"/>
      <c r="M8" s="9"/>
      <c r="N8" s="9"/>
      <c r="O8" s="9"/>
      <c r="P8" s="9"/>
      <c r="Q8" s="9"/>
      <c r="R8" s="9"/>
      <c r="S8" s="9"/>
      <c r="T8" s="9"/>
      <c r="U8" s="9"/>
      <c r="V8" s="194"/>
      <c r="W8" s="6"/>
    </row>
    <row r="9" spans="1:23" ht="18">
      <c r="A9" s="7"/>
      <c r="B9" s="178" t="s">
        <v>194</v>
      </c>
      <c r="C9" s="11"/>
      <c r="D9" s="11"/>
      <c r="E9" s="11"/>
      <c r="F9" s="11"/>
      <c r="G9" s="11"/>
      <c r="H9" s="11"/>
      <c r="I9" s="179" t="s">
        <v>195</v>
      </c>
      <c r="J9" s="11"/>
      <c r="K9" s="11"/>
      <c r="L9" s="11"/>
      <c r="M9" s="9"/>
      <c r="N9" s="9"/>
      <c r="O9" s="9"/>
      <c r="P9" s="9"/>
      <c r="Q9" s="9"/>
      <c r="R9" s="9"/>
      <c r="S9" s="9"/>
      <c r="T9" s="9"/>
      <c r="U9" s="9"/>
      <c r="V9" s="194"/>
      <c r="W9" s="6"/>
    </row>
    <row r="10" spans="1:23" ht="16.2">
      <c r="A10" s="7"/>
      <c r="B10" s="11"/>
      <c r="C10" s="11"/>
      <c r="D10" s="11"/>
      <c r="E10" s="11"/>
      <c r="F10" s="11"/>
      <c r="G10" s="11"/>
      <c r="H10" s="11"/>
      <c r="I10" s="11"/>
      <c r="J10" s="11"/>
      <c r="K10" s="11"/>
      <c r="L10" s="11"/>
      <c r="M10" s="13"/>
      <c r="N10" s="13"/>
      <c r="O10" s="9"/>
      <c r="P10" s="9"/>
      <c r="Q10" s="9"/>
      <c r="R10" s="9"/>
      <c r="S10" s="9"/>
      <c r="T10" s="9"/>
      <c r="U10" s="9"/>
      <c r="V10" s="194"/>
      <c r="W10" s="6"/>
    </row>
    <row r="11" spans="1:23" ht="15.6">
      <c r="A11" s="7"/>
      <c r="B11" s="13" t="s">
        <v>3</v>
      </c>
      <c r="C11" s="13"/>
      <c r="D11" s="13"/>
      <c r="E11" s="13"/>
      <c r="F11" s="13"/>
      <c r="G11" s="13"/>
      <c r="H11" s="13"/>
      <c r="I11" s="13"/>
      <c r="J11" s="13"/>
      <c r="K11" s="13"/>
      <c r="L11" s="13"/>
      <c r="M11" s="9"/>
      <c r="N11" s="9"/>
      <c r="O11" s="9"/>
      <c r="P11" s="9"/>
      <c r="Q11" s="9"/>
      <c r="R11" s="9"/>
      <c r="S11" s="9"/>
      <c r="T11" s="9"/>
      <c r="U11" s="9"/>
      <c r="V11" s="194"/>
      <c r="W11" s="6"/>
    </row>
    <row r="12" spans="1:23" ht="16.2" thickBot="1">
      <c r="A12" s="7"/>
      <c r="B12" s="13"/>
      <c r="C12" s="13"/>
      <c r="D12" s="13"/>
      <c r="E12" s="13"/>
      <c r="F12" s="13"/>
      <c r="G12" s="13"/>
      <c r="H12" s="13"/>
      <c r="I12" s="13"/>
      <c r="J12" s="13"/>
      <c r="K12" s="13"/>
      <c r="L12" s="13"/>
      <c r="M12" s="9"/>
      <c r="N12" s="9"/>
      <c r="O12" s="9"/>
      <c r="P12" s="9"/>
      <c r="Q12" s="9"/>
      <c r="R12" s="9"/>
      <c r="S12" s="9"/>
      <c r="T12" s="9"/>
      <c r="U12" s="9"/>
      <c r="V12" s="194"/>
      <c r="W12" s="6"/>
    </row>
    <row r="13" spans="1:23" ht="15.6">
      <c r="A13" s="2"/>
      <c r="B13" s="5"/>
      <c r="C13" s="5"/>
      <c r="D13" s="5"/>
      <c r="E13" s="5"/>
      <c r="F13" s="5"/>
      <c r="G13" s="5"/>
      <c r="H13" s="5"/>
      <c r="I13" s="5"/>
      <c r="J13" s="5"/>
      <c r="K13" s="5"/>
      <c r="L13" s="5"/>
      <c r="M13" s="5"/>
      <c r="N13" s="5"/>
      <c r="O13" s="5"/>
      <c r="P13" s="5"/>
      <c r="Q13" s="5"/>
      <c r="R13" s="5"/>
      <c r="S13" s="5"/>
      <c r="T13" s="5"/>
      <c r="U13" s="5"/>
      <c r="V13" s="193"/>
      <c r="W13" s="6"/>
    </row>
    <row r="14" spans="1:23" ht="15.6">
      <c r="A14" s="7"/>
      <c r="B14" s="14" t="s">
        <v>4</v>
      </c>
      <c r="C14" s="14"/>
      <c r="D14" s="14"/>
      <c r="E14" s="14"/>
      <c r="F14" s="14"/>
      <c r="G14" s="14"/>
      <c r="H14" s="14"/>
      <c r="I14" s="14"/>
      <c r="J14" s="14"/>
      <c r="K14" s="14"/>
      <c r="L14" s="14"/>
      <c r="M14" s="15"/>
      <c r="N14" s="15"/>
      <c r="O14" s="15"/>
      <c r="P14" s="15"/>
      <c r="Q14" s="15"/>
      <c r="R14" s="15"/>
      <c r="S14" s="15"/>
      <c r="T14" s="15"/>
      <c r="U14" s="16" t="s">
        <v>126</v>
      </c>
      <c r="V14" s="194"/>
      <c r="W14" s="6"/>
    </row>
    <row r="15" spans="1:23" ht="15.6">
      <c r="A15" s="7"/>
      <c r="B15" s="14" t="s">
        <v>5</v>
      </c>
      <c r="C15" s="14"/>
      <c r="D15" s="14"/>
      <c r="E15" s="14"/>
      <c r="F15" s="14"/>
      <c r="G15" s="14"/>
      <c r="H15" s="14"/>
      <c r="I15" s="14"/>
      <c r="J15" s="14"/>
      <c r="K15" s="14"/>
      <c r="L15" s="14"/>
      <c r="M15" s="17" t="s">
        <v>93</v>
      </c>
      <c r="N15" s="18">
        <v>0.1492</v>
      </c>
      <c r="O15" s="17" t="s">
        <v>99</v>
      </c>
      <c r="P15" s="18">
        <v>5.4399999999999997E-2</v>
      </c>
      <c r="Q15" s="17" t="s">
        <v>102</v>
      </c>
      <c r="R15" s="18">
        <v>0.48899999999999999</v>
      </c>
      <c r="S15" s="17" t="s">
        <v>108</v>
      </c>
      <c r="T15" s="18">
        <v>0.30740000000000001</v>
      </c>
      <c r="U15" s="16"/>
      <c r="V15" s="195"/>
      <c r="W15" s="6"/>
    </row>
    <row r="16" spans="1:23" ht="15.6">
      <c r="A16" s="7"/>
      <c r="B16" s="14" t="s">
        <v>6</v>
      </c>
      <c r="C16" s="14"/>
      <c r="D16" s="14"/>
      <c r="E16" s="14"/>
      <c r="F16" s="14"/>
      <c r="G16" s="14"/>
      <c r="H16" s="14"/>
      <c r="I16" s="14"/>
      <c r="J16" s="14"/>
      <c r="K16" s="14"/>
      <c r="L16" s="14"/>
      <c r="M16" s="17" t="s">
        <v>93</v>
      </c>
      <c r="N16" s="18">
        <f>+N199/S222</f>
        <v>2.9965405283670418E-2</v>
      </c>
      <c r="O16" s="17" t="s">
        <v>99</v>
      </c>
      <c r="P16" s="18">
        <f>+S199/S222</f>
        <v>1.6437182125854703E-2</v>
      </c>
      <c r="Q16" s="17" t="s">
        <v>102</v>
      </c>
      <c r="R16" s="18">
        <f>+N212/S222</f>
        <v>0.81700458552026578</v>
      </c>
      <c r="S16" s="17" t="s">
        <v>108</v>
      </c>
      <c r="T16" s="18">
        <f>+S212/S222</f>
        <v>0.13659282707020914</v>
      </c>
      <c r="U16" s="16"/>
      <c r="V16" s="195"/>
      <c r="W16" s="6"/>
    </row>
    <row r="17" spans="1:23" ht="15.6">
      <c r="A17" s="7"/>
      <c r="B17" s="14" t="s">
        <v>7</v>
      </c>
      <c r="C17" s="14"/>
      <c r="D17" s="14"/>
      <c r="E17" s="14"/>
      <c r="F17" s="14"/>
      <c r="G17" s="14"/>
      <c r="H17" s="14"/>
      <c r="I17" s="14"/>
      <c r="J17" s="14"/>
      <c r="K17" s="14"/>
      <c r="L17" s="14"/>
      <c r="M17" s="15"/>
      <c r="N17" s="15"/>
      <c r="O17" s="15"/>
      <c r="P17" s="15"/>
      <c r="Q17" s="15"/>
      <c r="R17" s="15"/>
      <c r="S17" s="15"/>
      <c r="T17" s="15"/>
      <c r="U17" s="19">
        <v>38491</v>
      </c>
      <c r="V17" s="194"/>
      <c r="W17" s="6"/>
    </row>
    <row r="18" spans="1:23" ht="15.6">
      <c r="A18" s="7"/>
      <c r="B18" s="14" t="s">
        <v>8</v>
      </c>
      <c r="C18" s="14"/>
      <c r="D18" s="14"/>
      <c r="E18" s="14"/>
      <c r="F18" s="14"/>
      <c r="G18" s="14"/>
      <c r="H18" s="14"/>
      <c r="I18" s="14"/>
      <c r="J18" s="14"/>
      <c r="K18" s="14"/>
      <c r="L18" s="14"/>
      <c r="M18" s="15"/>
      <c r="N18" s="15"/>
      <c r="O18" s="15"/>
      <c r="P18" s="15"/>
      <c r="Q18" s="15"/>
      <c r="R18" s="15"/>
      <c r="S18" s="15"/>
      <c r="T18" s="15"/>
      <c r="U18" s="19">
        <v>40106</v>
      </c>
      <c r="V18" s="194"/>
      <c r="W18" s="6"/>
    </row>
    <row r="19" spans="1:23" ht="15.6">
      <c r="A19" s="7"/>
      <c r="B19" s="9"/>
      <c r="C19" s="9"/>
      <c r="D19" s="9"/>
      <c r="E19" s="9"/>
      <c r="F19" s="9"/>
      <c r="G19" s="9"/>
      <c r="H19" s="9"/>
      <c r="I19" s="9"/>
      <c r="J19" s="9"/>
      <c r="K19" s="9"/>
      <c r="L19" s="9"/>
      <c r="M19" s="9"/>
      <c r="N19" s="9"/>
      <c r="O19" s="9"/>
      <c r="P19" s="9"/>
      <c r="Q19" s="9"/>
      <c r="R19" s="9"/>
      <c r="S19" s="9"/>
      <c r="T19" s="9"/>
      <c r="U19" s="20"/>
      <c r="V19" s="194"/>
      <c r="W19" s="6"/>
    </row>
    <row r="20" spans="1:23" ht="15.6">
      <c r="A20" s="7"/>
      <c r="B20" s="21" t="s">
        <v>9</v>
      </c>
      <c r="C20" s="9"/>
      <c r="D20" s="9"/>
      <c r="E20" s="9"/>
      <c r="F20" s="9"/>
      <c r="G20" s="9"/>
      <c r="H20" s="9"/>
      <c r="I20" s="9"/>
      <c r="J20" s="9"/>
      <c r="K20" s="9"/>
      <c r="L20" s="9"/>
      <c r="M20" s="9"/>
      <c r="N20" s="9"/>
      <c r="O20" s="9"/>
      <c r="P20" s="9"/>
      <c r="Q20" s="9"/>
      <c r="R20" s="9"/>
      <c r="S20" s="20"/>
      <c r="T20" s="9"/>
      <c r="U20" s="12"/>
      <c r="V20" s="194"/>
      <c r="W20" s="6"/>
    </row>
    <row r="21" spans="1:23" ht="15.6">
      <c r="A21" s="7"/>
      <c r="B21" s="9"/>
      <c r="C21" s="9"/>
      <c r="D21" s="9"/>
      <c r="E21" s="9"/>
      <c r="F21" s="9"/>
      <c r="G21" s="9"/>
      <c r="H21" s="9"/>
      <c r="I21" s="9"/>
      <c r="J21" s="9"/>
      <c r="K21" s="9"/>
      <c r="L21" s="9"/>
      <c r="M21" s="9"/>
      <c r="N21" s="9"/>
      <c r="O21" s="9"/>
      <c r="P21" s="9"/>
      <c r="Q21" s="9"/>
      <c r="R21" s="9"/>
      <c r="S21" s="9"/>
      <c r="T21" s="9"/>
      <c r="U21" s="22"/>
      <c r="V21" s="194"/>
      <c r="W21" s="6"/>
    </row>
    <row r="22" spans="1:23" ht="15.6">
      <c r="A22" s="7"/>
      <c r="B22" s="9"/>
      <c r="C22" s="142" t="s">
        <v>130</v>
      </c>
      <c r="D22" s="142"/>
      <c r="E22" s="142" t="s">
        <v>131</v>
      </c>
      <c r="F22" s="142"/>
      <c r="G22" s="142" t="s">
        <v>132</v>
      </c>
      <c r="H22" s="142"/>
      <c r="I22" s="142" t="s">
        <v>133</v>
      </c>
      <c r="J22" s="142"/>
      <c r="K22" s="142" t="s">
        <v>134</v>
      </c>
      <c r="L22" s="142"/>
      <c r="M22" s="144" t="s">
        <v>135</v>
      </c>
      <c r="N22" s="144"/>
      <c r="O22" s="144" t="s">
        <v>136</v>
      </c>
      <c r="P22" s="144"/>
      <c r="Q22" s="144" t="s">
        <v>137</v>
      </c>
      <c r="R22" s="23"/>
      <c r="S22" s="24"/>
      <c r="T22" s="12"/>
      <c r="U22" s="12"/>
      <c r="V22" s="194"/>
      <c r="W22" s="6"/>
    </row>
    <row r="23" spans="1:23" ht="15.6">
      <c r="A23" s="25"/>
      <c r="B23" s="26" t="s">
        <v>10</v>
      </c>
      <c r="C23" s="157" t="s">
        <v>96</v>
      </c>
      <c r="D23" s="157"/>
      <c r="E23" s="157" t="s">
        <v>96</v>
      </c>
      <c r="F23" s="157"/>
      <c r="G23" s="157" t="s">
        <v>138</v>
      </c>
      <c r="H23" s="157"/>
      <c r="I23" s="157" t="s">
        <v>138</v>
      </c>
      <c r="J23" s="157"/>
      <c r="K23" s="157" t="s">
        <v>104</v>
      </c>
      <c r="L23" s="143"/>
      <c r="M23" s="28" t="s">
        <v>104</v>
      </c>
      <c r="N23" s="28"/>
      <c r="O23" s="28" t="s">
        <v>109</v>
      </c>
      <c r="P23" s="28"/>
      <c r="Q23" s="28" t="s">
        <v>109</v>
      </c>
      <c r="R23" s="28"/>
      <c r="S23" s="28"/>
      <c r="T23" s="29"/>
      <c r="U23" s="29"/>
      <c r="V23" s="196"/>
      <c r="W23" s="6"/>
    </row>
    <row r="24" spans="1:23" ht="15.6">
      <c r="A24" s="25"/>
      <c r="B24" s="26" t="s">
        <v>11</v>
      </c>
      <c r="C24" s="157" t="s">
        <v>97</v>
      </c>
      <c r="D24" s="157"/>
      <c r="E24" s="157" t="s">
        <v>97</v>
      </c>
      <c r="F24" s="157"/>
      <c r="G24" s="157" t="s">
        <v>139</v>
      </c>
      <c r="H24" s="157"/>
      <c r="I24" s="157" t="s">
        <v>139</v>
      </c>
      <c r="J24" s="157"/>
      <c r="K24" s="157" t="s">
        <v>105</v>
      </c>
      <c r="L24" s="27"/>
      <c r="M24" s="28" t="s">
        <v>105</v>
      </c>
      <c r="N24" s="28"/>
      <c r="O24" s="28" t="s">
        <v>110</v>
      </c>
      <c r="P24" s="28"/>
      <c r="Q24" s="28" t="s">
        <v>110</v>
      </c>
      <c r="R24" s="28"/>
      <c r="S24" s="28"/>
      <c r="T24" s="29"/>
      <c r="U24" s="29"/>
      <c r="V24" s="196"/>
      <c r="W24" s="6"/>
    </row>
    <row r="25" spans="1:23" ht="15.6">
      <c r="A25" s="25"/>
      <c r="B25" s="30" t="s">
        <v>12</v>
      </c>
      <c r="C25" s="110" t="s">
        <v>96</v>
      </c>
      <c r="D25" s="110"/>
      <c r="E25" s="110" t="s">
        <v>96</v>
      </c>
      <c r="F25" s="110"/>
      <c r="G25" s="110" t="s">
        <v>138</v>
      </c>
      <c r="H25" s="110"/>
      <c r="I25" s="110" t="s">
        <v>138</v>
      </c>
      <c r="J25" s="30"/>
      <c r="K25" s="110" t="s">
        <v>104</v>
      </c>
      <c r="L25" s="30"/>
      <c r="M25" s="31" t="s">
        <v>104</v>
      </c>
      <c r="N25" s="28"/>
      <c r="O25" s="31" t="s">
        <v>109</v>
      </c>
      <c r="P25" s="28"/>
      <c r="Q25" s="31" t="s">
        <v>109</v>
      </c>
      <c r="R25" s="31"/>
      <c r="S25" s="31"/>
      <c r="T25" s="32"/>
      <c r="U25" s="29"/>
      <c r="V25" s="196"/>
      <c r="W25" s="6"/>
    </row>
    <row r="26" spans="1:23" ht="15.6">
      <c r="A26" s="25"/>
      <c r="B26" s="30" t="s">
        <v>13</v>
      </c>
      <c r="C26" s="110" t="s">
        <v>97</v>
      </c>
      <c r="D26" s="110"/>
      <c r="E26" s="110" t="s">
        <v>97</v>
      </c>
      <c r="F26" s="110"/>
      <c r="G26" s="110" t="s">
        <v>139</v>
      </c>
      <c r="H26" s="110"/>
      <c r="I26" s="110" t="s">
        <v>139</v>
      </c>
      <c r="J26" s="30"/>
      <c r="K26" s="110" t="s">
        <v>105</v>
      </c>
      <c r="L26" s="30"/>
      <c r="M26" s="31" t="s">
        <v>105</v>
      </c>
      <c r="N26" s="28"/>
      <c r="O26" s="31" t="s">
        <v>110</v>
      </c>
      <c r="P26" s="28"/>
      <c r="Q26" s="31" t="s">
        <v>110</v>
      </c>
      <c r="R26" s="31"/>
      <c r="S26" s="31"/>
      <c r="T26" s="32"/>
      <c r="U26" s="29"/>
      <c r="V26" s="196"/>
      <c r="W26" s="6"/>
    </row>
    <row r="27" spans="1:23" ht="15.6">
      <c r="A27" s="25"/>
      <c r="B27" s="26" t="s">
        <v>14</v>
      </c>
      <c r="C27" s="33" t="s">
        <v>140</v>
      </c>
      <c r="D27" s="26"/>
      <c r="E27" s="33" t="s">
        <v>141</v>
      </c>
      <c r="F27" s="26"/>
      <c r="G27" s="33" t="s">
        <v>142</v>
      </c>
      <c r="H27" s="26"/>
      <c r="I27" s="33" t="s">
        <v>258</v>
      </c>
      <c r="J27" s="26"/>
      <c r="K27" s="33" t="s">
        <v>143</v>
      </c>
      <c r="L27" s="26"/>
      <c r="M27" s="26" t="s">
        <v>144</v>
      </c>
      <c r="N27" s="28"/>
      <c r="O27" s="26" t="s">
        <v>145</v>
      </c>
      <c r="P27" s="28"/>
      <c r="Q27" s="26" t="s">
        <v>146</v>
      </c>
      <c r="R27" s="28"/>
      <c r="S27" s="33"/>
      <c r="T27" s="29"/>
      <c r="U27" s="29"/>
      <c r="V27" s="196"/>
      <c r="W27" s="6"/>
    </row>
    <row r="28" spans="1:23" ht="15.6">
      <c r="A28" s="25"/>
      <c r="B28" s="26" t="s">
        <v>147</v>
      </c>
      <c r="C28" s="168">
        <v>146000</v>
      </c>
      <c r="D28" s="33"/>
      <c r="E28" s="165">
        <v>259500</v>
      </c>
      <c r="F28" s="33"/>
      <c r="G28" s="168">
        <v>16000</v>
      </c>
      <c r="H28" s="33"/>
      <c r="I28" s="165">
        <v>35500</v>
      </c>
      <c r="J28" s="26"/>
      <c r="K28" s="168">
        <v>18000</v>
      </c>
      <c r="L28" s="26"/>
      <c r="M28" s="165">
        <v>33000</v>
      </c>
      <c r="N28" s="35"/>
      <c r="O28" s="34">
        <v>24500</v>
      </c>
      <c r="P28" s="34"/>
      <c r="Q28" s="165">
        <v>30000</v>
      </c>
      <c r="R28" s="34"/>
      <c r="S28" s="34"/>
      <c r="T28" s="36"/>
      <c r="U28" s="34"/>
      <c r="V28" s="197"/>
      <c r="W28" s="6"/>
    </row>
    <row r="29" spans="1:23" ht="15.6">
      <c r="A29" s="25"/>
      <c r="B29" s="26" t="s">
        <v>15</v>
      </c>
      <c r="C29" s="168">
        <f>C28*C35</f>
        <v>97564.324800000002</v>
      </c>
      <c r="D29" s="169"/>
      <c r="E29" s="165">
        <f>E28*E35</f>
        <v>173410.56359999999</v>
      </c>
      <c r="F29" s="169"/>
      <c r="G29" s="168">
        <v>16000</v>
      </c>
      <c r="H29" s="169"/>
      <c r="I29" s="165">
        <v>35500</v>
      </c>
      <c r="J29" s="38"/>
      <c r="K29" s="168">
        <v>18000</v>
      </c>
      <c r="L29" s="38"/>
      <c r="M29" s="165">
        <v>33000</v>
      </c>
      <c r="N29" s="35"/>
      <c r="O29" s="34">
        <v>24500</v>
      </c>
      <c r="P29" s="34"/>
      <c r="Q29" s="165">
        <v>30000</v>
      </c>
      <c r="R29" s="39"/>
      <c r="S29" s="34"/>
      <c r="T29" s="36"/>
      <c r="U29" s="34"/>
      <c r="V29" s="197"/>
      <c r="W29" s="6"/>
    </row>
    <row r="30" spans="1:23" ht="15.6">
      <c r="A30" s="40"/>
      <c r="B30" s="30" t="s">
        <v>148</v>
      </c>
      <c r="C30" s="162">
        <f>C34*C28</f>
        <v>87285.691200000001</v>
      </c>
      <c r="D30" s="170"/>
      <c r="E30" s="171">
        <f>E34*E28</f>
        <v>155141.34840000002</v>
      </c>
      <c r="F30" s="170"/>
      <c r="G30" s="162">
        <v>16000</v>
      </c>
      <c r="H30" s="170"/>
      <c r="I30" s="171">
        <v>35500</v>
      </c>
      <c r="J30" s="159"/>
      <c r="K30" s="162">
        <v>18000</v>
      </c>
      <c r="L30" s="41"/>
      <c r="M30" s="166">
        <v>33000</v>
      </c>
      <c r="N30" s="43"/>
      <c r="O30" s="42">
        <v>24500</v>
      </c>
      <c r="P30" s="42"/>
      <c r="Q30" s="166">
        <v>30000</v>
      </c>
      <c r="R30" s="42"/>
      <c r="S30" s="42"/>
      <c r="T30" s="44"/>
      <c r="U30" s="42"/>
      <c r="V30" s="196"/>
      <c r="W30" s="6"/>
    </row>
    <row r="31" spans="1:23" ht="15.6">
      <c r="A31" s="40"/>
      <c r="B31" s="158" t="s">
        <v>260</v>
      </c>
      <c r="C31" s="172">
        <v>146000</v>
      </c>
      <c r="D31" s="173"/>
      <c r="E31" s="172">
        <v>178000</v>
      </c>
      <c r="F31" s="172"/>
      <c r="G31" s="172">
        <v>16000</v>
      </c>
      <c r="H31" s="172"/>
      <c r="I31" s="172">
        <v>24500</v>
      </c>
      <c r="J31" s="161"/>
      <c r="K31" s="172">
        <v>18000</v>
      </c>
      <c r="L31" s="161"/>
      <c r="M31" s="167">
        <v>22500</v>
      </c>
      <c r="N31" s="164"/>
      <c r="O31" s="167">
        <v>24500</v>
      </c>
      <c r="P31" s="163"/>
      <c r="Q31" s="167">
        <v>20500</v>
      </c>
      <c r="R31" s="42"/>
      <c r="S31" s="42"/>
      <c r="T31" s="44"/>
      <c r="U31" s="34">
        <f>+Q31+O31+M31+K31+I31+G31+E31+C31</f>
        <v>450000</v>
      </c>
      <c r="V31" s="196"/>
      <c r="W31" s="6"/>
    </row>
    <row r="32" spans="1:23" ht="15.6">
      <c r="A32" s="40"/>
      <c r="B32" s="158" t="s">
        <v>261</v>
      </c>
      <c r="C32" s="172">
        <f>C28*C35</f>
        <v>97564.324800000002</v>
      </c>
      <c r="D32" s="173"/>
      <c r="E32" s="172">
        <f>E31*E35</f>
        <v>118948.2864</v>
      </c>
      <c r="F32" s="172"/>
      <c r="G32" s="172">
        <v>16000</v>
      </c>
      <c r="H32" s="172"/>
      <c r="I32" s="172">
        <v>24500</v>
      </c>
      <c r="J32" s="161"/>
      <c r="K32" s="172">
        <v>18000</v>
      </c>
      <c r="L32" s="161"/>
      <c r="M32" s="167">
        <v>22500</v>
      </c>
      <c r="N32" s="164"/>
      <c r="O32" s="167">
        <v>24500</v>
      </c>
      <c r="P32" s="163"/>
      <c r="Q32" s="167">
        <v>20500</v>
      </c>
      <c r="R32" s="42"/>
      <c r="S32" s="42"/>
      <c r="T32" s="44"/>
      <c r="U32" s="34">
        <f>+Q32+O32+M32+K32+I32+G32+E32+C32</f>
        <v>342512.61119999998</v>
      </c>
      <c r="V32" s="196"/>
      <c r="W32" s="6"/>
    </row>
    <row r="33" spans="1:23" ht="15.6">
      <c r="A33" s="40"/>
      <c r="B33" s="30" t="s">
        <v>262</v>
      </c>
      <c r="C33" s="162">
        <f>C34*C28</f>
        <v>87285.691200000001</v>
      </c>
      <c r="D33" s="162"/>
      <c r="E33" s="162">
        <f>E34*E31</f>
        <v>106416.80160000001</v>
      </c>
      <c r="F33" s="162"/>
      <c r="G33" s="162">
        <v>16000</v>
      </c>
      <c r="H33" s="162"/>
      <c r="I33" s="162">
        <v>24500</v>
      </c>
      <c r="J33" s="160"/>
      <c r="K33" s="162">
        <v>18000</v>
      </c>
      <c r="L33" s="160"/>
      <c r="M33" s="162">
        <v>22500</v>
      </c>
      <c r="N33" s="160"/>
      <c r="O33" s="162">
        <v>24500</v>
      </c>
      <c r="P33" s="162"/>
      <c r="Q33" s="162">
        <v>20500</v>
      </c>
      <c r="R33" s="42"/>
      <c r="S33" s="42"/>
      <c r="T33" s="44"/>
      <c r="U33" s="42">
        <f>+Q33+O33+M33+K33+I33+G33+E33+C33</f>
        <v>319702.49280000001</v>
      </c>
      <c r="V33" s="196"/>
      <c r="W33" s="6"/>
    </row>
    <row r="34" spans="1:23" ht="15.6">
      <c r="A34" s="40"/>
      <c r="B34" s="174" t="s">
        <v>149</v>
      </c>
      <c r="C34" s="175">
        <v>0.59784720000000002</v>
      </c>
      <c r="D34" s="175"/>
      <c r="E34" s="175">
        <v>0.59784720000000002</v>
      </c>
      <c r="F34" s="175"/>
      <c r="G34" s="175">
        <v>1</v>
      </c>
      <c r="H34" s="175"/>
      <c r="I34" s="175">
        <v>1</v>
      </c>
      <c r="J34" s="175"/>
      <c r="K34" s="175">
        <v>1</v>
      </c>
      <c r="L34" s="175"/>
      <c r="M34" s="175">
        <v>1</v>
      </c>
      <c r="N34" s="175"/>
      <c r="O34" s="175">
        <v>1</v>
      </c>
      <c r="P34" s="175"/>
      <c r="Q34" s="175">
        <v>1</v>
      </c>
      <c r="R34" s="176"/>
      <c r="S34" s="42"/>
      <c r="T34" s="44"/>
      <c r="U34" s="42"/>
      <c r="V34" s="196"/>
      <c r="W34" s="6"/>
    </row>
    <row r="35" spans="1:23" ht="15.6">
      <c r="A35" s="40"/>
      <c r="B35" s="174" t="s">
        <v>150</v>
      </c>
      <c r="C35" s="175">
        <v>0.66824879999999998</v>
      </c>
      <c r="D35" s="175"/>
      <c r="E35" s="175">
        <v>0.66824879999999998</v>
      </c>
      <c r="F35" s="175"/>
      <c r="G35" s="175">
        <v>1</v>
      </c>
      <c r="H35" s="175"/>
      <c r="I35" s="175">
        <v>1</v>
      </c>
      <c r="J35" s="175"/>
      <c r="K35" s="175">
        <v>1</v>
      </c>
      <c r="L35" s="175"/>
      <c r="M35" s="175">
        <v>1</v>
      </c>
      <c r="N35" s="175"/>
      <c r="O35" s="175">
        <v>1</v>
      </c>
      <c r="P35" s="175"/>
      <c r="Q35" s="175">
        <v>1</v>
      </c>
      <c r="R35" s="176"/>
      <c r="S35" s="42"/>
      <c r="T35" s="44"/>
      <c r="U35" s="42"/>
      <c r="V35" s="196"/>
      <c r="W35" s="6"/>
    </row>
    <row r="36" spans="1:23" ht="15.6">
      <c r="A36" s="25"/>
      <c r="B36" s="26" t="s">
        <v>153</v>
      </c>
      <c r="C36" s="157" t="s">
        <v>157</v>
      </c>
      <c r="D36" s="157"/>
      <c r="E36" s="157" t="s">
        <v>157</v>
      </c>
      <c r="F36" s="157"/>
      <c r="G36" s="157" t="s">
        <v>158</v>
      </c>
      <c r="H36" s="157"/>
      <c r="I36" s="157" t="s">
        <v>158</v>
      </c>
      <c r="J36" s="157"/>
      <c r="K36" s="157" t="s">
        <v>159</v>
      </c>
      <c r="L36" s="184"/>
      <c r="M36" s="157" t="s">
        <v>160</v>
      </c>
      <c r="N36" s="158"/>
      <c r="O36" s="157" t="s">
        <v>161</v>
      </c>
      <c r="P36" s="157"/>
      <c r="Q36" s="157" t="s">
        <v>162</v>
      </c>
      <c r="R36" s="157"/>
      <c r="S36" s="157"/>
      <c r="T36" s="158"/>
      <c r="U36" s="29"/>
      <c r="V36" s="196"/>
      <c r="W36" s="6"/>
    </row>
    <row r="37" spans="1:23" ht="15.6">
      <c r="A37" s="25"/>
      <c r="B37" s="26" t="s">
        <v>151</v>
      </c>
      <c r="C37" s="185">
        <v>1.21213E-2</v>
      </c>
      <c r="D37" s="185"/>
      <c r="E37" s="185">
        <v>1.2160000000000001E-2</v>
      </c>
      <c r="F37" s="185"/>
      <c r="G37" s="185">
        <v>1.32213E-2</v>
      </c>
      <c r="H37" s="185"/>
      <c r="I37" s="185">
        <v>1.3259999999999999E-2</v>
      </c>
      <c r="J37" s="185"/>
      <c r="K37" s="185">
        <v>1.5921299999999999E-2</v>
      </c>
      <c r="L37" s="185"/>
      <c r="M37" s="185">
        <v>1.566E-2</v>
      </c>
      <c r="N37" s="185"/>
      <c r="O37" s="185">
        <v>1.9421299999999999E-2</v>
      </c>
      <c r="P37" s="185"/>
      <c r="Q37" s="185">
        <v>1.8960000000000001E-2</v>
      </c>
      <c r="R37" s="186"/>
      <c r="S37" s="185"/>
      <c r="T37" s="158"/>
      <c r="U37" s="33"/>
      <c r="V37" s="196"/>
      <c r="W37" s="6"/>
    </row>
    <row r="38" spans="1:23" ht="15.6">
      <c r="A38" s="25"/>
      <c r="B38" s="26" t="s">
        <v>152</v>
      </c>
      <c r="C38" s="185">
        <v>1.7543799999999998E-2</v>
      </c>
      <c r="D38" s="185"/>
      <c r="E38" s="185">
        <v>1.6549999999999999E-2</v>
      </c>
      <c r="F38" s="185"/>
      <c r="G38" s="185">
        <v>1.8643799999999999E-2</v>
      </c>
      <c r="H38" s="185"/>
      <c r="I38" s="185">
        <v>1.7649999999999999E-2</v>
      </c>
      <c r="J38" s="185"/>
      <c r="K38" s="185">
        <v>2.13438E-2</v>
      </c>
      <c r="L38" s="185"/>
      <c r="M38" s="185">
        <v>2.0049999999999998E-2</v>
      </c>
      <c r="N38" s="185"/>
      <c r="O38" s="185">
        <v>2.4843799999999999E-2</v>
      </c>
      <c r="P38" s="185"/>
      <c r="Q38" s="185">
        <v>2.3349999999999999E-2</v>
      </c>
      <c r="R38" s="186"/>
      <c r="S38" s="185"/>
      <c r="T38" s="158"/>
      <c r="U38" s="29"/>
      <c r="V38" s="196"/>
      <c r="W38" s="6"/>
    </row>
    <row r="39" spans="1:23" ht="15.6">
      <c r="A39" s="25"/>
      <c r="B39" s="26" t="s">
        <v>263</v>
      </c>
      <c r="C39" s="157" t="s">
        <v>157</v>
      </c>
      <c r="D39" s="185"/>
      <c r="E39" s="185" t="s">
        <v>198</v>
      </c>
      <c r="F39" s="185"/>
      <c r="G39" s="157" t="s">
        <v>158</v>
      </c>
      <c r="H39" s="185"/>
      <c r="I39" s="185" t="s">
        <v>225</v>
      </c>
      <c r="J39" s="185"/>
      <c r="K39" s="157" t="s">
        <v>159</v>
      </c>
      <c r="L39" s="185"/>
      <c r="M39" s="185" t="s">
        <v>199</v>
      </c>
      <c r="N39" s="185"/>
      <c r="O39" s="157" t="s">
        <v>161</v>
      </c>
      <c r="P39" s="185"/>
      <c r="Q39" s="185" t="s">
        <v>200</v>
      </c>
      <c r="R39" s="186"/>
      <c r="S39" s="185"/>
      <c r="T39" s="158"/>
      <c r="U39" s="29"/>
      <c r="V39" s="196"/>
      <c r="W39" s="6"/>
    </row>
    <row r="40" spans="1:23" ht="15.6">
      <c r="A40" s="25"/>
      <c r="B40" s="26" t="s">
        <v>264</v>
      </c>
      <c r="C40" s="185">
        <f>+C37</f>
        <v>1.21213E-2</v>
      </c>
      <c r="D40" s="185"/>
      <c r="E40" s="185">
        <v>1.24093E-2</v>
      </c>
      <c r="F40" s="185"/>
      <c r="G40" s="185">
        <f>+G37</f>
        <v>1.32213E-2</v>
      </c>
      <c r="H40" s="185"/>
      <c r="I40" s="185">
        <v>1.3587800000000001E-2</v>
      </c>
      <c r="J40" s="185"/>
      <c r="K40" s="185">
        <f>+K37</f>
        <v>1.5921299999999999E-2</v>
      </c>
      <c r="L40" s="184"/>
      <c r="M40" s="185">
        <v>1.6201500000000001E-2</v>
      </c>
      <c r="N40" s="184"/>
      <c r="O40" s="185">
        <f>+O37</f>
        <v>1.9421299999999999E-2</v>
      </c>
      <c r="P40" s="185"/>
      <c r="Q40" s="185">
        <v>1.9834500000000001E-2</v>
      </c>
      <c r="R40" s="186"/>
      <c r="S40" s="185"/>
      <c r="T40" s="158"/>
      <c r="U40" s="45">
        <f>SUMPRODUCT(C40:Q40,C32:Q32)/U32</f>
        <v>1.3829153776343523E-2</v>
      </c>
      <c r="V40" s="196"/>
      <c r="W40" s="6"/>
    </row>
    <row r="41" spans="1:23" ht="15.6">
      <c r="A41" s="25"/>
      <c r="B41" s="26" t="s">
        <v>265</v>
      </c>
      <c r="C41" s="185">
        <f>+C38</f>
        <v>1.7543799999999998E-2</v>
      </c>
      <c r="D41" s="185"/>
      <c r="E41" s="185">
        <v>1.7831799999999998E-2</v>
      </c>
      <c r="F41" s="185"/>
      <c r="G41" s="185">
        <f>+G38</f>
        <v>1.8643799999999999E-2</v>
      </c>
      <c r="H41" s="185"/>
      <c r="I41" s="185">
        <v>1.9010300000000001E-2</v>
      </c>
      <c r="J41" s="185"/>
      <c r="K41" s="185">
        <f>+K38</f>
        <v>2.13438E-2</v>
      </c>
      <c r="L41" s="184"/>
      <c r="M41" s="185">
        <v>2.1624000000000001E-2</v>
      </c>
      <c r="N41" s="184"/>
      <c r="O41" s="185">
        <f>+O38</f>
        <v>2.4843799999999999E-2</v>
      </c>
      <c r="P41" s="185"/>
      <c r="Q41" s="185">
        <v>2.5257000000000002E-2</v>
      </c>
      <c r="R41" s="186"/>
      <c r="S41" s="185"/>
      <c r="T41" s="158"/>
      <c r="U41" s="29"/>
      <c r="V41" s="196"/>
      <c r="W41" s="6"/>
    </row>
    <row r="42" spans="1:23" ht="15.6">
      <c r="A42" s="25"/>
      <c r="B42" s="26" t="s">
        <v>17</v>
      </c>
      <c r="C42" s="187">
        <v>39918</v>
      </c>
      <c r="D42" s="187"/>
      <c r="E42" s="187">
        <v>39918</v>
      </c>
      <c r="F42" s="187"/>
      <c r="G42" s="187">
        <v>39918</v>
      </c>
      <c r="H42" s="187"/>
      <c r="I42" s="187">
        <v>39918</v>
      </c>
      <c r="J42" s="187"/>
      <c r="K42" s="187">
        <v>39918</v>
      </c>
      <c r="L42" s="187"/>
      <c r="M42" s="187">
        <v>39918</v>
      </c>
      <c r="N42" s="187"/>
      <c r="O42" s="187">
        <v>39918</v>
      </c>
      <c r="P42" s="187"/>
      <c r="Q42" s="187">
        <v>39918</v>
      </c>
      <c r="R42" s="157"/>
      <c r="S42" s="157"/>
      <c r="T42" s="158"/>
      <c r="U42" s="29"/>
      <c r="V42" s="196"/>
      <c r="W42" s="6"/>
    </row>
    <row r="43" spans="1:23" ht="15.6">
      <c r="A43" s="25"/>
      <c r="B43" s="26" t="s">
        <v>18</v>
      </c>
      <c r="C43" s="46">
        <v>40283</v>
      </c>
      <c r="D43" s="51"/>
      <c r="E43" s="46">
        <v>40283</v>
      </c>
      <c r="F43" s="51"/>
      <c r="G43" s="46">
        <v>40283</v>
      </c>
      <c r="H43" s="51"/>
      <c r="I43" s="46">
        <v>40283</v>
      </c>
      <c r="J43" s="51"/>
      <c r="K43" s="46">
        <v>40283</v>
      </c>
      <c r="L43" s="51"/>
      <c r="M43" s="46">
        <v>40283</v>
      </c>
      <c r="N43" s="51"/>
      <c r="O43" s="46">
        <v>40283</v>
      </c>
      <c r="P43" s="46"/>
      <c r="Q43" s="46">
        <v>40283</v>
      </c>
      <c r="R43" s="33"/>
      <c r="S43" s="33"/>
      <c r="T43" s="29"/>
      <c r="U43" s="29"/>
      <c r="V43" s="196"/>
      <c r="W43" s="6"/>
    </row>
    <row r="44" spans="1:23" ht="15.6">
      <c r="A44" s="25"/>
      <c r="B44" s="26" t="s">
        <v>154</v>
      </c>
      <c r="C44" s="33" t="s">
        <v>163</v>
      </c>
      <c r="D44" s="33"/>
      <c r="E44" s="33" t="s">
        <v>163</v>
      </c>
      <c r="F44" s="33"/>
      <c r="G44" s="33" t="s">
        <v>164</v>
      </c>
      <c r="H44" s="33"/>
      <c r="I44" s="33" t="s">
        <v>164</v>
      </c>
      <c r="J44" s="33"/>
      <c r="K44" s="33" t="s">
        <v>106</v>
      </c>
      <c r="L44" s="33"/>
      <c r="M44" s="33" t="s">
        <v>165</v>
      </c>
      <c r="N44" s="33"/>
      <c r="O44" s="33" t="s">
        <v>166</v>
      </c>
      <c r="P44" s="33"/>
      <c r="Q44" s="33" t="s">
        <v>167</v>
      </c>
      <c r="R44" s="33"/>
      <c r="S44" s="33"/>
      <c r="T44" s="29"/>
      <c r="U44" s="29"/>
      <c r="V44" s="196"/>
      <c r="W44" s="6"/>
    </row>
    <row r="45" spans="1:23" ht="15.6">
      <c r="A45" s="25"/>
      <c r="B45" s="26" t="s">
        <v>266</v>
      </c>
      <c r="C45" s="33" t="s">
        <v>163</v>
      </c>
      <c r="D45" s="26"/>
      <c r="E45" s="33" t="s">
        <v>228</v>
      </c>
      <c r="F45" s="26"/>
      <c r="G45" s="33" t="s">
        <v>164</v>
      </c>
      <c r="H45" s="26"/>
      <c r="I45" s="33" t="s">
        <v>226</v>
      </c>
      <c r="J45" s="26"/>
      <c r="K45" s="33" t="s">
        <v>106</v>
      </c>
      <c r="L45" s="26"/>
      <c r="M45" s="33" t="s">
        <v>227</v>
      </c>
      <c r="N45" s="26"/>
      <c r="O45" s="33" t="s">
        <v>166</v>
      </c>
      <c r="P45" s="33"/>
      <c r="Q45" s="33" t="s">
        <v>229</v>
      </c>
      <c r="R45" s="33"/>
      <c r="S45" s="33"/>
      <c r="T45" s="29"/>
      <c r="U45" s="29"/>
      <c r="V45" s="196"/>
      <c r="W45" s="6"/>
    </row>
    <row r="46" spans="1:23" ht="15.6">
      <c r="A46" s="25"/>
      <c r="B46" s="26"/>
      <c r="C46" s="26"/>
      <c r="D46" s="26"/>
      <c r="E46" s="26"/>
      <c r="F46" s="26"/>
      <c r="G46" s="26"/>
      <c r="H46" s="26"/>
      <c r="I46" s="26"/>
      <c r="J46" s="26"/>
      <c r="K46" s="26"/>
      <c r="L46" s="26"/>
      <c r="M46" s="47"/>
      <c r="N46" s="47"/>
      <c r="O46" s="26"/>
      <c r="P46" s="47"/>
      <c r="Q46" s="47"/>
      <c r="R46" s="47"/>
      <c r="S46" s="47"/>
      <c r="T46" s="47"/>
      <c r="U46" s="47"/>
      <c r="V46" s="196"/>
      <c r="W46" s="6"/>
    </row>
    <row r="47" spans="1:23" ht="15.6">
      <c r="A47" s="25"/>
      <c r="B47" s="26" t="s">
        <v>201</v>
      </c>
      <c r="C47" s="26"/>
      <c r="D47" s="26"/>
      <c r="E47" s="26"/>
      <c r="F47" s="26"/>
      <c r="G47" s="26"/>
      <c r="H47" s="26"/>
      <c r="I47" s="26"/>
      <c r="J47" s="26"/>
      <c r="K47" s="26"/>
      <c r="L47" s="26"/>
      <c r="M47" s="26"/>
      <c r="N47" s="26"/>
      <c r="O47" s="26"/>
      <c r="P47" s="26"/>
      <c r="Q47" s="26"/>
      <c r="R47" s="26"/>
      <c r="S47" s="26"/>
      <c r="T47" s="26"/>
      <c r="U47" s="45">
        <f>SUM(G31:Q31)/(C31+E31)</f>
        <v>0.3888888888888889</v>
      </c>
      <c r="V47" s="196"/>
      <c r="W47" s="6"/>
    </row>
    <row r="48" spans="1:23" ht="15.6">
      <c r="A48" s="25"/>
      <c r="B48" s="26" t="s">
        <v>202</v>
      </c>
      <c r="C48" s="26"/>
      <c r="D48" s="26"/>
      <c r="E48" s="26"/>
      <c r="F48" s="26"/>
      <c r="G48" s="26"/>
      <c r="H48" s="26"/>
      <c r="I48" s="26"/>
      <c r="J48" s="26"/>
      <c r="K48" s="26"/>
      <c r="L48" s="26"/>
      <c r="M48" s="26"/>
      <c r="N48" s="26"/>
      <c r="O48" s="26"/>
      <c r="P48" s="26"/>
      <c r="Q48" s="26"/>
      <c r="R48" s="26"/>
      <c r="S48" s="26"/>
      <c r="T48" s="26"/>
      <c r="U48" s="45">
        <f>SUM(F33:Q33)/(C33+E33)</f>
        <v>0.65048207784345047</v>
      </c>
      <c r="V48" s="196"/>
      <c r="W48" s="6"/>
    </row>
    <row r="49" spans="1:23" ht="15.6">
      <c r="A49" s="25"/>
      <c r="B49" s="26" t="s">
        <v>203</v>
      </c>
      <c r="C49" s="26"/>
      <c r="D49" s="26"/>
      <c r="E49" s="26"/>
      <c r="F49" s="26"/>
      <c r="G49" s="26"/>
      <c r="H49" s="26"/>
      <c r="I49" s="26"/>
      <c r="J49" s="26"/>
      <c r="K49" s="26"/>
      <c r="L49" s="26"/>
      <c r="M49" s="26"/>
      <c r="N49" s="26"/>
      <c r="O49" s="26"/>
      <c r="P49" s="26"/>
      <c r="Q49" s="26"/>
      <c r="R49" s="26"/>
      <c r="S49" s="33" t="s">
        <v>95</v>
      </c>
      <c r="T49" s="33" t="s">
        <v>117</v>
      </c>
      <c r="U49" s="34">
        <v>99000</v>
      </c>
      <c r="V49" s="196"/>
      <c r="W49" s="6"/>
    </row>
    <row r="50" spans="1:23" ht="15.6">
      <c r="A50" s="25"/>
      <c r="B50" s="26"/>
      <c r="C50" s="26"/>
      <c r="D50" s="26"/>
      <c r="E50" s="26"/>
      <c r="F50" s="26"/>
      <c r="G50" s="26"/>
      <c r="H50" s="26"/>
      <c r="I50" s="26"/>
      <c r="J50" s="26"/>
      <c r="K50" s="26"/>
      <c r="L50" s="26"/>
      <c r="M50" s="26"/>
      <c r="N50" s="26"/>
      <c r="O50" s="26"/>
      <c r="P50" s="26"/>
      <c r="Q50" s="26"/>
      <c r="R50" s="26"/>
      <c r="S50" s="26" t="s">
        <v>213</v>
      </c>
      <c r="T50" s="26"/>
      <c r="U50" s="48"/>
      <c r="V50" s="196"/>
      <c r="W50" s="6"/>
    </row>
    <row r="51" spans="1:23" ht="15.6">
      <c r="A51" s="25"/>
      <c r="B51" s="26" t="s">
        <v>19</v>
      </c>
      <c r="C51" s="26"/>
      <c r="D51" s="26"/>
      <c r="E51" s="26"/>
      <c r="F51" s="26"/>
      <c r="G51" s="26"/>
      <c r="H51" s="26"/>
      <c r="I51" s="26"/>
      <c r="J51" s="26"/>
      <c r="K51" s="26"/>
      <c r="L51" s="26"/>
      <c r="M51" s="26"/>
      <c r="N51" s="26"/>
      <c r="O51" s="26"/>
      <c r="P51" s="26"/>
      <c r="Q51" s="26"/>
      <c r="R51" s="26"/>
      <c r="S51" s="33"/>
      <c r="T51" s="33"/>
      <c r="U51" s="33" t="s">
        <v>118</v>
      </c>
      <c r="V51" s="196"/>
      <c r="W51" s="6"/>
    </row>
    <row r="52" spans="1:23" ht="15.6">
      <c r="A52" s="40"/>
      <c r="B52" s="30" t="s">
        <v>20</v>
      </c>
      <c r="C52" s="30"/>
      <c r="D52" s="30"/>
      <c r="E52" s="30"/>
      <c r="F52" s="30"/>
      <c r="G52" s="30"/>
      <c r="H52" s="30"/>
      <c r="I52" s="30"/>
      <c r="J52" s="30"/>
      <c r="K52" s="30"/>
      <c r="L52" s="30"/>
      <c r="M52" s="30"/>
      <c r="N52" s="30"/>
      <c r="O52" s="30"/>
      <c r="P52" s="30"/>
      <c r="Q52" s="30"/>
      <c r="R52" s="30"/>
      <c r="S52" s="49"/>
      <c r="T52" s="49"/>
      <c r="U52" s="50">
        <v>40101</v>
      </c>
      <c r="V52" s="198"/>
      <c r="W52" s="6"/>
    </row>
    <row r="53" spans="1:23" ht="15.6">
      <c r="A53" s="25"/>
      <c r="B53" s="26" t="s">
        <v>155</v>
      </c>
      <c r="C53" s="26"/>
      <c r="D53" s="26"/>
      <c r="E53" s="26"/>
      <c r="F53" s="26"/>
      <c r="G53" s="26"/>
      <c r="H53" s="26"/>
      <c r="I53" s="26"/>
      <c r="J53" s="26"/>
      <c r="K53" s="26"/>
      <c r="L53" s="26"/>
      <c r="M53" s="26"/>
      <c r="N53" s="26"/>
      <c r="O53" s="26"/>
      <c r="P53" s="26"/>
      <c r="Q53" s="29"/>
      <c r="R53" s="26">
        <f>U53-S53+1</f>
        <v>91</v>
      </c>
      <c r="S53" s="52">
        <v>39918</v>
      </c>
      <c r="T53" s="53"/>
      <c r="U53" s="52">
        <v>40008</v>
      </c>
      <c r="V53" s="196"/>
      <c r="W53" s="6"/>
    </row>
    <row r="54" spans="1:23" ht="15.6">
      <c r="A54" s="25"/>
      <c r="B54" s="26" t="s">
        <v>156</v>
      </c>
      <c r="C54" s="26"/>
      <c r="D54" s="26"/>
      <c r="E54" s="26"/>
      <c r="F54" s="26"/>
      <c r="G54" s="26"/>
      <c r="H54" s="26"/>
      <c r="I54" s="26"/>
      <c r="J54" s="26"/>
      <c r="K54" s="26"/>
      <c r="L54" s="26"/>
      <c r="M54" s="26"/>
      <c r="N54" s="26"/>
      <c r="O54" s="26"/>
      <c r="P54" s="26"/>
      <c r="Q54" s="29"/>
      <c r="R54" s="26">
        <f>U54-S54+1</f>
        <v>92</v>
      </c>
      <c r="S54" s="52">
        <v>40009</v>
      </c>
      <c r="T54" s="53"/>
      <c r="U54" s="52">
        <v>40100</v>
      </c>
      <c r="V54" s="196"/>
      <c r="W54" s="6"/>
    </row>
    <row r="55" spans="1:23" ht="15.6">
      <c r="A55" s="25"/>
      <c r="B55" s="26" t="s">
        <v>21</v>
      </c>
      <c r="C55" s="26"/>
      <c r="D55" s="26"/>
      <c r="E55" s="26"/>
      <c r="F55" s="26"/>
      <c r="G55" s="26"/>
      <c r="H55" s="26"/>
      <c r="I55" s="26"/>
      <c r="J55" s="26"/>
      <c r="K55" s="26"/>
      <c r="L55" s="26"/>
      <c r="M55" s="26"/>
      <c r="N55" s="26"/>
      <c r="O55" s="26"/>
      <c r="P55" s="26"/>
      <c r="Q55" s="26"/>
      <c r="R55" s="26"/>
      <c r="S55" s="52"/>
      <c r="T55" s="53"/>
      <c r="U55" s="52" t="s">
        <v>119</v>
      </c>
      <c r="V55" s="196"/>
      <c r="W55" s="6"/>
    </row>
    <row r="56" spans="1:23" ht="15.6">
      <c r="A56" s="25"/>
      <c r="B56" s="26" t="s">
        <v>22</v>
      </c>
      <c r="C56" s="26"/>
      <c r="D56" s="26"/>
      <c r="E56" s="26"/>
      <c r="F56" s="26"/>
      <c r="G56" s="26"/>
      <c r="H56" s="26"/>
      <c r="I56" s="26"/>
      <c r="J56" s="26"/>
      <c r="K56" s="26"/>
      <c r="L56" s="26"/>
      <c r="M56" s="26"/>
      <c r="N56" s="26"/>
      <c r="O56" s="26"/>
      <c r="P56" s="26"/>
      <c r="Q56" s="26"/>
      <c r="R56" s="26"/>
      <c r="S56" s="52"/>
      <c r="T56" s="53"/>
      <c r="U56" s="52">
        <v>40087</v>
      </c>
      <c r="V56" s="196"/>
      <c r="W56" s="6"/>
    </row>
    <row r="57" spans="1:23" ht="15.6">
      <c r="A57" s="25"/>
      <c r="B57" s="26"/>
      <c r="C57" s="26"/>
      <c r="D57" s="26"/>
      <c r="E57" s="26"/>
      <c r="F57" s="26"/>
      <c r="G57" s="26"/>
      <c r="H57" s="26"/>
      <c r="I57" s="26"/>
      <c r="J57" s="26"/>
      <c r="K57" s="26"/>
      <c r="L57" s="26"/>
      <c r="M57" s="26"/>
      <c r="N57" s="26"/>
      <c r="O57" s="26"/>
      <c r="P57" s="26"/>
      <c r="Q57" s="26"/>
      <c r="R57" s="26"/>
      <c r="S57" s="26"/>
      <c r="T57" s="26"/>
      <c r="U57" s="54"/>
      <c r="V57" s="196"/>
      <c r="W57" s="6"/>
    </row>
    <row r="58" spans="1:23" ht="15.6">
      <c r="A58" s="7"/>
      <c r="B58" s="9"/>
      <c r="C58" s="9"/>
      <c r="D58" s="9"/>
      <c r="E58" s="9"/>
      <c r="F58" s="9"/>
      <c r="G58" s="9"/>
      <c r="H58" s="9"/>
      <c r="I58" s="9"/>
      <c r="J58" s="9"/>
      <c r="K58" s="9"/>
      <c r="L58" s="9"/>
      <c r="M58" s="9"/>
      <c r="N58" s="9"/>
      <c r="O58" s="9"/>
      <c r="P58" s="9"/>
      <c r="Q58" s="9"/>
      <c r="R58" s="9"/>
      <c r="S58" s="9"/>
      <c r="T58" s="9"/>
      <c r="U58" s="55"/>
      <c r="V58" s="194"/>
      <c r="W58" s="6"/>
    </row>
    <row r="59" spans="1:23" ht="16.2" thickBot="1">
      <c r="A59" s="130"/>
      <c r="B59" s="131" t="s">
        <v>267</v>
      </c>
      <c r="C59" s="132"/>
      <c r="D59" s="132"/>
      <c r="E59" s="132"/>
      <c r="F59" s="132"/>
      <c r="G59" s="132"/>
      <c r="H59" s="132"/>
      <c r="I59" s="132"/>
      <c r="J59" s="132"/>
      <c r="K59" s="132"/>
      <c r="L59" s="132"/>
      <c r="M59" s="132"/>
      <c r="N59" s="132"/>
      <c r="O59" s="132"/>
      <c r="P59" s="132"/>
      <c r="Q59" s="132"/>
      <c r="R59" s="132"/>
      <c r="S59" s="132"/>
      <c r="T59" s="132"/>
      <c r="U59" s="133"/>
      <c r="V59" s="134"/>
      <c r="W59" s="6"/>
    </row>
    <row r="60" spans="1:23" ht="15.6">
      <c r="A60" s="2"/>
      <c r="B60" s="5" t="s">
        <v>237</v>
      </c>
      <c r="C60" s="5"/>
      <c r="D60" s="5"/>
      <c r="E60" s="5"/>
      <c r="F60" s="5"/>
      <c r="G60" s="5"/>
      <c r="H60" s="5"/>
      <c r="I60" s="5"/>
      <c r="J60" s="5"/>
      <c r="K60" s="5"/>
      <c r="L60" s="5"/>
      <c r="M60" s="5"/>
      <c r="N60" s="5"/>
      <c r="O60" s="5"/>
      <c r="P60" s="5"/>
      <c r="Q60" s="5"/>
      <c r="R60" s="5"/>
      <c r="S60" s="5"/>
      <c r="T60" s="5"/>
      <c r="U60" s="56"/>
      <c r="V60" s="193"/>
      <c r="W60" s="6"/>
    </row>
    <row r="61" spans="1:23" ht="15.6">
      <c r="A61" s="7"/>
      <c r="B61" s="57" t="s">
        <v>23</v>
      </c>
      <c r="C61" s="13"/>
      <c r="D61" s="13"/>
      <c r="E61" s="13"/>
      <c r="F61" s="13"/>
      <c r="G61" s="13"/>
      <c r="H61" s="13"/>
      <c r="I61" s="13"/>
      <c r="J61" s="13"/>
      <c r="K61" s="13"/>
      <c r="L61" s="13"/>
      <c r="M61" s="9"/>
      <c r="N61" s="9"/>
      <c r="O61" s="9"/>
      <c r="P61" s="9"/>
      <c r="Q61" s="9"/>
      <c r="R61" s="9"/>
      <c r="S61" s="9"/>
      <c r="T61" s="9"/>
      <c r="U61" s="58"/>
      <c r="V61" s="194"/>
      <c r="W61" s="6"/>
    </row>
    <row r="62" spans="1:23" ht="15.6">
      <c r="A62" s="7"/>
      <c r="B62" s="13"/>
      <c r="C62" s="13"/>
      <c r="D62" s="13"/>
      <c r="E62" s="13"/>
      <c r="F62" s="13"/>
      <c r="G62" s="13"/>
      <c r="H62" s="13"/>
      <c r="I62" s="13"/>
      <c r="J62" s="13"/>
      <c r="K62" s="13"/>
      <c r="L62" s="13"/>
      <c r="M62" s="9"/>
      <c r="N62" s="9"/>
      <c r="O62" s="9"/>
      <c r="P62" s="9"/>
      <c r="Q62" s="9"/>
      <c r="R62" s="9"/>
      <c r="S62" s="9"/>
      <c r="T62" s="9"/>
      <c r="U62" s="58"/>
      <c r="V62" s="194"/>
      <c r="W62" s="6"/>
    </row>
    <row r="63" spans="1:23" s="151" customFormat="1" ht="46.8">
      <c r="A63" s="145"/>
      <c r="B63" s="146"/>
      <c r="C63" s="147"/>
      <c r="D63" s="147"/>
      <c r="E63" s="147"/>
      <c r="F63" s="147"/>
      <c r="G63" s="147"/>
      <c r="H63" s="147"/>
      <c r="I63" s="147"/>
      <c r="J63" s="147"/>
      <c r="K63" s="147" t="s">
        <v>197</v>
      </c>
      <c r="L63" s="147"/>
      <c r="M63" s="147" t="s">
        <v>98</v>
      </c>
      <c r="N63" s="147"/>
      <c r="O63" s="147" t="s">
        <v>107</v>
      </c>
      <c r="P63" s="147"/>
      <c r="Q63" s="147" t="s">
        <v>111</v>
      </c>
      <c r="R63" s="147"/>
      <c r="S63" s="147" t="s">
        <v>113</v>
      </c>
      <c r="T63" s="147"/>
      <c r="U63" s="148" t="s">
        <v>120</v>
      </c>
      <c r="V63" s="199"/>
      <c r="W63" s="150"/>
    </row>
    <row r="64" spans="1:23" ht="15.6">
      <c r="A64" s="25"/>
      <c r="B64" s="26" t="s">
        <v>24</v>
      </c>
      <c r="C64" s="59"/>
      <c r="D64" s="59"/>
      <c r="E64" s="59"/>
      <c r="F64" s="59"/>
      <c r="G64" s="59"/>
      <c r="H64" s="59"/>
      <c r="I64" s="59"/>
      <c r="J64" s="59"/>
      <c r="K64" s="59">
        <f>265+63566+3306</f>
        <v>67137</v>
      </c>
      <c r="L64" s="59"/>
      <c r="M64" s="59">
        <v>18377</v>
      </c>
      <c r="N64" s="59"/>
      <c r="O64" s="59">
        <f>1110+6+57</f>
        <v>1173</v>
      </c>
      <c r="P64" s="59"/>
      <c r="Q64" s="59">
        <v>0</v>
      </c>
      <c r="R64" s="59"/>
      <c r="S64" s="59">
        <v>0</v>
      </c>
      <c r="T64" s="59"/>
      <c r="U64" s="60">
        <f>+M64-O64+Q64-S64</f>
        <v>17204</v>
      </c>
      <c r="V64" s="196"/>
      <c r="W64" s="6"/>
    </row>
    <row r="65" spans="1:24" ht="15.6">
      <c r="A65" s="25"/>
      <c r="B65" s="26" t="s">
        <v>25</v>
      </c>
      <c r="C65" s="59"/>
      <c r="D65" s="59"/>
      <c r="E65" s="59"/>
      <c r="F65" s="59"/>
      <c r="G65" s="59"/>
      <c r="H65" s="59"/>
      <c r="I65" s="59"/>
      <c r="J65" s="59"/>
      <c r="K65" s="59"/>
      <c r="L65" s="59"/>
      <c r="M65" s="59"/>
      <c r="N65" s="59"/>
      <c r="O65" s="59"/>
      <c r="P65" s="59"/>
      <c r="Q65" s="59">
        <v>0</v>
      </c>
      <c r="R65" s="59"/>
      <c r="S65" s="59">
        <v>0</v>
      </c>
      <c r="T65" s="59"/>
      <c r="U65" s="60">
        <f>M65-O65</f>
        <v>0</v>
      </c>
      <c r="V65" s="196"/>
      <c r="W65" s="6"/>
    </row>
    <row r="66" spans="1:24" ht="15.6">
      <c r="A66" s="25"/>
      <c r="B66" s="26"/>
      <c r="C66" s="59"/>
      <c r="D66" s="59"/>
      <c r="E66" s="59"/>
      <c r="F66" s="59"/>
      <c r="G66" s="59"/>
      <c r="H66" s="59"/>
      <c r="I66" s="59"/>
      <c r="J66" s="59"/>
      <c r="K66" s="59"/>
      <c r="L66" s="59"/>
      <c r="M66" s="59"/>
      <c r="N66" s="59"/>
      <c r="O66" s="59"/>
      <c r="P66" s="59"/>
      <c r="Q66" s="59"/>
      <c r="R66" s="59"/>
      <c r="S66" s="59"/>
      <c r="T66" s="59"/>
      <c r="U66" s="60"/>
      <c r="V66" s="196"/>
      <c r="W66" s="6"/>
    </row>
    <row r="67" spans="1:24" ht="15.6">
      <c r="A67" s="25"/>
      <c r="B67" s="26" t="s">
        <v>26</v>
      </c>
      <c r="C67" s="59"/>
      <c r="D67" s="59"/>
      <c r="E67" s="59"/>
      <c r="F67" s="59"/>
      <c r="G67" s="59"/>
      <c r="H67" s="59"/>
      <c r="I67" s="59"/>
      <c r="J67" s="59"/>
      <c r="K67" s="59">
        <v>24470</v>
      </c>
      <c r="L67" s="59"/>
      <c r="M67" s="59">
        <v>8155</v>
      </c>
      <c r="N67" s="59"/>
      <c r="O67" s="59">
        <f>1554-33</f>
        <v>1521</v>
      </c>
      <c r="P67" s="59"/>
      <c r="Q67" s="59">
        <v>0</v>
      </c>
      <c r="R67" s="59"/>
      <c r="S67" s="59">
        <f>SUM(S64:S66)</f>
        <v>0</v>
      </c>
      <c r="T67" s="59"/>
      <c r="U67" s="60">
        <f>+M67-O67+Q67-S67</f>
        <v>6634</v>
      </c>
      <c r="V67" s="196"/>
      <c r="W67" s="6"/>
    </row>
    <row r="68" spans="1:24" ht="15.6">
      <c r="A68" s="25"/>
      <c r="B68" s="26" t="s">
        <v>25</v>
      </c>
      <c r="C68" s="59"/>
      <c r="D68" s="59"/>
      <c r="E68" s="59"/>
      <c r="F68" s="59"/>
      <c r="G68" s="59"/>
      <c r="H68" s="59"/>
      <c r="I68" s="59"/>
      <c r="J68" s="59"/>
      <c r="K68" s="59"/>
      <c r="L68" s="59"/>
      <c r="M68" s="59"/>
      <c r="N68" s="59"/>
      <c r="O68" s="59"/>
      <c r="P68" s="59"/>
      <c r="Q68" s="59">
        <v>0</v>
      </c>
      <c r="R68" s="59"/>
      <c r="S68" s="59">
        <v>0</v>
      </c>
      <c r="T68" s="59"/>
      <c r="U68" s="61"/>
      <c r="V68" s="196"/>
      <c r="W68" s="6"/>
    </row>
    <row r="69" spans="1:24" ht="15.6">
      <c r="A69" s="25"/>
      <c r="B69" s="62"/>
      <c r="C69" s="59"/>
      <c r="D69" s="59"/>
      <c r="E69" s="59"/>
      <c r="F69" s="59"/>
      <c r="G69" s="59"/>
      <c r="H69" s="59"/>
      <c r="I69" s="59"/>
      <c r="J69" s="59"/>
      <c r="K69" s="59"/>
      <c r="L69" s="59"/>
      <c r="M69" s="59"/>
      <c r="N69" s="59"/>
      <c r="O69" s="63"/>
      <c r="P69" s="59"/>
      <c r="Q69" s="59"/>
      <c r="R69" s="59"/>
      <c r="S69" s="59"/>
      <c r="T69" s="59"/>
      <c r="U69" s="61"/>
      <c r="V69" s="196"/>
      <c r="W69" s="6"/>
    </row>
    <row r="70" spans="1:24" ht="15.6">
      <c r="A70" s="25"/>
      <c r="B70" s="26" t="s">
        <v>27</v>
      </c>
      <c r="C70" s="59"/>
      <c r="D70" s="59"/>
      <c r="E70" s="59"/>
      <c r="F70" s="59"/>
      <c r="G70" s="59"/>
      <c r="H70" s="59"/>
      <c r="I70" s="59"/>
      <c r="J70" s="59"/>
      <c r="K70" s="59">
        <v>220072</v>
      </c>
      <c r="L70" s="59"/>
      <c r="M70" s="59">
        <v>274714</v>
      </c>
      <c r="N70" s="59"/>
      <c r="O70" s="59">
        <f>9932+1884</f>
        <v>11816</v>
      </c>
      <c r="P70" s="59"/>
      <c r="Q70" s="59">
        <v>0</v>
      </c>
      <c r="R70" s="59"/>
      <c r="S70" s="59">
        <v>0</v>
      </c>
      <c r="T70" s="59"/>
      <c r="U70" s="60">
        <f>+M70-O70+Q70-S70</f>
        <v>262898</v>
      </c>
      <c r="V70" s="196"/>
      <c r="W70" s="6"/>
    </row>
    <row r="71" spans="1:24" ht="15.6">
      <c r="A71" s="25"/>
      <c r="B71" s="26" t="s">
        <v>25</v>
      </c>
      <c r="C71" s="59"/>
      <c r="D71" s="59"/>
      <c r="E71" s="59"/>
      <c r="F71" s="59"/>
      <c r="G71" s="59"/>
      <c r="H71" s="59"/>
      <c r="I71" s="59"/>
      <c r="J71" s="59"/>
      <c r="K71" s="59"/>
      <c r="L71" s="59"/>
      <c r="M71" s="59"/>
      <c r="N71" s="59"/>
      <c r="O71" s="59"/>
      <c r="P71" s="59"/>
      <c r="Q71" s="59">
        <v>0</v>
      </c>
      <c r="R71" s="59"/>
      <c r="S71" s="59">
        <v>0</v>
      </c>
      <c r="T71" s="59"/>
      <c r="U71" s="60">
        <f>M71-O71+Q71-S71</f>
        <v>0</v>
      </c>
      <c r="V71" s="196"/>
      <c r="W71" s="6"/>
    </row>
    <row r="72" spans="1:24" ht="15.6">
      <c r="A72" s="25"/>
      <c r="B72" s="26"/>
      <c r="C72" s="59"/>
      <c r="D72" s="59"/>
      <c r="E72" s="59"/>
      <c r="F72" s="59"/>
      <c r="G72" s="59"/>
      <c r="H72" s="59"/>
      <c r="I72" s="59"/>
      <c r="J72" s="59"/>
      <c r="K72" s="59"/>
      <c r="L72" s="59"/>
      <c r="M72" s="59"/>
      <c r="N72" s="59"/>
      <c r="O72" s="59"/>
      <c r="P72" s="59"/>
      <c r="Q72" s="59"/>
      <c r="R72" s="59"/>
      <c r="S72" s="59"/>
      <c r="T72" s="59"/>
      <c r="U72" s="60"/>
      <c r="V72" s="196"/>
      <c r="W72" s="6"/>
    </row>
    <row r="73" spans="1:24" ht="15.6">
      <c r="A73" s="25"/>
      <c r="B73" s="26" t="s">
        <v>28</v>
      </c>
      <c r="C73" s="59"/>
      <c r="D73" s="59"/>
      <c r="E73" s="59"/>
      <c r="F73" s="59"/>
      <c r="G73" s="59"/>
      <c r="H73" s="59"/>
      <c r="I73" s="59"/>
      <c r="J73" s="59"/>
      <c r="K73" s="59">
        <v>138321</v>
      </c>
      <c r="L73" s="59"/>
      <c r="M73" s="59">
        <v>52465</v>
      </c>
      <c r="N73" s="59"/>
      <c r="O73" s="59">
        <f>7302+852</f>
        <v>8154</v>
      </c>
      <c r="P73" s="59"/>
      <c r="Q73" s="59">
        <v>0</v>
      </c>
      <c r="R73" s="59"/>
      <c r="S73" s="59">
        <v>0</v>
      </c>
      <c r="T73" s="59"/>
      <c r="U73" s="60">
        <f>+M73-O73+Q73-S73</f>
        <v>44311</v>
      </c>
      <c r="V73" s="196"/>
      <c r="W73" s="6"/>
    </row>
    <row r="74" spans="1:24" ht="15.6">
      <c r="A74" s="25"/>
      <c r="B74" s="26" t="s">
        <v>25</v>
      </c>
      <c r="C74" s="59"/>
      <c r="D74" s="59"/>
      <c r="E74" s="59"/>
      <c r="F74" s="59"/>
      <c r="G74" s="59"/>
      <c r="H74" s="59"/>
      <c r="I74" s="59"/>
      <c r="J74" s="59"/>
      <c r="K74" s="59"/>
      <c r="L74" s="59"/>
      <c r="M74" s="59"/>
      <c r="N74" s="59"/>
      <c r="O74" s="59"/>
      <c r="P74" s="59"/>
      <c r="Q74" s="59">
        <v>0</v>
      </c>
      <c r="R74" s="59"/>
      <c r="S74" s="59">
        <v>0</v>
      </c>
      <c r="T74" s="59"/>
      <c r="U74" s="60"/>
      <c r="V74" s="196"/>
      <c r="W74" s="6"/>
    </row>
    <row r="75" spans="1:24" ht="15.6">
      <c r="A75" s="25"/>
      <c r="B75" s="59"/>
      <c r="C75" s="59"/>
      <c r="D75" s="59"/>
      <c r="E75" s="59"/>
      <c r="F75" s="59"/>
      <c r="G75" s="59"/>
      <c r="H75" s="59"/>
      <c r="I75" s="59"/>
      <c r="J75" s="59"/>
      <c r="K75" s="59"/>
      <c r="L75" s="59"/>
      <c r="M75" s="59"/>
      <c r="N75" s="59"/>
      <c r="O75" s="59"/>
      <c r="P75" s="59"/>
      <c r="Q75" s="59"/>
      <c r="R75" s="59"/>
      <c r="S75" s="59"/>
      <c r="T75" s="59"/>
      <c r="U75" s="60"/>
      <c r="V75" s="196"/>
      <c r="W75" s="6"/>
    </row>
    <row r="76" spans="1:24" ht="15.6">
      <c r="A76" s="25"/>
      <c r="B76" s="26" t="s">
        <v>29</v>
      </c>
      <c r="C76" s="59"/>
      <c r="D76" s="59"/>
      <c r="E76" s="59"/>
      <c r="F76" s="59"/>
      <c r="G76" s="59"/>
      <c r="H76" s="59"/>
      <c r="I76" s="59"/>
      <c r="J76" s="59"/>
      <c r="K76" s="59">
        <f>SUM(K64:K73)</f>
        <v>450000</v>
      </c>
      <c r="L76" s="59"/>
      <c r="M76" s="59">
        <f>SUM(M64:M73)</f>
        <v>353711</v>
      </c>
      <c r="N76" s="59"/>
      <c r="O76" s="59">
        <f>SUM(O64:O74)</f>
        <v>22664</v>
      </c>
      <c r="P76" s="59"/>
      <c r="Q76" s="59">
        <f>SUM(Q64:Q74)</f>
        <v>0</v>
      </c>
      <c r="R76" s="59"/>
      <c r="S76" s="59">
        <f>SUM(S71:S75)</f>
        <v>0</v>
      </c>
      <c r="T76" s="59"/>
      <c r="U76" s="59">
        <f>SUM(U64:U74)</f>
        <v>331047</v>
      </c>
      <c r="V76" s="196"/>
      <c r="W76" s="6"/>
      <c r="X76" s="182"/>
    </row>
    <row r="77" spans="1:24" ht="15.6">
      <c r="A77" s="25"/>
      <c r="B77" s="26"/>
      <c r="C77" s="59"/>
      <c r="D77" s="59"/>
      <c r="E77" s="59"/>
      <c r="F77" s="59"/>
      <c r="G77" s="59"/>
      <c r="H77" s="59"/>
      <c r="I77" s="59"/>
      <c r="J77" s="59"/>
      <c r="K77" s="59"/>
      <c r="L77" s="59"/>
      <c r="M77" s="59"/>
      <c r="N77" s="59"/>
      <c r="O77" s="59"/>
      <c r="P77" s="59"/>
      <c r="Q77" s="59"/>
      <c r="R77" s="59"/>
      <c r="S77" s="59"/>
      <c r="T77" s="59"/>
      <c r="U77" s="61"/>
      <c r="V77" s="196"/>
      <c r="W77" s="6"/>
    </row>
    <row r="78" spans="1:24" ht="15.6">
      <c r="A78" s="25"/>
      <c r="B78" s="26" t="s">
        <v>214</v>
      </c>
      <c r="C78" s="59"/>
      <c r="D78" s="59"/>
      <c r="E78" s="59"/>
      <c r="F78" s="59"/>
      <c r="G78" s="59"/>
      <c r="H78" s="59"/>
      <c r="I78" s="59"/>
      <c r="J78" s="59"/>
      <c r="K78" s="59">
        <v>0</v>
      </c>
      <c r="L78" s="59"/>
      <c r="M78" s="59">
        <v>-11198</v>
      </c>
      <c r="N78" s="59"/>
      <c r="O78" s="59">
        <v>147</v>
      </c>
      <c r="P78" s="59"/>
      <c r="Q78" s="59"/>
      <c r="R78" s="59"/>
      <c r="S78" s="59"/>
      <c r="T78" s="59"/>
      <c r="U78" s="60">
        <f>+M78-O78</f>
        <v>-11345</v>
      </c>
      <c r="V78" s="196"/>
      <c r="W78" s="6"/>
    </row>
    <row r="79" spans="1:24" ht="15.6">
      <c r="A79" s="25"/>
      <c r="B79" s="26" t="s">
        <v>30</v>
      </c>
      <c r="C79" s="59"/>
      <c r="D79" s="59"/>
      <c r="E79" s="59"/>
      <c r="F79" s="59"/>
      <c r="G79" s="59"/>
      <c r="H79" s="59"/>
      <c r="I79" s="59"/>
      <c r="J79" s="59"/>
      <c r="K79" s="59">
        <v>0</v>
      </c>
      <c r="L79" s="59"/>
      <c r="M79" s="59">
        <v>0</v>
      </c>
      <c r="N79" s="59"/>
      <c r="O79" s="59">
        <v>0</v>
      </c>
      <c r="P79" s="59"/>
      <c r="Q79" s="59">
        <v>0</v>
      </c>
      <c r="R79" s="59"/>
      <c r="S79" s="59"/>
      <c r="T79" s="59"/>
      <c r="U79" s="61">
        <v>0</v>
      </c>
      <c r="V79" s="196"/>
      <c r="W79" s="6"/>
      <c r="X79" s="182"/>
    </row>
    <row r="80" spans="1:24" ht="15.6">
      <c r="A80" s="25"/>
      <c r="B80" s="26" t="s">
        <v>31</v>
      </c>
      <c r="C80" s="59"/>
      <c r="D80" s="59"/>
      <c r="E80" s="59"/>
      <c r="F80" s="59"/>
      <c r="G80" s="59"/>
      <c r="H80" s="59"/>
      <c r="I80" s="59"/>
      <c r="J80" s="59"/>
      <c r="K80" s="59">
        <v>0</v>
      </c>
      <c r="L80" s="59"/>
      <c r="M80" s="59">
        <v>0</v>
      </c>
      <c r="N80" s="59"/>
      <c r="O80" s="59"/>
      <c r="P80" s="59"/>
      <c r="Q80" s="59">
        <v>0</v>
      </c>
      <c r="R80" s="59"/>
      <c r="S80" s="59"/>
      <c r="T80" s="59"/>
      <c r="U80" s="61">
        <f>Q80+M80</f>
        <v>0</v>
      </c>
      <c r="V80" s="196"/>
      <c r="W80" s="6"/>
    </row>
    <row r="81" spans="1:24" ht="15.6">
      <c r="A81" s="25"/>
      <c r="B81" s="26" t="s">
        <v>16</v>
      </c>
      <c r="C81" s="61"/>
      <c r="D81" s="61"/>
      <c r="E81" s="61"/>
      <c r="F81" s="61"/>
      <c r="G81" s="61"/>
      <c r="H81" s="61"/>
      <c r="I81" s="61"/>
      <c r="J81" s="61"/>
      <c r="K81" s="61">
        <f>SUM(K76:K80)</f>
        <v>450000</v>
      </c>
      <c r="L81" s="61"/>
      <c r="M81" s="61">
        <f>SUM(M76:M80)</f>
        <v>342513</v>
      </c>
      <c r="N81" s="59"/>
      <c r="O81" s="59">
        <f>O79-O80</f>
        <v>0</v>
      </c>
      <c r="P81" s="59"/>
      <c r="Q81" s="59"/>
      <c r="R81" s="59"/>
      <c r="S81" s="59"/>
      <c r="T81" s="59"/>
      <c r="U81" s="61">
        <f>SUM(U76:U80)</f>
        <v>319702</v>
      </c>
      <c r="V81" s="196"/>
      <c r="W81" s="6"/>
    </row>
    <row r="82" spans="1:24" ht="15.6">
      <c r="A82" s="25"/>
      <c r="B82" s="59"/>
      <c r="C82" s="26"/>
      <c r="D82" s="26"/>
      <c r="E82" s="26"/>
      <c r="F82" s="26"/>
      <c r="G82" s="26"/>
      <c r="H82" s="26"/>
      <c r="I82" s="26"/>
      <c r="J82" s="26"/>
      <c r="K82" s="26"/>
      <c r="L82" s="26"/>
      <c r="M82" s="26"/>
      <c r="N82" s="26"/>
      <c r="O82" s="26"/>
      <c r="P82" s="26"/>
      <c r="Q82" s="26"/>
      <c r="R82" s="26"/>
      <c r="S82" s="33"/>
      <c r="T82" s="26"/>
      <c r="U82" s="33"/>
      <c r="V82" s="196"/>
      <c r="W82" s="6"/>
    </row>
    <row r="83" spans="1:24" ht="15.6">
      <c r="A83" s="7"/>
      <c r="B83" s="57" t="s">
        <v>32</v>
      </c>
      <c r="C83" s="14"/>
      <c r="D83" s="14"/>
      <c r="E83" s="14"/>
      <c r="F83" s="14"/>
      <c r="G83" s="14"/>
      <c r="H83" s="14"/>
      <c r="I83" s="14"/>
      <c r="J83" s="14"/>
      <c r="K83" s="14"/>
      <c r="L83" s="14"/>
      <c r="M83" s="14"/>
      <c r="N83" s="14"/>
      <c r="O83" s="14"/>
      <c r="P83" s="14"/>
      <c r="Q83" s="14"/>
      <c r="R83" s="17"/>
      <c r="S83" s="17"/>
      <c r="T83" s="17"/>
      <c r="U83" s="17" t="s">
        <v>121</v>
      </c>
      <c r="V83" s="200"/>
      <c r="W83" s="6"/>
    </row>
    <row r="84" spans="1:24" ht="15.6">
      <c r="A84" s="25"/>
      <c r="B84" s="26" t="s">
        <v>33</v>
      </c>
      <c r="C84" s="26"/>
      <c r="D84" s="26"/>
      <c r="E84" s="26"/>
      <c r="F84" s="26"/>
      <c r="G84" s="26"/>
      <c r="H84" s="26"/>
      <c r="I84" s="26"/>
      <c r="J84" s="26"/>
      <c r="K84" s="26"/>
      <c r="L84" s="26"/>
      <c r="M84" s="26"/>
      <c r="N84" s="26"/>
      <c r="O84" s="59"/>
      <c r="P84" s="26"/>
      <c r="Q84" s="26"/>
      <c r="R84" s="26"/>
      <c r="S84" s="59"/>
      <c r="T84" s="26"/>
      <c r="U84" s="60">
        <v>68551</v>
      </c>
      <c r="V84" s="196"/>
      <c r="W84" s="6"/>
    </row>
    <row r="85" spans="1:24" ht="15.6">
      <c r="A85" s="25"/>
      <c r="B85" s="26" t="s">
        <v>34</v>
      </c>
      <c r="C85" s="47"/>
      <c r="D85" s="47"/>
      <c r="E85" s="47"/>
      <c r="F85" s="47"/>
      <c r="G85" s="47"/>
      <c r="H85" s="47"/>
      <c r="I85" s="47"/>
      <c r="J85" s="47"/>
      <c r="K85" s="47"/>
      <c r="L85" s="47"/>
      <c r="M85" s="51"/>
      <c r="N85" s="26"/>
      <c r="O85" s="26"/>
      <c r="P85" s="26"/>
      <c r="Q85" s="26"/>
      <c r="R85" s="26"/>
      <c r="S85" s="59"/>
      <c r="T85" s="26"/>
      <c r="U85" s="60">
        <f>634+111-7-10-15</f>
        <v>713</v>
      </c>
      <c r="V85" s="196"/>
      <c r="W85" s="6"/>
    </row>
    <row r="86" spans="1:24" ht="15.6">
      <c r="A86" s="25"/>
      <c r="B86" s="26" t="s">
        <v>230</v>
      </c>
      <c r="C86" s="26"/>
      <c r="D86" s="26"/>
      <c r="E86" s="26"/>
      <c r="F86" s="26"/>
      <c r="G86" s="26"/>
      <c r="H86" s="26"/>
      <c r="I86" s="26"/>
      <c r="J86" s="26"/>
      <c r="K86" s="26"/>
      <c r="L86" s="26"/>
      <c r="M86" s="26"/>
      <c r="N86" s="26"/>
      <c r="O86" s="26"/>
      <c r="P86" s="26"/>
      <c r="Q86" s="26"/>
      <c r="R86" s="26"/>
      <c r="S86" s="59"/>
      <c r="T86" s="26"/>
      <c r="U86" s="60">
        <v>0</v>
      </c>
      <c r="V86" s="196"/>
      <c r="W86" s="6"/>
      <c r="X86" s="64"/>
    </row>
    <row r="87" spans="1:24" ht="15.6">
      <c r="A87" s="25"/>
      <c r="B87" s="26" t="s">
        <v>231</v>
      </c>
      <c r="C87" s="26"/>
      <c r="D87" s="26"/>
      <c r="E87" s="26"/>
      <c r="F87" s="26"/>
      <c r="G87" s="26"/>
      <c r="H87" s="26"/>
      <c r="I87" s="26"/>
      <c r="J87" s="26"/>
      <c r="K87" s="26"/>
      <c r="L87" s="26"/>
      <c r="M87" s="26"/>
      <c r="N87" s="26"/>
      <c r="O87" s="26"/>
      <c r="P87" s="26"/>
      <c r="Q87" s="26"/>
      <c r="R87" s="26"/>
      <c r="S87" s="59"/>
      <c r="T87" s="26"/>
      <c r="U87" s="60">
        <v>0</v>
      </c>
      <c r="V87" s="196"/>
      <c r="W87" s="6"/>
      <c r="X87" s="64"/>
    </row>
    <row r="88" spans="1:24" ht="15.6">
      <c r="A88" s="25"/>
      <c r="B88" s="26" t="s">
        <v>35</v>
      </c>
      <c r="C88" s="26"/>
      <c r="D88" s="26"/>
      <c r="E88" s="26"/>
      <c r="F88" s="26"/>
      <c r="G88" s="26"/>
      <c r="H88" s="26"/>
      <c r="I88" s="26"/>
      <c r="J88" s="26"/>
      <c r="K88" s="26"/>
      <c r="L88" s="26"/>
      <c r="M88" s="26"/>
      <c r="N88" s="26"/>
      <c r="O88" s="26"/>
      <c r="P88" s="26"/>
      <c r="Q88" s="26"/>
      <c r="R88" s="26"/>
      <c r="S88" s="59"/>
      <c r="T88" s="26"/>
      <c r="U88" s="60">
        <f>SUM(U84:U87)</f>
        <v>69264</v>
      </c>
      <c r="V88" s="196"/>
      <c r="W88" s="6"/>
      <c r="X88" s="64"/>
    </row>
    <row r="89" spans="1:24" ht="15.6">
      <c r="A89" s="25"/>
      <c r="B89" s="26"/>
      <c r="C89" s="26"/>
      <c r="D89" s="26"/>
      <c r="E89" s="26"/>
      <c r="F89" s="26"/>
      <c r="G89" s="26"/>
      <c r="H89" s="26"/>
      <c r="I89" s="26"/>
      <c r="J89" s="26"/>
      <c r="K89" s="26"/>
      <c r="L89" s="26"/>
      <c r="M89" s="26"/>
      <c r="N89" s="26"/>
      <c r="O89" s="26"/>
      <c r="P89" s="26"/>
      <c r="Q89" s="26"/>
      <c r="R89" s="26"/>
      <c r="S89" s="59"/>
      <c r="T89" s="26"/>
      <c r="U89" s="61"/>
      <c r="V89" s="196"/>
      <c r="W89" s="6"/>
    </row>
    <row r="90" spans="1:24" ht="15.6">
      <c r="A90" s="25"/>
      <c r="B90" s="152" t="s">
        <v>36</v>
      </c>
      <c r="C90" s="65"/>
      <c r="D90" s="65"/>
      <c r="E90" s="65"/>
      <c r="F90" s="65"/>
      <c r="G90" s="65"/>
      <c r="H90" s="65"/>
      <c r="I90" s="65"/>
      <c r="J90" s="65"/>
      <c r="K90" s="65"/>
      <c r="L90" s="65"/>
      <c r="M90" s="26"/>
      <c r="N90" s="26"/>
      <c r="O90" s="26"/>
      <c r="P90" s="26"/>
      <c r="Q90" s="26"/>
      <c r="R90" s="26"/>
      <c r="S90" s="59"/>
      <c r="T90" s="26"/>
      <c r="U90" s="60"/>
      <c r="V90" s="196"/>
      <c r="W90" s="6"/>
      <c r="X90" s="64"/>
    </row>
    <row r="91" spans="1:24" ht="15.6">
      <c r="A91" s="25">
        <v>1</v>
      </c>
      <c r="B91" s="26" t="s">
        <v>37</v>
      </c>
      <c r="C91" s="26"/>
      <c r="D91" s="26"/>
      <c r="E91" s="26"/>
      <c r="F91" s="26"/>
      <c r="G91" s="26"/>
      <c r="H91" s="26"/>
      <c r="I91" s="26"/>
      <c r="J91" s="26"/>
      <c r="K91" s="26"/>
      <c r="L91" s="26"/>
      <c r="M91" s="26"/>
      <c r="N91" s="26"/>
      <c r="O91" s="26"/>
      <c r="P91" s="26"/>
      <c r="Q91" s="26"/>
      <c r="R91" s="26"/>
      <c r="S91" s="26"/>
      <c r="T91" s="26"/>
      <c r="U91" s="60">
        <v>-2</v>
      </c>
      <c r="V91" s="196"/>
      <c r="W91" s="6"/>
    </row>
    <row r="92" spans="1:24" ht="15.6">
      <c r="A92" s="25">
        <f>A91+1</f>
        <v>2</v>
      </c>
      <c r="B92" s="26" t="s">
        <v>168</v>
      </c>
      <c r="C92" s="26"/>
      <c r="D92" s="26"/>
      <c r="E92" s="26"/>
      <c r="F92" s="26"/>
      <c r="G92" s="26"/>
      <c r="H92" s="26"/>
      <c r="I92" s="26"/>
      <c r="J92" s="26"/>
      <c r="K92" s="26"/>
      <c r="L92" s="26"/>
      <c r="M92" s="26"/>
      <c r="N92" s="26"/>
      <c r="O92" s="26"/>
      <c r="P92" s="26"/>
      <c r="Q92" s="26"/>
      <c r="R92" s="26"/>
      <c r="S92" s="26"/>
      <c r="T92" s="26"/>
      <c r="U92" s="60">
        <f>-345-147-6</f>
        <v>-498</v>
      </c>
      <c r="V92" s="196"/>
      <c r="W92" s="6"/>
      <c r="X92" s="64"/>
    </row>
    <row r="93" spans="1:24" ht="15.6">
      <c r="A93" s="25">
        <v>3</v>
      </c>
      <c r="B93" s="26" t="s">
        <v>38</v>
      </c>
      <c r="C93" s="26"/>
      <c r="D93" s="26"/>
      <c r="E93" s="26"/>
      <c r="F93" s="26"/>
      <c r="G93" s="26"/>
      <c r="H93" s="26"/>
      <c r="I93" s="26"/>
      <c r="J93" s="26"/>
      <c r="K93" s="26"/>
      <c r="L93" s="26"/>
      <c r="M93" s="26"/>
      <c r="N93" s="26"/>
      <c r="O93" s="26"/>
      <c r="P93" s="26"/>
      <c r="Q93" s="26"/>
      <c r="R93" s="26"/>
      <c r="S93" s="26"/>
      <c r="T93" s="26"/>
      <c r="U93" s="60">
        <v>-931</v>
      </c>
      <c r="V93" s="196"/>
      <c r="W93" s="6"/>
      <c r="X93" s="64"/>
    </row>
    <row r="94" spans="1:24" ht="15.6">
      <c r="A94" s="177" t="s">
        <v>190</v>
      </c>
      <c r="B94" s="26" t="s">
        <v>169</v>
      </c>
      <c r="C94" s="26"/>
      <c r="D94" s="26"/>
      <c r="E94" s="26"/>
      <c r="F94" s="26"/>
      <c r="G94" s="26"/>
      <c r="H94" s="26"/>
      <c r="I94" s="26"/>
      <c r="J94" s="26"/>
      <c r="K94" s="26"/>
      <c r="L94" s="26"/>
      <c r="M94" s="26"/>
      <c r="N94" s="26"/>
      <c r="O94" s="26"/>
      <c r="P94" s="26"/>
      <c r="Q94" s="26"/>
      <c r="R94" s="26"/>
      <c r="S94" s="26"/>
      <c r="T94" s="26"/>
      <c r="U94" s="60">
        <v>-298</v>
      </c>
      <c r="V94" s="196"/>
      <c r="W94" s="6"/>
      <c r="X94" s="64"/>
    </row>
    <row r="95" spans="1:24" ht="15.6">
      <c r="A95" s="177" t="s">
        <v>191</v>
      </c>
      <c r="B95" s="26" t="s">
        <v>170</v>
      </c>
      <c r="C95" s="26"/>
      <c r="D95" s="26"/>
      <c r="E95" s="26"/>
      <c r="F95" s="26"/>
      <c r="G95" s="26"/>
      <c r="H95" s="26"/>
      <c r="I95" s="26"/>
      <c r="J95" s="26"/>
      <c r="K95" s="26"/>
      <c r="L95" s="26"/>
      <c r="M95" s="26"/>
      <c r="N95" s="26"/>
      <c r="O95" s="26"/>
      <c r="P95" s="26"/>
      <c r="Q95" s="26"/>
      <c r="R95" s="26"/>
      <c r="S95" s="26"/>
      <c r="T95" s="26"/>
      <c r="U95" s="60">
        <v>-372</v>
      </c>
      <c r="V95" s="196"/>
      <c r="W95" s="6"/>
      <c r="X95" s="182"/>
    </row>
    <row r="96" spans="1:24" ht="15.6">
      <c r="A96" s="25">
        <v>5</v>
      </c>
      <c r="B96" s="26" t="s">
        <v>171</v>
      </c>
      <c r="C96" s="26"/>
      <c r="D96" s="26"/>
      <c r="E96" s="26"/>
      <c r="F96" s="26"/>
      <c r="G96" s="26"/>
      <c r="H96" s="26"/>
      <c r="I96" s="26"/>
      <c r="J96" s="26"/>
      <c r="K96" s="26"/>
      <c r="L96" s="26"/>
      <c r="M96" s="26"/>
      <c r="N96" s="26"/>
      <c r="O96" s="26"/>
      <c r="P96" s="26"/>
      <c r="Q96" s="26"/>
      <c r="R96" s="26"/>
      <c r="S96" s="26"/>
      <c r="T96" s="26"/>
      <c r="U96" s="60">
        <v>-7</v>
      </c>
      <c r="V96" s="196"/>
      <c r="W96" s="6"/>
    </row>
    <row r="97" spans="1:24" ht="15.6">
      <c r="A97" s="177" t="s">
        <v>174</v>
      </c>
      <c r="B97" s="26" t="s">
        <v>172</v>
      </c>
      <c r="C97" s="26"/>
      <c r="D97" s="26"/>
      <c r="E97" s="26"/>
      <c r="F97" s="26"/>
      <c r="G97" s="26"/>
      <c r="H97" s="26"/>
      <c r="I97" s="26"/>
      <c r="J97" s="26"/>
      <c r="K97" s="26"/>
      <c r="L97" s="26"/>
      <c r="M97" s="26"/>
      <c r="N97" s="26"/>
      <c r="O97" s="26"/>
      <c r="P97" s="26"/>
      <c r="Q97" s="26"/>
      <c r="R97" s="26"/>
      <c r="S97" s="26"/>
      <c r="T97" s="26"/>
      <c r="U97" s="60">
        <v>-53</v>
      </c>
      <c r="V97" s="196"/>
      <c r="W97" s="6"/>
      <c r="X97" s="182"/>
    </row>
    <row r="98" spans="1:24" ht="15.6">
      <c r="A98" s="177" t="s">
        <v>176</v>
      </c>
      <c r="B98" s="26" t="s">
        <v>173</v>
      </c>
      <c r="C98" s="26"/>
      <c r="D98" s="26"/>
      <c r="E98" s="26"/>
      <c r="F98" s="26"/>
      <c r="G98" s="26"/>
      <c r="H98" s="26"/>
      <c r="I98" s="26"/>
      <c r="J98" s="26"/>
      <c r="K98" s="26"/>
      <c r="L98" s="26"/>
      <c r="M98" s="26"/>
      <c r="N98" s="26"/>
      <c r="O98" s="26"/>
      <c r="P98" s="26"/>
      <c r="Q98" s="26"/>
      <c r="R98" s="26"/>
      <c r="S98" s="26"/>
      <c r="T98" s="26"/>
      <c r="U98" s="60">
        <v>-84</v>
      </c>
      <c r="V98" s="196"/>
      <c r="W98" s="119"/>
      <c r="X98" s="182"/>
    </row>
    <row r="99" spans="1:24" ht="15.6">
      <c r="A99" s="177" t="s">
        <v>178</v>
      </c>
      <c r="B99" s="26" t="s">
        <v>175</v>
      </c>
      <c r="C99" s="26"/>
      <c r="D99" s="26"/>
      <c r="E99" s="26"/>
      <c r="F99" s="26"/>
      <c r="G99" s="26"/>
      <c r="H99" s="26"/>
      <c r="I99" s="26"/>
      <c r="J99" s="26"/>
      <c r="K99" s="26"/>
      <c r="L99" s="26"/>
      <c r="M99" s="26"/>
      <c r="N99" s="26"/>
      <c r="O99" s="26"/>
      <c r="P99" s="26"/>
      <c r="Q99" s="26"/>
      <c r="R99" s="26"/>
      <c r="S99" s="26"/>
      <c r="T99" s="26"/>
      <c r="U99" s="60">
        <v>-72</v>
      </c>
      <c r="V99" s="196"/>
      <c r="W99" s="6"/>
      <c r="X99" s="182"/>
    </row>
    <row r="100" spans="1:24" ht="15.6">
      <c r="A100" s="177" t="s">
        <v>180</v>
      </c>
      <c r="B100" s="26" t="s">
        <v>177</v>
      </c>
      <c r="C100" s="26"/>
      <c r="D100" s="26"/>
      <c r="E100" s="26"/>
      <c r="F100" s="26"/>
      <c r="G100" s="26"/>
      <c r="H100" s="26"/>
      <c r="I100" s="26"/>
      <c r="J100" s="26"/>
      <c r="K100" s="26"/>
      <c r="L100" s="26"/>
      <c r="M100" s="26"/>
      <c r="N100" s="26"/>
      <c r="O100" s="26"/>
      <c r="P100" s="26"/>
      <c r="Q100" s="26"/>
      <c r="R100" s="26"/>
      <c r="S100" s="26"/>
      <c r="T100" s="26"/>
      <c r="U100" s="60">
        <v>-92</v>
      </c>
      <c r="V100" s="196"/>
      <c r="W100" s="119"/>
      <c r="X100" s="182"/>
    </row>
    <row r="101" spans="1:24" ht="15.6">
      <c r="A101" s="177" t="s">
        <v>192</v>
      </c>
      <c r="B101" s="26" t="s">
        <v>179</v>
      </c>
      <c r="C101" s="26"/>
      <c r="D101" s="26"/>
      <c r="E101" s="26"/>
      <c r="F101" s="26"/>
      <c r="G101" s="26"/>
      <c r="H101" s="26"/>
      <c r="I101" s="26"/>
      <c r="J101" s="26"/>
      <c r="K101" s="26"/>
      <c r="L101" s="26"/>
      <c r="M101" s="26"/>
      <c r="N101" s="26"/>
      <c r="O101" s="26"/>
      <c r="P101" s="26"/>
      <c r="Q101" s="26"/>
      <c r="R101" s="26"/>
      <c r="S101" s="26"/>
      <c r="T101" s="26"/>
      <c r="U101" s="60">
        <v>-120</v>
      </c>
      <c r="V101" s="196"/>
      <c r="W101" s="6"/>
      <c r="X101" s="182"/>
    </row>
    <row r="102" spans="1:24" ht="15.6">
      <c r="A102" s="177" t="s">
        <v>193</v>
      </c>
      <c r="B102" s="26" t="s">
        <v>181</v>
      </c>
      <c r="C102" s="26"/>
      <c r="D102" s="26"/>
      <c r="E102" s="26"/>
      <c r="F102" s="26"/>
      <c r="G102" s="26"/>
      <c r="H102" s="26"/>
      <c r="I102" s="26"/>
      <c r="J102" s="26"/>
      <c r="K102" s="26"/>
      <c r="L102" s="26"/>
      <c r="M102" s="26"/>
      <c r="N102" s="26"/>
      <c r="O102" s="26"/>
      <c r="P102" s="26"/>
      <c r="Q102" s="26"/>
      <c r="R102" s="26"/>
      <c r="S102" s="26"/>
      <c r="T102" s="26"/>
      <c r="U102" s="60">
        <v>-102</v>
      </c>
      <c r="V102" s="196"/>
      <c r="W102" s="119"/>
      <c r="X102" s="182"/>
    </row>
    <row r="103" spans="1:24" ht="15.6">
      <c r="A103" s="25">
        <v>9</v>
      </c>
      <c r="B103" s="26" t="s">
        <v>257</v>
      </c>
      <c r="C103" s="26"/>
      <c r="D103" s="26"/>
      <c r="E103" s="26"/>
      <c r="F103" s="26"/>
      <c r="G103" s="26"/>
      <c r="H103" s="26"/>
      <c r="I103" s="26"/>
      <c r="J103" s="26"/>
      <c r="K103" s="26"/>
      <c r="L103" s="26"/>
      <c r="M103" s="26"/>
      <c r="N103" s="26"/>
      <c r="O103" s="26"/>
      <c r="P103" s="26"/>
      <c r="Q103" s="26"/>
      <c r="R103" s="26"/>
      <c r="S103" s="26"/>
      <c r="T103" s="26"/>
      <c r="U103" s="60">
        <f>+S220-U32</f>
        <v>-22810.611199999985</v>
      </c>
      <c r="V103" s="196"/>
      <c r="W103" s="6"/>
      <c r="X103" s="182"/>
    </row>
    <row r="104" spans="1:24" ht="15.6">
      <c r="A104" s="25">
        <v>10</v>
      </c>
      <c r="B104" s="26" t="s">
        <v>234</v>
      </c>
      <c r="C104" s="26"/>
      <c r="D104" s="26"/>
      <c r="E104" s="26"/>
      <c r="F104" s="26"/>
      <c r="G104" s="26"/>
      <c r="H104" s="26"/>
      <c r="I104" s="26"/>
      <c r="J104" s="26"/>
      <c r="K104" s="26"/>
      <c r="L104" s="26"/>
      <c r="M104" s="26"/>
      <c r="N104" s="26"/>
      <c r="O104" s="26"/>
      <c r="P104" s="26"/>
      <c r="Q104" s="26"/>
      <c r="R104" s="26"/>
      <c r="S104" s="26"/>
      <c r="T104" s="26"/>
      <c r="U104" s="60">
        <v>-40500</v>
      </c>
      <c r="V104" s="196"/>
      <c r="W104" s="6"/>
      <c r="X104" s="64"/>
    </row>
    <row r="105" spans="1:24" ht="15.6">
      <c r="A105" s="25">
        <v>11</v>
      </c>
      <c r="B105" s="26" t="s">
        <v>183</v>
      </c>
      <c r="C105" s="26"/>
      <c r="D105" s="26"/>
      <c r="E105" s="26"/>
      <c r="F105" s="26"/>
      <c r="G105" s="26"/>
      <c r="H105" s="26"/>
      <c r="I105" s="26"/>
      <c r="J105" s="26"/>
      <c r="K105" s="26"/>
      <c r="L105" s="26"/>
      <c r="M105" s="26"/>
      <c r="N105" s="26"/>
      <c r="O105" s="26"/>
      <c r="P105" s="26"/>
      <c r="Q105" s="26"/>
      <c r="R105" s="26"/>
      <c r="S105" s="26"/>
      <c r="T105" s="26"/>
      <c r="U105" s="60">
        <v>0</v>
      </c>
      <c r="V105" s="196"/>
      <c r="W105" s="6"/>
      <c r="X105" s="64"/>
    </row>
    <row r="106" spans="1:24" ht="15.6">
      <c r="A106" s="25">
        <v>12</v>
      </c>
      <c r="B106" s="26" t="s">
        <v>184</v>
      </c>
      <c r="C106" s="26"/>
      <c r="D106" s="26"/>
      <c r="E106" s="26"/>
      <c r="F106" s="26"/>
      <c r="G106" s="26"/>
      <c r="H106" s="26"/>
      <c r="I106" s="26"/>
      <c r="J106" s="26"/>
      <c r="K106" s="26"/>
      <c r="L106" s="26"/>
      <c r="M106" s="26"/>
      <c r="N106" s="26"/>
      <c r="O106" s="26"/>
      <c r="P106" s="26"/>
      <c r="Q106" s="26"/>
      <c r="R106" s="26"/>
      <c r="S106" s="26"/>
      <c r="T106" s="26"/>
      <c r="U106" s="60">
        <v>-388</v>
      </c>
      <c r="V106" s="196"/>
      <c r="W106" s="6"/>
      <c r="X106" s="182"/>
    </row>
    <row r="107" spans="1:24" ht="15.6">
      <c r="A107" s="25">
        <v>13</v>
      </c>
      <c r="B107" s="26" t="s">
        <v>40</v>
      </c>
      <c r="C107" s="26"/>
      <c r="D107" s="26"/>
      <c r="E107" s="26"/>
      <c r="F107" s="26"/>
      <c r="G107" s="26"/>
      <c r="H107" s="26"/>
      <c r="I107" s="26"/>
      <c r="J107" s="26"/>
      <c r="K107" s="26"/>
      <c r="L107" s="26"/>
      <c r="M107" s="26"/>
      <c r="N107" s="26"/>
      <c r="O107" s="26"/>
      <c r="P107" s="26"/>
      <c r="Q107" s="26"/>
      <c r="R107" s="26"/>
      <c r="S107" s="26"/>
      <c r="T107" s="26"/>
      <c r="U107" s="60">
        <f>-SUM(U88:V106)</f>
        <v>-2934.3888000000152</v>
      </c>
      <c r="V107" s="196"/>
      <c r="W107" s="6"/>
      <c r="X107" s="182"/>
    </row>
    <row r="108" spans="1:24" ht="15.6">
      <c r="A108" s="25"/>
      <c r="B108" s="29"/>
      <c r="C108" s="26"/>
      <c r="D108" s="26"/>
      <c r="E108" s="26"/>
      <c r="F108" s="26"/>
      <c r="G108" s="26"/>
      <c r="H108" s="26"/>
      <c r="I108" s="26"/>
      <c r="J108" s="26"/>
      <c r="K108" s="26"/>
      <c r="L108" s="26"/>
      <c r="M108" s="26"/>
      <c r="N108" s="26"/>
      <c r="O108" s="26"/>
      <c r="P108" s="26"/>
      <c r="Q108" s="26"/>
      <c r="R108" s="26"/>
      <c r="S108" s="59"/>
      <c r="T108" s="59"/>
      <c r="U108" s="59"/>
      <c r="V108" s="196"/>
      <c r="W108" s="6"/>
      <c r="X108" s="182"/>
    </row>
    <row r="109" spans="1:24" ht="15.6">
      <c r="A109" s="7"/>
      <c r="B109" s="12"/>
      <c r="C109" s="9"/>
      <c r="D109" s="9"/>
      <c r="E109" s="9"/>
      <c r="F109" s="9"/>
      <c r="G109" s="9"/>
      <c r="H109" s="9"/>
      <c r="I109" s="9"/>
      <c r="J109" s="9"/>
      <c r="K109" s="9"/>
      <c r="L109" s="9"/>
      <c r="M109" s="9"/>
      <c r="N109" s="9"/>
      <c r="O109" s="9"/>
      <c r="P109" s="9"/>
      <c r="Q109" s="9"/>
      <c r="R109" s="9"/>
      <c r="S109" s="66"/>
      <c r="T109" s="66"/>
      <c r="U109" s="66"/>
      <c r="V109" s="194"/>
      <c r="W109" s="6"/>
    </row>
    <row r="110" spans="1:24" ht="16.2" thickBot="1">
      <c r="A110" s="130"/>
      <c r="B110" s="131" t="str">
        <f>+B59</f>
        <v>PPAF3 INVESTOR REPORT QUARTER ENDING SEPTEMBER 2009</v>
      </c>
      <c r="C110" s="132"/>
      <c r="D110" s="132"/>
      <c r="E110" s="132"/>
      <c r="F110" s="132"/>
      <c r="G110" s="132"/>
      <c r="H110" s="132"/>
      <c r="I110" s="132"/>
      <c r="J110" s="132"/>
      <c r="K110" s="132"/>
      <c r="L110" s="132"/>
      <c r="M110" s="132"/>
      <c r="N110" s="132"/>
      <c r="O110" s="132"/>
      <c r="P110" s="132"/>
      <c r="Q110" s="132"/>
      <c r="R110" s="132"/>
      <c r="S110" s="135"/>
      <c r="T110" s="135"/>
      <c r="U110" s="135"/>
      <c r="V110" s="134"/>
      <c r="W110" s="6"/>
    </row>
    <row r="111" spans="1:24" ht="15.6">
      <c r="A111" s="2"/>
      <c r="B111" s="5"/>
      <c r="C111" s="5"/>
      <c r="D111" s="5"/>
      <c r="E111" s="5"/>
      <c r="F111" s="5"/>
      <c r="G111" s="5"/>
      <c r="H111" s="5"/>
      <c r="I111" s="5"/>
      <c r="J111" s="5"/>
      <c r="K111" s="5"/>
      <c r="L111" s="5"/>
      <c r="M111" s="5"/>
      <c r="N111" s="5"/>
      <c r="O111" s="5"/>
      <c r="P111" s="5"/>
      <c r="Q111" s="5"/>
      <c r="R111" s="5"/>
      <c r="S111" s="67"/>
      <c r="T111" s="67"/>
      <c r="U111" s="67"/>
      <c r="V111" s="193"/>
      <c r="W111" s="6"/>
    </row>
    <row r="112" spans="1:24" ht="15.6">
      <c r="A112" s="68"/>
      <c r="B112" s="69" t="s">
        <v>41</v>
      </c>
      <c r="C112" s="70"/>
      <c r="D112" s="70"/>
      <c r="E112" s="70"/>
      <c r="F112" s="70"/>
      <c r="G112" s="70"/>
      <c r="H112" s="70"/>
      <c r="I112" s="70"/>
      <c r="J112" s="70"/>
      <c r="K112" s="70"/>
      <c r="L112" s="70"/>
      <c r="M112" s="70"/>
      <c r="N112" s="70"/>
      <c r="O112" s="70"/>
      <c r="P112" s="70"/>
      <c r="Q112" s="70"/>
      <c r="R112" s="70"/>
      <c r="S112" s="70"/>
      <c r="T112" s="70"/>
      <c r="U112" s="71"/>
      <c r="V112" s="201"/>
      <c r="W112" s="6"/>
    </row>
    <row r="113" spans="1:23" ht="15.6">
      <c r="A113" s="68"/>
      <c r="B113" s="70"/>
      <c r="C113" s="70"/>
      <c r="D113" s="70"/>
      <c r="E113" s="70"/>
      <c r="F113" s="70"/>
      <c r="G113" s="70"/>
      <c r="H113" s="70"/>
      <c r="I113" s="70"/>
      <c r="J113" s="70"/>
      <c r="K113" s="70"/>
      <c r="L113" s="70"/>
      <c r="M113" s="70"/>
      <c r="N113" s="70"/>
      <c r="O113" s="70"/>
      <c r="P113" s="70"/>
      <c r="Q113" s="70"/>
      <c r="R113" s="70"/>
      <c r="S113" s="70"/>
      <c r="T113" s="70"/>
      <c r="U113" s="71"/>
      <c r="V113" s="202"/>
      <c r="W113" s="6"/>
    </row>
    <row r="114" spans="1:23" ht="15.6">
      <c r="A114" s="7"/>
      <c r="B114" s="153" t="s">
        <v>42</v>
      </c>
      <c r="C114" s="13"/>
      <c r="D114" s="13"/>
      <c r="E114" s="13"/>
      <c r="F114" s="13"/>
      <c r="G114" s="13"/>
      <c r="H114" s="13"/>
      <c r="I114" s="13"/>
      <c r="J114" s="13"/>
      <c r="K114" s="13"/>
      <c r="L114" s="13"/>
      <c r="M114" s="9"/>
      <c r="N114" s="9"/>
      <c r="O114" s="9"/>
      <c r="P114" s="9"/>
      <c r="Q114" s="9"/>
      <c r="R114" s="9"/>
      <c r="S114" s="9"/>
      <c r="T114" s="9"/>
      <c r="U114" s="58"/>
      <c r="V114" s="194"/>
      <c r="W114" s="6"/>
    </row>
    <row r="115" spans="1:23" ht="15.6">
      <c r="A115" s="25"/>
      <c r="B115" s="26" t="s">
        <v>43</v>
      </c>
      <c r="C115" s="26"/>
      <c r="D115" s="26"/>
      <c r="E115" s="26"/>
      <c r="F115" s="26"/>
      <c r="G115" s="26"/>
      <c r="H115" s="26"/>
      <c r="I115" s="26"/>
      <c r="J115" s="26"/>
      <c r="K115" s="26"/>
      <c r="L115" s="26"/>
      <c r="M115" s="26"/>
      <c r="N115" s="26"/>
      <c r="O115" s="26"/>
      <c r="P115" s="26"/>
      <c r="Q115" s="26"/>
      <c r="R115" s="26"/>
      <c r="S115" s="26"/>
      <c r="T115" s="26"/>
      <c r="U115" s="60">
        <v>40500</v>
      </c>
      <c r="V115" s="196"/>
      <c r="W115" s="6"/>
    </row>
    <row r="116" spans="1:23" ht="15.6">
      <c r="A116" s="25"/>
      <c r="B116" s="26" t="s">
        <v>240</v>
      </c>
      <c r="C116" s="26"/>
      <c r="D116" s="26"/>
      <c r="E116" s="26"/>
      <c r="F116" s="26"/>
      <c r="G116" s="26"/>
      <c r="H116" s="26"/>
      <c r="I116" s="26"/>
      <c r="J116" s="26"/>
      <c r="K116" s="26"/>
      <c r="L116" s="26"/>
      <c r="M116" s="26"/>
      <c r="N116" s="26"/>
      <c r="O116" s="26"/>
      <c r="P116" s="26"/>
      <c r="Q116" s="26"/>
      <c r="R116" s="26"/>
      <c r="S116" s="26"/>
      <c r="T116" s="26"/>
      <c r="U116" s="60">
        <v>40500</v>
      </c>
      <c r="V116" s="196"/>
      <c r="W116" s="6"/>
    </row>
    <row r="117" spans="1:23" ht="15.6">
      <c r="A117" s="25"/>
      <c r="B117" s="26" t="s">
        <v>241</v>
      </c>
      <c r="C117" s="26"/>
      <c r="D117" s="26"/>
      <c r="E117" s="26"/>
      <c r="F117" s="26"/>
      <c r="G117" s="26"/>
      <c r="H117" s="26"/>
      <c r="I117" s="26"/>
      <c r="J117" s="26"/>
      <c r="K117" s="26"/>
      <c r="L117" s="26"/>
      <c r="M117" s="26"/>
      <c r="N117" s="26"/>
      <c r="O117" s="26"/>
      <c r="P117" s="26"/>
      <c r="Q117" s="26"/>
      <c r="R117" s="26"/>
      <c r="S117" s="26"/>
      <c r="T117" s="26"/>
      <c r="U117" s="60">
        <v>0</v>
      </c>
      <c r="V117" s="196"/>
      <c r="W117" s="6"/>
    </row>
    <row r="118" spans="1:23" ht="15.6">
      <c r="A118" s="25"/>
      <c r="B118" s="26" t="s">
        <v>209</v>
      </c>
      <c r="C118" s="26"/>
      <c r="D118" s="26"/>
      <c r="E118" s="26"/>
      <c r="F118" s="26"/>
      <c r="G118" s="26"/>
      <c r="H118" s="26"/>
      <c r="I118" s="26"/>
      <c r="J118" s="26"/>
      <c r="K118" s="26"/>
      <c r="L118" s="26"/>
      <c r="M118" s="26"/>
      <c r="N118" s="26"/>
      <c r="O118" s="26"/>
      <c r="P118" s="26"/>
      <c r="Q118" s="26"/>
      <c r="R118" s="26"/>
      <c r="S118" s="26"/>
      <c r="T118" s="26"/>
      <c r="U118" s="60">
        <v>0</v>
      </c>
      <c r="V118" s="196"/>
      <c r="W118" s="6"/>
    </row>
    <row r="119" spans="1:23" ht="15.6">
      <c r="A119" s="25"/>
      <c r="B119" s="26" t="s">
        <v>210</v>
      </c>
      <c r="C119" s="26"/>
      <c r="D119" s="26"/>
      <c r="E119" s="26"/>
      <c r="F119" s="26"/>
      <c r="G119" s="26"/>
      <c r="H119" s="26"/>
      <c r="I119" s="26"/>
      <c r="J119" s="26"/>
      <c r="K119" s="26"/>
      <c r="L119" s="26"/>
      <c r="M119" s="26"/>
      <c r="N119" s="26"/>
      <c r="O119" s="26"/>
      <c r="P119" s="26"/>
      <c r="Q119" s="26"/>
      <c r="R119" s="26"/>
      <c r="S119" s="26"/>
      <c r="T119" s="26"/>
      <c r="U119" s="60">
        <v>0</v>
      </c>
      <c r="V119" s="196"/>
      <c r="W119" s="6"/>
    </row>
    <row r="120" spans="1:23" ht="15.6">
      <c r="A120" s="25"/>
      <c r="B120" s="26" t="s">
        <v>211</v>
      </c>
      <c r="C120" s="26"/>
      <c r="D120" s="26"/>
      <c r="E120" s="26"/>
      <c r="F120" s="26"/>
      <c r="G120" s="26"/>
      <c r="H120" s="26"/>
      <c r="I120" s="26"/>
      <c r="J120" s="26"/>
      <c r="K120" s="26"/>
      <c r="L120" s="26"/>
      <c r="M120" s="26"/>
      <c r="N120" s="26"/>
      <c r="O120" s="26"/>
      <c r="P120" s="26"/>
      <c r="Q120" s="26"/>
      <c r="R120" s="26"/>
      <c r="S120" s="26"/>
      <c r="T120" s="26"/>
      <c r="U120" s="60">
        <v>0</v>
      </c>
      <c r="V120" s="196"/>
      <c r="W120" s="6"/>
    </row>
    <row r="121" spans="1:23" ht="15.6">
      <c r="A121" s="25"/>
      <c r="B121" s="26" t="s">
        <v>212</v>
      </c>
      <c r="C121" s="26"/>
      <c r="D121" s="26"/>
      <c r="E121" s="26"/>
      <c r="F121" s="26"/>
      <c r="G121" s="26"/>
      <c r="H121" s="26"/>
      <c r="I121" s="26"/>
      <c r="J121" s="26"/>
      <c r="K121" s="26"/>
      <c r="L121" s="26"/>
      <c r="M121" s="26"/>
      <c r="N121" s="26"/>
      <c r="O121" s="26"/>
      <c r="P121" s="26"/>
      <c r="Q121" s="26"/>
      <c r="R121" s="26"/>
      <c r="S121" s="26"/>
      <c r="T121" s="26"/>
      <c r="U121" s="60">
        <v>0</v>
      </c>
      <c r="V121" s="196"/>
      <c r="W121" s="6"/>
    </row>
    <row r="122" spans="1:23" ht="15.6">
      <c r="A122" s="25"/>
      <c r="B122" s="26" t="s">
        <v>242</v>
      </c>
      <c r="C122" s="26"/>
      <c r="D122" s="26"/>
      <c r="E122" s="26"/>
      <c r="F122" s="26"/>
      <c r="G122" s="26"/>
      <c r="H122" s="26"/>
      <c r="I122" s="26"/>
      <c r="J122" s="26"/>
      <c r="K122" s="26"/>
      <c r="L122" s="26"/>
      <c r="M122" s="26"/>
      <c r="N122" s="26"/>
      <c r="O122" s="26"/>
      <c r="P122" s="26"/>
      <c r="Q122" s="26"/>
      <c r="R122" s="26"/>
      <c r="S122" s="26"/>
      <c r="T122" s="26"/>
      <c r="U122" s="60">
        <v>0</v>
      </c>
      <c r="V122" s="196"/>
      <c r="W122" s="6"/>
    </row>
    <row r="123" spans="1:23" ht="15.6">
      <c r="A123" s="25"/>
      <c r="B123" s="26" t="s">
        <v>45</v>
      </c>
      <c r="C123" s="26"/>
      <c r="D123" s="26"/>
      <c r="E123" s="26"/>
      <c r="F123" s="26"/>
      <c r="G123" s="26"/>
      <c r="H123" s="26"/>
      <c r="I123" s="26"/>
      <c r="J123" s="26"/>
      <c r="K123" s="26"/>
      <c r="L123" s="26"/>
      <c r="M123" s="26"/>
      <c r="N123" s="26"/>
      <c r="O123" s="26"/>
      <c r="P123" s="26"/>
      <c r="Q123" s="26"/>
      <c r="R123" s="26"/>
      <c r="S123" s="26"/>
      <c r="T123" s="26"/>
      <c r="U123" s="60">
        <f>SUM(U116:U122)</f>
        <v>40500</v>
      </c>
      <c r="V123" s="196"/>
      <c r="W123" s="6"/>
    </row>
    <row r="124" spans="1:23" ht="15.6">
      <c r="A124" s="25"/>
      <c r="B124" s="26"/>
      <c r="C124" s="26"/>
      <c r="D124" s="26"/>
      <c r="E124" s="26"/>
      <c r="F124" s="26"/>
      <c r="G124" s="26"/>
      <c r="H124" s="26"/>
      <c r="I124" s="26"/>
      <c r="J124" s="26"/>
      <c r="K124" s="26"/>
      <c r="L124" s="26"/>
      <c r="M124" s="26"/>
      <c r="N124" s="26"/>
      <c r="O124" s="26"/>
      <c r="P124" s="26"/>
      <c r="Q124" s="26"/>
      <c r="R124" s="26"/>
      <c r="S124" s="26"/>
      <c r="T124" s="26"/>
      <c r="U124" s="73"/>
      <c r="V124" s="196"/>
      <c r="W124" s="6"/>
    </row>
    <row r="125" spans="1:23" ht="15.6">
      <c r="A125" s="7"/>
      <c r="B125" s="153" t="s">
        <v>46</v>
      </c>
      <c r="C125" s="13"/>
      <c r="D125" s="13"/>
      <c r="E125" s="13"/>
      <c r="F125" s="13"/>
      <c r="G125" s="13"/>
      <c r="H125" s="13"/>
      <c r="I125" s="13"/>
      <c r="J125" s="13"/>
      <c r="K125" s="13"/>
      <c r="L125" s="13"/>
      <c r="M125" s="9"/>
      <c r="N125" s="9"/>
      <c r="O125" s="9"/>
      <c r="P125" s="188"/>
      <c r="Q125" s="9"/>
      <c r="R125" s="9"/>
      <c r="S125" s="9"/>
      <c r="T125" s="9"/>
      <c r="U125" s="75"/>
      <c r="V125" s="194"/>
      <c r="W125" s="6"/>
    </row>
    <row r="126" spans="1:23" ht="15.6">
      <c r="A126" s="7"/>
      <c r="B126" s="13"/>
      <c r="C126" s="17" t="s">
        <v>185</v>
      </c>
      <c r="D126" s="17"/>
      <c r="E126" s="17" t="s">
        <v>99</v>
      </c>
      <c r="F126" s="17"/>
      <c r="G126" s="17" t="s">
        <v>102</v>
      </c>
      <c r="H126" s="17"/>
      <c r="I126" s="17" t="s">
        <v>108</v>
      </c>
      <c r="J126" s="17"/>
      <c r="K126" s="17"/>
      <c r="L126" s="17"/>
      <c r="M126" s="17"/>
      <c r="N126" s="17"/>
      <c r="O126" s="17"/>
      <c r="P126" s="188"/>
      <c r="Q126" s="188"/>
      <c r="R126" s="9"/>
      <c r="S126" s="9"/>
      <c r="T126" s="9"/>
      <c r="U126" s="75"/>
      <c r="V126" s="194"/>
      <c r="W126" s="6"/>
    </row>
    <row r="127" spans="1:23" ht="15.6">
      <c r="A127" s="25"/>
      <c r="B127" s="26" t="s">
        <v>122</v>
      </c>
      <c r="C127" s="59">
        <f>+N200-'June 09'!N200</f>
        <v>212</v>
      </c>
      <c r="D127" s="26"/>
      <c r="E127" s="59">
        <f>+S200-'June 09'!S200</f>
        <v>148</v>
      </c>
      <c r="F127" s="26"/>
      <c r="G127" s="59">
        <f>+'September 09'!N213-'June 09'!N213</f>
        <v>-380</v>
      </c>
      <c r="H127" s="26"/>
      <c r="I127" s="59">
        <f>+S213-'June 09'!S213</f>
        <v>167</v>
      </c>
      <c r="J127" s="26"/>
      <c r="K127" s="26"/>
      <c r="L127" s="26"/>
      <c r="M127" s="26"/>
      <c r="N127" s="26"/>
      <c r="O127" s="26"/>
      <c r="P127" s="189"/>
      <c r="Q127" s="189"/>
      <c r="R127" s="26"/>
      <c r="S127" s="26"/>
      <c r="T127" s="26"/>
      <c r="U127" s="60">
        <f>SUM(C127:I127)</f>
        <v>147</v>
      </c>
      <c r="V127" s="196"/>
      <c r="W127" s="6"/>
    </row>
    <row r="128" spans="1:23" ht="15.6">
      <c r="A128" s="25"/>
      <c r="B128" s="26" t="s">
        <v>47</v>
      </c>
      <c r="C128" s="26">
        <v>57</v>
      </c>
      <c r="D128" s="26"/>
      <c r="E128" s="26">
        <v>0</v>
      </c>
      <c r="F128" s="26"/>
      <c r="G128" s="26">
        <v>1884</v>
      </c>
      <c r="H128" s="26"/>
      <c r="I128" s="59">
        <v>852</v>
      </c>
      <c r="J128" s="26"/>
      <c r="K128" s="26"/>
      <c r="L128" s="26"/>
      <c r="M128" s="26"/>
      <c r="N128" s="26"/>
      <c r="O128" s="26"/>
      <c r="P128" s="189"/>
      <c r="Q128" s="189"/>
      <c r="R128" s="26"/>
      <c r="S128" s="26"/>
      <c r="T128" s="26"/>
      <c r="U128" s="60">
        <f>SUM(C128:I128)</f>
        <v>2793</v>
      </c>
      <c r="V128" s="196"/>
      <c r="W128" s="6"/>
    </row>
    <row r="129" spans="1:25" ht="15.6">
      <c r="A129" s="25"/>
      <c r="B129" s="26" t="s">
        <v>48</v>
      </c>
      <c r="C129" s="26"/>
      <c r="D129" s="26"/>
      <c r="E129" s="26"/>
      <c r="F129" s="26"/>
      <c r="G129" s="26"/>
      <c r="H129" s="26"/>
      <c r="I129" s="26"/>
      <c r="J129" s="26"/>
      <c r="K129" s="26"/>
      <c r="L129" s="26"/>
      <c r="M129" s="26"/>
      <c r="N129" s="26"/>
      <c r="O129" s="26"/>
      <c r="P129" s="26"/>
      <c r="Q129" s="26"/>
      <c r="R129" s="26"/>
      <c r="S129" s="26"/>
      <c r="T129" s="26"/>
      <c r="U129" s="60">
        <f>SUM(U127:U128)</f>
        <v>2940</v>
      </c>
      <c r="V129" s="196"/>
      <c r="W129" s="6"/>
    </row>
    <row r="130" spans="1:25" ht="15.6">
      <c r="A130" s="7"/>
      <c r="B130" s="153" t="s">
        <v>49</v>
      </c>
      <c r="C130" s="13"/>
      <c r="D130" s="13"/>
      <c r="E130" s="13"/>
      <c r="F130" s="13"/>
      <c r="G130" s="13"/>
      <c r="H130" s="13"/>
      <c r="I130" s="13"/>
      <c r="J130" s="13"/>
      <c r="K130" s="13"/>
      <c r="L130" s="13"/>
      <c r="M130" s="9"/>
      <c r="N130" s="9"/>
      <c r="O130" s="9"/>
      <c r="P130" s="9"/>
      <c r="Q130" s="9"/>
      <c r="R130" s="9"/>
      <c r="S130" s="9"/>
      <c r="T130" s="9"/>
      <c r="U130" s="58"/>
      <c r="V130" s="194"/>
      <c r="W130" s="6"/>
    </row>
    <row r="131" spans="1:25" ht="15.6">
      <c r="A131" s="25"/>
      <c r="B131" s="26" t="s">
        <v>50</v>
      </c>
      <c r="C131" s="77"/>
      <c r="D131" s="77"/>
      <c r="E131" s="77"/>
      <c r="F131" s="77"/>
      <c r="G131" s="77"/>
      <c r="H131" s="77"/>
      <c r="I131" s="77"/>
      <c r="J131" s="77"/>
      <c r="K131" s="77"/>
      <c r="L131" s="77"/>
      <c r="M131" s="26"/>
      <c r="N131" s="26"/>
      <c r="O131" s="26"/>
      <c r="P131" s="26"/>
      <c r="Q131" s="26"/>
      <c r="R131" s="26"/>
      <c r="S131" s="26"/>
      <c r="T131" s="26"/>
      <c r="U131" s="60">
        <f>U76+U78</f>
        <v>319702</v>
      </c>
      <c r="V131" s="196"/>
      <c r="W131" s="6"/>
      <c r="X131" s="182"/>
    </row>
    <row r="132" spans="1:25" ht="15.6">
      <c r="A132" s="25"/>
      <c r="B132" s="26" t="s">
        <v>51</v>
      </c>
      <c r="C132" s="77"/>
      <c r="D132" s="77"/>
      <c r="E132" s="77"/>
      <c r="F132" s="77"/>
      <c r="G132" s="77"/>
      <c r="H132" s="77"/>
      <c r="I132" s="77"/>
      <c r="J132" s="77"/>
      <c r="K132" s="77"/>
      <c r="L132" s="77"/>
      <c r="M132" s="26"/>
      <c r="N132" s="26"/>
      <c r="O132" s="26"/>
      <c r="P132" s="26"/>
      <c r="Q132" s="26"/>
      <c r="R132" s="26"/>
      <c r="S132" s="26"/>
      <c r="T132" s="26"/>
      <c r="U132" s="60">
        <v>0</v>
      </c>
      <c r="V132" s="196"/>
      <c r="W132" s="6"/>
      <c r="Y132" s="182"/>
    </row>
    <row r="133" spans="1:25" ht="15.6">
      <c r="A133" s="25"/>
      <c r="B133" s="26" t="s">
        <v>52</v>
      </c>
      <c r="C133" s="77"/>
      <c r="D133" s="77"/>
      <c r="E133" s="77"/>
      <c r="F133" s="77"/>
      <c r="G133" s="77"/>
      <c r="H133" s="77"/>
      <c r="I133" s="77"/>
      <c r="J133" s="77"/>
      <c r="K133" s="77"/>
      <c r="L133" s="77"/>
      <c r="M133" s="26"/>
      <c r="N133" s="26"/>
      <c r="O133" s="26"/>
      <c r="P133" s="26"/>
      <c r="Q133" s="26"/>
      <c r="R133" s="26"/>
      <c r="S133" s="26"/>
      <c r="T133" s="26"/>
      <c r="U133" s="60">
        <f>+U131+U132</f>
        <v>319702</v>
      </c>
      <c r="V133" s="196"/>
      <c r="W133" s="6"/>
    </row>
    <row r="134" spans="1:25" ht="15.6">
      <c r="A134" s="25"/>
      <c r="B134" s="26" t="s">
        <v>53</v>
      </c>
      <c r="C134" s="77"/>
      <c r="D134" s="77"/>
      <c r="E134" s="77"/>
      <c r="F134" s="77"/>
      <c r="G134" s="77"/>
      <c r="H134" s="77"/>
      <c r="I134" s="77"/>
      <c r="J134" s="77"/>
      <c r="K134" s="77"/>
      <c r="L134" s="77"/>
      <c r="M134" s="26"/>
      <c r="N134" s="26"/>
      <c r="O134" s="26"/>
      <c r="P134" s="26"/>
      <c r="Q134" s="26"/>
      <c r="R134" s="26"/>
      <c r="S134" s="26"/>
      <c r="T134" s="26"/>
      <c r="U134" s="60">
        <f>U81</f>
        <v>319702</v>
      </c>
      <c r="V134" s="196"/>
      <c r="W134" s="6"/>
      <c r="X134" s="64"/>
    </row>
    <row r="135" spans="1:25" ht="15.6">
      <c r="A135" s="25"/>
      <c r="B135" s="26"/>
      <c r="C135" s="26"/>
      <c r="D135" s="26"/>
      <c r="E135" s="26"/>
      <c r="F135" s="26"/>
      <c r="G135" s="26"/>
      <c r="H135" s="26"/>
      <c r="I135" s="26"/>
      <c r="J135" s="26"/>
      <c r="K135" s="26"/>
      <c r="L135" s="26"/>
      <c r="M135" s="26"/>
      <c r="N135" s="26"/>
      <c r="O135" s="26"/>
      <c r="P135" s="26"/>
      <c r="Q135" s="26"/>
      <c r="R135" s="26"/>
      <c r="S135" s="26"/>
      <c r="T135" s="26"/>
      <c r="U135" s="78"/>
      <c r="V135" s="196"/>
      <c r="W135" s="6"/>
    </row>
    <row r="136" spans="1:25" ht="15.6">
      <c r="A136" s="7"/>
      <c r="B136" s="153" t="s">
        <v>54</v>
      </c>
      <c r="C136" s="141"/>
      <c r="D136" s="141"/>
      <c r="E136" s="141"/>
      <c r="F136" s="141"/>
      <c r="G136" s="141"/>
      <c r="H136" s="141"/>
      <c r="I136" s="141"/>
      <c r="J136" s="141"/>
      <c r="K136" s="141"/>
      <c r="L136" s="141"/>
      <c r="M136" s="141"/>
      <c r="N136" s="141"/>
      <c r="O136" s="141"/>
      <c r="P136" s="141"/>
      <c r="Q136" s="142" t="s">
        <v>112</v>
      </c>
      <c r="R136" s="154"/>
      <c r="S136" s="142" t="s">
        <v>114</v>
      </c>
      <c r="T136" s="141"/>
      <c r="U136" s="155" t="s">
        <v>90</v>
      </c>
      <c r="V136" s="194"/>
      <c r="W136" s="6"/>
    </row>
    <row r="137" spans="1:25" ht="15.6">
      <c r="A137" s="25"/>
      <c r="B137" s="26" t="s">
        <v>55</v>
      </c>
      <c r="C137" s="26"/>
      <c r="D137" s="26"/>
      <c r="E137" s="26"/>
      <c r="F137" s="26"/>
      <c r="G137" s="26"/>
      <c r="H137" s="26"/>
      <c r="I137" s="26"/>
      <c r="J137" s="26"/>
      <c r="K137" s="26"/>
      <c r="L137" s="26"/>
      <c r="M137" s="26"/>
      <c r="N137" s="26"/>
      <c r="O137" s="26"/>
      <c r="P137" s="26"/>
      <c r="Q137" s="60">
        <v>0</v>
      </c>
      <c r="R137" s="26"/>
      <c r="S137" s="79" t="s">
        <v>115</v>
      </c>
      <c r="T137" s="26"/>
      <c r="U137" s="60">
        <f>Q137</f>
        <v>0</v>
      </c>
      <c r="V137" s="196"/>
      <c r="W137" s="6"/>
    </row>
    <row r="138" spans="1:25" ht="15.6">
      <c r="A138" s="25"/>
      <c r="B138" s="26" t="s">
        <v>56</v>
      </c>
      <c r="C138" s="26"/>
      <c r="D138" s="26"/>
      <c r="E138" s="26"/>
      <c r="F138" s="26"/>
      <c r="G138" s="26"/>
      <c r="H138" s="26"/>
      <c r="I138" s="26"/>
      <c r="J138" s="26"/>
      <c r="K138" s="26"/>
      <c r="L138" s="26"/>
      <c r="M138" s="26"/>
      <c r="N138" s="26"/>
      <c r="O138" s="26"/>
      <c r="P138" s="26"/>
      <c r="Q138" s="60">
        <f>+'June 09'!Q140</f>
        <v>4229</v>
      </c>
      <c r="R138" s="26"/>
      <c r="S138" s="79" t="s">
        <v>115</v>
      </c>
      <c r="T138" s="26"/>
      <c r="U138" s="60">
        <f>Q138</f>
        <v>4229</v>
      </c>
      <c r="V138" s="196"/>
      <c r="W138" s="6"/>
    </row>
    <row r="139" spans="1:25" ht="15.6">
      <c r="A139" s="25"/>
      <c r="B139" s="26" t="s">
        <v>57</v>
      </c>
      <c r="C139" s="26"/>
      <c r="D139" s="26"/>
      <c r="E139" s="26"/>
      <c r="F139" s="26"/>
      <c r="G139" s="26"/>
      <c r="H139" s="26"/>
      <c r="I139" s="26"/>
      <c r="J139" s="26"/>
      <c r="K139" s="26"/>
      <c r="L139" s="26"/>
      <c r="M139" s="26"/>
      <c r="N139" s="26"/>
      <c r="O139" s="26"/>
      <c r="P139" s="26"/>
      <c r="Q139" s="60">
        <v>0</v>
      </c>
      <c r="R139" s="26"/>
      <c r="S139" s="79" t="s">
        <v>115</v>
      </c>
      <c r="T139" s="26"/>
      <c r="U139" s="60">
        <f>Q139</f>
        <v>0</v>
      </c>
      <c r="V139" s="196"/>
      <c r="W139" s="6"/>
    </row>
    <row r="140" spans="1:25" ht="15.6">
      <c r="A140" s="25"/>
      <c r="B140" s="26" t="s">
        <v>58</v>
      </c>
      <c r="C140" s="26"/>
      <c r="D140" s="26"/>
      <c r="E140" s="26"/>
      <c r="F140" s="26"/>
      <c r="G140" s="26"/>
      <c r="H140" s="26"/>
      <c r="I140" s="26"/>
      <c r="J140" s="26"/>
      <c r="K140" s="26"/>
      <c r="L140" s="26"/>
      <c r="M140" s="26"/>
      <c r="N140" s="26"/>
      <c r="O140" s="26"/>
      <c r="P140" s="26"/>
      <c r="Q140" s="60">
        <f>SUM(Q138:Q139)</f>
        <v>4229</v>
      </c>
      <c r="R140" s="26"/>
      <c r="S140" s="79" t="s">
        <v>115</v>
      </c>
      <c r="T140" s="26"/>
      <c r="U140" s="60">
        <f>Q140</f>
        <v>4229</v>
      </c>
      <c r="V140" s="196"/>
      <c r="W140" s="6"/>
    </row>
    <row r="141" spans="1:25" ht="15.6">
      <c r="A141" s="25"/>
      <c r="B141" s="26" t="s">
        <v>215</v>
      </c>
      <c r="C141" s="26"/>
      <c r="D141" s="26"/>
      <c r="E141" s="26"/>
      <c r="F141" s="26"/>
      <c r="G141" s="26"/>
      <c r="H141" s="26"/>
      <c r="I141" s="26"/>
      <c r="J141" s="26"/>
      <c r="K141" s="26"/>
      <c r="L141" s="26"/>
      <c r="M141" s="26"/>
      <c r="N141" s="26"/>
      <c r="O141" s="26"/>
      <c r="P141" s="26"/>
      <c r="Q141" s="60"/>
      <c r="R141" s="26"/>
      <c r="S141" s="79"/>
      <c r="T141" s="26"/>
      <c r="U141" s="60"/>
      <c r="V141" s="196"/>
      <c r="W141" s="6"/>
    </row>
    <row r="142" spans="1:25" ht="15.6">
      <c r="A142" s="25"/>
      <c r="B142" s="26"/>
      <c r="C142" s="26"/>
      <c r="D142" s="26"/>
      <c r="E142" s="26"/>
      <c r="F142" s="26"/>
      <c r="G142" s="26"/>
      <c r="H142" s="26"/>
      <c r="I142" s="26"/>
      <c r="J142" s="26"/>
      <c r="K142" s="26"/>
      <c r="L142" s="26"/>
      <c r="M142" s="26"/>
      <c r="N142" s="26"/>
      <c r="O142" s="26"/>
      <c r="P142" s="26"/>
      <c r="Q142" s="26"/>
      <c r="R142" s="26"/>
      <c r="S142" s="26"/>
      <c r="T142" s="26"/>
      <c r="U142" s="26"/>
      <c r="V142" s="196"/>
      <c r="W142" s="6"/>
    </row>
    <row r="143" spans="1:25" ht="15.6">
      <c r="A143" s="25"/>
      <c r="B143" s="29"/>
      <c r="C143" s="29"/>
      <c r="D143" s="29"/>
      <c r="E143" s="29"/>
      <c r="F143" s="29"/>
      <c r="G143" s="29"/>
      <c r="H143" s="29"/>
      <c r="I143" s="29"/>
      <c r="J143" s="29"/>
      <c r="K143" s="29"/>
      <c r="L143" s="29"/>
      <c r="M143" s="29"/>
      <c r="N143" s="29"/>
      <c r="O143" s="29"/>
      <c r="P143" s="29"/>
      <c r="Q143" s="29"/>
      <c r="R143" s="29"/>
      <c r="S143" s="29"/>
      <c r="T143" s="29"/>
      <c r="U143" s="29"/>
      <c r="V143" s="203"/>
      <c r="W143" s="6"/>
    </row>
    <row r="144" spans="1:25" ht="15.6">
      <c r="A144" s="80"/>
      <c r="B144" s="57" t="s">
        <v>59</v>
      </c>
      <c r="C144" s="81"/>
      <c r="D144" s="81"/>
      <c r="E144" s="81"/>
      <c r="F144" s="81"/>
      <c r="G144" s="81"/>
      <c r="H144" s="81"/>
      <c r="I144" s="81"/>
      <c r="J144" s="81"/>
      <c r="K144" s="81"/>
      <c r="L144" s="81"/>
      <c r="M144" s="81"/>
      <c r="N144" s="81"/>
      <c r="O144" s="81"/>
      <c r="P144" s="19"/>
      <c r="Q144" s="19"/>
      <c r="R144" s="19"/>
      <c r="S144" s="19">
        <v>40086</v>
      </c>
      <c r="T144" s="15"/>
      <c r="U144" s="15"/>
      <c r="V144" s="194"/>
      <c r="W144" s="6"/>
    </row>
    <row r="145" spans="1:23" ht="15.6">
      <c r="A145" s="82"/>
      <c r="B145" s="83" t="s">
        <v>60</v>
      </c>
      <c r="C145" s="84"/>
      <c r="D145" s="84"/>
      <c r="E145" s="84"/>
      <c r="F145" s="84"/>
      <c r="G145" s="84"/>
      <c r="H145" s="84"/>
      <c r="I145" s="84"/>
      <c r="J145" s="84"/>
      <c r="K145" s="84"/>
      <c r="L145" s="84"/>
      <c r="M145" s="84"/>
      <c r="N145" s="84"/>
      <c r="O145" s="84"/>
      <c r="P145" s="85"/>
      <c r="Q145" s="85"/>
      <c r="R145" s="85"/>
      <c r="S145" s="86">
        <v>0.10630000000000001</v>
      </c>
      <c r="T145" s="26"/>
      <c r="U145" s="26"/>
      <c r="V145" s="196"/>
      <c r="W145" s="6"/>
    </row>
    <row r="146" spans="1:23" ht="15.6">
      <c r="A146" s="82"/>
      <c r="B146" s="83" t="s">
        <v>61</v>
      </c>
      <c r="C146" s="84"/>
      <c r="D146" s="84"/>
      <c r="E146" s="84"/>
      <c r="F146" s="84"/>
      <c r="G146" s="84"/>
      <c r="H146" s="84"/>
      <c r="I146" s="84"/>
      <c r="J146" s="84"/>
      <c r="K146" s="84"/>
      <c r="L146" s="84"/>
      <c r="M146" s="84"/>
      <c r="N146" s="84"/>
      <c r="O146" s="84"/>
      <c r="P146" s="85"/>
      <c r="Q146" s="85"/>
      <c r="R146" s="85"/>
      <c r="S146" s="86">
        <v>5.2200000000000003E-2</v>
      </c>
      <c r="T146" s="86"/>
      <c r="U146" s="26"/>
      <c r="V146" s="196"/>
      <c r="W146" s="6"/>
    </row>
    <row r="147" spans="1:23" ht="15.6">
      <c r="A147" s="82"/>
      <c r="B147" s="83" t="s">
        <v>62</v>
      </c>
      <c r="C147" s="84"/>
      <c r="D147" s="84"/>
      <c r="E147" s="84"/>
      <c r="F147" s="84"/>
      <c r="G147" s="84"/>
      <c r="H147" s="84"/>
      <c r="I147" s="84"/>
      <c r="J147" s="84"/>
      <c r="K147" s="84"/>
      <c r="L147" s="84"/>
      <c r="M147" s="84"/>
      <c r="N147" s="84"/>
      <c r="O147" s="84"/>
      <c r="P147" s="85"/>
      <c r="Q147" s="85"/>
      <c r="R147" s="85"/>
      <c r="S147" s="86">
        <f>S145-S146</f>
        <v>5.4100000000000002E-2</v>
      </c>
      <c r="T147" s="26"/>
      <c r="U147" s="26"/>
      <c r="V147" s="196"/>
      <c r="W147" s="6"/>
    </row>
    <row r="148" spans="1:23" ht="15.6">
      <c r="A148" s="82"/>
      <c r="B148" s="83" t="s">
        <v>63</v>
      </c>
      <c r="C148" s="84"/>
      <c r="D148" s="84"/>
      <c r="E148" s="84"/>
      <c r="F148" s="84"/>
      <c r="G148" s="84"/>
      <c r="H148" s="84"/>
      <c r="I148" s="84"/>
      <c r="J148" s="84"/>
      <c r="K148" s="84"/>
      <c r="L148" s="84"/>
      <c r="M148" s="84"/>
      <c r="N148" s="84"/>
      <c r="O148" s="84"/>
      <c r="P148" s="85"/>
      <c r="Q148" s="85"/>
      <c r="R148" s="85"/>
      <c r="S148" s="45">
        <v>9.4320000000000001E-2</v>
      </c>
      <c r="T148" s="26"/>
      <c r="U148" s="26"/>
      <c r="V148" s="196"/>
      <c r="W148" s="6"/>
    </row>
    <row r="149" spans="1:23" ht="15.6">
      <c r="A149" s="82"/>
      <c r="B149" s="83" t="s">
        <v>64</v>
      </c>
      <c r="C149" s="84"/>
      <c r="D149" s="84"/>
      <c r="E149" s="84"/>
      <c r="F149" s="84"/>
      <c r="G149" s="84"/>
      <c r="H149" s="84"/>
      <c r="I149" s="84"/>
      <c r="J149" s="84"/>
      <c r="K149" s="84"/>
      <c r="L149" s="84"/>
      <c r="M149" s="84"/>
      <c r="N149" s="84"/>
      <c r="O149" s="84"/>
      <c r="P149" s="85"/>
      <c r="Q149" s="85"/>
      <c r="R149" s="85"/>
      <c r="S149" s="86">
        <f>+U40</f>
        <v>1.3829153776343523E-2</v>
      </c>
      <c r="T149" s="26"/>
      <c r="U149" s="26"/>
      <c r="V149" s="196"/>
      <c r="W149" s="6"/>
    </row>
    <row r="150" spans="1:23" ht="15.6">
      <c r="A150" s="82"/>
      <c r="B150" s="83" t="s">
        <v>65</v>
      </c>
      <c r="C150" s="84"/>
      <c r="D150" s="84"/>
      <c r="E150" s="84"/>
      <c r="F150" s="84"/>
      <c r="G150" s="84"/>
      <c r="H150" s="84"/>
      <c r="I150" s="84"/>
      <c r="J150" s="84"/>
      <c r="K150" s="84"/>
      <c r="L150" s="84"/>
      <c r="M150" s="84"/>
      <c r="N150" s="84"/>
      <c r="O150" s="84"/>
      <c r="P150" s="85"/>
      <c r="Q150" s="85"/>
      <c r="R150" s="85"/>
      <c r="S150" s="86">
        <f>S148-S149</f>
        <v>8.0490846223656473E-2</v>
      </c>
      <c r="T150" s="26"/>
      <c r="U150" s="26"/>
      <c r="V150" s="196"/>
      <c r="W150" s="6"/>
    </row>
    <row r="151" spans="1:23" ht="15.6">
      <c r="A151" s="82"/>
      <c r="B151" s="83" t="s">
        <v>204</v>
      </c>
      <c r="C151" s="84"/>
      <c r="D151" s="84"/>
      <c r="E151" s="84"/>
      <c r="F151" s="84"/>
      <c r="G151" s="84"/>
      <c r="H151" s="84"/>
      <c r="I151" s="84"/>
      <c r="J151" s="84"/>
      <c r="K151" s="84"/>
      <c r="L151" s="84"/>
      <c r="M151" s="84"/>
      <c r="N151" s="84"/>
      <c r="O151" s="84"/>
      <c r="P151" s="85"/>
      <c r="Q151" s="85"/>
      <c r="R151" s="85"/>
      <c r="S151" s="183">
        <v>49780</v>
      </c>
      <c r="T151" s="26"/>
      <c r="U151" s="26"/>
      <c r="V151" s="196"/>
      <c r="W151" s="6"/>
    </row>
    <row r="152" spans="1:23" ht="15.6">
      <c r="A152" s="82"/>
      <c r="B152" s="83" t="s">
        <v>205</v>
      </c>
      <c r="C152" s="84"/>
      <c r="D152" s="84"/>
      <c r="E152" s="84"/>
      <c r="F152" s="84"/>
      <c r="G152" s="84"/>
      <c r="H152" s="84"/>
      <c r="I152" s="84"/>
      <c r="J152" s="84"/>
      <c r="K152" s="84"/>
      <c r="L152" s="84"/>
      <c r="M152" s="84"/>
      <c r="N152" s="84"/>
      <c r="O152" s="84"/>
      <c r="P152" s="85"/>
      <c r="Q152" s="85"/>
      <c r="R152" s="85"/>
      <c r="S152" s="183">
        <v>49780</v>
      </c>
      <c r="T152" s="26"/>
      <c r="U152" s="26"/>
      <c r="V152" s="196"/>
      <c r="W152" s="6"/>
    </row>
    <row r="153" spans="1:23" ht="15.6">
      <c r="A153" s="82"/>
      <c r="B153" s="83" t="s">
        <v>206</v>
      </c>
      <c r="C153" s="84"/>
      <c r="D153" s="84"/>
      <c r="E153" s="84"/>
      <c r="F153" s="84"/>
      <c r="G153" s="84"/>
      <c r="H153" s="84"/>
      <c r="I153" s="84"/>
      <c r="J153" s="84"/>
      <c r="K153" s="84"/>
      <c r="L153" s="84"/>
      <c r="M153" s="84"/>
      <c r="N153" s="84"/>
      <c r="O153" s="84"/>
      <c r="P153" s="85"/>
      <c r="Q153" s="85"/>
      <c r="R153" s="85"/>
      <c r="S153" s="183">
        <v>49780</v>
      </c>
      <c r="T153" s="26"/>
      <c r="U153" s="26"/>
      <c r="V153" s="196"/>
      <c r="W153" s="6"/>
    </row>
    <row r="154" spans="1:23" ht="15.6">
      <c r="A154" s="82"/>
      <c r="B154" s="83" t="s">
        <v>207</v>
      </c>
      <c r="C154" s="84"/>
      <c r="D154" s="84"/>
      <c r="E154" s="84"/>
      <c r="F154" s="84"/>
      <c r="G154" s="84"/>
      <c r="H154" s="84"/>
      <c r="I154" s="84"/>
      <c r="J154" s="84"/>
      <c r="K154" s="84"/>
      <c r="L154" s="84"/>
      <c r="M154" s="84"/>
      <c r="N154" s="84"/>
      <c r="O154" s="84"/>
      <c r="P154" s="85"/>
      <c r="Q154" s="85"/>
      <c r="R154" s="85"/>
      <c r="S154" s="183">
        <v>49780</v>
      </c>
      <c r="T154" s="26"/>
      <c r="U154" s="26"/>
      <c r="V154" s="196"/>
      <c r="W154" s="6"/>
    </row>
    <row r="155" spans="1:23" ht="15.6">
      <c r="A155" s="82"/>
      <c r="B155" s="83" t="s">
        <v>221</v>
      </c>
      <c r="C155" s="84"/>
      <c r="D155" s="84"/>
      <c r="E155" s="84"/>
      <c r="F155" s="84"/>
      <c r="G155" s="84"/>
      <c r="H155" s="84"/>
      <c r="I155" s="84"/>
      <c r="J155" s="84"/>
      <c r="K155" s="84"/>
      <c r="L155" s="84"/>
      <c r="M155" s="84"/>
      <c r="N155" s="84"/>
      <c r="O155" s="84"/>
      <c r="P155" s="85"/>
      <c r="Q155" s="85"/>
      <c r="R155" s="85"/>
      <c r="S155" s="87">
        <v>111.34</v>
      </c>
      <c r="T155" s="26"/>
      <c r="U155" s="26"/>
      <c r="V155" s="196"/>
      <c r="W155" s="6"/>
    </row>
    <row r="156" spans="1:23" ht="15.6">
      <c r="A156" s="82"/>
      <c r="B156" s="83" t="s">
        <v>222</v>
      </c>
      <c r="C156" s="84"/>
      <c r="D156" s="84"/>
      <c r="E156" s="84"/>
      <c r="F156" s="84"/>
      <c r="G156" s="84"/>
      <c r="H156" s="84"/>
      <c r="I156" s="84"/>
      <c r="J156" s="84"/>
      <c r="K156" s="84"/>
      <c r="L156" s="84"/>
      <c r="M156" s="84"/>
      <c r="N156" s="84"/>
      <c r="O156" s="84"/>
      <c r="P156" s="85"/>
      <c r="Q156" s="85"/>
      <c r="R156" s="85"/>
      <c r="S156" s="48">
        <v>152.34</v>
      </c>
      <c r="T156" s="26"/>
      <c r="U156" s="26"/>
      <c r="V156" s="196"/>
      <c r="W156" s="6"/>
    </row>
    <row r="157" spans="1:23" ht="15.6">
      <c r="A157" s="82" t="s">
        <v>223</v>
      </c>
      <c r="B157" s="83" t="s">
        <v>66</v>
      </c>
      <c r="C157" s="84"/>
      <c r="D157" s="84"/>
      <c r="E157" s="84"/>
      <c r="F157" s="84"/>
      <c r="G157" s="84"/>
      <c r="H157" s="84"/>
      <c r="I157" s="84"/>
      <c r="J157" s="84"/>
      <c r="K157" s="84"/>
      <c r="L157" s="84"/>
      <c r="M157" s="84"/>
      <c r="N157" s="84"/>
      <c r="O157" s="84"/>
      <c r="P157" s="85"/>
      <c r="Q157" s="85"/>
      <c r="R157" s="85"/>
      <c r="S157" s="86">
        <v>5.8099999999999999E-2</v>
      </c>
      <c r="T157" s="26"/>
      <c r="U157" s="26"/>
      <c r="V157" s="196"/>
      <c r="W157" s="6"/>
    </row>
    <row r="158" spans="1:23" ht="15.6">
      <c r="A158" s="82"/>
      <c r="B158" s="83" t="s">
        <v>67</v>
      </c>
      <c r="C158" s="84"/>
      <c r="D158" s="84"/>
      <c r="E158" s="84"/>
      <c r="F158" s="84"/>
      <c r="G158" s="84"/>
      <c r="H158" s="84"/>
      <c r="I158" s="84"/>
      <c r="J158" s="84"/>
      <c r="K158" s="84"/>
      <c r="L158" s="84"/>
      <c r="M158" s="84"/>
      <c r="N158" s="84"/>
      <c r="O158" s="84"/>
      <c r="P158" s="85"/>
      <c r="Q158" s="85"/>
      <c r="R158" s="85"/>
      <c r="S158" s="86">
        <v>0.3639</v>
      </c>
      <c r="T158" s="26"/>
      <c r="U158" s="26"/>
      <c r="V158" s="196"/>
      <c r="W158" s="6"/>
    </row>
    <row r="159" spans="1:23" ht="15.6">
      <c r="A159" s="82"/>
      <c r="B159" s="83"/>
      <c r="C159" s="83"/>
      <c r="D159" s="83"/>
      <c r="E159" s="83"/>
      <c r="F159" s="83"/>
      <c r="G159" s="83"/>
      <c r="H159" s="83"/>
      <c r="I159" s="83"/>
      <c r="J159" s="83"/>
      <c r="K159" s="83"/>
      <c r="L159" s="83"/>
      <c r="M159" s="83"/>
      <c r="N159" s="83"/>
      <c r="O159" s="83"/>
      <c r="P159" s="26"/>
      <c r="Q159" s="26"/>
      <c r="R159" s="33"/>
      <c r="S159" s="88"/>
      <c r="T159" s="26"/>
      <c r="U159" s="89"/>
      <c r="V159" s="196"/>
      <c r="W159" s="6"/>
    </row>
    <row r="160" spans="1:23" ht="15.6">
      <c r="A160" s="80"/>
      <c r="B160" s="90"/>
      <c r="C160" s="90"/>
      <c r="D160" s="90"/>
      <c r="E160" s="90"/>
      <c r="F160" s="90"/>
      <c r="G160" s="90"/>
      <c r="H160" s="90"/>
      <c r="I160" s="90"/>
      <c r="J160" s="90"/>
      <c r="K160" s="90"/>
      <c r="L160" s="90"/>
      <c r="M160" s="90"/>
      <c r="N160" s="90"/>
      <c r="O160" s="90"/>
      <c r="P160" s="9"/>
      <c r="Q160" s="9"/>
      <c r="R160" s="20"/>
      <c r="S160" s="91"/>
      <c r="T160" s="9"/>
      <c r="U160" s="92"/>
      <c r="V160" s="194"/>
      <c r="W160" s="6"/>
    </row>
    <row r="161" spans="1:23" ht="16.2" thickBot="1">
      <c r="A161" s="136"/>
      <c r="B161" s="131" t="str">
        <f>+B110</f>
        <v>PPAF3 INVESTOR REPORT QUARTER ENDING SEPTEMBER 2009</v>
      </c>
      <c r="C161" s="137"/>
      <c r="D161" s="137"/>
      <c r="E161" s="137"/>
      <c r="F161" s="137"/>
      <c r="G161" s="137"/>
      <c r="H161" s="137"/>
      <c r="I161" s="137"/>
      <c r="J161" s="137"/>
      <c r="K161" s="137"/>
      <c r="L161" s="137"/>
      <c r="M161" s="137"/>
      <c r="N161" s="137"/>
      <c r="O161" s="137"/>
      <c r="P161" s="132"/>
      <c r="Q161" s="132"/>
      <c r="R161" s="138"/>
      <c r="S161" s="139"/>
      <c r="T161" s="132"/>
      <c r="U161" s="140"/>
      <c r="V161" s="134"/>
      <c r="W161" s="6"/>
    </row>
    <row r="162" spans="1:23" ht="15.6">
      <c r="A162" s="93"/>
      <c r="B162" s="94" t="s">
        <v>68</v>
      </c>
      <c r="C162" s="95"/>
      <c r="D162" s="95"/>
      <c r="E162" s="95"/>
      <c r="F162" s="95"/>
      <c r="G162" s="95"/>
      <c r="H162" s="95"/>
      <c r="I162" s="95"/>
      <c r="J162" s="95"/>
      <c r="K162" s="95"/>
      <c r="L162" s="95"/>
      <c r="M162" s="96"/>
      <c r="N162" s="95"/>
      <c r="O162" s="96"/>
      <c r="P162" s="95"/>
      <c r="Q162" s="96"/>
      <c r="R162" s="95" t="s">
        <v>94</v>
      </c>
      <c r="S162" s="96" t="s">
        <v>116</v>
      </c>
      <c r="T162" s="97"/>
      <c r="U162" s="97"/>
      <c r="V162" s="193"/>
      <c r="W162" s="6"/>
    </row>
    <row r="163" spans="1:23" ht="15.6">
      <c r="A163" s="98"/>
      <c r="B163" s="83" t="s">
        <v>216</v>
      </c>
      <c r="C163" s="61"/>
      <c r="D163" s="61"/>
      <c r="E163" s="61"/>
      <c r="F163" s="61"/>
      <c r="G163" s="61"/>
      <c r="H163" s="61"/>
      <c r="I163" s="61"/>
      <c r="J163" s="61"/>
      <c r="K163" s="61"/>
      <c r="L163" s="61"/>
      <c r="M163" s="61"/>
      <c r="N163" s="61"/>
      <c r="O163" s="26"/>
      <c r="P163" s="26"/>
      <c r="Q163" s="26"/>
      <c r="R163" s="211">
        <v>912</v>
      </c>
      <c r="S163" s="215">
        <v>26589</v>
      </c>
      <c r="T163" s="60"/>
      <c r="U163" s="89"/>
      <c r="V163" s="204"/>
      <c r="W163" s="6"/>
    </row>
    <row r="164" spans="1:23" ht="15.6">
      <c r="A164" s="98"/>
      <c r="B164" s="83" t="s">
        <v>217</v>
      </c>
      <c r="C164" s="61"/>
      <c r="D164" s="61"/>
      <c r="E164" s="61"/>
      <c r="F164" s="61"/>
      <c r="G164" s="61"/>
      <c r="H164" s="61"/>
      <c r="I164" s="61"/>
      <c r="J164" s="61"/>
      <c r="K164" s="61"/>
      <c r="L164" s="61"/>
      <c r="M164" s="61"/>
      <c r="N164" s="61"/>
      <c r="O164" s="26"/>
      <c r="P164" s="26"/>
      <c r="Q164" s="26"/>
      <c r="R164" s="158">
        <v>68</v>
      </c>
      <c r="S164" s="215">
        <v>815</v>
      </c>
      <c r="T164" s="60"/>
      <c r="U164" s="89"/>
      <c r="V164" s="204"/>
      <c r="W164" s="6"/>
    </row>
    <row r="165" spans="1:23" ht="15.6">
      <c r="A165" s="98"/>
      <c r="B165" s="83" t="s">
        <v>218</v>
      </c>
      <c r="C165" s="61"/>
      <c r="D165" s="61"/>
      <c r="E165" s="61"/>
      <c r="F165" s="61"/>
      <c r="G165" s="61"/>
      <c r="H165" s="61"/>
      <c r="I165" s="61"/>
      <c r="J165" s="61"/>
      <c r="K165" s="61"/>
      <c r="L165" s="61"/>
      <c r="M165" s="61"/>
      <c r="N165" s="61"/>
      <c r="O165" s="26"/>
      <c r="P165" s="26"/>
      <c r="Q165" s="26"/>
      <c r="R165" s="158">
        <v>317</v>
      </c>
      <c r="S165" s="215">
        <v>436</v>
      </c>
      <c r="T165" s="60"/>
      <c r="U165" s="89"/>
      <c r="V165" s="204"/>
      <c r="W165" s="6"/>
    </row>
    <row r="166" spans="1:23" ht="15.6">
      <c r="A166" s="98"/>
      <c r="B166" s="83" t="s">
        <v>219</v>
      </c>
      <c r="C166" s="61"/>
      <c r="D166" s="61"/>
      <c r="E166" s="61"/>
      <c r="F166" s="61"/>
      <c r="G166" s="61"/>
      <c r="H166" s="61"/>
      <c r="I166" s="61"/>
      <c r="J166" s="61"/>
      <c r="K166" s="61"/>
      <c r="L166" s="61"/>
      <c r="M166" s="61"/>
      <c r="N166" s="61"/>
      <c r="O166" s="26"/>
      <c r="P166" s="26"/>
      <c r="Q166" s="26"/>
      <c r="R166" s="158">
        <v>287</v>
      </c>
      <c r="S166" s="215">
        <v>867</v>
      </c>
      <c r="T166" s="60"/>
      <c r="U166" s="89"/>
      <c r="V166" s="204"/>
      <c r="W166" s="6"/>
    </row>
    <row r="167" spans="1:23" ht="15.6">
      <c r="A167" s="98"/>
      <c r="B167" s="83" t="s">
        <v>90</v>
      </c>
      <c r="C167" s="61"/>
      <c r="D167" s="61"/>
      <c r="E167" s="61"/>
      <c r="F167" s="61"/>
      <c r="G167" s="61"/>
      <c r="H167" s="61"/>
      <c r="I167" s="61"/>
      <c r="J167" s="61"/>
      <c r="K167" s="61"/>
      <c r="L167" s="61"/>
      <c r="M167" s="61"/>
      <c r="N167" s="61"/>
      <c r="O167" s="26"/>
      <c r="P167" s="26"/>
      <c r="Q167" s="26"/>
      <c r="R167" s="59">
        <f>SUM(R163:R166)</f>
        <v>1584</v>
      </c>
      <c r="S167" s="73">
        <f>SUM(S163:S166)</f>
        <v>28707</v>
      </c>
      <c r="T167" s="60"/>
      <c r="U167" s="89"/>
      <c r="V167" s="204"/>
      <c r="W167" s="6"/>
    </row>
    <row r="168" spans="1:23" ht="15.6">
      <c r="A168" s="98"/>
      <c r="B168" s="83"/>
      <c r="C168" s="61"/>
      <c r="D168" s="61"/>
      <c r="E168" s="61"/>
      <c r="F168" s="61"/>
      <c r="G168" s="61"/>
      <c r="H168" s="61"/>
      <c r="I168" s="61"/>
      <c r="J168" s="61"/>
      <c r="K168" s="61"/>
      <c r="L168" s="61"/>
      <c r="M168" s="61"/>
      <c r="N168" s="61"/>
      <c r="O168" s="26"/>
      <c r="P168" s="26"/>
      <c r="Q168" s="26"/>
      <c r="R168" s="158"/>
      <c r="S168" s="210"/>
      <c r="T168" s="60"/>
      <c r="U168" s="89"/>
      <c r="V168" s="204"/>
      <c r="W168" s="6"/>
    </row>
    <row r="169" spans="1:23" ht="15.6">
      <c r="A169" s="98"/>
      <c r="B169" s="83" t="s">
        <v>220</v>
      </c>
      <c r="C169" s="61"/>
      <c r="D169" s="61"/>
      <c r="E169" s="61"/>
      <c r="F169" s="61"/>
      <c r="G169" s="61"/>
      <c r="H169" s="61"/>
      <c r="I169" s="61"/>
      <c r="J169" s="61"/>
      <c r="K169" s="61"/>
      <c r="L169" s="61"/>
      <c r="M169" s="61"/>
      <c r="N169" s="61"/>
      <c r="O169" s="26"/>
      <c r="P169" s="26"/>
      <c r="Q169" s="26"/>
      <c r="R169" s="158">
        <v>14</v>
      </c>
      <c r="S169" s="215">
        <v>194</v>
      </c>
      <c r="T169" s="60"/>
      <c r="U169" s="89"/>
      <c r="V169" s="204"/>
      <c r="W169" s="6"/>
    </row>
    <row r="170" spans="1:23" ht="15.6">
      <c r="A170" s="98"/>
      <c r="B170" s="83" t="s">
        <v>224</v>
      </c>
      <c r="C170" s="61"/>
      <c r="D170" s="61"/>
      <c r="E170" s="61"/>
      <c r="F170" s="61"/>
      <c r="G170" s="61"/>
      <c r="H170" s="61"/>
      <c r="I170" s="61"/>
      <c r="J170" s="61"/>
      <c r="K170" s="61"/>
      <c r="L170" s="61"/>
      <c r="M170" s="61"/>
      <c r="N170" s="61"/>
      <c r="O170" s="26"/>
      <c r="P170" s="26"/>
      <c r="Q170" s="26"/>
      <c r="R170" s="158">
        <v>12</v>
      </c>
      <c r="S170" s="215">
        <v>529</v>
      </c>
      <c r="T170" s="60"/>
      <c r="U170" s="89"/>
      <c r="V170" s="204"/>
      <c r="W170" s="6"/>
    </row>
    <row r="171" spans="1:23" ht="15.6">
      <c r="A171" s="98"/>
      <c r="B171" s="156" t="s">
        <v>69</v>
      </c>
      <c r="C171" s="61"/>
      <c r="D171" s="61"/>
      <c r="E171" s="61"/>
      <c r="F171" s="61"/>
      <c r="G171" s="61"/>
      <c r="H171" s="61"/>
      <c r="I171" s="61"/>
      <c r="J171" s="61"/>
      <c r="K171" s="61"/>
      <c r="L171" s="61"/>
      <c r="M171" s="61"/>
      <c r="N171" s="61"/>
      <c r="O171" s="26"/>
      <c r="P171" s="26"/>
      <c r="Q171" s="26"/>
      <c r="R171" s="26"/>
      <c r="S171" s="60">
        <v>0</v>
      </c>
      <c r="T171" s="26"/>
      <c r="U171" s="89"/>
      <c r="V171" s="204"/>
      <c r="W171" s="6"/>
    </row>
    <row r="172" spans="1:23" ht="15.6">
      <c r="A172" s="98"/>
      <c r="B172" s="156" t="s">
        <v>70</v>
      </c>
      <c r="C172" s="61"/>
      <c r="D172" s="61"/>
      <c r="E172" s="61"/>
      <c r="F172" s="61"/>
      <c r="G172" s="61"/>
      <c r="H172" s="61"/>
      <c r="I172" s="61"/>
      <c r="J172" s="61"/>
      <c r="K172" s="61"/>
      <c r="L172" s="61"/>
      <c r="M172" s="61"/>
      <c r="N172" s="61"/>
      <c r="O172" s="26"/>
      <c r="P172" s="26"/>
      <c r="Q172" s="26"/>
      <c r="R172" s="26"/>
      <c r="S172" s="60">
        <f>Q76</f>
        <v>0</v>
      </c>
      <c r="T172" s="26"/>
      <c r="U172" s="89"/>
      <c r="V172" s="204"/>
      <c r="W172" s="6"/>
    </row>
    <row r="173" spans="1:23" ht="15.6">
      <c r="A173" s="101"/>
      <c r="B173" s="156" t="s">
        <v>71</v>
      </c>
      <c r="C173" s="61"/>
      <c r="D173" s="61"/>
      <c r="E173" s="61"/>
      <c r="F173" s="61"/>
      <c r="G173" s="61"/>
      <c r="H173" s="61"/>
      <c r="I173" s="61"/>
      <c r="J173" s="61"/>
      <c r="K173" s="61"/>
      <c r="L173" s="61"/>
      <c r="M173" s="83"/>
      <c r="N173" s="83"/>
      <c r="O173" s="83"/>
      <c r="P173" s="26"/>
      <c r="Q173" s="26"/>
      <c r="R173" s="26"/>
      <c r="S173" s="102"/>
      <c r="T173" s="26"/>
      <c r="U173" s="89"/>
      <c r="V173" s="205"/>
      <c r="W173" s="6"/>
    </row>
    <row r="174" spans="1:23" ht="15.6">
      <c r="A174" s="98"/>
      <c r="B174" s="83" t="s">
        <v>72</v>
      </c>
      <c r="C174" s="61"/>
      <c r="D174" s="61"/>
      <c r="E174" s="61"/>
      <c r="F174" s="61"/>
      <c r="G174" s="61"/>
      <c r="H174" s="61"/>
      <c r="I174" s="61"/>
      <c r="J174" s="61"/>
      <c r="K174" s="61"/>
      <c r="L174" s="61"/>
      <c r="M174" s="61"/>
      <c r="N174" s="61"/>
      <c r="O174" s="61"/>
      <c r="P174" s="26"/>
      <c r="Q174" s="26"/>
      <c r="R174" s="26"/>
      <c r="S174" s="60">
        <f>U129</f>
        <v>2940</v>
      </c>
      <c r="T174" s="26"/>
      <c r="U174" s="89"/>
      <c r="V174" s="205"/>
      <c r="W174" s="6"/>
    </row>
    <row r="175" spans="1:23" ht="15.6">
      <c r="A175" s="98"/>
      <c r="B175" s="83" t="s">
        <v>73</v>
      </c>
      <c r="C175" s="61"/>
      <c r="D175" s="61"/>
      <c r="E175" s="61"/>
      <c r="F175" s="61"/>
      <c r="G175" s="61"/>
      <c r="H175" s="61"/>
      <c r="I175" s="61"/>
      <c r="J175" s="61"/>
      <c r="K175" s="61"/>
      <c r="L175" s="61"/>
      <c r="M175" s="61"/>
      <c r="N175" s="61"/>
      <c r="O175" s="61"/>
      <c r="P175" s="26"/>
      <c r="Q175" s="26"/>
      <c r="R175" s="26"/>
      <c r="S175" s="60">
        <f>'June 09'!S175+S174</f>
        <v>60259</v>
      </c>
      <c r="T175" s="26"/>
      <c r="U175" s="89"/>
      <c r="V175" s="205"/>
      <c r="W175" s="6"/>
    </row>
    <row r="176" spans="1:23" ht="15.6">
      <c r="A176" s="98"/>
      <c r="B176" s="83" t="s">
        <v>74</v>
      </c>
      <c r="C176" s="61"/>
      <c r="D176" s="61"/>
      <c r="E176" s="61"/>
      <c r="F176" s="61"/>
      <c r="G176" s="61"/>
      <c r="H176" s="61"/>
      <c r="I176" s="61"/>
      <c r="J176" s="61"/>
      <c r="K176" s="61"/>
      <c r="L176" s="61"/>
      <c r="M176" s="61"/>
      <c r="N176" s="61"/>
      <c r="O176" s="61"/>
      <c r="P176" s="26"/>
      <c r="Q176" s="26"/>
      <c r="R176" s="26"/>
      <c r="S176" s="73">
        <f>'June 09'!S176+679</f>
        <v>11642</v>
      </c>
      <c r="T176" s="26"/>
      <c r="U176" s="89"/>
      <c r="V176" s="205"/>
      <c r="W176" s="6"/>
    </row>
    <row r="177" spans="1:23" ht="15.6">
      <c r="A177" s="98"/>
      <c r="B177" s="83"/>
      <c r="C177" s="61"/>
      <c r="D177" s="61"/>
      <c r="E177" s="61"/>
      <c r="F177" s="61"/>
      <c r="G177" s="61"/>
      <c r="H177" s="61"/>
      <c r="I177" s="61"/>
      <c r="J177" s="61"/>
      <c r="K177" s="61"/>
      <c r="L177" s="61"/>
      <c r="M177" s="61"/>
      <c r="N177" s="61"/>
      <c r="O177" s="61"/>
      <c r="P177" s="26"/>
      <c r="Q177" s="26"/>
      <c r="R177" s="26"/>
      <c r="S177" s="60"/>
      <c r="T177" s="26"/>
      <c r="U177" s="89"/>
      <c r="V177" s="205"/>
      <c r="W177" s="6"/>
    </row>
    <row r="178" spans="1:23" ht="15.6">
      <c r="A178" s="101"/>
      <c r="B178" s="156" t="s">
        <v>259</v>
      </c>
      <c r="C178" s="61"/>
      <c r="D178" s="61"/>
      <c r="E178" s="61"/>
      <c r="F178" s="61"/>
      <c r="G178" s="61"/>
      <c r="H178" s="61"/>
      <c r="I178" s="61"/>
      <c r="J178" s="61"/>
      <c r="K178" s="61"/>
      <c r="L178" s="61"/>
      <c r="M178" s="83"/>
      <c r="N178" s="83"/>
      <c r="O178" s="83"/>
      <c r="P178" s="26"/>
      <c r="Q178" s="26"/>
      <c r="R178" s="26"/>
      <c r="S178" s="79"/>
      <c r="T178" s="26"/>
      <c r="U178" s="89"/>
      <c r="V178" s="205"/>
      <c r="W178" s="6"/>
    </row>
    <row r="179" spans="1:23" ht="15.6">
      <c r="A179" s="101"/>
      <c r="B179" s="83" t="s">
        <v>254</v>
      </c>
      <c r="C179" s="61"/>
      <c r="D179" s="61"/>
      <c r="E179" s="61"/>
      <c r="F179" s="61"/>
      <c r="G179" s="61"/>
      <c r="H179" s="61"/>
      <c r="I179" s="61"/>
      <c r="J179" s="61"/>
      <c r="K179" s="61"/>
      <c r="L179" s="61"/>
      <c r="M179" s="83"/>
      <c r="N179" s="83"/>
      <c r="O179" s="83"/>
      <c r="P179" s="26"/>
      <c r="Q179" s="26"/>
      <c r="R179" s="26"/>
      <c r="S179" s="219">
        <v>8</v>
      </c>
      <c r="T179" s="26"/>
      <c r="U179" s="89"/>
      <c r="V179" s="205"/>
      <c r="W179" s="6"/>
    </row>
    <row r="180" spans="1:23" ht="15.6">
      <c r="A180" s="98"/>
      <c r="B180" s="83" t="s">
        <v>75</v>
      </c>
      <c r="C180" s="61"/>
      <c r="D180" s="61"/>
      <c r="E180" s="61"/>
      <c r="F180" s="61"/>
      <c r="G180" s="61"/>
      <c r="H180" s="61"/>
      <c r="I180" s="61"/>
      <c r="J180" s="61"/>
      <c r="K180" s="61"/>
      <c r="L180" s="61"/>
      <c r="M180" s="104"/>
      <c r="N180" s="104"/>
      <c r="O180" s="105"/>
      <c r="P180" s="26"/>
      <c r="Q180" s="26"/>
      <c r="R180" s="26"/>
      <c r="S180" s="220">
        <v>12.39</v>
      </c>
      <c r="T180" s="26"/>
      <c r="U180" s="89"/>
      <c r="V180" s="205"/>
      <c r="W180" s="6"/>
    </row>
    <row r="181" spans="1:23" ht="15.6">
      <c r="A181" s="98"/>
      <c r="B181" s="83" t="s">
        <v>76</v>
      </c>
      <c r="C181" s="61"/>
      <c r="D181" s="61"/>
      <c r="E181" s="61"/>
      <c r="F181" s="61"/>
      <c r="G181" s="61"/>
      <c r="H181" s="61"/>
      <c r="I181" s="61"/>
      <c r="J181" s="61"/>
      <c r="K181" s="61"/>
      <c r="L181" s="61"/>
      <c r="M181" s="104"/>
      <c r="N181" s="104"/>
      <c r="O181" s="105"/>
      <c r="P181" s="26"/>
      <c r="Q181" s="26"/>
      <c r="R181" s="26"/>
      <c r="S181" s="220">
        <v>295.5</v>
      </c>
      <c r="T181" s="26"/>
      <c r="U181" s="89"/>
      <c r="V181" s="205"/>
      <c r="W181" s="6"/>
    </row>
    <row r="182" spans="1:23" ht="15.6">
      <c r="A182" s="98"/>
      <c r="B182" s="83"/>
      <c r="C182" s="61"/>
      <c r="D182" s="61"/>
      <c r="E182" s="61"/>
      <c r="F182" s="61"/>
      <c r="G182" s="61"/>
      <c r="H182" s="61"/>
      <c r="I182" s="61"/>
      <c r="J182" s="61"/>
      <c r="K182" s="61"/>
      <c r="L182" s="61"/>
      <c r="M182" s="106"/>
      <c r="N182" s="104"/>
      <c r="O182" s="105"/>
      <c r="P182" s="26"/>
      <c r="Q182" s="26"/>
      <c r="R182" s="26"/>
      <c r="S182" s="217"/>
      <c r="T182" s="26"/>
      <c r="U182" s="89"/>
      <c r="V182" s="205"/>
      <c r="W182" s="6"/>
    </row>
    <row r="183" spans="1:23" ht="15.6">
      <c r="A183" s="98"/>
      <c r="B183" s="156" t="s">
        <v>77</v>
      </c>
      <c r="C183" s="61"/>
      <c r="D183" s="61"/>
      <c r="E183" s="61"/>
      <c r="F183" s="61"/>
      <c r="G183" s="61"/>
      <c r="H183" s="61"/>
      <c r="I183" s="61"/>
      <c r="J183" s="61"/>
      <c r="K183" s="61"/>
      <c r="L183" s="61"/>
      <c r="M183" s="61"/>
      <c r="N183" s="106"/>
      <c r="O183" s="104"/>
      <c r="P183" s="105"/>
      <c r="Q183" s="26"/>
      <c r="R183" s="33"/>
      <c r="S183" s="218"/>
      <c r="T183" s="107"/>
      <c r="U183" s="33"/>
      <c r="V183" s="206"/>
      <c r="W183" s="6"/>
    </row>
    <row r="184" spans="1:23" ht="15.6">
      <c r="A184" s="98"/>
      <c r="B184" s="83" t="s">
        <v>78</v>
      </c>
      <c r="C184" s="61"/>
      <c r="D184" s="61"/>
      <c r="E184" s="61"/>
      <c r="F184" s="61"/>
      <c r="G184" s="61"/>
      <c r="H184" s="61"/>
      <c r="I184" s="61"/>
      <c r="J184" s="61"/>
      <c r="K184" s="61"/>
      <c r="L184" s="61"/>
      <c r="M184" s="61"/>
      <c r="N184" s="106"/>
      <c r="O184" s="104"/>
      <c r="P184" s="105"/>
      <c r="Q184" s="26"/>
      <c r="R184" s="33"/>
      <c r="S184" s="216">
        <v>153</v>
      </c>
      <c r="T184" s="108"/>
      <c r="U184" s="33"/>
      <c r="V184" s="206"/>
      <c r="W184" s="6"/>
    </row>
    <row r="185" spans="1:23" ht="15.6">
      <c r="A185" s="98"/>
      <c r="B185" s="83" t="s">
        <v>75</v>
      </c>
      <c r="C185" s="61"/>
      <c r="D185" s="61"/>
      <c r="E185" s="61"/>
      <c r="F185" s="61"/>
      <c r="G185" s="61"/>
      <c r="H185" s="61"/>
      <c r="I185" s="61"/>
      <c r="J185" s="61"/>
      <c r="K185" s="61"/>
      <c r="L185" s="61"/>
      <c r="M185" s="61"/>
      <c r="N185" s="106"/>
      <c r="O185" s="104"/>
      <c r="P185" s="105"/>
      <c r="Q185" s="26"/>
      <c r="R185" s="33"/>
      <c r="S185" s="216">
        <v>3.96</v>
      </c>
      <c r="T185" s="108"/>
      <c r="U185" s="33"/>
      <c r="V185" s="206"/>
      <c r="W185" s="6"/>
    </row>
    <row r="186" spans="1:23" ht="15.6">
      <c r="A186" s="98"/>
      <c r="B186" s="83" t="s">
        <v>79</v>
      </c>
      <c r="C186" s="61"/>
      <c r="D186" s="61"/>
      <c r="E186" s="61"/>
      <c r="F186" s="61"/>
      <c r="G186" s="61"/>
      <c r="H186" s="61"/>
      <c r="I186" s="61"/>
      <c r="J186" s="61"/>
      <c r="K186" s="61"/>
      <c r="L186" s="61"/>
      <c r="M186" s="61"/>
      <c r="N186" s="106"/>
      <c r="O186" s="104"/>
      <c r="P186" s="105"/>
      <c r="Q186" s="26"/>
      <c r="R186" s="33"/>
      <c r="S186" s="216">
        <v>53.26</v>
      </c>
      <c r="T186" s="108"/>
      <c r="U186" s="33"/>
      <c r="V186" s="206"/>
      <c r="W186" s="6"/>
    </row>
    <row r="187" spans="1:23" ht="15.6">
      <c r="A187" s="98"/>
      <c r="B187" s="83"/>
      <c r="C187" s="61"/>
      <c r="D187" s="61"/>
      <c r="E187" s="61"/>
      <c r="F187" s="61"/>
      <c r="G187" s="61"/>
      <c r="H187" s="61"/>
      <c r="I187" s="61"/>
      <c r="J187" s="61"/>
      <c r="K187" s="61"/>
      <c r="L187" s="61"/>
      <c r="M187" s="106"/>
      <c r="N187" s="104"/>
      <c r="O187" s="105"/>
      <c r="P187" s="26"/>
      <c r="Q187" s="26"/>
      <c r="R187" s="26"/>
      <c r="S187" s="79"/>
      <c r="T187" s="26"/>
      <c r="U187" s="89"/>
      <c r="V187" s="205"/>
      <c r="W187" s="6"/>
    </row>
    <row r="188" spans="1:23" ht="17.399999999999999">
      <c r="A188" s="98"/>
      <c r="B188" s="180" t="s">
        <v>196</v>
      </c>
      <c r="C188" s="61"/>
      <c r="D188" s="61"/>
      <c r="E188" s="61"/>
      <c r="F188" s="61"/>
      <c r="G188" s="61"/>
      <c r="H188" s="61"/>
      <c r="I188" s="61"/>
      <c r="J188" s="61"/>
      <c r="K188" s="181" t="s">
        <v>195</v>
      </c>
      <c r="L188" s="61"/>
      <c r="M188" s="106"/>
      <c r="N188" s="104"/>
      <c r="O188" s="105"/>
      <c r="P188" s="26"/>
      <c r="Q188" s="26"/>
      <c r="R188" s="26"/>
      <c r="S188" s="79"/>
      <c r="T188" s="26"/>
      <c r="U188" s="89"/>
      <c r="V188" s="205"/>
      <c r="W188" s="6"/>
    </row>
    <row r="189" spans="1:23" ht="15.6">
      <c r="A189" s="25"/>
      <c r="B189" s="109" t="s">
        <v>80</v>
      </c>
      <c r="C189" s="110"/>
      <c r="D189" s="110"/>
      <c r="E189" s="110"/>
      <c r="F189" s="110"/>
      <c r="G189" s="110"/>
      <c r="H189" s="110"/>
      <c r="I189" s="110"/>
      <c r="J189" s="110"/>
      <c r="K189" s="110"/>
      <c r="L189" s="110"/>
      <c r="M189" s="111"/>
      <c r="N189" s="110"/>
      <c r="O189" s="111"/>
      <c r="P189" s="110"/>
      <c r="Q189" s="111"/>
      <c r="R189" s="110"/>
      <c r="S189" s="111"/>
      <c r="T189" s="110"/>
      <c r="U189" s="112"/>
      <c r="V189" s="205"/>
      <c r="W189" s="6"/>
    </row>
    <row r="190" spans="1:23" ht="15.6">
      <c r="A190" s="25"/>
      <c r="B190" s="30"/>
      <c r="C190" s="189"/>
      <c r="D190" s="189"/>
      <c r="E190" s="189"/>
      <c r="F190" s="189"/>
      <c r="G190" s="189"/>
      <c r="H190" s="189"/>
      <c r="I190" s="189"/>
      <c r="J190" s="189"/>
      <c r="K190" s="189"/>
      <c r="L190" s="189"/>
      <c r="M190" s="109" t="s">
        <v>100</v>
      </c>
      <c r="N190" s="110"/>
      <c r="O190" s="111"/>
      <c r="P190" s="110"/>
      <c r="Q190" s="109" t="s">
        <v>26</v>
      </c>
      <c r="R190" s="110"/>
      <c r="S190" s="111"/>
      <c r="T190" s="110"/>
      <c r="U190" s="112"/>
      <c r="V190" s="205"/>
      <c r="W190" s="6"/>
    </row>
    <row r="191" spans="1:23" ht="15.6">
      <c r="A191" s="25"/>
      <c r="B191" s="189"/>
      <c r="C191" s="111"/>
      <c r="D191" s="111"/>
      <c r="E191" s="111"/>
      <c r="F191" s="111"/>
      <c r="G191" s="111"/>
      <c r="H191" s="111"/>
      <c r="I191" s="111"/>
      <c r="J191" s="111"/>
      <c r="K191" s="111"/>
      <c r="L191" s="111" t="s">
        <v>94</v>
      </c>
      <c r="M191" s="110" t="s">
        <v>101</v>
      </c>
      <c r="N191" s="111" t="s">
        <v>103</v>
      </c>
      <c r="O191" s="110" t="s">
        <v>101</v>
      </c>
      <c r="P191" s="110"/>
      <c r="Q191" s="111" t="s">
        <v>94</v>
      </c>
      <c r="R191" s="110" t="s">
        <v>101</v>
      </c>
      <c r="S191" s="111" t="s">
        <v>103</v>
      </c>
      <c r="T191" s="110" t="s">
        <v>101</v>
      </c>
      <c r="U191" s="112"/>
      <c r="V191" s="205"/>
      <c r="W191" s="6"/>
    </row>
    <row r="192" spans="1:23" ht="15.6">
      <c r="A192" s="25"/>
      <c r="B192" s="61" t="s">
        <v>81</v>
      </c>
      <c r="C192" s="113"/>
      <c r="D192" s="113"/>
      <c r="E192" s="113"/>
      <c r="F192" s="113"/>
      <c r="G192" s="113"/>
      <c r="H192" s="113"/>
      <c r="I192" s="113"/>
      <c r="J192" s="113"/>
      <c r="K192" s="113"/>
      <c r="L192" s="113">
        <v>2777</v>
      </c>
      <c r="M192" s="86">
        <f t="shared" ref="M192:M198" si="0">+L192/$L$199</f>
        <v>0.85210187173979746</v>
      </c>
      <c r="N192" s="113">
        <v>7964</v>
      </c>
      <c r="O192" s="86">
        <f t="shared" ref="O192:O198" si="1">N192/$N$199</f>
        <v>0.83131524008350732</v>
      </c>
      <c r="P192" s="110"/>
      <c r="Q192" s="113">
        <v>5850</v>
      </c>
      <c r="R192" s="86">
        <f t="shared" ref="R192:R198" si="2">+Q192/$Q$199</f>
        <v>0.91463414634146345</v>
      </c>
      <c r="S192" s="113">
        <v>4581</v>
      </c>
      <c r="T192" s="86">
        <f t="shared" ref="T192:T198" si="3">+S192/$S$199</f>
        <v>0.8717411988582302</v>
      </c>
      <c r="U192" s="112"/>
      <c r="V192" s="205"/>
      <c r="W192" s="6"/>
    </row>
    <row r="193" spans="1:24" ht="15.6">
      <c r="A193" s="25"/>
      <c r="B193" s="61" t="s">
        <v>82</v>
      </c>
      <c r="C193" s="113"/>
      <c r="D193" s="113"/>
      <c r="E193" s="113"/>
      <c r="F193" s="113"/>
      <c r="G193" s="113"/>
      <c r="H193" s="113"/>
      <c r="I193" s="113"/>
      <c r="J193" s="113"/>
      <c r="K193" s="113"/>
      <c r="L193" s="113">
        <v>54</v>
      </c>
      <c r="M193" s="86">
        <f t="shared" si="0"/>
        <v>1.6569499846578704E-2</v>
      </c>
      <c r="N193" s="113">
        <v>162</v>
      </c>
      <c r="O193" s="86">
        <f t="shared" si="1"/>
        <v>1.6910229645093946E-2</v>
      </c>
      <c r="P193" s="110"/>
      <c r="Q193" s="113">
        <v>61</v>
      </c>
      <c r="R193" s="86">
        <f t="shared" si="2"/>
        <v>9.5372107567229525E-3</v>
      </c>
      <c r="S193" s="113">
        <v>51</v>
      </c>
      <c r="T193" s="86">
        <f t="shared" si="3"/>
        <v>9.7050428163653665E-3</v>
      </c>
      <c r="U193" s="112"/>
      <c r="V193" s="205"/>
      <c r="W193" s="6"/>
    </row>
    <row r="194" spans="1:24" ht="15.6">
      <c r="A194" s="25"/>
      <c r="B194" s="61" t="s">
        <v>83</v>
      </c>
      <c r="C194" s="113"/>
      <c r="D194" s="113"/>
      <c r="E194" s="113"/>
      <c r="F194" s="113"/>
      <c r="G194" s="113"/>
      <c r="H194" s="113"/>
      <c r="I194" s="113"/>
      <c r="J194" s="113"/>
      <c r="K194" s="113"/>
      <c r="L194" s="113">
        <v>39</v>
      </c>
      <c r="M194" s="86">
        <f t="shared" si="0"/>
        <v>1.1966861000306842E-2</v>
      </c>
      <c r="N194" s="113">
        <v>138</v>
      </c>
      <c r="O194" s="86">
        <f t="shared" si="1"/>
        <v>1.4405010438413361E-2</v>
      </c>
      <c r="P194" s="110"/>
      <c r="Q194" s="113">
        <v>48</v>
      </c>
      <c r="R194" s="86">
        <f t="shared" si="2"/>
        <v>7.5046904315196998E-3</v>
      </c>
      <c r="S194" s="113">
        <v>46</v>
      </c>
      <c r="T194" s="86">
        <f t="shared" si="3"/>
        <v>8.7535680304471931E-3</v>
      </c>
      <c r="U194" s="112"/>
      <c r="V194" s="205"/>
      <c r="W194" s="6"/>
    </row>
    <row r="195" spans="1:24" ht="15.6">
      <c r="A195" s="25"/>
      <c r="B195" s="61" t="s">
        <v>186</v>
      </c>
      <c r="C195" s="113"/>
      <c r="D195" s="113"/>
      <c r="E195" s="113"/>
      <c r="F195" s="113"/>
      <c r="G195" s="113"/>
      <c r="H195" s="113"/>
      <c r="I195" s="113"/>
      <c r="J195" s="113"/>
      <c r="K195" s="113"/>
      <c r="L195" s="113">
        <v>38</v>
      </c>
      <c r="M195" s="86">
        <f t="shared" si="0"/>
        <v>1.1660018410555384E-2</v>
      </c>
      <c r="N195" s="113">
        <v>132</v>
      </c>
      <c r="O195" s="86">
        <f t="shared" si="1"/>
        <v>1.3778705636743214E-2</v>
      </c>
      <c r="P195" s="110"/>
      <c r="Q195" s="113">
        <v>52</v>
      </c>
      <c r="R195" s="86">
        <f t="shared" si="2"/>
        <v>8.130081300813009E-3</v>
      </c>
      <c r="S195" s="113">
        <v>98</v>
      </c>
      <c r="T195" s="86">
        <f t="shared" si="3"/>
        <v>1.8648905803996193E-2</v>
      </c>
      <c r="U195" s="112"/>
      <c r="V195" s="205"/>
      <c r="W195" s="6"/>
    </row>
    <row r="196" spans="1:24" ht="15.6">
      <c r="A196" s="25"/>
      <c r="B196" s="61" t="s">
        <v>187</v>
      </c>
      <c r="C196" s="113"/>
      <c r="D196" s="113"/>
      <c r="E196" s="113"/>
      <c r="F196" s="113"/>
      <c r="G196" s="113"/>
      <c r="H196" s="113"/>
      <c r="I196" s="113"/>
      <c r="J196" s="113"/>
      <c r="K196" s="113"/>
      <c r="L196" s="113">
        <v>38</v>
      </c>
      <c r="M196" s="86">
        <f t="shared" si="0"/>
        <v>1.1660018410555384E-2</v>
      </c>
      <c r="N196" s="113">
        <v>121</v>
      </c>
      <c r="O196" s="86">
        <f t="shared" si="1"/>
        <v>1.2630480167014613E-2</v>
      </c>
      <c r="P196" s="110"/>
      <c r="Q196" s="113">
        <v>49</v>
      </c>
      <c r="R196" s="86">
        <f t="shared" si="2"/>
        <v>7.6610381488430267E-3</v>
      </c>
      <c r="S196" s="113">
        <v>42</v>
      </c>
      <c r="T196" s="86">
        <f t="shared" si="3"/>
        <v>7.9923882017126548E-3</v>
      </c>
      <c r="U196" s="112"/>
      <c r="V196" s="205"/>
      <c r="W196" s="6"/>
    </row>
    <row r="197" spans="1:24" ht="15.6">
      <c r="A197" s="25"/>
      <c r="B197" s="61" t="s">
        <v>188</v>
      </c>
      <c r="C197" s="113"/>
      <c r="D197" s="113"/>
      <c r="E197" s="113"/>
      <c r="F197" s="113"/>
      <c r="G197" s="113"/>
      <c r="H197" s="113"/>
      <c r="I197" s="113"/>
      <c r="J197" s="113"/>
      <c r="K197" s="113"/>
      <c r="L197" s="113">
        <v>47</v>
      </c>
      <c r="M197" s="86">
        <f t="shared" si="0"/>
        <v>1.4421601718318503E-2</v>
      </c>
      <c r="N197" s="113">
        <v>141</v>
      </c>
      <c r="O197" s="86">
        <f t="shared" si="1"/>
        <v>1.4718162839248435E-2</v>
      </c>
      <c r="P197" s="110"/>
      <c r="Q197" s="113">
        <v>44</v>
      </c>
      <c r="R197" s="86">
        <f t="shared" si="2"/>
        <v>6.8792995622263915E-3</v>
      </c>
      <c r="S197" s="113">
        <v>53</v>
      </c>
      <c r="T197" s="86">
        <f t="shared" si="3"/>
        <v>1.0085632730732635E-2</v>
      </c>
      <c r="U197" s="112"/>
      <c r="V197" s="205"/>
      <c r="W197" s="6"/>
    </row>
    <row r="198" spans="1:24" ht="15.6">
      <c r="A198" s="25"/>
      <c r="B198" s="61" t="s">
        <v>189</v>
      </c>
      <c r="C198" s="113"/>
      <c r="D198" s="113"/>
      <c r="E198" s="113"/>
      <c r="F198" s="113"/>
      <c r="G198" s="113"/>
      <c r="H198" s="113"/>
      <c r="I198" s="113"/>
      <c r="J198" s="113"/>
      <c r="K198" s="113"/>
      <c r="L198" s="113">
        <v>266</v>
      </c>
      <c r="M198" s="86">
        <f t="shared" si="0"/>
        <v>8.1620128873887698E-2</v>
      </c>
      <c r="N198" s="113">
        <v>922</v>
      </c>
      <c r="O198" s="86">
        <f t="shared" si="1"/>
        <v>9.6242171189979117E-2</v>
      </c>
      <c r="P198" s="110"/>
      <c r="Q198" s="113">
        <v>292</v>
      </c>
      <c r="R198" s="86">
        <f t="shared" si="2"/>
        <v>4.5653533458411506E-2</v>
      </c>
      <c r="S198" s="113">
        <v>384</v>
      </c>
      <c r="T198" s="86">
        <f t="shared" si="3"/>
        <v>7.3073263558515705E-2</v>
      </c>
      <c r="U198" s="112"/>
      <c r="V198" s="205"/>
      <c r="W198" s="6"/>
    </row>
    <row r="199" spans="1:24" ht="15.6">
      <c r="A199" s="25"/>
      <c r="B199" s="61" t="s">
        <v>84</v>
      </c>
      <c r="C199" s="113"/>
      <c r="D199" s="113"/>
      <c r="E199" s="113"/>
      <c r="F199" s="113"/>
      <c r="G199" s="113"/>
      <c r="H199" s="113"/>
      <c r="I199" s="113"/>
      <c r="J199" s="113"/>
      <c r="K199" s="113"/>
      <c r="L199" s="113">
        <f>SUM(L192:L198)</f>
        <v>3259</v>
      </c>
      <c r="M199" s="86">
        <f>SUM(M192:M198)</f>
        <v>1</v>
      </c>
      <c r="N199" s="113">
        <f>SUM(N192:N198)</f>
        <v>9580</v>
      </c>
      <c r="O199" s="86">
        <f>SUM(O192:O198)</f>
        <v>1</v>
      </c>
      <c r="P199" s="110"/>
      <c r="Q199" s="113">
        <f>SUM(Q192:Q198)</f>
        <v>6396</v>
      </c>
      <c r="R199" s="86">
        <f>SUM(R192:R198)</f>
        <v>1.0000000000000002</v>
      </c>
      <c r="S199" s="113">
        <f>SUM(S192:S198)</f>
        <v>5255</v>
      </c>
      <c r="T199" s="86">
        <f>SUM(T192:T198)</f>
        <v>1</v>
      </c>
      <c r="U199" s="112"/>
      <c r="V199" s="205"/>
      <c r="W199" s="6"/>
      <c r="X199" s="64"/>
    </row>
    <row r="200" spans="1:24" ht="15.6">
      <c r="A200" s="25"/>
      <c r="B200" s="61" t="s">
        <v>85</v>
      </c>
      <c r="C200" s="113"/>
      <c r="D200" s="113"/>
      <c r="E200" s="113"/>
      <c r="F200" s="113"/>
      <c r="G200" s="113"/>
      <c r="H200" s="113"/>
      <c r="I200" s="113"/>
      <c r="J200" s="113"/>
      <c r="K200" s="113"/>
      <c r="L200" s="113">
        <v>1224</v>
      </c>
      <c r="M200" s="114"/>
      <c r="N200" s="113">
        <v>7624</v>
      </c>
      <c r="O200" s="114"/>
      <c r="P200" s="110"/>
      <c r="Q200" s="113">
        <v>635</v>
      </c>
      <c r="R200" s="114"/>
      <c r="S200" s="113">
        <v>1379</v>
      </c>
      <c r="T200" s="114"/>
      <c r="U200" s="112"/>
      <c r="V200" s="205"/>
      <c r="W200" s="6"/>
      <c r="X200" s="64"/>
    </row>
    <row r="201" spans="1:24" ht="15.6">
      <c r="A201" s="25"/>
      <c r="B201" s="61" t="s">
        <v>86</v>
      </c>
      <c r="C201" s="113"/>
      <c r="D201" s="113"/>
      <c r="E201" s="113"/>
      <c r="F201" s="113"/>
      <c r="G201" s="113"/>
      <c r="H201" s="113"/>
      <c r="I201" s="113"/>
      <c r="J201" s="113"/>
      <c r="K201" s="113"/>
      <c r="L201" s="113">
        <f>SUM(L199:L200)</f>
        <v>4483</v>
      </c>
      <c r="M201" s="189"/>
      <c r="N201" s="113">
        <f>SUM(N199:N200)</f>
        <v>17204</v>
      </c>
      <c r="O201" s="115"/>
      <c r="P201" s="189"/>
      <c r="Q201" s="113">
        <f>SUM(Q199:Q200)</f>
        <v>7031</v>
      </c>
      <c r="R201" s="189"/>
      <c r="S201" s="113">
        <f>SUM(S199:S200)</f>
        <v>6634</v>
      </c>
      <c r="T201" s="189"/>
      <c r="U201" s="189"/>
      <c r="V201" s="205"/>
      <c r="W201" s="6"/>
      <c r="X201" s="64"/>
    </row>
    <row r="202" spans="1:24" ht="15.6">
      <c r="A202" s="25"/>
      <c r="B202" s="61"/>
      <c r="C202" s="113"/>
      <c r="D202" s="113"/>
      <c r="E202" s="113"/>
      <c r="F202" s="113"/>
      <c r="G202" s="113"/>
      <c r="H202" s="113"/>
      <c r="I202" s="113"/>
      <c r="J202" s="113"/>
      <c r="K202" s="113"/>
      <c r="L202" s="113"/>
      <c r="M202" s="115"/>
      <c r="N202" s="113"/>
      <c r="O202" s="115"/>
      <c r="P202" s="110"/>
      <c r="Q202" s="113"/>
      <c r="R202" s="115"/>
      <c r="S202" s="113"/>
      <c r="T202" s="115"/>
      <c r="U202" s="112"/>
      <c r="V202" s="205"/>
      <c r="W202" s="6"/>
    </row>
    <row r="203" spans="1:24" ht="15.6">
      <c r="A203" s="25"/>
      <c r="B203" s="61"/>
      <c r="C203" s="110"/>
      <c r="D203" s="110"/>
      <c r="E203" s="110"/>
      <c r="F203" s="110"/>
      <c r="G203" s="110"/>
      <c r="H203" s="110"/>
      <c r="I203" s="110"/>
      <c r="J203" s="110"/>
      <c r="K203" s="110"/>
      <c r="L203" s="110"/>
      <c r="M203" s="109" t="s">
        <v>27</v>
      </c>
      <c r="N203" s="110"/>
      <c r="O203" s="111"/>
      <c r="P203" s="110"/>
      <c r="Q203" s="109" t="s">
        <v>28</v>
      </c>
      <c r="R203" s="110"/>
      <c r="S203" s="111"/>
      <c r="T203" s="110"/>
      <c r="U203" s="112"/>
      <c r="V203" s="205"/>
      <c r="W203" s="6"/>
    </row>
    <row r="204" spans="1:24" ht="15.6">
      <c r="A204" s="25"/>
      <c r="B204" s="189"/>
      <c r="C204" s="111"/>
      <c r="D204" s="111"/>
      <c r="E204" s="111"/>
      <c r="F204" s="111"/>
      <c r="G204" s="111"/>
      <c r="H204" s="111"/>
      <c r="I204" s="111"/>
      <c r="J204" s="111"/>
      <c r="K204" s="111"/>
      <c r="L204" s="111" t="s">
        <v>94</v>
      </c>
      <c r="M204" s="110" t="s">
        <v>101</v>
      </c>
      <c r="N204" s="111" t="s">
        <v>103</v>
      </c>
      <c r="O204" s="110" t="s">
        <v>101</v>
      </c>
      <c r="P204" s="110"/>
      <c r="Q204" s="111" t="s">
        <v>94</v>
      </c>
      <c r="R204" s="110" t="s">
        <v>101</v>
      </c>
      <c r="S204" s="111" t="s">
        <v>103</v>
      </c>
      <c r="T204" s="110" t="s">
        <v>101</v>
      </c>
      <c r="U204" s="112"/>
      <c r="V204" s="205"/>
      <c r="W204" s="6"/>
    </row>
    <row r="205" spans="1:24" ht="15.6">
      <c r="A205" s="25"/>
      <c r="B205" s="61" t="s">
        <v>81</v>
      </c>
      <c r="C205" s="113"/>
      <c r="D205" s="113"/>
      <c r="E205" s="113"/>
      <c r="F205" s="113"/>
      <c r="G205" s="113"/>
      <c r="H205" s="113"/>
      <c r="I205" s="113"/>
      <c r="J205" s="113"/>
      <c r="K205" s="113"/>
      <c r="L205" s="113">
        <v>8835</v>
      </c>
      <c r="M205" s="86">
        <f t="shared" ref="M205:M211" si="4">+L205/$L$212</f>
        <v>0.9064327485380117</v>
      </c>
      <c r="N205" s="113">
        <v>234609</v>
      </c>
      <c r="O205" s="86">
        <f t="shared" ref="O205:O211" si="5">+N205/$N$212</f>
        <v>0.89820366159005816</v>
      </c>
      <c r="P205" s="110"/>
      <c r="Q205" s="113">
        <v>3452</v>
      </c>
      <c r="R205" s="86">
        <f t="shared" ref="R205:R211" si="6">Q205/$Q$212</f>
        <v>0.94497673145359973</v>
      </c>
      <c r="S205" s="113">
        <v>40963</v>
      </c>
      <c r="T205" s="86">
        <f t="shared" ref="T205:T211" si="7">+S205/$S$212</f>
        <v>0.93803384551970503</v>
      </c>
      <c r="U205" s="112"/>
      <c r="V205" s="205"/>
      <c r="W205" s="6"/>
    </row>
    <row r="206" spans="1:24" ht="15.6">
      <c r="A206" s="25"/>
      <c r="B206" s="61" t="s">
        <v>82</v>
      </c>
      <c r="C206" s="113"/>
      <c r="D206" s="113"/>
      <c r="E206" s="113"/>
      <c r="F206" s="113"/>
      <c r="G206" s="113"/>
      <c r="H206" s="113"/>
      <c r="I206" s="113"/>
      <c r="J206" s="113"/>
      <c r="K206" s="113"/>
      <c r="L206" s="113">
        <v>275</v>
      </c>
      <c r="M206" s="86">
        <f t="shared" si="4"/>
        <v>2.821380937724428E-2</v>
      </c>
      <c r="N206" s="113">
        <v>7617</v>
      </c>
      <c r="O206" s="86">
        <f t="shared" si="5"/>
        <v>2.9161785312291823E-2</v>
      </c>
      <c r="P206" s="110"/>
      <c r="Q206" s="113">
        <v>72</v>
      </c>
      <c r="R206" s="86">
        <f t="shared" si="6"/>
        <v>1.9709827539009035E-2</v>
      </c>
      <c r="S206" s="113">
        <v>904</v>
      </c>
      <c r="T206" s="86">
        <f t="shared" si="7"/>
        <v>2.0701183906203485E-2</v>
      </c>
      <c r="U206" s="112"/>
      <c r="V206" s="205"/>
      <c r="W206" s="6"/>
    </row>
    <row r="207" spans="1:24" ht="15.6">
      <c r="A207" s="25"/>
      <c r="B207" s="61" t="s">
        <v>83</v>
      </c>
      <c r="C207" s="113"/>
      <c r="D207" s="113"/>
      <c r="E207" s="113"/>
      <c r="F207" s="113"/>
      <c r="G207" s="113"/>
      <c r="H207" s="113"/>
      <c r="I207" s="113"/>
      <c r="J207" s="113"/>
      <c r="K207" s="113"/>
      <c r="L207" s="113">
        <v>167</v>
      </c>
      <c r="M207" s="86">
        <f t="shared" si="4"/>
        <v>1.7133476967271979E-2</v>
      </c>
      <c r="N207" s="113">
        <v>4967</v>
      </c>
      <c r="O207" s="86">
        <f t="shared" si="5"/>
        <v>1.9016225239090651E-2</v>
      </c>
      <c r="P207" s="110"/>
      <c r="Q207" s="113">
        <v>36</v>
      </c>
      <c r="R207" s="86">
        <f t="shared" si="6"/>
        <v>9.8549137695045173E-3</v>
      </c>
      <c r="S207" s="113">
        <v>498</v>
      </c>
      <c r="T207" s="86">
        <f t="shared" si="7"/>
        <v>1.1403970780187319E-2</v>
      </c>
      <c r="U207" s="112"/>
      <c r="V207" s="205"/>
      <c r="W207" s="6"/>
      <c r="X207" s="182"/>
    </row>
    <row r="208" spans="1:24" ht="15.6">
      <c r="A208" s="25"/>
      <c r="B208" s="61" t="s">
        <v>186</v>
      </c>
      <c r="C208" s="113"/>
      <c r="D208" s="113"/>
      <c r="E208" s="113"/>
      <c r="F208" s="113"/>
      <c r="G208" s="113"/>
      <c r="H208" s="113"/>
      <c r="I208" s="113"/>
      <c r="J208" s="113"/>
      <c r="K208" s="113"/>
      <c r="L208" s="113">
        <v>129</v>
      </c>
      <c r="M208" s="86">
        <f t="shared" si="4"/>
        <v>1.3234841489689135E-2</v>
      </c>
      <c r="N208" s="113">
        <v>3988</v>
      </c>
      <c r="O208" s="86">
        <f t="shared" si="5"/>
        <v>1.5268110781858973E-2</v>
      </c>
      <c r="P208" s="110"/>
      <c r="Q208" s="113">
        <v>22</v>
      </c>
      <c r="R208" s="86">
        <f t="shared" si="6"/>
        <v>6.022447303586094E-3</v>
      </c>
      <c r="S208" s="113">
        <v>354</v>
      </c>
      <c r="T208" s="86">
        <f t="shared" si="7"/>
        <v>8.1064370606150817E-3</v>
      </c>
      <c r="U208" s="112"/>
      <c r="V208" s="205"/>
      <c r="W208" s="6"/>
    </row>
    <row r="209" spans="1:24" ht="15.6">
      <c r="A209" s="25"/>
      <c r="B209" s="61" t="s">
        <v>187</v>
      </c>
      <c r="C209" s="113"/>
      <c r="D209" s="113"/>
      <c r="E209" s="113"/>
      <c r="F209" s="113"/>
      <c r="G209" s="113"/>
      <c r="H209" s="113"/>
      <c r="I209" s="113"/>
      <c r="J209" s="113"/>
      <c r="K209" s="113"/>
      <c r="L209" s="113">
        <v>99</v>
      </c>
      <c r="M209" s="86">
        <f t="shared" si="4"/>
        <v>1.0156971375807941E-2</v>
      </c>
      <c r="N209" s="113">
        <v>2773</v>
      </c>
      <c r="O209" s="86">
        <f t="shared" si="5"/>
        <v>1.0616467201127114E-2</v>
      </c>
      <c r="P209" s="110"/>
      <c r="Q209" s="113">
        <v>13</v>
      </c>
      <c r="R209" s="86">
        <f t="shared" si="6"/>
        <v>3.5587188612099642E-3</v>
      </c>
      <c r="S209" s="113">
        <v>138</v>
      </c>
      <c r="T209" s="86">
        <f t="shared" si="7"/>
        <v>3.1601364812567268E-3</v>
      </c>
      <c r="U209" s="112"/>
      <c r="V209" s="205"/>
      <c r="W209" s="6"/>
    </row>
    <row r="210" spans="1:24" ht="15.6">
      <c r="A210" s="25"/>
      <c r="B210" s="61" t="s">
        <v>188</v>
      </c>
      <c r="C210" s="113"/>
      <c r="D210" s="113"/>
      <c r="E210" s="113"/>
      <c r="F210" s="113"/>
      <c r="G210" s="113"/>
      <c r="H210" s="113"/>
      <c r="I210" s="113"/>
      <c r="J210" s="113"/>
      <c r="K210" s="113"/>
      <c r="L210" s="113">
        <v>69</v>
      </c>
      <c r="M210" s="86">
        <f t="shared" si="4"/>
        <v>7.0791012619267468E-3</v>
      </c>
      <c r="N210" s="113">
        <v>1972</v>
      </c>
      <c r="O210" s="86">
        <f t="shared" si="5"/>
        <v>7.5498280997557407E-3</v>
      </c>
      <c r="P210" s="110"/>
      <c r="Q210" s="113">
        <v>14</v>
      </c>
      <c r="R210" s="86">
        <f t="shared" si="6"/>
        <v>3.8324664659184233E-3</v>
      </c>
      <c r="S210" s="113">
        <v>247</v>
      </c>
      <c r="T210" s="86">
        <f t="shared" si="7"/>
        <v>5.6561863106551558E-3</v>
      </c>
      <c r="U210" s="112"/>
      <c r="V210" s="205"/>
      <c r="W210" s="6"/>
    </row>
    <row r="211" spans="1:24" ht="15.6">
      <c r="A211" s="25"/>
      <c r="B211" s="61" t="s">
        <v>189</v>
      </c>
      <c r="C211" s="113"/>
      <c r="D211" s="113"/>
      <c r="E211" s="113"/>
      <c r="F211" s="113"/>
      <c r="G211" s="113"/>
      <c r="H211" s="113"/>
      <c r="I211" s="113"/>
      <c r="J211" s="113"/>
      <c r="K211" s="113"/>
      <c r="L211" s="113">
        <v>173</v>
      </c>
      <c r="M211" s="86">
        <f t="shared" si="4"/>
        <v>1.7749050990048219E-2</v>
      </c>
      <c r="N211" s="113">
        <v>5272</v>
      </c>
      <c r="O211" s="86">
        <f t="shared" si="5"/>
        <v>2.0183921775817577E-2</v>
      </c>
      <c r="P211" s="110"/>
      <c r="Q211" s="113">
        <v>44</v>
      </c>
      <c r="R211" s="86">
        <f t="shared" si="6"/>
        <v>1.2044894607172188E-2</v>
      </c>
      <c r="S211" s="113">
        <v>565</v>
      </c>
      <c r="T211" s="86">
        <f t="shared" si="7"/>
        <v>1.2938239941377178E-2</v>
      </c>
      <c r="U211" s="112"/>
      <c r="V211" s="205"/>
      <c r="W211" s="6"/>
    </row>
    <row r="212" spans="1:24" ht="15.6">
      <c r="A212" s="25"/>
      <c r="B212" s="61" t="str">
        <f>B199</f>
        <v>Total Performing  Assets</v>
      </c>
      <c r="C212" s="113"/>
      <c r="D212" s="113"/>
      <c r="E212" s="113"/>
      <c r="F212" s="113"/>
      <c r="G212" s="113"/>
      <c r="H212" s="113"/>
      <c r="I212" s="113"/>
      <c r="J212" s="113"/>
      <c r="K212" s="113"/>
      <c r="L212" s="113">
        <f>SUM(L205:L211)</f>
        <v>9747</v>
      </c>
      <c r="M212" s="86">
        <f>SUM(M205:M211)</f>
        <v>1</v>
      </c>
      <c r="N212" s="113">
        <f>SUM(N205:N211)</f>
        <v>261198</v>
      </c>
      <c r="O212" s="86">
        <f>SUM(O205:O211)</f>
        <v>1</v>
      </c>
      <c r="P212" s="110"/>
      <c r="Q212" s="113">
        <f>SUM(Q205:Q211)</f>
        <v>3653</v>
      </c>
      <c r="R212" s="86">
        <f>SUM(R205:R211)</f>
        <v>1</v>
      </c>
      <c r="S212" s="113">
        <f>SUM(S205:S211)</f>
        <v>43669</v>
      </c>
      <c r="T212" s="86">
        <f>SUM(T205:T211)</f>
        <v>0.99999999999999989</v>
      </c>
      <c r="U212" s="112"/>
      <c r="V212" s="205"/>
      <c r="W212" s="6"/>
    </row>
    <row r="213" spans="1:24" ht="15.6">
      <c r="A213" s="25"/>
      <c r="B213" s="61" t="s">
        <v>85</v>
      </c>
      <c r="C213" s="113"/>
      <c r="D213" s="113"/>
      <c r="E213" s="113"/>
      <c r="F213" s="113"/>
      <c r="G213" s="113"/>
      <c r="H213" s="113"/>
      <c r="I213" s="113"/>
      <c r="J213" s="113"/>
      <c r="K213" s="113"/>
      <c r="L213" s="113">
        <v>56</v>
      </c>
      <c r="M213" s="116"/>
      <c r="N213" s="113">
        <v>1700</v>
      </c>
      <c r="O213" s="114"/>
      <c r="P213" s="110"/>
      <c r="Q213" s="113">
        <v>36</v>
      </c>
      <c r="R213" s="116"/>
      <c r="S213" s="113">
        <v>642</v>
      </c>
      <c r="T213" s="116"/>
      <c r="U213" s="112"/>
      <c r="V213" s="205"/>
      <c r="W213" s="6"/>
    </row>
    <row r="214" spans="1:24" ht="15.6">
      <c r="A214" s="25"/>
      <c r="B214" s="61" t="s">
        <v>86</v>
      </c>
      <c r="C214" s="113"/>
      <c r="D214" s="113"/>
      <c r="E214" s="113"/>
      <c r="F214" s="113"/>
      <c r="G214" s="113"/>
      <c r="H214" s="113"/>
      <c r="I214" s="113"/>
      <c r="J214" s="113"/>
      <c r="K214" s="113"/>
      <c r="L214" s="113">
        <f>SUM(L212:L213)</f>
        <v>9803</v>
      </c>
      <c r="M214" s="189"/>
      <c r="N214" s="113">
        <f>SUM(N212:N213)</f>
        <v>262898</v>
      </c>
      <c r="O214" s="86"/>
      <c r="P214" s="189"/>
      <c r="Q214" s="113">
        <f>SUM(Q212:Q213)</f>
        <v>3689</v>
      </c>
      <c r="R214" s="189"/>
      <c r="S214" s="113">
        <f>SUM(S212:S213)</f>
        <v>44311</v>
      </c>
      <c r="T214" s="189"/>
      <c r="U214" s="189"/>
      <c r="V214" s="190"/>
    </row>
    <row r="215" spans="1:24" ht="15.6">
      <c r="A215" s="25"/>
      <c r="B215" s="61"/>
      <c r="C215" s="110"/>
      <c r="D215" s="110"/>
      <c r="E215" s="110"/>
      <c r="F215" s="110"/>
      <c r="G215" s="110"/>
      <c r="H215" s="110"/>
      <c r="I215" s="110"/>
      <c r="J215" s="110"/>
      <c r="K215" s="110"/>
      <c r="L215" s="110"/>
      <c r="M215" s="111"/>
      <c r="N215" s="110"/>
      <c r="O215" s="111"/>
      <c r="P215" s="110"/>
      <c r="Q215" s="117"/>
      <c r="R215" s="110"/>
      <c r="S215" s="113"/>
      <c r="T215" s="110"/>
      <c r="U215" s="112"/>
      <c r="V215" s="205"/>
      <c r="W215" s="6"/>
    </row>
    <row r="216" spans="1:24" ht="15.6">
      <c r="A216" s="25"/>
      <c r="B216" s="61" t="s">
        <v>86</v>
      </c>
      <c r="C216" s="110"/>
      <c r="D216" s="110"/>
      <c r="E216" s="110"/>
      <c r="F216" s="110"/>
      <c r="G216" s="110"/>
      <c r="H216" s="110"/>
      <c r="I216" s="110"/>
      <c r="J216" s="110"/>
      <c r="K216" s="111"/>
      <c r="L216" s="110"/>
      <c r="M216" s="111"/>
      <c r="N216" s="110"/>
      <c r="O216" s="111"/>
      <c r="P216" s="110"/>
      <c r="Q216" s="117"/>
      <c r="R216" s="116"/>
      <c r="S216" s="113">
        <f>+N201+S201+N214+S214</f>
        <v>331047</v>
      </c>
      <c r="T216" s="115"/>
      <c r="U216" s="112"/>
      <c r="V216" s="205"/>
      <c r="W216" s="6"/>
      <c r="X216" s="182"/>
    </row>
    <row r="217" spans="1:24" ht="15.6">
      <c r="A217" s="25"/>
      <c r="B217" s="61"/>
      <c r="C217" s="110"/>
      <c r="D217" s="110"/>
      <c r="E217" s="110"/>
      <c r="F217" s="110"/>
      <c r="G217" s="110"/>
      <c r="H217" s="110"/>
      <c r="I217" s="110"/>
      <c r="J217" s="110"/>
      <c r="K217" s="110"/>
      <c r="L217" s="111"/>
      <c r="M217" s="111"/>
      <c r="N217" s="111"/>
      <c r="O217" s="111"/>
      <c r="P217" s="110"/>
      <c r="Q217" s="111"/>
      <c r="R217" s="110"/>
      <c r="S217" s="113"/>
      <c r="T217" s="116"/>
      <c r="U217" s="112"/>
      <c r="V217" s="205"/>
      <c r="W217" s="6"/>
    </row>
    <row r="218" spans="1:24" ht="15.6">
      <c r="A218" s="25"/>
      <c r="B218" s="118" t="s">
        <v>87</v>
      </c>
      <c r="C218" s="110"/>
      <c r="D218" s="110"/>
      <c r="E218" s="110"/>
      <c r="F218" s="110"/>
      <c r="G218" s="110"/>
      <c r="H218" s="110"/>
      <c r="I218" s="110"/>
      <c r="J218" s="110"/>
      <c r="K218" s="110"/>
      <c r="L218" s="110"/>
      <c r="M218" s="111"/>
      <c r="N218" s="110"/>
      <c r="O218" s="111"/>
      <c r="P218" s="110"/>
      <c r="Q218" s="111"/>
      <c r="R218" s="110"/>
      <c r="S218" s="113"/>
      <c r="T218" s="110"/>
      <c r="U218" s="209"/>
      <c r="V218" s="205"/>
      <c r="W218" s="6"/>
    </row>
    <row r="219" spans="1:24" ht="15.6">
      <c r="A219" s="25"/>
      <c r="B219" s="61"/>
      <c r="C219" s="110"/>
      <c r="D219" s="110"/>
      <c r="E219" s="110"/>
      <c r="F219" s="110"/>
      <c r="G219" s="110"/>
      <c r="H219" s="110"/>
      <c r="I219" s="110"/>
      <c r="J219" s="110"/>
      <c r="K219" s="110"/>
      <c r="L219" s="110"/>
      <c r="M219" s="111"/>
      <c r="N219" s="110"/>
      <c r="O219" s="111"/>
      <c r="P219" s="110"/>
      <c r="Q219" s="111"/>
      <c r="R219" s="110"/>
      <c r="S219" s="113"/>
      <c r="T219" s="110"/>
      <c r="U219" s="112"/>
      <c r="V219" s="205"/>
      <c r="W219" s="6"/>
    </row>
    <row r="220" spans="1:24" ht="15.6">
      <c r="A220" s="25"/>
      <c r="B220" s="61" t="s">
        <v>88</v>
      </c>
      <c r="C220" s="110"/>
      <c r="D220" s="110"/>
      <c r="E220" s="110"/>
      <c r="F220" s="110"/>
      <c r="G220" s="110"/>
      <c r="H220" s="110"/>
      <c r="I220" s="110"/>
      <c r="J220" s="110"/>
      <c r="K220" s="110"/>
      <c r="L220" s="110"/>
      <c r="M220" s="111"/>
      <c r="N220" s="110"/>
      <c r="O220" s="111"/>
      <c r="P220" s="110"/>
      <c r="Q220" s="111"/>
      <c r="R220" s="110"/>
      <c r="S220" s="113">
        <f>+N199+S199+N212+S212</f>
        <v>319702</v>
      </c>
      <c r="T220" s="110"/>
      <c r="U220" s="112"/>
      <c r="V220" s="205"/>
      <c r="W220" s="6"/>
      <c r="X220" s="182"/>
    </row>
    <row r="221" spans="1:24" ht="15.6">
      <c r="A221" s="25"/>
      <c r="B221" s="61" t="s">
        <v>89</v>
      </c>
      <c r="C221" s="110"/>
      <c r="D221" s="110"/>
      <c r="E221" s="110"/>
      <c r="F221" s="110"/>
      <c r="G221" s="110"/>
      <c r="H221" s="110"/>
      <c r="I221" s="110"/>
      <c r="J221" s="110"/>
      <c r="K221" s="110"/>
      <c r="L221" s="110"/>
      <c r="M221" s="111"/>
      <c r="N221" s="110"/>
      <c r="O221" s="111"/>
      <c r="P221" s="110"/>
      <c r="Q221" s="111"/>
      <c r="R221" s="110"/>
      <c r="S221" s="113">
        <f>+U79</f>
        <v>0</v>
      </c>
      <c r="T221" s="110"/>
      <c r="U221" s="112"/>
      <c r="V221" s="205"/>
      <c r="W221" s="119"/>
    </row>
    <row r="222" spans="1:24" ht="15.6">
      <c r="A222" s="25"/>
      <c r="B222" s="61" t="s">
        <v>90</v>
      </c>
      <c r="C222" s="110"/>
      <c r="D222" s="110"/>
      <c r="E222" s="110"/>
      <c r="F222" s="110"/>
      <c r="G222" s="110"/>
      <c r="H222" s="110"/>
      <c r="I222" s="110"/>
      <c r="J222" s="110"/>
      <c r="K222" s="110"/>
      <c r="L222" s="110"/>
      <c r="M222" s="111"/>
      <c r="N222" s="110"/>
      <c r="O222" s="111"/>
      <c r="P222" s="110"/>
      <c r="Q222" s="111"/>
      <c r="R222" s="110"/>
      <c r="S222" s="113">
        <f>SUM(S220:S221)</f>
        <v>319702</v>
      </c>
      <c r="T222" s="110"/>
      <c r="U222" s="112"/>
      <c r="V222" s="205"/>
      <c r="W222" s="6"/>
    </row>
    <row r="223" spans="1:24" ht="15.6">
      <c r="A223" s="25"/>
      <c r="B223" s="61"/>
      <c r="C223" s="110"/>
      <c r="D223" s="110"/>
      <c r="E223" s="110"/>
      <c r="F223" s="110"/>
      <c r="G223" s="110"/>
      <c r="H223" s="110"/>
      <c r="I223" s="110"/>
      <c r="J223" s="110"/>
      <c r="K223" s="110"/>
      <c r="L223" s="110"/>
      <c r="M223" s="111"/>
      <c r="N223" s="110"/>
      <c r="O223" s="111"/>
      <c r="P223" s="110"/>
      <c r="Q223" s="111"/>
      <c r="R223" s="110"/>
      <c r="S223" s="113"/>
      <c r="T223" s="110"/>
      <c r="U223" s="112"/>
      <c r="V223" s="205"/>
      <c r="W223" s="6"/>
    </row>
    <row r="224" spans="1:24" ht="15.6">
      <c r="A224" s="25"/>
      <c r="B224" s="61" t="s">
        <v>91</v>
      </c>
      <c r="C224" s="110"/>
      <c r="D224" s="110"/>
      <c r="E224" s="110"/>
      <c r="F224" s="110"/>
      <c r="G224" s="110"/>
      <c r="H224" s="110"/>
      <c r="I224" s="110"/>
      <c r="J224" s="110"/>
      <c r="K224" s="110"/>
      <c r="L224" s="110"/>
      <c r="M224" s="111"/>
      <c r="N224" s="110"/>
      <c r="O224" s="111"/>
      <c r="P224" s="110"/>
      <c r="Q224" s="111"/>
      <c r="R224" s="110"/>
      <c r="S224" s="113">
        <f>U33</f>
        <v>319702.49280000001</v>
      </c>
      <c r="T224" s="110"/>
      <c r="U224" s="112"/>
      <c r="V224" s="205"/>
      <c r="W224" s="6"/>
    </row>
    <row r="225" spans="1:23" ht="15.6">
      <c r="A225" s="25"/>
      <c r="B225" s="61"/>
      <c r="C225" s="110"/>
      <c r="D225" s="110"/>
      <c r="E225" s="110"/>
      <c r="F225" s="110"/>
      <c r="G225" s="110"/>
      <c r="H225" s="110"/>
      <c r="I225" s="110"/>
      <c r="J225" s="110"/>
      <c r="K225" s="110"/>
      <c r="L225" s="110"/>
      <c r="M225" s="111"/>
      <c r="N225" s="110"/>
      <c r="O225" s="111"/>
      <c r="P225" s="110"/>
      <c r="Q225" s="111"/>
      <c r="R225" s="110"/>
      <c r="S225" s="113"/>
      <c r="T225" s="110"/>
      <c r="U225" s="112"/>
      <c r="V225" s="205"/>
      <c r="W225" s="6"/>
    </row>
    <row r="226" spans="1:23" ht="15.6">
      <c r="A226" s="25"/>
      <c r="B226" s="61" t="s">
        <v>92</v>
      </c>
      <c r="C226" s="110"/>
      <c r="D226" s="110"/>
      <c r="E226" s="110"/>
      <c r="F226" s="110"/>
      <c r="G226" s="110"/>
      <c r="H226" s="110"/>
      <c r="I226" s="110"/>
      <c r="J226" s="110"/>
      <c r="K226" s="110"/>
      <c r="L226" s="110"/>
      <c r="M226" s="111"/>
      <c r="N226" s="110"/>
      <c r="O226" s="111"/>
      <c r="P226" s="110"/>
      <c r="Q226" s="111"/>
      <c r="R226" s="110"/>
      <c r="S226" s="113">
        <f>S222/S224</f>
        <v>0.99999845856691427</v>
      </c>
      <c r="T226" s="110"/>
      <c r="U226" s="112"/>
      <c r="V226" s="205"/>
      <c r="W226" s="6"/>
    </row>
    <row r="227" spans="1:23" ht="15.6">
      <c r="A227" s="25"/>
      <c r="B227" s="26"/>
      <c r="C227" s="26"/>
      <c r="D227" s="26"/>
      <c r="E227" s="26"/>
      <c r="F227" s="26"/>
      <c r="G227" s="26"/>
      <c r="H227" s="26"/>
      <c r="I227" s="26"/>
      <c r="J227" s="26"/>
      <c r="K227" s="26"/>
      <c r="L227" s="26"/>
      <c r="M227" s="33"/>
      <c r="N227" s="26"/>
      <c r="O227" s="26"/>
      <c r="P227" s="26"/>
      <c r="Q227" s="59"/>
      <c r="R227" s="120"/>
      <c r="S227" s="60"/>
      <c r="T227" s="120"/>
      <c r="U227" s="89"/>
      <c r="V227" s="196"/>
      <c r="W227" s="6"/>
    </row>
    <row r="228" spans="1:23" ht="15.6">
      <c r="A228" s="121"/>
      <c r="B228" s="30" t="s">
        <v>127</v>
      </c>
      <c r="C228" s="122"/>
      <c r="D228" s="122"/>
      <c r="E228" s="122"/>
      <c r="F228" s="122"/>
      <c r="G228" s="122"/>
      <c r="H228" s="122"/>
      <c r="I228" s="122"/>
      <c r="J228" s="122"/>
      <c r="K228" s="122"/>
      <c r="L228" s="122"/>
      <c r="M228" s="110"/>
      <c r="N228" s="112"/>
      <c r="O228" s="30"/>
      <c r="P228" s="123"/>
      <c r="Q228" s="123"/>
      <c r="R228" s="123"/>
      <c r="S228" s="124"/>
      <c r="T228" s="29"/>
      <c r="U228" s="29"/>
      <c r="V228" s="203"/>
      <c r="W228" s="6"/>
    </row>
    <row r="229" spans="1:23" ht="15.6">
      <c r="A229" s="125"/>
      <c r="B229" s="13" t="s">
        <v>128</v>
      </c>
      <c r="C229" s="126"/>
      <c r="D229" s="126"/>
      <c r="E229" s="126"/>
      <c r="F229" s="126"/>
      <c r="G229" s="126"/>
      <c r="H229" s="126"/>
      <c r="I229" s="126"/>
      <c r="J229" s="126"/>
      <c r="K229" s="126"/>
      <c r="L229" s="126"/>
      <c r="M229" s="127"/>
      <c r="N229" s="13"/>
      <c r="O229" s="13"/>
      <c r="P229" s="126"/>
      <c r="Q229" s="126"/>
      <c r="R229" s="12"/>
      <c r="S229" s="12"/>
      <c r="T229" s="12"/>
      <c r="U229" s="12"/>
      <c r="V229" s="207"/>
      <c r="W229" s="6"/>
    </row>
    <row r="230" spans="1:23" ht="15.6">
      <c r="A230" s="125"/>
      <c r="B230" s="13" t="s">
        <v>246</v>
      </c>
      <c r="C230" s="13"/>
      <c r="D230" s="13"/>
      <c r="E230" s="13"/>
      <c r="F230" s="13"/>
      <c r="G230" s="13"/>
      <c r="H230" s="13"/>
      <c r="I230" s="13"/>
      <c r="J230" s="13"/>
      <c r="K230" s="13"/>
      <c r="L230" s="13"/>
      <c r="M230" s="13"/>
      <c r="N230" s="13"/>
      <c r="O230" s="13"/>
      <c r="P230" s="13"/>
      <c r="Q230" s="13"/>
      <c r="R230" s="13"/>
      <c r="S230" s="13"/>
      <c r="T230" s="13"/>
      <c r="U230" s="13"/>
      <c r="V230" s="207"/>
      <c r="W230" s="6"/>
    </row>
    <row r="231" spans="1:23" ht="15.6">
      <c r="A231" s="125"/>
      <c r="B231" s="13" t="s">
        <v>129</v>
      </c>
      <c r="C231" s="126"/>
      <c r="D231" s="126"/>
      <c r="E231" s="126"/>
      <c r="F231" s="126"/>
      <c r="G231" s="126"/>
      <c r="H231" s="126"/>
      <c r="I231" s="126"/>
      <c r="J231" s="126"/>
      <c r="K231" s="126"/>
      <c r="L231" s="126"/>
      <c r="M231" s="127"/>
      <c r="N231" s="13"/>
      <c r="O231" s="13"/>
      <c r="P231" s="126"/>
      <c r="Q231" s="126"/>
      <c r="R231" s="12"/>
      <c r="S231" s="12"/>
      <c r="T231" s="12"/>
      <c r="U231" s="12"/>
      <c r="V231" s="207"/>
      <c r="W231" s="6"/>
    </row>
    <row r="232" spans="1:23" ht="15.6">
      <c r="A232" s="125"/>
      <c r="B232" s="13"/>
      <c r="C232" s="126"/>
      <c r="D232" s="126"/>
      <c r="E232" s="126"/>
      <c r="F232" s="126"/>
      <c r="G232" s="126"/>
      <c r="H232" s="126"/>
      <c r="I232" s="126"/>
      <c r="J232" s="126"/>
      <c r="K232" s="126"/>
      <c r="L232" s="126"/>
      <c r="M232" s="127"/>
      <c r="N232" s="13"/>
      <c r="O232" s="13"/>
      <c r="P232" s="126"/>
      <c r="Q232" s="126"/>
      <c r="R232" s="12"/>
      <c r="S232" s="12"/>
      <c r="T232" s="12"/>
      <c r="U232" s="12"/>
      <c r="V232" s="207"/>
      <c r="W232" s="6"/>
    </row>
    <row r="233" spans="1:23" ht="15.6">
      <c r="A233" s="125"/>
      <c r="B233" s="13"/>
      <c r="C233" s="126"/>
      <c r="D233" s="126"/>
      <c r="E233" s="126"/>
      <c r="F233" s="126"/>
      <c r="G233" s="126"/>
      <c r="H233" s="126"/>
      <c r="I233" s="126"/>
      <c r="J233" s="126"/>
      <c r="K233" s="126"/>
      <c r="L233" s="126"/>
      <c r="M233" s="127"/>
      <c r="N233" s="13"/>
      <c r="O233" s="13"/>
      <c r="P233" s="126"/>
      <c r="Q233" s="126"/>
      <c r="R233" s="12"/>
      <c r="S233" s="12"/>
      <c r="T233" s="12"/>
      <c r="U233" s="12"/>
      <c r="V233" s="207"/>
      <c r="W233" s="6"/>
    </row>
    <row r="234" spans="1:23" ht="16.2" thickBot="1">
      <c r="A234" s="125"/>
      <c r="B234" s="13" t="str">
        <f>+B161</f>
        <v>PPAF3 INVESTOR REPORT QUARTER ENDING SEPTEMBER 2009</v>
      </c>
      <c r="C234" s="126"/>
      <c r="D234" s="126"/>
      <c r="E234" s="126"/>
      <c r="F234" s="126"/>
      <c r="G234" s="126"/>
      <c r="H234" s="126"/>
      <c r="I234" s="126"/>
      <c r="J234" s="126"/>
      <c r="K234" s="126"/>
      <c r="L234" s="126"/>
      <c r="M234" s="127"/>
      <c r="N234" s="13"/>
      <c r="O234" s="13"/>
      <c r="P234" s="126"/>
      <c r="Q234" s="126"/>
      <c r="R234" s="12"/>
      <c r="S234" s="12"/>
      <c r="T234" s="12"/>
      <c r="U234" s="12"/>
      <c r="V234" s="208"/>
      <c r="W234" s="6"/>
    </row>
    <row r="235" spans="1:23">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row>
  </sheetData>
  <phoneticPr fontId="0" type="noConversion"/>
  <hyperlinks>
    <hyperlink ref="I9" r:id="rId1"/>
    <hyperlink ref="K188"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16383" man="1"/>
    <brk id="110" max="16383" man="1"/>
    <brk id="161" max="21" man="1"/>
    <brk id="240" man="1"/>
  </rowBreaks>
  <colBreaks count="1" manualBreakCount="1">
    <brk id="23" max="1048575" man="1"/>
  </colBreak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18"/>
  </sheetPr>
  <dimension ref="A1:Y235"/>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 t="s">
        <v>223</v>
      </c>
      <c r="B1" s="3" t="s">
        <v>123</v>
      </c>
      <c r="C1" s="4"/>
      <c r="D1" s="4"/>
      <c r="E1" s="4"/>
      <c r="F1" s="4"/>
      <c r="G1" s="4"/>
      <c r="H1" s="4"/>
      <c r="I1" s="4"/>
      <c r="J1" s="4"/>
      <c r="K1" s="4"/>
      <c r="L1" s="4"/>
      <c r="M1" s="5"/>
      <c r="N1" s="5"/>
      <c r="O1" s="5"/>
      <c r="P1" s="5"/>
      <c r="Q1" s="5"/>
      <c r="R1" s="5"/>
      <c r="S1" s="5"/>
      <c r="T1" s="5"/>
      <c r="U1" s="5"/>
      <c r="V1" s="193"/>
      <c r="W1" s="6"/>
    </row>
    <row r="2" spans="1:23" ht="15.6">
      <c r="A2" s="7"/>
      <c r="B2" s="8"/>
      <c r="C2" s="8"/>
      <c r="D2" s="8"/>
      <c r="E2" s="8"/>
      <c r="F2" s="8"/>
      <c r="G2" s="8"/>
      <c r="H2" s="8"/>
      <c r="I2" s="8"/>
      <c r="J2" s="8"/>
      <c r="K2" s="8"/>
      <c r="L2" s="8"/>
      <c r="M2" s="9"/>
      <c r="N2" s="9"/>
      <c r="O2" s="9"/>
      <c r="P2" s="9"/>
      <c r="Q2" s="9"/>
      <c r="R2" s="9"/>
      <c r="S2" s="9"/>
      <c r="T2" s="9"/>
      <c r="U2" s="9"/>
      <c r="V2" s="194"/>
      <c r="W2" s="6"/>
    </row>
    <row r="3" spans="1:23" ht="15.6">
      <c r="A3" s="10"/>
      <c r="B3" s="141" t="s">
        <v>125</v>
      </c>
      <c r="C3" s="9"/>
      <c r="D3" s="9"/>
      <c r="E3" s="9"/>
      <c r="F3" s="9"/>
      <c r="G3" s="9"/>
      <c r="H3" s="9"/>
      <c r="I3" s="9"/>
      <c r="J3" s="9"/>
      <c r="K3" s="9"/>
      <c r="L3" s="9"/>
      <c r="M3" s="9"/>
      <c r="N3" s="9"/>
      <c r="O3" s="9"/>
      <c r="P3" s="9"/>
      <c r="Q3" s="9"/>
      <c r="R3" s="9"/>
      <c r="S3" s="9"/>
      <c r="T3" s="9"/>
      <c r="U3" s="9"/>
      <c r="V3" s="194"/>
      <c r="W3" s="6"/>
    </row>
    <row r="4" spans="1:23" ht="15.6">
      <c r="A4" s="7"/>
      <c r="B4" s="8"/>
      <c r="C4" s="8"/>
      <c r="D4" s="8"/>
      <c r="E4" s="8"/>
      <c r="F4" s="8"/>
      <c r="G4" s="8"/>
      <c r="H4" s="8"/>
      <c r="I4" s="8"/>
      <c r="J4" s="8"/>
      <c r="K4" s="8"/>
      <c r="L4" s="8"/>
      <c r="M4" s="9"/>
      <c r="N4" s="9"/>
      <c r="O4" s="9"/>
      <c r="P4" s="9"/>
      <c r="Q4" s="9"/>
      <c r="R4" s="9"/>
      <c r="S4" s="9"/>
      <c r="T4" s="9"/>
      <c r="U4" s="9"/>
      <c r="V4" s="194"/>
      <c r="W4" s="6"/>
    </row>
    <row r="5" spans="1:23" ht="16.2">
      <c r="A5" s="7"/>
      <c r="B5" s="192" t="s">
        <v>0</v>
      </c>
      <c r="C5" s="11"/>
      <c r="D5" s="11"/>
      <c r="E5" s="11"/>
      <c r="F5" s="11"/>
      <c r="G5" s="11"/>
      <c r="H5" s="11"/>
      <c r="I5" s="11"/>
      <c r="J5" s="11"/>
      <c r="K5" s="11"/>
      <c r="L5" s="11"/>
      <c r="M5" s="9"/>
      <c r="N5" s="9"/>
      <c r="O5" s="9"/>
      <c r="P5" s="9"/>
      <c r="Q5" s="9"/>
      <c r="R5" s="9"/>
      <c r="S5" s="9"/>
      <c r="T5" s="9"/>
      <c r="U5" s="9"/>
      <c r="V5" s="194"/>
      <c r="W5" s="6"/>
    </row>
    <row r="6" spans="1:23" ht="16.2">
      <c r="A6" s="7"/>
      <c r="B6" s="192" t="s">
        <v>1</v>
      </c>
      <c r="C6" s="11"/>
      <c r="D6" s="11"/>
      <c r="E6" s="11"/>
      <c r="F6" s="11"/>
      <c r="G6" s="11"/>
      <c r="H6" s="11"/>
      <c r="I6" s="11"/>
      <c r="J6" s="11"/>
      <c r="K6" s="11"/>
      <c r="L6" s="11"/>
      <c r="M6" s="9"/>
      <c r="N6" s="9"/>
      <c r="O6" s="9"/>
      <c r="P6" s="9"/>
      <c r="Q6" s="9"/>
      <c r="R6" s="9"/>
      <c r="S6" s="9"/>
      <c r="T6" s="9"/>
      <c r="U6" s="9"/>
      <c r="V6" s="194"/>
      <c r="W6" s="6"/>
    </row>
    <row r="7" spans="1:23" ht="16.2">
      <c r="A7" s="7"/>
      <c r="B7" s="192" t="s">
        <v>2</v>
      </c>
      <c r="C7" s="11"/>
      <c r="D7" s="11"/>
      <c r="E7" s="11"/>
      <c r="F7" s="11"/>
      <c r="G7" s="11"/>
      <c r="H7" s="11"/>
      <c r="I7" s="11"/>
      <c r="J7" s="11"/>
      <c r="K7" s="11"/>
      <c r="L7" s="11"/>
      <c r="M7" s="9"/>
      <c r="N7" s="9"/>
      <c r="O7" s="9"/>
      <c r="P7" s="9"/>
      <c r="Q7" s="9"/>
      <c r="R7" s="9"/>
      <c r="S7" s="9"/>
      <c r="T7" s="9"/>
      <c r="U7" s="9"/>
      <c r="V7" s="194"/>
      <c r="W7" s="6"/>
    </row>
    <row r="8" spans="1:23" ht="16.2">
      <c r="A8" s="7"/>
      <c r="B8" s="12"/>
      <c r="C8" s="11"/>
      <c r="D8" s="11"/>
      <c r="E8" s="11"/>
      <c r="F8" s="11"/>
      <c r="G8" s="11"/>
      <c r="H8" s="11"/>
      <c r="I8" s="11"/>
      <c r="J8" s="11"/>
      <c r="K8" s="11"/>
      <c r="L8" s="11"/>
      <c r="M8" s="9"/>
      <c r="N8" s="9"/>
      <c r="O8" s="9"/>
      <c r="P8" s="9"/>
      <c r="Q8" s="9"/>
      <c r="R8" s="9"/>
      <c r="S8" s="9"/>
      <c r="T8" s="9"/>
      <c r="U8" s="9"/>
      <c r="V8" s="194"/>
      <c r="W8" s="6"/>
    </row>
    <row r="9" spans="1:23" ht="18">
      <c r="A9" s="7"/>
      <c r="B9" s="178" t="s">
        <v>194</v>
      </c>
      <c r="C9" s="11"/>
      <c r="D9" s="11"/>
      <c r="E9" s="11"/>
      <c r="F9" s="11"/>
      <c r="G9" s="11"/>
      <c r="H9" s="11"/>
      <c r="I9" s="179" t="s">
        <v>195</v>
      </c>
      <c r="J9" s="11"/>
      <c r="K9" s="11"/>
      <c r="L9" s="11"/>
      <c r="M9" s="9"/>
      <c r="N9" s="9"/>
      <c r="O9" s="9"/>
      <c r="P9" s="9"/>
      <c r="Q9" s="9"/>
      <c r="R9" s="9"/>
      <c r="S9" s="9"/>
      <c r="T9" s="9"/>
      <c r="U9" s="9"/>
      <c r="V9" s="194"/>
      <c r="W9" s="6"/>
    </row>
    <row r="10" spans="1:23" ht="16.2">
      <c r="A10" s="7"/>
      <c r="B10" s="11"/>
      <c r="C10" s="11"/>
      <c r="D10" s="11"/>
      <c r="E10" s="11"/>
      <c r="F10" s="11"/>
      <c r="G10" s="11"/>
      <c r="H10" s="11"/>
      <c r="I10" s="11"/>
      <c r="J10" s="11"/>
      <c r="K10" s="11"/>
      <c r="L10" s="11"/>
      <c r="M10" s="13"/>
      <c r="N10" s="13"/>
      <c r="O10" s="9"/>
      <c r="P10" s="9"/>
      <c r="Q10" s="9"/>
      <c r="R10" s="9"/>
      <c r="S10" s="9"/>
      <c r="T10" s="9"/>
      <c r="U10" s="9"/>
      <c r="V10" s="194"/>
      <c r="W10" s="6"/>
    </row>
    <row r="11" spans="1:23" ht="15.6">
      <c r="A11" s="7"/>
      <c r="B11" s="13" t="s">
        <v>3</v>
      </c>
      <c r="C11" s="13"/>
      <c r="D11" s="13"/>
      <c r="E11" s="13"/>
      <c r="F11" s="13"/>
      <c r="G11" s="13"/>
      <c r="H11" s="13"/>
      <c r="I11" s="13"/>
      <c r="J11" s="13"/>
      <c r="K11" s="13"/>
      <c r="L11" s="13"/>
      <c r="M11" s="9"/>
      <c r="N11" s="9"/>
      <c r="O11" s="9"/>
      <c r="P11" s="9"/>
      <c r="Q11" s="9"/>
      <c r="R11" s="9"/>
      <c r="S11" s="9"/>
      <c r="T11" s="9"/>
      <c r="U11" s="9"/>
      <c r="V11" s="194"/>
      <c r="W11" s="6"/>
    </row>
    <row r="12" spans="1:23" ht="16.2" thickBot="1">
      <c r="A12" s="7"/>
      <c r="B12" s="13"/>
      <c r="C12" s="13"/>
      <c r="D12" s="13"/>
      <c r="E12" s="13"/>
      <c r="F12" s="13"/>
      <c r="G12" s="13"/>
      <c r="H12" s="13"/>
      <c r="I12" s="13"/>
      <c r="J12" s="13"/>
      <c r="K12" s="13"/>
      <c r="L12" s="13"/>
      <c r="M12" s="9"/>
      <c r="N12" s="9"/>
      <c r="O12" s="9"/>
      <c r="P12" s="9"/>
      <c r="Q12" s="9"/>
      <c r="R12" s="9"/>
      <c r="S12" s="9"/>
      <c r="T12" s="9"/>
      <c r="U12" s="9"/>
      <c r="V12" s="194"/>
      <c r="W12" s="6"/>
    </row>
    <row r="13" spans="1:23" ht="15.6">
      <c r="A13" s="2"/>
      <c r="B13" s="5"/>
      <c r="C13" s="5"/>
      <c r="D13" s="5"/>
      <c r="E13" s="5"/>
      <c r="F13" s="5"/>
      <c r="G13" s="5"/>
      <c r="H13" s="5"/>
      <c r="I13" s="5"/>
      <c r="J13" s="5"/>
      <c r="K13" s="5"/>
      <c r="L13" s="5"/>
      <c r="M13" s="5"/>
      <c r="N13" s="5"/>
      <c r="O13" s="5"/>
      <c r="P13" s="5"/>
      <c r="Q13" s="5"/>
      <c r="R13" s="5"/>
      <c r="S13" s="5"/>
      <c r="T13" s="5"/>
      <c r="U13" s="5"/>
      <c r="V13" s="193"/>
      <c r="W13" s="6"/>
    </row>
    <row r="14" spans="1:23" ht="15.6">
      <c r="A14" s="7"/>
      <c r="B14" s="14" t="s">
        <v>4</v>
      </c>
      <c r="C14" s="14"/>
      <c r="D14" s="14"/>
      <c r="E14" s="14"/>
      <c r="F14" s="14"/>
      <c r="G14" s="14"/>
      <c r="H14" s="14"/>
      <c r="I14" s="14"/>
      <c r="J14" s="14"/>
      <c r="K14" s="14"/>
      <c r="L14" s="14"/>
      <c r="M14" s="15"/>
      <c r="N14" s="15"/>
      <c r="O14" s="15"/>
      <c r="P14" s="15"/>
      <c r="Q14" s="15"/>
      <c r="R14" s="15"/>
      <c r="S14" s="15"/>
      <c r="T14" s="15"/>
      <c r="U14" s="16" t="s">
        <v>126</v>
      </c>
      <c r="V14" s="194"/>
      <c r="W14" s="6"/>
    </row>
    <row r="15" spans="1:23" ht="15.6">
      <c r="A15" s="7"/>
      <c r="B15" s="14" t="s">
        <v>5</v>
      </c>
      <c r="C15" s="14"/>
      <c r="D15" s="14"/>
      <c r="E15" s="14"/>
      <c r="F15" s="14"/>
      <c r="G15" s="14"/>
      <c r="H15" s="14"/>
      <c r="I15" s="14"/>
      <c r="J15" s="14"/>
      <c r="K15" s="14"/>
      <c r="L15" s="14"/>
      <c r="M15" s="17" t="s">
        <v>93</v>
      </c>
      <c r="N15" s="18">
        <v>0.1492</v>
      </c>
      <c r="O15" s="17" t="s">
        <v>99</v>
      </c>
      <c r="P15" s="18">
        <v>5.4399999999999997E-2</v>
      </c>
      <c r="Q15" s="17" t="s">
        <v>102</v>
      </c>
      <c r="R15" s="18">
        <v>0.48899999999999999</v>
      </c>
      <c r="S15" s="17" t="s">
        <v>108</v>
      </c>
      <c r="T15" s="18">
        <v>0.30740000000000001</v>
      </c>
      <c r="U15" s="16"/>
      <c r="V15" s="195"/>
      <c r="W15" s="6"/>
    </row>
    <row r="16" spans="1:23" ht="15.6">
      <c r="A16" s="7"/>
      <c r="B16" s="14" t="s">
        <v>6</v>
      </c>
      <c r="C16" s="14"/>
      <c r="D16" s="14"/>
      <c r="E16" s="14"/>
      <c r="F16" s="14"/>
      <c r="G16" s="14"/>
      <c r="H16" s="14"/>
      <c r="I16" s="14"/>
      <c r="J16" s="14"/>
      <c r="K16" s="14"/>
      <c r="L16" s="14"/>
      <c r="M16" s="17" t="s">
        <v>93</v>
      </c>
      <c r="N16" s="18">
        <f>+N199/S222</f>
        <v>2.819002537739233E-2</v>
      </c>
      <c r="O16" s="17" t="s">
        <v>99</v>
      </c>
      <c r="P16" s="18">
        <f>+S199/S222</f>
        <v>1.3855318692444107E-2</v>
      </c>
      <c r="Q16" s="17" t="s">
        <v>102</v>
      </c>
      <c r="R16" s="18">
        <f>+N212/S222</f>
        <v>0.83456085713232109</v>
      </c>
      <c r="S16" s="17" t="s">
        <v>108</v>
      </c>
      <c r="T16" s="18">
        <f>+S212/S222</f>
        <v>0.12339379879784242</v>
      </c>
      <c r="U16" s="16"/>
      <c r="V16" s="195"/>
      <c r="W16" s="6"/>
    </row>
    <row r="17" spans="1:23" ht="15.6">
      <c r="A17" s="7"/>
      <c r="B17" s="14" t="s">
        <v>7</v>
      </c>
      <c r="C17" s="14"/>
      <c r="D17" s="14"/>
      <c r="E17" s="14"/>
      <c r="F17" s="14"/>
      <c r="G17" s="14"/>
      <c r="H17" s="14"/>
      <c r="I17" s="14"/>
      <c r="J17" s="14"/>
      <c r="K17" s="14"/>
      <c r="L17" s="14"/>
      <c r="M17" s="15"/>
      <c r="N17" s="15"/>
      <c r="O17" s="15"/>
      <c r="P17" s="15"/>
      <c r="Q17" s="15"/>
      <c r="R17" s="15"/>
      <c r="S17" s="15"/>
      <c r="T17" s="15"/>
      <c r="U17" s="19">
        <v>38491</v>
      </c>
      <c r="V17" s="194"/>
      <c r="W17" s="6"/>
    </row>
    <row r="18" spans="1:23" ht="15.6">
      <c r="A18" s="7"/>
      <c r="B18" s="14" t="s">
        <v>8</v>
      </c>
      <c r="C18" s="14"/>
      <c r="D18" s="14"/>
      <c r="E18" s="14"/>
      <c r="F18" s="14"/>
      <c r="G18" s="14"/>
      <c r="H18" s="14"/>
      <c r="I18" s="14"/>
      <c r="J18" s="14"/>
      <c r="K18" s="14"/>
      <c r="L18" s="14"/>
      <c r="M18" s="15"/>
      <c r="N18" s="15"/>
      <c r="O18" s="15"/>
      <c r="P18" s="15"/>
      <c r="Q18" s="15"/>
      <c r="R18" s="15"/>
      <c r="S18" s="15"/>
      <c r="T18" s="15"/>
      <c r="U18" s="19">
        <v>40200</v>
      </c>
      <c r="V18" s="194"/>
      <c r="W18" s="6"/>
    </row>
    <row r="19" spans="1:23" ht="15.6">
      <c r="A19" s="7"/>
      <c r="B19" s="9"/>
      <c r="C19" s="9"/>
      <c r="D19" s="9"/>
      <c r="E19" s="9"/>
      <c r="F19" s="9"/>
      <c r="G19" s="9"/>
      <c r="H19" s="9"/>
      <c r="I19" s="9"/>
      <c r="J19" s="9"/>
      <c r="K19" s="9"/>
      <c r="L19" s="9"/>
      <c r="M19" s="9"/>
      <c r="N19" s="9"/>
      <c r="O19" s="9"/>
      <c r="P19" s="9"/>
      <c r="Q19" s="9"/>
      <c r="R19" s="9"/>
      <c r="S19" s="9"/>
      <c r="T19" s="9"/>
      <c r="U19" s="20"/>
      <c r="V19" s="194"/>
      <c r="W19" s="6"/>
    </row>
    <row r="20" spans="1:23" ht="15.6">
      <c r="A20" s="7"/>
      <c r="B20" s="21" t="s">
        <v>9</v>
      </c>
      <c r="C20" s="9"/>
      <c r="D20" s="9"/>
      <c r="E20" s="9"/>
      <c r="F20" s="9"/>
      <c r="G20" s="9"/>
      <c r="H20" s="9"/>
      <c r="I20" s="9"/>
      <c r="J20" s="9"/>
      <c r="K20" s="9"/>
      <c r="L20" s="9"/>
      <c r="M20" s="9"/>
      <c r="N20" s="9"/>
      <c r="O20" s="9"/>
      <c r="P20" s="9"/>
      <c r="Q20" s="9"/>
      <c r="R20" s="9"/>
      <c r="S20" s="20"/>
      <c r="T20" s="9"/>
      <c r="U20" s="12"/>
      <c r="V20" s="194"/>
      <c r="W20" s="6"/>
    </row>
    <row r="21" spans="1:23" ht="15.6">
      <c r="A21" s="7"/>
      <c r="B21" s="9"/>
      <c r="C21" s="9"/>
      <c r="D21" s="9"/>
      <c r="E21" s="9"/>
      <c r="F21" s="9"/>
      <c r="G21" s="9"/>
      <c r="H21" s="9"/>
      <c r="I21" s="9"/>
      <c r="J21" s="9"/>
      <c r="K21" s="9"/>
      <c r="L21" s="9"/>
      <c r="M21" s="9"/>
      <c r="N21" s="9"/>
      <c r="O21" s="9"/>
      <c r="P21" s="9"/>
      <c r="Q21" s="9"/>
      <c r="R21" s="9"/>
      <c r="S21" s="9"/>
      <c r="T21" s="9"/>
      <c r="U21" s="22"/>
      <c r="V21" s="194"/>
      <c r="W21" s="6"/>
    </row>
    <row r="22" spans="1:23" ht="15.6">
      <c r="A22" s="7"/>
      <c r="B22" s="9"/>
      <c r="C22" s="142" t="s">
        <v>130</v>
      </c>
      <c r="D22" s="142"/>
      <c r="E22" s="142" t="s">
        <v>131</v>
      </c>
      <c r="F22" s="142"/>
      <c r="G22" s="142" t="s">
        <v>132</v>
      </c>
      <c r="H22" s="142"/>
      <c r="I22" s="142" t="s">
        <v>133</v>
      </c>
      <c r="J22" s="142"/>
      <c r="K22" s="142" t="s">
        <v>134</v>
      </c>
      <c r="L22" s="142"/>
      <c r="M22" s="144" t="s">
        <v>135</v>
      </c>
      <c r="N22" s="144"/>
      <c r="O22" s="144" t="s">
        <v>136</v>
      </c>
      <c r="P22" s="144"/>
      <c r="Q22" s="144" t="s">
        <v>137</v>
      </c>
      <c r="R22" s="23"/>
      <c r="S22" s="24"/>
      <c r="T22" s="12"/>
      <c r="U22" s="12"/>
      <c r="V22" s="194"/>
      <c r="W22" s="6"/>
    </row>
    <row r="23" spans="1:23" ht="15.6">
      <c r="A23" s="25"/>
      <c r="B23" s="26" t="s">
        <v>10</v>
      </c>
      <c r="C23" s="157" t="s">
        <v>96</v>
      </c>
      <c r="D23" s="157"/>
      <c r="E23" s="157" t="s">
        <v>96</v>
      </c>
      <c r="F23" s="157"/>
      <c r="G23" s="157" t="s">
        <v>138</v>
      </c>
      <c r="H23" s="157"/>
      <c r="I23" s="157" t="s">
        <v>138</v>
      </c>
      <c r="J23" s="157"/>
      <c r="K23" s="157" t="s">
        <v>104</v>
      </c>
      <c r="L23" s="143"/>
      <c r="M23" s="28" t="s">
        <v>104</v>
      </c>
      <c r="N23" s="28"/>
      <c r="O23" s="28" t="s">
        <v>109</v>
      </c>
      <c r="P23" s="28"/>
      <c r="Q23" s="28" t="s">
        <v>109</v>
      </c>
      <c r="R23" s="28"/>
      <c r="S23" s="28"/>
      <c r="T23" s="29"/>
      <c r="U23" s="29"/>
      <c r="V23" s="196"/>
      <c r="W23" s="6"/>
    </row>
    <row r="24" spans="1:23" ht="15.6">
      <c r="A24" s="25"/>
      <c r="B24" s="26" t="s">
        <v>11</v>
      </c>
      <c r="C24" s="157" t="s">
        <v>97</v>
      </c>
      <c r="D24" s="157"/>
      <c r="E24" s="157" t="s">
        <v>97</v>
      </c>
      <c r="F24" s="157"/>
      <c r="G24" s="157" t="s">
        <v>139</v>
      </c>
      <c r="H24" s="157"/>
      <c r="I24" s="157" t="s">
        <v>139</v>
      </c>
      <c r="J24" s="157"/>
      <c r="K24" s="157" t="s">
        <v>105</v>
      </c>
      <c r="L24" s="27"/>
      <c r="M24" s="28" t="s">
        <v>105</v>
      </c>
      <c r="N24" s="28"/>
      <c r="O24" s="28" t="s">
        <v>110</v>
      </c>
      <c r="P24" s="28"/>
      <c r="Q24" s="28" t="s">
        <v>110</v>
      </c>
      <c r="R24" s="28"/>
      <c r="S24" s="28"/>
      <c r="T24" s="29"/>
      <c r="U24" s="29"/>
      <c r="V24" s="196"/>
      <c r="W24" s="6"/>
    </row>
    <row r="25" spans="1:23" ht="15.6">
      <c r="A25" s="25"/>
      <c r="B25" s="30" t="s">
        <v>12</v>
      </c>
      <c r="C25" s="110" t="s">
        <v>96</v>
      </c>
      <c r="D25" s="110"/>
      <c r="E25" s="110" t="s">
        <v>96</v>
      </c>
      <c r="F25" s="110"/>
      <c r="G25" s="110" t="s">
        <v>138</v>
      </c>
      <c r="H25" s="110"/>
      <c r="I25" s="110" t="s">
        <v>138</v>
      </c>
      <c r="J25" s="30"/>
      <c r="K25" s="110" t="s">
        <v>104</v>
      </c>
      <c r="L25" s="30"/>
      <c r="M25" s="31" t="s">
        <v>104</v>
      </c>
      <c r="N25" s="28"/>
      <c r="O25" s="31" t="s">
        <v>109</v>
      </c>
      <c r="P25" s="28"/>
      <c r="Q25" s="31" t="s">
        <v>109</v>
      </c>
      <c r="R25" s="31"/>
      <c r="S25" s="31"/>
      <c r="T25" s="32"/>
      <c r="U25" s="29"/>
      <c r="V25" s="196"/>
      <c r="W25" s="6"/>
    </row>
    <row r="26" spans="1:23" ht="15.6">
      <c r="A26" s="25"/>
      <c r="B26" s="30" t="s">
        <v>13</v>
      </c>
      <c r="C26" s="110" t="s">
        <v>97</v>
      </c>
      <c r="D26" s="110"/>
      <c r="E26" s="110" t="s">
        <v>97</v>
      </c>
      <c r="F26" s="110"/>
      <c r="G26" s="110" t="s">
        <v>139</v>
      </c>
      <c r="H26" s="110"/>
      <c r="I26" s="110" t="s">
        <v>139</v>
      </c>
      <c r="J26" s="30"/>
      <c r="K26" s="110" t="s">
        <v>105</v>
      </c>
      <c r="L26" s="30"/>
      <c r="M26" s="31" t="s">
        <v>105</v>
      </c>
      <c r="N26" s="28"/>
      <c r="O26" s="31" t="s">
        <v>110</v>
      </c>
      <c r="P26" s="28"/>
      <c r="Q26" s="31" t="s">
        <v>110</v>
      </c>
      <c r="R26" s="31"/>
      <c r="S26" s="31"/>
      <c r="T26" s="32"/>
      <c r="U26" s="29"/>
      <c r="V26" s="196"/>
      <c r="W26" s="6"/>
    </row>
    <row r="27" spans="1:23" ht="15.6">
      <c r="A27" s="25"/>
      <c r="B27" s="26" t="s">
        <v>14</v>
      </c>
      <c r="C27" s="33" t="s">
        <v>140</v>
      </c>
      <c r="D27" s="26"/>
      <c r="E27" s="33" t="s">
        <v>141</v>
      </c>
      <c r="F27" s="26"/>
      <c r="G27" s="33" t="s">
        <v>142</v>
      </c>
      <c r="H27" s="26"/>
      <c r="I27" s="33" t="s">
        <v>258</v>
      </c>
      <c r="J27" s="26"/>
      <c r="K27" s="33" t="s">
        <v>143</v>
      </c>
      <c r="L27" s="26"/>
      <c r="M27" s="26" t="s">
        <v>144</v>
      </c>
      <c r="N27" s="28"/>
      <c r="O27" s="26" t="s">
        <v>145</v>
      </c>
      <c r="P27" s="28"/>
      <c r="Q27" s="26" t="s">
        <v>146</v>
      </c>
      <c r="R27" s="28"/>
      <c r="S27" s="33"/>
      <c r="T27" s="29"/>
      <c r="U27" s="29"/>
      <c r="V27" s="196"/>
      <c r="W27" s="6"/>
    </row>
    <row r="28" spans="1:23" ht="15.6">
      <c r="A28" s="25"/>
      <c r="B28" s="26" t="s">
        <v>147</v>
      </c>
      <c r="C28" s="168">
        <v>146000</v>
      </c>
      <c r="D28" s="33"/>
      <c r="E28" s="165">
        <v>259500</v>
      </c>
      <c r="F28" s="33"/>
      <c r="G28" s="168">
        <v>16000</v>
      </c>
      <c r="H28" s="33"/>
      <c r="I28" s="165">
        <v>35500</v>
      </c>
      <c r="J28" s="26"/>
      <c r="K28" s="168">
        <v>18000</v>
      </c>
      <c r="L28" s="26"/>
      <c r="M28" s="165">
        <v>33000</v>
      </c>
      <c r="N28" s="35"/>
      <c r="O28" s="34">
        <v>24500</v>
      </c>
      <c r="P28" s="34"/>
      <c r="Q28" s="165">
        <v>30000</v>
      </c>
      <c r="R28" s="34"/>
      <c r="S28" s="34"/>
      <c r="T28" s="36"/>
      <c r="U28" s="34"/>
      <c r="V28" s="197"/>
      <c r="W28" s="6"/>
    </row>
    <row r="29" spans="1:23" ht="15.6">
      <c r="A29" s="25"/>
      <c r="B29" s="26" t="s">
        <v>15</v>
      </c>
      <c r="C29" s="168">
        <f>C28*C35</f>
        <v>87285.691200000001</v>
      </c>
      <c r="D29" s="169"/>
      <c r="E29" s="165">
        <f>E28*E35</f>
        <v>155141.34840000002</v>
      </c>
      <c r="F29" s="169"/>
      <c r="G29" s="168">
        <v>16000</v>
      </c>
      <c r="H29" s="169"/>
      <c r="I29" s="165">
        <v>35500</v>
      </c>
      <c r="J29" s="38"/>
      <c r="K29" s="168">
        <v>18000</v>
      </c>
      <c r="L29" s="38"/>
      <c r="M29" s="165">
        <v>33000</v>
      </c>
      <c r="N29" s="35"/>
      <c r="O29" s="34">
        <v>24500</v>
      </c>
      <c r="P29" s="34"/>
      <c r="Q29" s="165">
        <v>30000</v>
      </c>
      <c r="R29" s="39"/>
      <c r="S29" s="34"/>
      <c r="T29" s="36"/>
      <c r="U29" s="34"/>
      <c r="V29" s="197"/>
      <c r="W29" s="6"/>
    </row>
    <row r="30" spans="1:23" ht="15.6">
      <c r="A30" s="40"/>
      <c r="B30" s="30" t="s">
        <v>148</v>
      </c>
      <c r="C30" s="162">
        <f>C34*C28</f>
        <v>77639.8508</v>
      </c>
      <c r="D30" s="170"/>
      <c r="E30" s="171">
        <f>E34*E28</f>
        <v>137996.85810000001</v>
      </c>
      <c r="F30" s="170"/>
      <c r="G30" s="162">
        <v>16000</v>
      </c>
      <c r="H30" s="170"/>
      <c r="I30" s="171">
        <v>35500</v>
      </c>
      <c r="J30" s="159"/>
      <c r="K30" s="162">
        <v>18000</v>
      </c>
      <c r="L30" s="41"/>
      <c r="M30" s="166">
        <v>33000</v>
      </c>
      <c r="N30" s="43"/>
      <c r="O30" s="42">
        <v>24500</v>
      </c>
      <c r="P30" s="42"/>
      <c r="Q30" s="166">
        <v>30000</v>
      </c>
      <c r="R30" s="42"/>
      <c r="S30" s="42"/>
      <c r="T30" s="44"/>
      <c r="U30" s="42"/>
      <c r="V30" s="196"/>
      <c r="W30" s="6"/>
    </row>
    <row r="31" spans="1:23" ht="15.6">
      <c r="A31" s="40"/>
      <c r="B31" s="158" t="s">
        <v>260</v>
      </c>
      <c r="C31" s="172">
        <v>146000</v>
      </c>
      <c r="D31" s="173"/>
      <c r="E31" s="172">
        <v>178000</v>
      </c>
      <c r="F31" s="172"/>
      <c r="G31" s="172">
        <v>16000</v>
      </c>
      <c r="H31" s="172"/>
      <c r="I31" s="172">
        <v>24500</v>
      </c>
      <c r="J31" s="161"/>
      <c r="K31" s="172">
        <v>18000</v>
      </c>
      <c r="L31" s="161"/>
      <c r="M31" s="167">
        <v>22500</v>
      </c>
      <c r="N31" s="164"/>
      <c r="O31" s="167">
        <v>24500</v>
      </c>
      <c r="P31" s="163"/>
      <c r="Q31" s="167">
        <v>20500</v>
      </c>
      <c r="R31" s="42"/>
      <c r="S31" s="42"/>
      <c r="T31" s="44"/>
      <c r="U31" s="34">
        <f>+Q31+O31+M31+K31+I31+G31+E31+C31</f>
        <v>450000</v>
      </c>
      <c r="V31" s="196"/>
      <c r="W31" s="6"/>
    </row>
    <row r="32" spans="1:23" ht="15.6">
      <c r="A32" s="40"/>
      <c r="B32" s="158" t="s">
        <v>261</v>
      </c>
      <c r="C32" s="172">
        <f>C28*C35</f>
        <v>87285.691200000001</v>
      </c>
      <c r="D32" s="173"/>
      <c r="E32" s="172">
        <f>E31*E35</f>
        <v>106416.80160000001</v>
      </c>
      <c r="F32" s="172"/>
      <c r="G32" s="172">
        <v>16000</v>
      </c>
      <c r="H32" s="172"/>
      <c r="I32" s="172">
        <v>24500</v>
      </c>
      <c r="J32" s="161"/>
      <c r="K32" s="172">
        <v>18000</v>
      </c>
      <c r="L32" s="161"/>
      <c r="M32" s="167">
        <v>22500</v>
      </c>
      <c r="N32" s="164"/>
      <c r="O32" s="167">
        <v>24500</v>
      </c>
      <c r="P32" s="163"/>
      <c r="Q32" s="167">
        <v>20500</v>
      </c>
      <c r="R32" s="42"/>
      <c r="S32" s="42"/>
      <c r="T32" s="44"/>
      <c r="U32" s="34">
        <f>+Q32+O32+M32+K32+I32+G32+E32+C32</f>
        <v>319702.49280000001</v>
      </c>
      <c r="V32" s="196"/>
      <c r="W32" s="6"/>
    </row>
    <row r="33" spans="1:23" ht="15.6">
      <c r="A33" s="40"/>
      <c r="B33" s="30" t="s">
        <v>262</v>
      </c>
      <c r="C33" s="162">
        <f>C34*C28</f>
        <v>77639.8508</v>
      </c>
      <c r="D33" s="162"/>
      <c r="E33" s="162">
        <f>E34*E31</f>
        <v>94656.804400000008</v>
      </c>
      <c r="F33" s="162"/>
      <c r="G33" s="162">
        <v>16000</v>
      </c>
      <c r="H33" s="162"/>
      <c r="I33" s="162">
        <v>24500</v>
      </c>
      <c r="J33" s="160"/>
      <c r="K33" s="162">
        <v>18000</v>
      </c>
      <c r="L33" s="160"/>
      <c r="M33" s="162">
        <v>22500</v>
      </c>
      <c r="N33" s="160"/>
      <c r="O33" s="162">
        <v>24500</v>
      </c>
      <c r="P33" s="162"/>
      <c r="Q33" s="162">
        <v>20500</v>
      </c>
      <c r="R33" s="42"/>
      <c r="S33" s="42"/>
      <c r="T33" s="44"/>
      <c r="U33" s="42">
        <f>+Q33+O33+M33+K33+I33+G33+E33+C33</f>
        <v>298296.65520000004</v>
      </c>
      <c r="V33" s="196"/>
      <c r="W33" s="6"/>
    </row>
    <row r="34" spans="1:23" ht="15.6">
      <c r="A34" s="40"/>
      <c r="B34" s="174" t="s">
        <v>149</v>
      </c>
      <c r="C34" s="175">
        <v>0.53177980000000002</v>
      </c>
      <c r="D34" s="175"/>
      <c r="E34" s="175">
        <v>0.53177980000000002</v>
      </c>
      <c r="F34" s="175"/>
      <c r="G34" s="175">
        <v>1</v>
      </c>
      <c r="H34" s="175"/>
      <c r="I34" s="175">
        <v>1</v>
      </c>
      <c r="J34" s="175"/>
      <c r="K34" s="175">
        <v>1</v>
      </c>
      <c r="L34" s="175"/>
      <c r="M34" s="175">
        <v>1</v>
      </c>
      <c r="N34" s="175"/>
      <c r="O34" s="175">
        <v>1</v>
      </c>
      <c r="P34" s="175"/>
      <c r="Q34" s="175">
        <v>1</v>
      </c>
      <c r="R34" s="176"/>
      <c r="S34" s="42"/>
      <c r="T34" s="44"/>
      <c r="U34" s="42"/>
      <c r="V34" s="196"/>
      <c r="W34" s="6"/>
    </row>
    <row r="35" spans="1:23" ht="15.6">
      <c r="A35" s="40"/>
      <c r="B35" s="174" t="s">
        <v>150</v>
      </c>
      <c r="C35" s="175">
        <v>0.59784720000000002</v>
      </c>
      <c r="D35" s="175"/>
      <c r="E35" s="175">
        <v>0.59784720000000002</v>
      </c>
      <c r="F35" s="175"/>
      <c r="G35" s="175">
        <v>1</v>
      </c>
      <c r="H35" s="175"/>
      <c r="I35" s="175">
        <v>1</v>
      </c>
      <c r="J35" s="175"/>
      <c r="K35" s="175">
        <v>1</v>
      </c>
      <c r="L35" s="175"/>
      <c r="M35" s="175">
        <v>1</v>
      </c>
      <c r="N35" s="175"/>
      <c r="O35" s="175">
        <v>1</v>
      </c>
      <c r="P35" s="175"/>
      <c r="Q35" s="175">
        <v>1</v>
      </c>
      <c r="R35" s="176"/>
      <c r="S35" s="42"/>
      <c r="T35" s="44"/>
      <c r="U35" s="42"/>
      <c r="V35" s="196"/>
      <c r="W35" s="6"/>
    </row>
    <row r="36" spans="1:23" ht="15.6">
      <c r="A36" s="25"/>
      <c r="B36" s="26" t="s">
        <v>153</v>
      </c>
      <c r="C36" s="157" t="s">
        <v>157</v>
      </c>
      <c r="D36" s="157"/>
      <c r="E36" s="157" t="s">
        <v>157</v>
      </c>
      <c r="F36" s="157"/>
      <c r="G36" s="157" t="s">
        <v>158</v>
      </c>
      <c r="H36" s="157"/>
      <c r="I36" s="157" t="s">
        <v>158</v>
      </c>
      <c r="J36" s="157"/>
      <c r="K36" s="157" t="s">
        <v>159</v>
      </c>
      <c r="L36" s="184"/>
      <c r="M36" s="157" t="s">
        <v>160</v>
      </c>
      <c r="N36" s="158"/>
      <c r="O36" s="157" t="s">
        <v>161</v>
      </c>
      <c r="P36" s="157"/>
      <c r="Q36" s="157" t="s">
        <v>162</v>
      </c>
      <c r="R36" s="157"/>
      <c r="S36" s="157"/>
      <c r="T36" s="158"/>
      <c r="U36" s="29"/>
      <c r="V36" s="196"/>
      <c r="W36" s="6"/>
    </row>
    <row r="37" spans="1:23" ht="15.6">
      <c r="A37" s="25"/>
      <c r="B37" s="26" t="s">
        <v>151</v>
      </c>
      <c r="C37" s="185">
        <v>7.8813000000000008E-3</v>
      </c>
      <c r="D37" s="185"/>
      <c r="E37" s="185">
        <v>9.6200000000000001E-3</v>
      </c>
      <c r="F37" s="185"/>
      <c r="G37" s="185">
        <v>8.9812999999999994E-3</v>
      </c>
      <c r="H37" s="185"/>
      <c r="I37" s="185">
        <v>1.072E-2</v>
      </c>
      <c r="J37" s="185"/>
      <c r="K37" s="185">
        <v>1.16813E-2</v>
      </c>
      <c r="L37" s="185"/>
      <c r="M37" s="185">
        <v>1.312E-2</v>
      </c>
      <c r="N37" s="185"/>
      <c r="O37" s="185">
        <v>1.51813E-2</v>
      </c>
      <c r="P37" s="185"/>
      <c r="Q37" s="185">
        <v>1.6420000000000001E-2</v>
      </c>
      <c r="R37" s="186"/>
      <c r="S37" s="185"/>
      <c r="T37" s="158"/>
      <c r="U37" s="33"/>
      <c r="V37" s="196"/>
      <c r="W37" s="6"/>
    </row>
    <row r="38" spans="1:23" ht="15.6">
      <c r="A38" s="25"/>
      <c r="B38" s="26" t="s">
        <v>152</v>
      </c>
      <c r="C38" s="185">
        <v>1.21213E-2</v>
      </c>
      <c r="D38" s="185"/>
      <c r="E38" s="185">
        <v>1.2160000000000001E-2</v>
      </c>
      <c r="F38" s="185"/>
      <c r="G38" s="185">
        <v>1.32213E-2</v>
      </c>
      <c r="H38" s="185"/>
      <c r="I38" s="185">
        <v>1.3259999999999999E-2</v>
      </c>
      <c r="J38" s="185"/>
      <c r="K38" s="185">
        <v>1.5921299999999999E-2</v>
      </c>
      <c r="L38" s="185"/>
      <c r="M38" s="185">
        <v>1.566E-2</v>
      </c>
      <c r="N38" s="185"/>
      <c r="O38" s="185">
        <v>1.9421299999999999E-2</v>
      </c>
      <c r="P38" s="185"/>
      <c r="Q38" s="185">
        <v>1.8960000000000001E-2</v>
      </c>
      <c r="R38" s="186"/>
      <c r="S38" s="185"/>
      <c r="T38" s="158"/>
      <c r="U38" s="29"/>
      <c r="V38" s="196"/>
      <c r="W38" s="6"/>
    </row>
    <row r="39" spans="1:23" ht="15.6">
      <c r="A39" s="25"/>
      <c r="B39" s="26" t="s">
        <v>263</v>
      </c>
      <c r="C39" s="157" t="s">
        <v>157</v>
      </c>
      <c r="D39" s="185"/>
      <c r="E39" s="185" t="s">
        <v>198</v>
      </c>
      <c r="F39" s="185"/>
      <c r="G39" s="157" t="s">
        <v>158</v>
      </c>
      <c r="H39" s="185"/>
      <c r="I39" s="185" t="s">
        <v>225</v>
      </c>
      <c r="J39" s="185"/>
      <c r="K39" s="157" t="s">
        <v>159</v>
      </c>
      <c r="L39" s="185"/>
      <c r="M39" s="185" t="s">
        <v>199</v>
      </c>
      <c r="N39" s="185"/>
      <c r="O39" s="157" t="s">
        <v>161</v>
      </c>
      <c r="P39" s="185"/>
      <c r="Q39" s="185" t="s">
        <v>200</v>
      </c>
      <c r="R39" s="186"/>
      <c r="S39" s="185"/>
      <c r="T39" s="158"/>
      <c r="U39" s="29"/>
      <c r="V39" s="196"/>
      <c r="W39" s="6"/>
    </row>
    <row r="40" spans="1:23" ht="15.6">
      <c r="A40" s="25"/>
      <c r="B40" s="26" t="s">
        <v>264</v>
      </c>
      <c r="C40" s="185">
        <f>+C37</f>
        <v>7.8813000000000008E-3</v>
      </c>
      <c r="D40" s="185"/>
      <c r="E40" s="185">
        <v>8.1693000000000009E-3</v>
      </c>
      <c r="F40" s="185"/>
      <c r="G40" s="185">
        <f>+G37</f>
        <v>8.9812999999999994E-3</v>
      </c>
      <c r="H40" s="185"/>
      <c r="I40" s="185">
        <v>9.3477999999999999E-3</v>
      </c>
      <c r="J40" s="185"/>
      <c r="K40" s="185">
        <f>+K37</f>
        <v>1.16813E-2</v>
      </c>
      <c r="L40" s="184"/>
      <c r="M40" s="185">
        <v>1.19615E-2</v>
      </c>
      <c r="N40" s="184"/>
      <c r="O40" s="185">
        <f>+O37</f>
        <v>1.51813E-2</v>
      </c>
      <c r="P40" s="185"/>
      <c r="Q40" s="185">
        <v>1.5594500000000001E-2</v>
      </c>
      <c r="R40" s="186"/>
      <c r="S40" s="185"/>
      <c r="T40" s="158"/>
      <c r="U40" s="45">
        <f>SUMPRODUCT(C40:Q40,C32:Q32)/U32</f>
        <v>9.6997168154875271E-3</v>
      </c>
      <c r="V40" s="196"/>
      <c r="W40" s="6"/>
    </row>
    <row r="41" spans="1:23" ht="15.6">
      <c r="A41" s="25"/>
      <c r="B41" s="26" t="s">
        <v>265</v>
      </c>
      <c r="C41" s="185">
        <f>+C38</f>
        <v>1.21213E-2</v>
      </c>
      <c r="D41" s="185"/>
      <c r="E41" s="185">
        <v>1.24093E-2</v>
      </c>
      <c r="F41" s="185"/>
      <c r="G41" s="185">
        <f>+G38</f>
        <v>1.32213E-2</v>
      </c>
      <c r="H41" s="185"/>
      <c r="I41" s="185">
        <v>1.3587800000000001E-2</v>
      </c>
      <c r="J41" s="185"/>
      <c r="K41" s="185">
        <f>+K38</f>
        <v>1.5921299999999999E-2</v>
      </c>
      <c r="L41" s="184"/>
      <c r="M41" s="185">
        <v>1.6201500000000001E-2</v>
      </c>
      <c r="N41" s="184"/>
      <c r="O41" s="185">
        <f>+O38</f>
        <v>1.9421299999999999E-2</v>
      </c>
      <c r="P41" s="185"/>
      <c r="Q41" s="185">
        <v>1.9834500000000001E-2</v>
      </c>
      <c r="R41" s="186"/>
      <c r="S41" s="185"/>
      <c r="T41" s="158"/>
      <c r="U41" s="29"/>
      <c r="V41" s="196"/>
      <c r="W41" s="6"/>
    </row>
    <row r="42" spans="1:23" ht="15.6">
      <c r="A42" s="25"/>
      <c r="B42" s="26" t="s">
        <v>17</v>
      </c>
      <c r="C42" s="187">
        <v>39918</v>
      </c>
      <c r="D42" s="187"/>
      <c r="E42" s="187">
        <v>39918</v>
      </c>
      <c r="F42" s="187"/>
      <c r="G42" s="187">
        <v>39918</v>
      </c>
      <c r="H42" s="187"/>
      <c r="I42" s="187">
        <v>39918</v>
      </c>
      <c r="J42" s="187"/>
      <c r="K42" s="187">
        <v>39918</v>
      </c>
      <c r="L42" s="187"/>
      <c r="M42" s="187">
        <v>39918</v>
      </c>
      <c r="N42" s="187"/>
      <c r="O42" s="187">
        <v>39918</v>
      </c>
      <c r="P42" s="187"/>
      <c r="Q42" s="187">
        <v>39918</v>
      </c>
      <c r="R42" s="157"/>
      <c r="S42" s="157"/>
      <c r="T42" s="158"/>
      <c r="U42" s="29"/>
      <c r="V42" s="196"/>
      <c r="W42" s="6"/>
    </row>
    <row r="43" spans="1:23" ht="15.6">
      <c r="A43" s="25"/>
      <c r="B43" s="26" t="s">
        <v>18</v>
      </c>
      <c r="C43" s="46">
        <v>40283</v>
      </c>
      <c r="D43" s="51"/>
      <c r="E43" s="46">
        <v>40283</v>
      </c>
      <c r="F43" s="51"/>
      <c r="G43" s="46">
        <v>40283</v>
      </c>
      <c r="H43" s="51"/>
      <c r="I43" s="46">
        <v>40283</v>
      </c>
      <c r="J43" s="51"/>
      <c r="K43" s="46">
        <v>40283</v>
      </c>
      <c r="L43" s="51"/>
      <c r="M43" s="46">
        <v>40283</v>
      </c>
      <c r="N43" s="51"/>
      <c r="O43" s="46">
        <v>40283</v>
      </c>
      <c r="P43" s="46"/>
      <c r="Q43" s="46">
        <v>40283</v>
      </c>
      <c r="R43" s="33"/>
      <c r="S43" s="33"/>
      <c r="T43" s="29"/>
      <c r="U43" s="29"/>
      <c r="V43" s="196"/>
      <c r="W43" s="6"/>
    </row>
    <row r="44" spans="1:23" ht="15.6">
      <c r="A44" s="25"/>
      <c r="B44" s="26" t="s">
        <v>154</v>
      </c>
      <c r="C44" s="33" t="s">
        <v>163</v>
      </c>
      <c r="D44" s="33"/>
      <c r="E44" s="33" t="s">
        <v>163</v>
      </c>
      <c r="F44" s="33"/>
      <c r="G44" s="33" t="s">
        <v>164</v>
      </c>
      <c r="H44" s="33"/>
      <c r="I44" s="33" t="s">
        <v>164</v>
      </c>
      <c r="J44" s="33"/>
      <c r="K44" s="33" t="s">
        <v>106</v>
      </c>
      <c r="L44" s="33"/>
      <c r="M44" s="33" t="s">
        <v>165</v>
      </c>
      <c r="N44" s="33"/>
      <c r="O44" s="33" t="s">
        <v>166</v>
      </c>
      <c r="P44" s="33"/>
      <c r="Q44" s="33" t="s">
        <v>167</v>
      </c>
      <c r="R44" s="33"/>
      <c r="S44" s="33"/>
      <c r="T44" s="29"/>
      <c r="U44" s="29"/>
      <c r="V44" s="196"/>
      <c r="W44" s="6"/>
    </row>
    <row r="45" spans="1:23" ht="15.6">
      <c r="A45" s="25"/>
      <c r="B45" s="26" t="s">
        <v>266</v>
      </c>
      <c r="C45" s="33" t="s">
        <v>163</v>
      </c>
      <c r="D45" s="26"/>
      <c r="E45" s="33" t="s">
        <v>228</v>
      </c>
      <c r="F45" s="26"/>
      <c r="G45" s="33" t="s">
        <v>164</v>
      </c>
      <c r="H45" s="26"/>
      <c r="I45" s="33" t="s">
        <v>226</v>
      </c>
      <c r="J45" s="26"/>
      <c r="K45" s="33" t="s">
        <v>106</v>
      </c>
      <c r="L45" s="26"/>
      <c r="M45" s="33" t="s">
        <v>227</v>
      </c>
      <c r="N45" s="26"/>
      <c r="O45" s="33" t="s">
        <v>166</v>
      </c>
      <c r="P45" s="33"/>
      <c r="Q45" s="33" t="s">
        <v>229</v>
      </c>
      <c r="R45" s="33"/>
      <c r="S45" s="33"/>
      <c r="T45" s="29"/>
      <c r="U45" s="29"/>
      <c r="V45" s="196"/>
      <c r="W45" s="6"/>
    </row>
    <row r="46" spans="1:23" ht="15.6">
      <c r="A46" s="25"/>
      <c r="B46" s="26"/>
      <c r="C46" s="26"/>
      <c r="D46" s="26"/>
      <c r="E46" s="26"/>
      <c r="F46" s="26"/>
      <c r="G46" s="26"/>
      <c r="H46" s="26"/>
      <c r="I46" s="26"/>
      <c r="J46" s="26"/>
      <c r="K46" s="26"/>
      <c r="L46" s="26"/>
      <c r="M46" s="47"/>
      <c r="N46" s="47"/>
      <c r="O46" s="26"/>
      <c r="P46" s="47"/>
      <c r="Q46" s="47"/>
      <c r="R46" s="47"/>
      <c r="S46" s="47"/>
      <c r="T46" s="47"/>
      <c r="U46" s="47"/>
      <c r="V46" s="196"/>
      <c r="W46" s="6"/>
    </row>
    <row r="47" spans="1:23" ht="15.6">
      <c r="A47" s="25"/>
      <c r="B47" s="26" t="s">
        <v>201</v>
      </c>
      <c r="C47" s="26"/>
      <c r="D47" s="26"/>
      <c r="E47" s="26"/>
      <c r="F47" s="26"/>
      <c r="G47" s="26"/>
      <c r="H47" s="26"/>
      <c r="I47" s="26"/>
      <c r="J47" s="26"/>
      <c r="K47" s="26"/>
      <c r="L47" s="26"/>
      <c r="M47" s="26"/>
      <c r="N47" s="26"/>
      <c r="O47" s="26"/>
      <c r="P47" s="26"/>
      <c r="Q47" s="26"/>
      <c r="R47" s="26"/>
      <c r="S47" s="26"/>
      <c r="T47" s="26"/>
      <c r="U47" s="45">
        <f>SUM(G31:Q31)/(C31+E31)</f>
        <v>0.3888888888888889</v>
      </c>
      <c r="V47" s="196"/>
      <c r="W47" s="6"/>
    </row>
    <row r="48" spans="1:23" ht="15.6">
      <c r="A48" s="25"/>
      <c r="B48" s="26" t="s">
        <v>202</v>
      </c>
      <c r="C48" s="26"/>
      <c r="D48" s="26"/>
      <c r="E48" s="26"/>
      <c r="F48" s="26"/>
      <c r="G48" s="26"/>
      <c r="H48" s="26"/>
      <c r="I48" s="26"/>
      <c r="J48" s="26"/>
      <c r="K48" s="26"/>
      <c r="L48" s="26"/>
      <c r="M48" s="26"/>
      <c r="N48" s="26"/>
      <c r="O48" s="26"/>
      <c r="P48" s="26"/>
      <c r="Q48" s="26"/>
      <c r="R48" s="26"/>
      <c r="S48" s="26"/>
      <c r="T48" s="26"/>
      <c r="U48" s="45">
        <f>SUM(F33:Q33)/(C33+E33)</f>
        <v>0.73129684295809816</v>
      </c>
      <c r="V48" s="196"/>
      <c r="W48" s="6"/>
    </row>
    <row r="49" spans="1:23" ht="15.6">
      <c r="A49" s="25"/>
      <c r="B49" s="26" t="s">
        <v>203</v>
      </c>
      <c r="C49" s="26"/>
      <c r="D49" s="26"/>
      <c r="E49" s="26"/>
      <c r="F49" s="26"/>
      <c r="G49" s="26"/>
      <c r="H49" s="26"/>
      <c r="I49" s="26"/>
      <c r="J49" s="26"/>
      <c r="K49" s="26"/>
      <c r="L49" s="26"/>
      <c r="M49" s="26"/>
      <c r="N49" s="26"/>
      <c r="O49" s="26"/>
      <c r="P49" s="26"/>
      <c r="Q49" s="26"/>
      <c r="R49" s="26"/>
      <c r="S49" s="33" t="s">
        <v>95</v>
      </c>
      <c r="T49" s="33" t="s">
        <v>117</v>
      </c>
      <c r="U49" s="34">
        <v>99000</v>
      </c>
      <c r="V49" s="196"/>
      <c r="W49" s="6"/>
    </row>
    <row r="50" spans="1:23" ht="15.6">
      <c r="A50" s="25"/>
      <c r="B50" s="26"/>
      <c r="C50" s="26"/>
      <c r="D50" s="26"/>
      <c r="E50" s="26"/>
      <c r="F50" s="26"/>
      <c r="G50" s="26"/>
      <c r="H50" s="26"/>
      <c r="I50" s="26"/>
      <c r="J50" s="26"/>
      <c r="K50" s="26"/>
      <c r="L50" s="26"/>
      <c r="M50" s="26"/>
      <c r="N50" s="26"/>
      <c r="O50" s="26"/>
      <c r="P50" s="26"/>
      <c r="Q50" s="26"/>
      <c r="R50" s="26"/>
      <c r="S50" s="26" t="s">
        <v>213</v>
      </c>
      <c r="T50" s="26"/>
      <c r="U50" s="48"/>
      <c r="V50" s="196"/>
      <c r="W50" s="6"/>
    </row>
    <row r="51" spans="1:23" ht="15.6">
      <c r="A51" s="25"/>
      <c r="B51" s="26" t="s">
        <v>19</v>
      </c>
      <c r="C51" s="26"/>
      <c r="D51" s="26"/>
      <c r="E51" s="26"/>
      <c r="F51" s="26"/>
      <c r="G51" s="26"/>
      <c r="H51" s="26"/>
      <c r="I51" s="26"/>
      <c r="J51" s="26"/>
      <c r="K51" s="26"/>
      <c r="L51" s="26"/>
      <c r="M51" s="26"/>
      <c r="N51" s="26"/>
      <c r="O51" s="26"/>
      <c r="P51" s="26"/>
      <c r="Q51" s="26"/>
      <c r="R51" s="26"/>
      <c r="S51" s="33"/>
      <c r="T51" s="33"/>
      <c r="U51" s="33" t="s">
        <v>118</v>
      </c>
      <c r="V51" s="196"/>
      <c r="W51" s="6"/>
    </row>
    <row r="52" spans="1:23" ht="15.6">
      <c r="A52" s="40"/>
      <c r="B52" s="30" t="s">
        <v>20</v>
      </c>
      <c r="C52" s="30"/>
      <c r="D52" s="30"/>
      <c r="E52" s="30"/>
      <c r="F52" s="30"/>
      <c r="G52" s="30"/>
      <c r="H52" s="30"/>
      <c r="I52" s="30"/>
      <c r="J52" s="30"/>
      <c r="K52" s="30"/>
      <c r="L52" s="30"/>
      <c r="M52" s="30"/>
      <c r="N52" s="30"/>
      <c r="O52" s="30"/>
      <c r="P52" s="30"/>
      <c r="Q52" s="30"/>
      <c r="R52" s="30"/>
      <c r="S52" s="49"/>
      <c r="T52" s="49"/>
      <c r="U52" s="50">
        <v>40193</v>
      </c>
      <c r="V52" s="198"/>
      <c r="W52" s="6"/>
    </row>
    <row r="53" spans="1:23" ht="15.6">
      <c r="A53" s="25"/>
      <c r="B53" s="26" t="s">
        <v>155</v>
      </c>
      <c r="C53" s="26"/>
      <c r="D53" s="26"/>
      <c r="E53" s="26"/>
      <c r="F53" s="26"/>
      <c r="G53" s="26"/>
      <c r="H53" s="26"/>
      <c r="I53" s="26"/>
      <c r="J53" s="26"/>
      <c r="K53" s="26"/>
      <c r="L53" s="26"/>
      <c r="M53" s="26"/>
      <c r="N53" s="26"/>
      <c r="O53" s="26"/>
      <c r="P53" s="26"/>
      <c r="Q53" s="29"/>
      <c r="R53" s="26">
        <f>U53-S53+1</f>
        <v>92</v>
      </c>
      <c r="S53" s="52">
        <v>40009</v>
      </c>
      <c r="T53" s="53"/>
      <c r="U53" s="52">
        <v>40100</v>
      </c>
      <c r="V53" s="196"/>
      <c r="W53" s="6"/>
    </row>
    <row r="54" spans="1:23" ht="15.6">
      <c r="A54" s="25"/>
      <c r="B54" s="26" t="s">
        <v>156</v>
      </c>
      <c r="C54" s="26"/>
      <c r="D54" s="26"/>
      <c r="E54" s="26"/>
      <c r="F54" s="26"/>
      <c r="G54" s="26"/>
      <c r="H54" s="26"/>
      <c r="I54" s="26"/>
      <c r="J54" s="26"/>
      <c r="K54" s="26"/>
      <c r="L54" s="26"/>
      <c r="M54" s="26"/>
      <c r="N54" s="26"/>
      <c r="O54" s="26"/>
      <c r="P54" s="26"/>
      <c r="Q54" s="29"/>
      <c r="R54" s="26">
        <f>U54-S54+1</f>
        <v>92</v>
      </c>
      <c r="S54" s="52">
        <v>40101</v>
      </c>
      <c r="T54" s="53"/>
      <c r="U54" s="52">
        <v>40192</v>
      </c>
      <c r="V54" s="196"/>
      <c r="W54" s="6"/>
    </row>
    <row r="55" spans="1:23" ht="15.6">
      <c r="A55" s="25"/>
      <c r="B55" s="26" t="s">
        <v>21</v>
      </c>
      <c r="C55" s="26"/>
      <c r="D55" s="26"/>
      <c r="E55" s="26"/>
      <c r="F55" s="26"/>
      <c r="G55" s="26"/>
      <c r="H55" s="26"/>
      <c r="I55" s="26"/>
      <c r="J55" s="26"/>
      <c r="K55" s="26"/>
      <c r="L55" s="26"/>
      <c r="M55" s="26"/>
      <c r="N55" s="26"/>
      <c r="O55" s="26"/>
      <c r="P55" s="26"/>
      <c r="Q55" s="26"/>
      <c r="R55" s="26"/>
      <c r="S55" s="52"/>
      <c r="T55" s="53"/>
      <c r="U55" s="52" t="s">
        <v>119</v>
      </c>
      <c r="V55" s="196"/>
      <c r="W55" s="6"/>
    </row>
    <row r="56" spans="1:23" ht="15.6">
      <c r="A56" s="25"/>
      <c r="B56" s="26" t="s">
        <v>22</v>
      </c>
      <c r="C56" s="26"/>
      <c r="D56" s="26"/>
      <c r="E56" s="26"/>
      <c r="F56" s="26"/>
      <c r="G56" s="26"/>
      <c r="H56" s="26"/>
      <c r="I56" s="26"/>
      <c r="J56" s="26"/>
      <c r="K56" s="26"/>
      <c r="L56" s="26"/>
      <c r="M56" s="26"/>
      <c r="N56" s="26"/>
      <c r="O56" s="26"/>
      <c r="P56" s="26"/>
      <c r="Q56" s="26"/>
      <c r="R56" s="26"/>
      <c r="S56" s="52"/>
      <c r="T56" s="53"/>
      <c r="U56" s="52">
        <v>40182</v>
      </c>
      <c r="V56" s="196"/>
      <c r="W56" s="6"/>
    </row>
    <row r="57" spans="1:23" ht="15.6">
      <c r="A57" s="25"/>
      <c r="B57" s="26"/>
      <c r="C57" s="26"/>
      <c r="D57" s="26"/>
      <c r="E57" s="26"/>
      <c r="F57" s="26"/>
      <c r="G57" s="26"/>
      <c r="H57" s="26"/>
      <c r="I57" s="26"/>
      <c r="J57" s="26"/>
      <c r="K57" s="26"/>
      <c r="L57" s="26"/>
      <c r="M57" s="26"/>
      <c r="N57" s="26"/>
      <c r="O57" s="26"/>
      <c r="P57" s="26"/>
      <c r="Q57" s="26"/>
      <c r="R57" s="26"/>
      <c r="S57" s="26"/>
      <c r="T57" s="26"/>
      <c r="U57" s="54"/>
      <c r="V57" s="196"/>
      <c r="W57" s="6"/>
    </row>
    <row r="58" spans="1:23" ht="15.6">
      <c r="A58" s="7"/>
      <c r="B58" s="9"/>
      <c r="C58" s="9"/>
      <c r="D58" s="9"/>
      <c r="E58" s="9"/>
      <c r="F58" s="9"/>
      <c r="G58" s="9"/>
      <c r="H58" s="9"/>
      <c r="I58" s="9"/>
      <c r="J58" s="9"/>
      <c r="K58" s="9"/>
      <c r="L58" s="9"/>
      <c r="M58" s="9"/>
      <c r="N58" s="9"/>
      <c r="O58" s="9"/>
      <c r="P58" s="9"/>
      <c r="Q58" s="9"/>
      <c r="R58" s="9"/>
      <c r="S58" s="9"/>
      <c r="T58" s="9"/>
      <c r="U58" s="55"/>
      <c r="V58" s="194"/>
      <c r="W58" s="6"/>
    </row>
    <row r="59" spans="1:23" ht="16.2" thickBot="1">
      <c r="A59" s="130"/>
      <c r="B59" s="131" t="s">
        <v>268</v>
      </c>
      <c r="C59" s="132"/>
      <c r="D59" s="132"/>
      <c r="E59" s="132"/>
      <c r="F59" s="132"/>
      <c r="G59" s="132"/>
      <c r="H59" s="132"/>
      <c r="I59" s="132"/>
      <c r="J59" s="132"/>
      <c r="K59" s="132"/>
      <c r="L59" s="132"/>
      <c r="M59" s="132"/>
      <c r="N59" s="132"/>
      <c r="O59" s="132"/>
      <c r="P59" s="132"/>
      <c r="Q59" s="132"/>
      <c r="R59" s="132"/>
      <c r="S59" s="132"/>
      <c r="T59" s="132"/>
      <c r="U59" s="133"/>
      <c r="V59" s="134"/>
      <c r="W59" s="6"/>
    </row>
    <row r="60" spans="1:23" ht="15.6">
      <c r="A60" s="2"/>
      <c r="B60" s="5" t="s">
        <v>237</v>
      </c>
      <c r="C60" s="5"/>
      <c r="D60" s="5"/>
      <c r="E60" s="5"/>
      <c r="F60" s="5"/>
      <c r="G60" s="5"/>
      <c r="H60" s="5"/>
      <c r="I60" s="5"/>
      <c r="J60" s="5"/>
      <c r="K60" s="5"/>
      <c r="L60" s="5"/>
      <c r="M60" s="5"/>
      <c r="N60" s="5"/>
      <c r="O60" s="5"/>
      <c r="P60" s="5"/>
      <c r="Q60" s="5"/>
      <c r="R60" s="5"/>
      <c r="S60" s="5"/>
      <c r="T60" s="5"/>
      <c r="U60" s="56"/>
      <c r="V60" s="193"/>
      <c r="W60" s="6"/>
    </row>
    <row r="61" spans="1:23" ht="15.6">
      <c r="A61" s="7"/>
      <c r="B61" s="57" t="s">
        <v>23</v>
      </c>
      <c r="C61" s="13"/>
      <c r="D61" s="13"/>
      <c r="E61" s="13"/>
      <c r="F61" s="13"/>
      <c r="G61" s="13"/>
      <c r="H61" s="13"/>
      <c r="I61" s="13"/>
      <c r="J61" s="13"/>
      <c r="K61" s="13"/>
      <c r="L61" s="13"/>
      <c r="M61" s="9"/>
      <c r="N61" s="9"/>
      <c r="O61" s="9"/>
      <c r="P61" s="9"/>
      <c r="Q61" s="9"/>
      <c r="R61" s="9"/>
      <c r="S61" s="9"/>
      <c r="T61" s="9"/>
      <c r="U61" s="58"/>
      <c r="V61" s="194"/>
      <c r="W61" s="6"/>
    </row>
    <row r="62" spans="1:23" ht="15.6">
      <c r="A62" s="7"/>
      <c r="B62" s="13"/>
      <c r="C62" s="13"/>
      <c r="D62" s="13"/>
      <c r="E62" s="13"/>
      <c r="F62" s="13"/>
      <c r="G62" s="13"/>
      <c r="H62" s="13"/>
      <c r="I62" s="13"/>
      <c r="J62" s="13"/>
      <c r="K62" s="13"/>
      <c r="L62" s="13"/>
      <c r="M62" s="9"/>
      <c r="N62" s="9"/>
      <c r="O62" s="9"/>
      <c r="P62" s="9"/>
      <c r="Q62" s="9"/>
      <c r="R62" s="9"/>
      <c r="S62" s="9"/>
      <c r="T62" s="9"/>
      <c r="U62" s="58"/>
      <c r="V62" s="194"/>
      <c r="W62" s="6"/>
    </row>
    <row r="63" spans="1:23" s="151" customFormat="1" ht="46.8">
      <c r="A63" s="145"/>
      <c r="B63" s="146"/>
      <c r="C63" s="147"/>
      <c r="D63" s="147"/>
      <c r="E63" s="147"/>
      <c r="F63" s="147"/>
      <c r="G63" s="147"/>
      <c r="H63" s="147"/>
      <c r="I63" s="147"/>
      <c r="J63" s="147"/>
      <c r="K63" s="147" t="s">
        <v>197</v>
      </c>
      <c r="L63" s="147"/>
      <c r="M63" s="147" t="s">
        <v>98</v>
      </c>
      <c r="N63" s="147"/>
      <c r="O63" s="147" t="s">
        <v>107</v>
      </c>
      <c r="P63" s="147"/>
      <c r="Q63" s="147" t="s">
        <v>111</v>
      </c>
      <c r="R63" s="147"/>
      <c r="S63" s="147" t="s">
        <v>113</v>
      </c>
      <c r="T63" s="147"/>
      <c r="U63" s="148" t="s">
        <v>120</v>
      </c>
      <c r="V63" s="199"/>
      <c r="W63" s="150"/>
    </row>
    <row r="64" spans="1:23" ht="15.6">
      <c r="A64" s="25"/>
      <c r="B64" s="26" t="s">
        <v>24</v>
      </c>
      <c r="C64" s="59"/>
      <c r="D64" s="59"/>
      <c r="E64" s="59"/>
      <c r="F64" s="59"/>
      <c r="G64" s="59"/>
      <c r="H64" s="59"/>
      <c r="I64" s="59"/>
      <c r="J64" s="59"/>
      <c r="K64" s="59">
        <f>265+63566+3306</f>
        <v>67137</v>
      </c>
      <c r="L64" s="59"/>
      <c r="M64" s="59">
        <v>17204</v>
      </c>
      <c r="N64" s="59"/>
      <c r="O64" s="59">
        <f>913+5+84</f>
        <v>1002</v>
      </c>
      <c r="P64" s="59"/>
      <c r="Q64" s="59">
        <v>0</v>
      </c>
      <c r="R64" s="59"/>
      <c r="S64" s="59">
        <v>0</v>
      </c>
      <c r="T64" s="59"/>
      <c r="U64" s="60">
        <f>+M64-O64+Q64-S64</f>
        <v>16202</v>
      </c>
      <c r="V64" s="196"/>
      <c r="W64" s="6"/>
    </row>
    <row r="65" spans="1:24" ht="15.6">
      <c r="A65" s="25"/>
      <c r="B65" s="26" t="s">
        <v>25</v>
      </c>
      <c r="C65" s="59"/>
      <c r="D65" s="59"/>
      <c r="E65" s="59"/>
      <c r="F65" s="59"/>
      <c r="G65" s="59"/>
      <c r="H65" s="59"/>
      <c r="I65" s="59"/>
      <c r="J65" s="59"/>
      <c r="K65" s="59"/>
      <c r="L65" s="59"/>
      <c r="M65" s="59"/>
      <c r="N65" s="59"/>
      <c r="O65" s="59"/>
      <c r="P65" s="59"/>
      <c r="Q65" s="59">
        <v>0</v>
      </c>
      <c r="R65" s="59"/>
      <c r="S65" s="59">
        <v>0</v>
      </c>
      <c r="T65" s="59"/>
      <c r="U65" s="60">
        <f>M65-O65</f>
        <v>0</v>
      </c>
      <c r="V65" s="196"/>
      <c r="W65" s="6"/>
    </row>
    <row r="66" spans="1:24" ht="15.6">
      <c r="A66" s="25"/>
      <c r="B66" s="26"/>
      <c r="C66" s="59"/>
      <c r="D66" s="59"/>
      <c r="E66" s="59"/>
      <c r="F66" s="59"/>
      <c r="G66" s="59"/>
      <c r="H66" s="59"/>
      <c r="I66" s="59"/>
      <c r="J66" s="59"/>
      <c r="K66" s="59"/>
      <c r="L66" s="59"/>
      <c r="M66" s="59"/>
      <c r="N66" s="59"/>
      <c r="O66" s="59"/>
      <c r="P66" s="59"/>
      <c r="Q66" s="59"/>
      <c r="R66" s="59"/>
      <c r="S66" s="59"/>
      <c r="T66" s="59"/>
      <c r="U66" s="60"/>
      <c r="V66" s="196"/>
      <c r="W66" s="6"/>
    </row>
    <row r="67" spans="1:24" ht="15.6">
      <c r="A67" s="25"/>
      <c r="B67" s="26" t="s">
        <v>26</v>
      </c>
      <c r="C67" s="59"/>
      <c r="D67" s="59"/>
      <c r="E67" s="59"/>
      <c r="F67" s="59"/>
      <c r="G67" s="59"/>
      <c r="H67" s="59"/>
      <c r="I67" s="59"/>
      <c r="J67" s="59"/>
      <c r="K67" s="59">
        <v>24470</v>
      </c>
      <c r="L67" s="59"/>
      <c r="M67" s="59">
        <v>6634</v>
      </c>
      <c r="N67" s="59"/>
      <c r="O67" s="59">
        <f>1013+29</f>
        <v>1042</v>
      </c>
      <c r="P67" s="59"/>
      <c r="Q67" s="59">
        <v>0</v>
      </c>
      <c r="R67" s="59"/>
      <c r="S67" s="59">
        <f>SUM(S64:S66)</f>
        <v>0</v>
      </c>
      <c r="T67" s="59"/>
      <c r="U67" s="60">
        <f>+M67-O67+Q67-S67</f>
        <v>5592</v>
      </c>
      <c r="V67" s="196"/>
      <c r="W67" s="6"/>
    </row>
    <row r="68" spans="1:24" ht="15.6">
      <c r="A68" s="25"/>
      <c r="B68" s="26" t="s">
        <v>25</v>
      </c>
      <c r="C68" s="59"/>
      <c r="D68" s="59"/>
      <c r="E68" s="59"/>
      <c r="F68" s="59"/>
      <c r="G68" s="59"/>
      <c r="H68" s="59"/>
      <c r="I68" s="59"/>
      <c r="J68" s="59"/>
      <c r="K68" s="59"/>
      <c r="L68" s="59"/>
      <c r="M68" s="59"/>
      <c r="N68" s="59"/>
      <c r="O68" s="59"/>
      <c r="P68" s="59"/>
      <c r="Q68" s="59">
        <v>0</v>
      </c>
      <c r="R68" s="59"/>
      <c r="S68" s="59">
        <v>0</v>
      </c>
      <c r="T68" s="59"/>
      <c r="U68" s="61"/>
      <c r="V68" s="196"/>
      <c r="W68" s="6"/>
    </row>
    <row r="69" spans="1:24" ht="15.6">
      <c r="A69" s="25"/>
      <c r="B69" s="62"/>
      <c r="C69" s="59"/>
      <c r="D69" s="59"/>
      <c r="E69" s="59"/>
      <c r="F69" s="59"/>
      <c r="G69" s="59"/>
      <c r="H69" s="59"/>
      <c r="I69" s="59"/>
      <c r="J69" s="59"/>
      <c r="K69" s="59"/>
      <c r="L69" s="59"/>
      <c r="M69" s="59"/>
      <c r="N69" s="59"/>
      <c r="O69" s="63"/>
      <c r="P69" s="59"/>
      <c r="Q69" s="59"/>
      <c r="R69" s="59"/>
      <c r="S69" s="59"/>
      <c r="T69" s="59"/>
      <c r="U69" s="61"/>
      <c r="V69" s="196"/>
      <c r="W69" s="6"/>
    </row>
    <row r="70" spans="1:24" ht="15.6">
      <c r="A70" s="25"/>
      <c r="B70" s="26" t="s">
        <v>27</v>
      </c>
      <c r="C70" s="59"/>
      <c r="D70" s="59"/>
      <c r="E70" s="59"/>
      <c r="F70" s="59"/>
      <c r="G70" s="59"/>
      <c r="H70" s="59"/>
      <c r="I70" s="59"/>
      <c r="J70" s="59"/>
      <c r="K70" s="59">
        <v>220072</v>
      </c>
      <c r="L70" s="59"/>
      <c r="M70" s="59">
        <v>262898</v>
      </c>
      <c r="N70" s="59"/>
      <c r="O70" s="59">
        <f>10665+945</f>
        <v>11610</v>
      </c>
      <c r="P70" s="59"/>
      <c r="Q70" s="59">
        <v>0</v>
      </c>
      <c r="R70" s="59"/>
      <c r="S70" s="59">
        <v>0</v>
      </c>
      <c r="T70" s="59"/>
      <c r="U70" s="60">
        <f>+M70-O70+Q70-S70</f>
        <v>251288</v>
      </c>
      <c r="V70" s="196"/>
      <c r="W70" s="6"/>
    </row>
    <row r="71" spans="1:24" ht="15.6">
      <c r="A71" s="25"/>
      <c r="B71" s="26" t="s">
        <v>25</v>
      </c>
      <c r="C71" s="59"/>
      <c r="D71" s="59"/>
      <c r="E71" s="59"/>
      <c r="F71" s="59"/>
      <c r="G71" s="59"/>
      <c r="H71" s="59"/>
      <c r="I71" s="59"/>
      <c r="J71" s="59"/>
      <c r="K71" s="59"/>
      <c r="L71" s="59"/>
      <c r="M71" s="59"/>
      <c r="N71" s="59"/>
      <c r="O71" s="59"/>
      <c r="P71" s="59"/>
      <c r="Q71" s="59">
        <v>0</v>
      </c>
      <c r="R71" s="59"/>
      <c r="S71" s="59">
        <v>0</v>
      </c>
      <c r="T71" s="59"/>
      <c r="U71" s="60">
        <f>M71-O71+Q71-S71</f>
        <v>0</v>
      </c>
      <c r="V71" s="196"/>
      <c r="W71" s="6"/>
    </row>
    <row r="72" spans="1:24" ht="15.6">
      <c r="A72" s="25"/>
      <c r="B72" s="26"/>
      <c r="C72" s="59"/>
      <c r="D72" s="59"/>
      <c r="E72" s="59"/>
      <c r="F72" s="59"/>
      <c r="G72" s="59"/>
      <c r="H72" s="59"/>
      <c r="I72" s="59"/>
      <c r="J72" s="59"/>
      <c r="K72" s="59"/>
      <c r="L72" s="59"/>
      <c r="M72" s="59"/>
      <c r="N72" s="59"/>
      <c r="O72" s="59"/>
      <c r="P72" s="59"/>
      <c r="Q72" s="59"/>
      <c r="R72" s="59"/>
      <c r="S72" s="59"/>
      <c r="T72" s="59"/>
      <c r="U72" s="60"/>
      <c r="V72" s="196"/>
      <c r="W72" s="6"/>
    </row>
    <row r="73" spans="1:24" ht="15.6">
      <c r="A73" s="25"/>
      <c r="B73" s="26" t="s">
        <v>28</v>
      </c>
      <c r="C73" s="59"/>
      <c r="D73" s="59"/>
      <c r="E73" s="59"/>
      <c r="F73" s="59"/>
      <c r="G73" s="59"/>
      <c r="H73" s="59"/>
      <c r="I73" s="59"/>
      <c r="J73" s="59"/>
      <c r="K73" s="59">
        <v>138321</v>
      </c>
      <c r="L73" s="59"/>
      <c r="M73" s="59">
        <v>44311</v>
      </c>
      <c r="N73" s="59"/>
      <c r="O73" s="59">
        <f>6147+639</f>
        <v>6786</v>
      </c>
      <c r="P73" s="59"/>
      <c r="Q73" s="59">
        <v>0</v>
      </c>
      <c r="R73" s="59"/>
      <c r="S73" s="59">
        <v>0</v>
      </c>
      <c r="T73" s="59"/>
      <c r="U73" s="60">
        <f>+M73-O73+Q73-S73</f>
        <v>37525</v>
      </c>
      <c r="V73" s="196"/>
      <c r="W73" s="6"/>
    </row>
    <row r="74" spans="1:24" ht="15.6">
      <c r="A74" s="25"/>
      <c r="B74" s="26" t="s">
        <v>25</v>
      </c>
      <c r="C74" s="59"/>
      <c r="D74" s="59"/>
      <c r="E74" s="59"/>
      <c r="F74" s="59"/>
      <c r="G74" s="59"/>
      <c r="H74" s="59"/>
      <c r="I74" s="59"/>
      <c r="J74" s="59"/>
      <c r="K74" s="59"/>
      <c r="L74" s="59"/>
      <c r="M74" s="59"/>
      <c r="N74" s="59"/>
      <c r="O74" s="59"/>
      <c r="P74" s="59"/>
      <c r="Q74" s="59">
        <v>0</v>
      </c>
      <c r="R74" s="59"/>
      <c r="S74" s="59">
        <v>0</v>
      </c>
      <c r="T74" s="59"/>
      <c r="U74" s="60"/>
      <c r="V74" s="196"/>
      <c r="W74" s="6"/>
    </row>
    <row r="75" spans="1:24" ht="15.6">
      <c r="A75" s="25"/>
      <c r="B75" s="59"/>
      <c r="C75" s="59"/>
      <c r="D75" s="59"/>
      <c r="E75" s="59"/>
      <c r="F75" s="59"/>
      <c r="G75" s="59"/>
      <c r="H75" s="59"/>
      <c r="I75" s="59"/>
      <c r="J75" s="59"/>
      <c r="K75" s="59"/>
      <c r="L75" s="59"/>
      <c r="M75" s="59"/>
      <c r="N75" s="59"/>
      <c r="O75" s="59"/>
      <c r="P75" s="59"/>
      <c r="Q75" s="59"/>
      <c r="R75" s="59"/>
      <c r="S75" s="59"/>
      <c r="T75" s="59"/>
      <c r="U75" s="60"/>
      <c r="V75" s="196"/>
      <c r="W75" s="6"/>
    </row>
    <row r="76" spans="1:24" ht="15.6">
      <c r="A76" s="25"/>
      <c r="B76" s="26" t="s">
        <v>29</v>
      </c>
      <c r="C76" s="59"/>
      <c r="D76" s="59"/>
      <c r="E76" s="59"/>
      <c r="F76" s="59"/>
      <c r="G76" s="59"/>
      <c r="H76" s="59"/>
      <c r="I76" s="59"/>
      <c r="J76" s="59"/>
      <c r="K76" s="59">
        <f>SUM(K64:K73)</f>
        <v>450000</v>
      </c>
      <c r="L76" s="59"/>
      <c r="M76" s="59">
        <f>SUM(M64:M73)</f>
        <v>331047</v>
      </c>
      <c r="N76" s="59"/>
      <c r="O76" s="59">
        <f>SUM(O64:O74)</f>
        <v>20440</v>
      </c>
      <c r="P76" s="59"/>
      <c r="Q76" s="59">
        <f>SUM(Q64:Q74)</f>
        <v>0</v>
      </c>
      <c r="R76" s="59"/>
      <c r="S76" s="59">
        <f>SUM(S71:S75)</f>
        <v>0</v>
      </c>
      <c r="T76" s="59"/>
      <c r="U76" s="59">
        <f>SUM(U64:U74)</f>
        <v>310607</v>
      </c>
      <c r="V76" s="196"/>
      <c r="W76" s="6"/>
      <c r="X76" s="182"/>
    </row>
    <row r="77" spans="1:24" ht="15.6">
      <c r="A77" s="25"/>
      <c r="B77" s="26"/>
      <c r="C77" s="59"/>
      <c r="D77" s="59"/>
      <c r="E77" s="59"/>
      <c r="F77" s="59"/>
      <c r="G77" s="59"/>
      <c r="H77" s="59"/>
      <c r="I77" s="59"/>
      <c r="J77" s="59"/>
      <c r="K77" s="59"/>
      <c r="L77" s="59"/>
      <c r="M77" s="59"/>
      <c r="N77" s="59"/>
      <c r="O77" s="59"/>
      <c r="P77" s="59"/>
      <c r="Q77" s="59"/>
      <c r="R77" s="59"/>
      <c r="S77" s="59"/>
      <c r="T77" s="59"/>
      <c r="U77" s="61"/>
      <c r="V77" s="196"/>
      <c r="W77" s="6"/>
    </row>
    <row r="78" spans="1:24" ht="15.6">
      <c r="A78" s="25"/>
      <c r="B78" s="26" t="s">
        <v>214</v>
      </c>
      <c r="C78" s="59"/>
      <c r="D78" s="59"/>
      <c r="E78" s="59"/>
      <c r="F78" s="59"/>
      <c r="G78" s="59"/>
      <c r="H78" s="59"/>
      <c r="I78" s="59"/>
      <c r="J78" s="59"/>
      <c r="K78" s="59">
        <v>0</v>
      </c>
      <c r="L78" s="59"/>
      <c r="M78" s="59">
        <v>-11345</v>
      </c>
      <c r="N78" s="59"/>
      <c r="O78" s="59">
        <v>965</v>
      </c>
      <c r="P78" s="59"/>
      <c r="Q78" s="59"/>
      <c r="R78" s="59"/>
      <c r="S78" s="59"/>
      <c r="T78" s="59"/>
      <c r="U78" s="60">
        <f>+M78-O78</f>
        <v>-12310</v>
      </c>
      <c r="V78" s="196"/>
      <c r="W78" s="6"/>
    </row>
    <row r="79" spans="1:24" ht="15.6">
      <c r="A79" s="25"/>
      <c r="B79" s="26" t="s">
        <v>30</v>
      </c>
      <c r="C79" s="59"/>
      <c r="D79" s="59"/>
      <c r="E79" s="59"/>
      <c r="F79" s="59"/>
      <c r="G79" s="59"/>
      <c r="H79" s="59"/>
      <c r="I79" s="59"/>
      <c r="J79" s="59"/>
      <c r="K79" s="59">
        <v>0</v>
      </c>
      <c r="L79" s="59"/>
      <c r="M79" s="59">
        <v>0</v>
      </c>
      <c r="N79" s="59"/>
      <c r="O79" s="59">
        <v>0</v>
      </c>
      <c r="P79" s="59"/>
      <c r="Q79" s="59">
        <v>0</v>
      </c>
      <c r="R79" s="59"/>
      <c r="S79" s="59"/>
      <c r="T79" s="59"/>
      <c r="U79" s="61">
        <v>0</v>
      </c>
      <c r="V79" s="196"/>
      <c r="W79" s="6"/>
      <c r="X79" s="182"/>
    </row>
    <row r="80" spans="1:24" ht="15.6">
      <c r="A80" s="25"/>
      <c r="B80" s="26" t="s">
        <v>31</v>
      </c>
      <c r="C80" s="59"/>
      <c r="D80" s="59"/>
      <c r="E80" s="59"/>
      <c r="F80" s="59"/>
      <c r="G80" s="59"/>
      <c r="H80" s="59"/>
      <c r="I80" s="59"/>
      <c r="J80" s="59"/>
      <c r="K80" s="59">
        <v>0</v>
      </c>
      <c r="L80" s="59"/>
      <c r="M80" s="59">
        <v>0</v>
      </c>
      <c r="N80" s="59"/>
      <c r="O80" s="59"/>
      <c r="P80" s="59"/>
      <c r="Q80" s="59">
        <v>0</v>
      </c>
      <c r="R80" s="59"/>
      <c r="S80" s="59"/>
      <c r="T80" s="59"/>
      <c r="U80" s="61">
        <f>Q80+M80</f>
        <v>0</v>
      </c>
      <c r="V80" s="196"/>
      <c r="W80" s="6"/>
    </row>
    <row r="81" spans="1:24" ht="15.6">
      <c r="A81" s="25"/>
      <c r="B81" s="26" t="s">
        <v>16</v>
      </c>
      <c r="C81" s="61"/>
      <c r="D81" s="61"/>
      <c r="E81" s="61"/>
      <c r="F81" s="61"/>
      <c r="G81" s="61"/>
      <c r="H81" s="61"/>
      <c r="I81" s="61"/>
      <c r="J81" s="61"/>
      <c r="K81" s="61">
        <f>SUM(K76:K80)</f>
        <v>450000</v>
      </c>
      <c r="L81" s="61"/>
      <c r="M81" s="61">
        <f>SUM(M76:M80)</f>
        <v>319702</v>
      </c>
      <c r="N81" s="59"/>
      <c r="O81" s="59">
        <f>O79-O80</f>
        <v>0</v>
      </c>
      <c r="P81" s="59"/>
      <c r="Q81" s="59"/>
      <c r="R81" s="59"/>
      <c r="S81" s="59"/>
      <c r="T81" s="59"/>
      <c r="U81" s="61">
        <f>SUM(U76:U80)</f>
        <v>298297</v>
      </c>
      <c r="V81" s="196"/>
      <c r="W81" s="6"/>
    </row>
    <row r="82" spans="1:24" ht="15.6">
      <c r="A82" s="25"/>
      <c r="B82" s="59"/>
      <c r="C82" s="26"/>
      <c r="D82" s="26"/>
      <c r="E82" s="26"/>
      <c r="F82" s="26"/>
      <c r="G82" s="26"/>
      <c r="H82" s="26"/>
      <c r="I82" s="26"/>
      <c r="J82" s="26"/>
      <c r="K82" s="26"/>
      <c r="L82" s="26"/>
      <c r="M82" s="26"/>
      <c r="N82" s="26"/>
      <c r="O82" s="26"/>
      <c r="P82" s="26"/>
      <c r="Q82" s="26"/>
      <c r="R82" s="26"/>
      <c r="S82" s="33"/>
      <c r="T82" s="26"/>
      <c r="U82" s="33"/>
      <c r="V82" s="196"/>
      <c r="W82" s="6"/>
    </row>
    <row r="83" spans="1:24" ht="15.6">
      <c r="A83" s="7"/>
      <c r="B83" s="57" t="s">
        <v>32</v>
      </c>
      <c r="C83" s="14"/>
      <c r="D83" s="14"/>
      <c r="E83" s="14"/>
      <c r="F83" s="14"/>
      <c r="G83" s="14"/>
      <c r="H83" s="14"/>
      <c r="I83" s="14"/>
      <c r="J83" s="14"/>
      <c r="K83" s="14"/>
      <c r="L83" s="14"/>
      <c r="M83" s="14"/>
      <c r="N83" s="14"/>
      <c r="O83" s="14"/>
      <c r="P83" s="14"/>
      <c r="Q83" s="14"/>
      <c r="R83" s="17"/>
      <c r="S83" s="17"/>
      <c r="T83" s="17"/>
      <c r="U83" s="17" t="s">
        <v>121</v>
      </c>
      <c r="V83" s="200"/>
      <c r="W83" s="6"/>
    </row>
    <row r="84" spans="1:24" ht="15.6">
      <c r="A84" s="25"/>
      <c r="B84" s="26" t="s">
        <v>33</v>
      </c>
      <c r="C84" s="26"/>
      <c r="D84" s="26"/>
      <c r="E84" s="26"/>
      <c r="F84" s="26"/>
      <c r="G84" s="26"/>
      <c r="H84" s="26"/>
      <c r="I84" s="26"/>
      <c r="J84" s="26"/>
      <c r="K84" s="26"/>
      <c r="L84" s="26"/>
      <c r="M84" s="26"/>
      <c r="N84" s="26"/>
      <c r="O84" s="59"/>
      <c r="P84" s="26"/>
      <c r="Q84" s="26"/>
      <c r="R84" s="26"/>
      <c r="S84" s="59"/>
      <c r="T84" s="26"/>
      <c r="U84" s="60">
        <v>67208</v>
      </c>
      <c r="V84" s="196"/>
      <c r="W84" s="6"/>
    </row>
    <row r="85" spans="1:24" ht="15.6">
      <c r="A85" s="25"/>
      <c r="B85" s="26" t="s">
        <v>34</v>
      </c>
      <c r="C85" s="47"/>
      <c r="D85" s="47"/>
      <c r="E85" s="47"/>
      <c r="F85" s="47"/>
      <c r="G85" s="47"/>
      <c r="H85" s="47"/>
      <c r="I85" s="47"/>
      <c r="J85" s="47"/>
      <c r="K85" s="47"/>
      <c r="L85" s="47"/>
      <c r="M85" s="51"/>
      <c r="N85" s="26"/>
      <c r="O85" s="26"/>
      <c r="P85" s="26"/>
      <c r="Q85" s="26"/>
      <c r="R85" s="26"/>
      <c r="S85" s="59"/>
      <c r="T85" s="26"/>
      <c r="U85" s="60">
        <f>199+60+7-10-17</f>
        <v>239</v>
      </c>
      <c r="V85" s="196"/>
      <c r="W85" s="6"/>
    </row>
    <row r="86" spans="1:24" ht="15.6">
      <c r="A86" s="25"/>
      <c r="B86" s="26" t="s">
        <v>230</v>
      </c>
      <c r="C86" s="26"/>
      <c r="D86" s="26"/>
      <c r="E86" s="26"/>
      <c r="F86" s="26"/>
      <c r="G86" s="26"/>
      <c r="H86" s="26"/>
      <c r="I86" s="26"/>
      <c r="J86" s="26"/>
      <c r="K86" s="26"/>
      <c r="L86" s="26"/>
      <c r="M86" s="26"/>
      <c r="N86" s="26"/>
      <c r="O86" s="26"/>
      <c r="P86" s="26"/>
      <c r="Q86" s="26"/>
      <c r="R86" s="26"/>
      <c r="S86" s="59"/>
      <c r="T86" s="26"/>
      <c r="U86" s="60">
        <v>0</v>
      </c>
      <c r="V86" s="196"/>
      <c r="W86" s="6"/>
      <c r="X86" s="64"/>
    </row>
    <row r="87" spans="1:24" ht="15.6">
      <c r="A87" s="25"/>
      <c r="B87" s="26" t="s">
        <v>231</v>
      </c>
      <c r="C87" s="26"/>
      <c r="D87" s="26"/>
      <c r="E87" s="26"/>
      <c r="F87" s="26"/>
      <c r="G87" s="26"/>
      <c r="H87" s="26"/>
      <c r="I87" s="26"/>
      <c r="J87" s="26"/>
      <c r="K87" s="26"/>
      <c r="L87" s="26"/>
      <c r="M87" s="26"/>
      <c r="N87" s="26"/>
      <c r="O87" s="26"/>
      <c r="P87" s="26"/>
      <c r="Q87" s="26"/>
      <c r="R87" s="26"/>
      <c r="S87" s="59"/>
      <c r="T87" s="26"/>
      <c r="U87" s="60">
        <v>0</v>
      </c>
      <c r="V87" s="196"/>
      <c r="W87" s="6"/>
      <c r="X87" s="64"/>
    </row>
    <row r="88" spans="1:24" ht="15.6">
      <c r="A88" s="25"/>
      <c r="B88" s="26" t="s">
        <v>35</v>
      </c>
      <c r="C88" s="26"/>
      <c r="D88" s="26"/>
      <c r="E88" s="26"/>
      <c r="F88" s="26"/>
      <c r="G88" s="26"/>
      <c r="H88" s="26"/>
      <c r="I88" s="26"/>
      <c r="J88" s="26"/>
      <c r="K88" s="26"/>
      <c r="L88" s="26"/>
      <c r="M88" s="26"/>
      <c r="N88" s="26"/>
      <c r="O88" s="26"/>
      <c r="P88" s="26"/>
      <c r="Q88" s="26"/>
      <c r="R88" s="26"/>
      <c r="S88" s="59"/>
      <c r="T88" s="26"/>
      <c r="U88" s="60">
        <f>SUM(U84:U87)</f>
        <v>67447</v>
      </c>
      <c r="V88" s="196"/>
      <c r="W88" s="6"/>
      <c r="X88" s="64"/>
    </row>
    <row r="89" spans="1:24" ht="15.6">
      <c r="A89" s="25"/>
      <c r="B89" s="26"/>
      <c r="C89" s="26"/>
      <c r="D89" s="26"/>
      <c r="E89" s="26"/>
      <c r="F89" s="26"/>
      <c r="G89" s="26"/>
      <c r="H89" s="26"/>
      <c r="I89" s="26"/>
      <c r="J89" s="26"/>
      <c r="K89" s="26"/>
      <c r="L89" s="26"/>
      <c r="M89" s="26"/>
      <c r="N89" s="26"/>
      <c r="O89" s="26"/>
      <c r="P89" s="26"/>
      <c r="Q89" s="26"/>
      <c r="R89" s="26"/>
      <c r="S89" s="59"/>
      <c r="T89" s="26"/>
      <c r="U89" s="61"/>
      <c r="V89" s="196"/>
      <c r="W89" s="6"/>
    </row>
    <row r="90" spans="1:24" ht="15.6">
      <c r="A90" s="25"/>
      <c r="B90" s="152" t="s">
        <v>36</v>
      </c>
      <c r="C90" s="65"/>
      <c r="D90" s="65"/>
      <c r="E90" s="65"/>
      <c r="F90" s="65"/>
      <c r="G90" s="65"/>
      <c r="H90" s="65"/>
      <c r="I90" s="65"/>
      <c r="J90" s="65"/>
      <c r="K90" s="65"/>
      <c r="L90" s="65"/>
      <c r="M90" s="26"/>
      <c r="N90" s="26"/>
      <c r="O90" s="26"/>
      <c r="P90" s="26"/>
      <c r="Q90" s="26"/>
      <c r="R90" s="26"/>
      <c r="S90" s="59"/>
      <c r="T90" s="26"/>
      <c r="U90" s="60"/>
      <c r="V90" s="196"/>
      <c r="W90" s="6"/>
      <c r="X90" s="64"/>
    </row>
    <row r="91" spans="1:24" ht="15.6">
      <c r="A91" s="25">
        <v>1</v>
      </c>
      <c r="B91" s="26" t="s">
        <v>37</v>
      </c>
      <c r="C91" s="26"/>
      <c r="D91" s="26"/>
      <c r="E91" s="26"/>
      <c r="F91" s="26"/>
      <c r="G91" s="26"/>
      <c r="H91" s="26"/>
      <c r="I91" s="26"/>
      <c r="J91" s="26"/>
      <c r="K91" s="26"/>
      <c r="L91" s="26"/>
      <c r="M91" s="26"/>
      <c r="N91" s="26"/>
      <c r="O91" s="26"/>
      <c r="P91" s="26"/>
      <c r="Q91" s="26"/>
      <c r="R91" s="26"/>
      <c r="S91" s="26"/>
      <c r="T91" s="26"/>
      <c r="U91" s="60">
        <v>-2</v>
      </c>
      <c r="V91" s="196"/>
      <c r="W91" s="6"/>
    </row>
    <row r="92" spans="1:24" ht="15.6">
      <c r="A92" s="25">
        <f>A91+1</f>
        <v>2</v>
      </c>
      <c r="B92" s="26" t="s">
        <v>168</v>
      </c>
      <c r="C92" s="26"/>
      <c r="D92" s="26"/>
      <c r="E92" s="26"/>
      <c r="F92" s="26"/>
      <c r="G92" s="26"/>
      <c r="H92" s="26"/>
      <c r="I92" s="26"/>
      <c r="J92" s="26"/>
      <c r="K92" s="26"/>
      <c r="L92" s="26"/>
      <c r="M92" s="26"/>
      <c r="N92" s="26"/>
      <c r="O92" s="26"/>
      <c r="P92" s="26"/>
      <c r="Q92" s="26"/>
      <c r="R92" s="26"/>
      <c r="S92" s="26"/>
      <c r="T92" s="26"/>
      <c r="U92" s="60">
        <f>-322-138-5</f>
        <v>-465</v>
      </c>
      <c r="V92" s="196"/>
      <c r="W92" s="6"/>
      <c r="X92" s="64"/>
    </row>
    <row r="93" spans="1:24" ht="15.6">
      <c r="A93" s="25">
        <v>3</v>
      </c>
      <c r="B93" s="26" t="s">
        <v>38</v>
      </c>
      <c r="C93" s="26"/>
      <c r="D93" s="26"/>
      <c r="E93" s="26"/>
      <c r="F93" s="26"/>
      <c r="G93" s="26"/>
      <c r="H93" s="26"/>
      <c r="I93" s="26"/>
      <c r="J93" s="26"/>
      <c r="K93" s="26"/>
      <c r="L93" s="26"/>
      <c r="M93" s="26"/>
      <c r="N93" s="26"/>
      <c r="O93" s="26"/>
      <c r="P93" s="26"/>
      <c r="Q93" s="26"/>
      <c r="R93" s="26"/>
      <c r="S93" s="26"/>
      <c r="T93" s="26"/>
      <c r="U93" s="60">
        <v>-850</v>
      </c>
      <c r="V93" s="196"/>
      <c r="W93" s="6"/>
      <c r="X93" s="64"/>
    </row>
    <row r="94" spans="1:24" ht="15.6">
      <c r="A94" s="177" t="s">
        <v>190</v>
      </c>
      <c r="B94" s="26" t="s">
        <v>169</v>
      </c>
      <c r="C94" s="26"/>
      <c r="D94" s="26"/>
      <c r="E94" s="26"/>
      <c r="F94" s="26"/>
      <c r="G94" s="26"/>
      <c r="H94" s="26"/>
      <c r="I94" s="26"/>
      <c r="J94" s="26"/>
      <c r="K94" s="26"/>
      <c r="L94" s="26"/>
      <c r="M94" s="26"/>
      <c r="N94" s="26"/>
      <c r="O94" s="26"/>
      <c r="P94" s="26"/>
      <c r="Q94" s="26"/>
      <c r="R94" s="26"/>
      <c r="S94" s="26"/>
      <c r="T94" s="26"/>
      <c r="U94" s="60">
        <v>-173</v>
      </c>
      <c r="V94" s="196"/>
      <c r="W94" s="6"/>
      <c r="X94" s="64"/>
    </row>
    <row r="95" spans="1:24" ht="15.6">
      <c r="A95" s="177" t="s">
        <v>191</v>
      </c>
      <c r="B95" s="26" t="s">
        <v>170</v>
      </c>
      <c r="C95" s="26"/>
      <c r="D95" s="26"/>
      <c r="E95" s="26"/>
      <c r="F95" s="26"/>
      <c r="G95" s="26"/>
      <c r="H95" s="26"/>
      <c r="I95" s="26"/>
      <c r="J95" s="26"/>
      <c r="K95" s="26"/>
      <c r="L95" s="26"/>
      <c r="M95" s="26"/>
      <c r="N95" s="26"/>
      <c r="O95" s="26"/>
      <c r="P95" s="26"/>
      <c r="Q95" s="26"/>
      <c r="R95" s="26"/>
      <c r="S95" s="26"/>
      <c r="T95" s="26"/>
      <c r="U95" s="60">
        <v>-219</v>
      </c>
      <c r="V95" s="196"/>
      <c r="W95" s="6"/>
      <c r="X95" s="182"/>
    </row>
    <row r="96" spans="1:24" ht="15.6">
      <c r="A96" s="25">
        <v>5</v>
      </c>
      <c r="B96" s="26" t="s">
        <v>171</v>
      </c>
      <c r="C96" s="26"/>
      <c r="D96" s="26"/>
      <c r="E96" s="26"/>
      <c r="F96" s="26"/>
      <c r="G96" s="26"/>
      <c r="H96" s="26"/>
      <c r="I96" s="26"/>
      <c r="J96" s="26"/>
      <c r="K96" s="26"/>
      <c r="L96" s="26"/>
      <c r="M96" s="26"/>
      <c r="N96" s="26"/>
      <c r="O96" s="26"/>
      <c r="P96" s="26"/>
      <c r="Q96" s="26"/>
      <c r="R96" s="26"/>
      <c r="S96" s="26"/>
      <c r="T96" s="26"/>
      <c r="U96" s="60">
        <v>-7</v>
      </c>
      <c r="V96" s="196"/>
      <c r="W96" s="6"/>
    </row>
    <row r="97" spans="1:24" ht="15.6">
      <c r="A97" s="177" t="s">
        <v>174</v>
      </c>
      <c r="B97" s="26" t="s">
        <v>172</v>
      </c>
      <c r="C97" s="26"/>
      <c r="D97" s="26"/>
      <c r="E97" s="26"/>
      <c r="F97" s="26"/>
      <c r="G97" s="26"/>
      <c r="H97" s="26"/>
      <c r="I97" s="26"/>
      <c r="J97" s="26"/>
      <c r="K97" s="26"/>
      <c r="L97" s="26"/>
      <c r="M97" s="26"/>
      <c r="N97" s="26"/>
      <c r="O97" s="26"/>
      <c r="P97" s="26"/>
      <c r="Q97" s="26"/>
      <c r="R97" s="26"/>
      <c r="S97" s="26"/>
      <c r="T97" s="26"/>
      <c r="U97" s="60">
        <v>-36</v>
      </c>
      <c r="V97" s="196"/>
      <c r="W97" s="6"/>
      <c r="X97" s="182"/>
    </row>
    <row r="98" spans="1:24" ht="15.6">
      <c r="A98" s="177" t="s">
        <v>176</v>
      </c>
      <c r="B98" s="26" t="s">
        <v>173</v>
      </c>
      <c r="C98" s="26"/>
      <c r="D98" s="26"/>
      <c r="E98" s="26"/>
      <c r="F98" s="26"/>
      <c r="G98" s="26"/>
      <c r="H98" s="26"/>
      <c r="I98" s="26"/>
      <c r="J98" s="26"/>
      <c r="K98" s="26"/>
      <c r="L98" s="26"/>
      <c r="M98" s="26"/>
      <c r="N98" s="26"/>
      <c r="O98" s="26"/>
      <c r="P98" s="26"/>
      <c r="Q98" s="26"/>
      <c r="R98" s="26"/>
      <c r="S98" s="26"/>
      <c r="T98" s="26"/>
      <c r="U98" s="60">
        <v>-58</v>
      </c>
      <c r="V98" s="196"/>
      <c r="W98" s="119"/>
      <c r="X98" s="182"/>
    </row>
    <row r="99" spans="1:24" ht="15.6">
      <c r="A99" s="177" t="s">
        <v>178</v>
      </c>
      <c r="B99" s="26" t="s">
        <v>175</v>
      </c>
      <c r="C99" s="26"/>
      <c r="D99" s="26"/>
      <c r="E99" s="26"/>
      <c r="F99" s="26"/>
      <c r="G99" s="26"/>
      <c r="H99" s="26"/>
      <c r="I99" s="26"/>
      <c r="J99" s="26"/>
      <c r="K99" s="26"/>
      <c r="L99" s="26"/>
      <c r="M99" s="26"/>
      <c r="N99" s="26"/>
      <c r="O99" s="26"/>
      <c r="P99" s="26"/>
      <c r="Q99" s="26"/>
      <c r="R99" s="26"/>
      <c r="S99" s="26"/>
      <c r="T99" s="26"/>
      <c r="U99" s="60">
        <v>-53</v>
      </c>
      <c r="V99" s="196"/>
      <c r="W99" s="6"/>
      <c r="X99" s="182"/>
    </row>
    <row r="100" spans="1:24" ht="15.6">
      <c r="A100" s="177" t="s">
        <v>180</v>
      </c>
      <c r="B100" s="26" t="s">
        <v>177</v>
      </c>
      <c r="C100" s="26"/>
      <c r="D100" s="26"/>
      <c r="E100" s="26"/>
      <c r="F100" s="26"/>
      <c r="G100" s="26"/>
      <c r="H100" s="26"/>
      <c r="I100" s="26"/>
      <c r="J100" s="26"/>
      <c r="K100" s="26"/>
      <c r="L100" s="26"/>
      <c r="M100" s="26"/>
      <c r="N100" s="26"/>
      <c r="O100" s="26"/>
      <c r="P100" s="26"/>
      <c r="Q100" s="26"/>
      <c r="R100" s="26"/>
      <c r="S100" s="26"/>
      <c r="T100" s="26"/>
      <c r="U100" s="60">
        <v>-68</v>
      </c>
      <c r="V100" s="196"/>
      <c r="W100" s="119"/>
      <c r="X100" s="182"/>
    </row>
    <row r="101" spans="1:24" ht="15.6">
      <c r="A101" s="177" t="s">
        <v>192</v>
      </c>
      <c r="B101" s="26" t="s">
        <v>179</v>
      </c>
      <c r="C101" s="26"/>
      <c r="D101" s="26"/>
      <c r="E101" s="26"/>
      <c r="F101" s="26"/>
      <c r="G101" s="26"/>
      <c r="H101" s="26"/>
      <c r="I101" s="26"/>
      <c r="J101" s="26"/>
      <c r="K101" s="26"/>
      <c r="L101" s="26"/>
      <c r="M101" s="26"/>
      <c r="N101" s="26"/>
      <c r="O101" s="26"/>
      <c r="P101" s="26"/>
      <c r="Q101" s="26"/>
      <c r="R101" s="26"/>
      <c r="S101" s="26"/>
      <c r="T101" s="26"/>
      <c r="U101" s="60">
        <v>-94</v>
      </c>
      <c r="V101" s="196"/>
      <c r="W101" s="6"/>
      <c r="X101" s="182"/>
    </row>
    <row r="102" spans="1:24" ht="15.6">
      <c r="A102" s="177" t="s">
        <v>193</v>
      </c>
      <c r="B102" s="26" t="s">
        <v>181</v>
      </c>
      <c r="C102" s="26"/>
      <c r="D102" s="26"/>
      <c r="E102" s="26"/>
      <c r="F102" s="26"/>
      <c r="G102" s="26"/>
      <c r="H102" s="26"/>
      <c r="I102" s="26"/>
      <c r="J102" s="26"/>
      <c r="K102" s="26"/>
      <c r="L102" s="26"/>
      <c r="M102" s="26"/>
      <c r="N102" s="26"/>
      <c r="O102" s="26"/>
      <c r="P102" s="26"/>
      <c r="Q102" s="26"/>
      <c r="R102" s="26"/>
      <c r="S102" s="26"/>
      <c r="T102" s="26"/>
      <c r="U102" s="60">
        <v>-81</v>
      </c>
      <c r="V102" s="196"/>
      <c r="W102" s="119"/>
      <c r="X102" s="182"/>
    </row>
    <row r="103" spans="1:24" ht="15.6">
      <c r="A103" s="25">
        <v>9</v>
      </c>
      <c r="B103" s="26" t="s">
        <v>257</v>
      </c>
      <c r="C103" s="26"/>
      <c r="D103" s="26"/>
      <c r="E103" s="26"/>
      <c r="F103" s="26"/>
      <c r="G103" s="26"/>
      <c r="H103" s="26"/>
      <c r="I103" s="26"/>
      <c r="J103" s="26"/>
      <c r="K103" s="26"/>
      <c r="L103" s="26"/>
      <c r="M103" s="26"/>
      <c r="N103" s="26"/>
      <c r="O103" s="26"/>
      <c r="P103" s="26"/>
      <c r="Q103" s="26"/>
      <c r="R103" s="26"/>
      <c r="S103" s="26"/>
      <c r="T103" s="26"/>
      <c r="U103" s="60">
        <f>+S220-U32</f>
        <v>-21405.492800000007</v>
      </c>
      <c r="V103" s="196"/>
      <c r="W103" s="6"/>
      <c r="X103" s="182"/>
    </row>
    <row r="104" spans="1:24" ht="15.6">
      <c r="A104" s="25">
        <v>10</v>
      </c>
      <c r="B104" s="26" t="s">
        <v>234</v>
      </c>
      <c r="C104" s="26"/>
      <c r="D104" s="26"/>
      <c r="E104" s="26"/>
      <c r="F104" s="26"/>
      <c r="G104" s="26"/>
      <c r="H104" s="26"/>
      <c r="I104" s="26"/>
      <c r="J104" s="26"/>
      <c r="K104" s="26"/>
      <c r="L104" s="26"/>
      <c r="M104" s="26"/>
      <c r="N104" s="26"/>
      <c r="O104" s="26"/>
      <c r="P104" s="26"/>
      <c r="Q104" s="26"/>
      <c r="R104" s="26"/>
      <c r="S104" s="26"/>
      <c r="T104" s="26"/>
      <c r="U104" s="60">
        <v>-40500</v>
      </c>
      <c r="V104" s="196"/>
      <c r="W104" s="6"/>
      <c r="X104" s="64"/>
    </row>
    <row r="105" spans="1:24" ht="15.6">
      <c r="A105" s="25">
        <v>11</v>
      </c>
      <c r="B105" s="26" t="s">
        <v>183</v>
      </c>
      <c r="C105" s="26"/>
      <c r="D105" s="26"/>
      <c r="E105" s="26"/>
      <c r="F105" s="26"/>
      <c r="G105" s="26"/>
      <c r="H105" s="26"/>
      <c r="I105" s="26"/>
      <c r="J105" s="26"/>
      <c r="K105" s="26"/>
      <c r="L105" s="26"/>
      <c r="M105" s="26"/>
      <c r="N105" s="26"/>
      <c r="O105" s="26"/>
      <c r="P105" s="26"/>
      <c r="Q105" s="26"/>
      <c r="R105" s="26"/>
      <c r="S105" s="26"/>
      <c r="T105" s="26"/>
      <c r="U105" s="60">
        <v>0</v>
      </c>
      <c r="V105" s="196"/>
      <c r="W105" s="6"/>
      <c r="X105" s="64"/>
    </row>
    <row r="106" spans="1:24" ht="15.6">
      <c r="A106" s="25">
        <v>12</v>
      </c>
      <c r="B106" s="26" t="s">
        <v>184</v>
      </c>
      <c r="C106" s="26"/>
      <c r="D106" s="26"/>
      <c r="E106" s="26"/>
      <c r="F106" s="26"/>
      <c r="G106" s="26"/>
      <c r="H106" s="26"/>
      <c r="I106" s="26"/>
      <c r="J106" s="26"/>
      <c r="K106" s="26"/>
      <c r="L106" s="26"/>
      <c r="M106" s="26"/>
      <c r="N106" s="26"/>
      <c r="O106" s="26"/>
      <c r="P106" s="26"/>
      <c r="Q106" s="26"/>
      <c r="R106" s="26"/>
      <c r="S106" s="26"/>
      <c r="T106" s="26"/>
      <c r="U106" s="60">
        <v>-363</v>
      </c>
      <c r="V106" s="196"/>
      <c r="W106" s="6"/>
      <c r="X106" s="182"/>
    </row>
    <row r="107" spans="1:24" ht="15.6">
      <c r="A107" s="25">
        <v>13</v>
      </c>
      <c r="B107" s="26" t="s">
        <v>40</v>
      </c>
      <c r="C107" s="26"/>
      <c r="D107" s="26"/>
      <c r="E107" s="26"/>
      <c r="F107" s="26"/>
      <c r="G107" s="26"/>
      <c r="H107" s="26"/>
      <c r="I107" s="26"/>
      <c r="J107" s="26"/>
      <c r="K107" s="26"/>
      <c r="L107" s="26"/>
      <c r="M107" s="26"/>
      <c r="N107" s="26"/>
      <c r="O107" s="26"/>
      <c r="P107" s="26"/>
      <c r="Q107" s="26"/>
      <c r="R107" s="26"/>
      <c r="S107" s="26"/>
      <c r="T107" s="26"/>
      <c r="U107" s="60">
        <f>-SUM(U88:V106)</f>
        <v>-3072.5071999999927</v>
      </c>
      <c r="V107" s="196"/>
      <c r="W107" s="6"/>
      <c r="X107" s="182"/>
    </row>
    <row r="108" spans="1:24" ht="15.6">
      <c r="A108" s="25"/>
      <c r="B108" s="29"/>
      <c r="C108" s="26"/>
      <c r="D108" s="26"/>
      <c r="E108" s="26"/>
      <c r="F108" s="26"/>
      <c r="G108" s="26"/>
      <c r="H108" s="26"/>
      <c r="I108" s="26"/>
      <c r="J108" s="26"/>
      <c r="K108" s="26"/>
      <c r="L108" s="26"/>
      <c r="M108" s="26"/>
      <c r="N108" s="26"/>
      <c r="O108" s="26"/>
      <c r="P108" s="26"/>
      <c r="Q108" s="26"/>
      <c r="R108" s="26"/>
      <c r="S108" s="59"/>
      <c r="T108" s="59"/>
      <c r="U108" s="59"/>
      <c r="V108" s="196"/>
      <c r="W108" s="6"/>
      <c r="X108" s="182"/>
    </row>
    <row r="109" spans="1:24" ht="15.6">
      <c r="A109" s="7"/>
      <c r="B109" s="12"/>
      <c r="C109" s="9"/>
      <c r="D109" s="9"/>
      <c r="E109" s="9"/>
      <c r="F109" s="9"/>
      <c r="G109" s="9"/>
      <c r="H109" s="9"/>
      <c r="I109" s="9"/>
      <c r="J109" s="9"/>
      <c r="K109" s="9"/>
      <c r="L109" s="9"/>
      <c r="M109" s="9"/>
      <c r="N109" s="9"/>
      <c r="O109" s="9"/>
      <c r="P109" s="9"/>
      <c r="Q109" s="9"/>
      <c r="R109" s="9"/>
      <c r="S109" s="66"/>
      <c r="T109" s="66"/>
      <c r="U109" s="66"/>
      <c r="V109" s="194"/>
      <c r="W109" s="6"/>
    </row>
    <row r="110" spans="1:24" ht="16.2" thickBot="1">
      <c r="A110" s="130"/>
      <c r="B110" s="131" t="str">
        <f>+B59</f>
        <v>PPAF3 INVESTOR REPORT QUARTER ENDING DECEMBER 2009</v>
      </c>
      <c r="C110" s="132"/>
      <c r="D110" s="132"/>
      <c r="E110" s="132"/>
      <c r="F110" s="132"/>
      <c r="G110" s="132"/>
      <c r="H110" s="132"/>
      <c r="I110" s="132"/>
      <c r="J110" s="132"/>
      <c r="K110" s="132"/>
      <c r="L110" s="132"/>
      <c r="M110" s="132"/>
      <c r="N110" s="132"/>
      <c r="O110" s="132"/>
      <c r="P110" s="132"/>
      <c r="Q110" s="132"/>
      <c r="R110" s="132"/>
      <c r="S110" s="135"/>
      <c r="T110" s="135"/>
      <c r="U110" s="135"/>
      <c r="V110" s="134"/>
      <c r="W110" s="6"/>
    </row>
    <row r="111" spans="1:24" ht="15.6">
      <c r="A111" s="2"/>
      <c r="B111" s="5"/>
      <c r="C111" s="5"/>
      <c r="D111" s="5"/>
      <c r="E111" s="5"/>
      <c r="F111" s="5"/>
      <c r="G111" s="5"/>
      <c r="H111" s="5"/>
      <c r="I111" s="5"/>
      <c r="J111" s="5"/>
      <c r="K111" s="5"/>
      <c r="L111" s="5"/>
      <c r="M111" s="5"/>
      <c r="N111" s="5"/>
      <c r="O111" s="5"/>
      <c r="P111" s="5"/>
      <c r="Q111" s="5"/>
      <c r="R111" s="5"/>
      <c r="S111" s="67"/>
      <c r="T111" s="67"/>
      <c r="U111" s="67"/>
      <c r="V111" s="193"/>
      <c r="W111" s="6"/>
    </row>
    <row r="112" spans="1:24" ht="15.6">
      <c r="A112" s="68"/>
      <c r="B112" s="69" t="s">
        <v>41</v>
      </c>
      <c r="C112" s="70"/>
      <c r="D112" s="70"/>
      <c r="E112" s="70"/>
      <c r="F112" s="70"/>
      <c r="G112" s="70"/>
      <c r="H112" s="70"/>
      <c r="I112" s="70"/>
      <c r="J112" s="70"/>
      <c r="K112" s="70"/>
      <c r="L112" s="70"/>
      <c r="M112" s="70"/>
      <c r="N112" s="70"/>
      <c r="O112" s="70"/>
      <c r="P112" s="70"/>
      <c r="Q112" s="70"/>
      <c r="R112" s="70"/>
      <c r="S112" s="70"/>
      <c r="T112" s="70"/>
      <c r="U112" s="71"/>
      <c r="V112" s="201"/>
      <c r="W112" s="6"/>
    </row>
    <row r="113" spans="1:23" ht="15.6">
      <c r="A113" s="68"/>
      <c r="B113" s="70"/>
      <c r="C113" s="70"/>
      <c r="D113" s="70"/>
      <c r="E113" s="70"/>
      <c r="F113" s="70"/>
      <c r="G113" s="70"/>
      <c r="H113" s="70"/>
      <c r="I113" s="70"/>
      <c r="J113" s="70"/>
      <c r="K113" s="70"/>
      <c r="L113" s="70"/>
      <c r="M113" s="70"/>
      <c r="N113" s="70"/>
      <c r="O113" s="70"/>
      <c r="P113" s="70"/>
      <c r="Q113" s="70"/>
      <c r="R113" s="70"/>
      <c r="S113" s="70"/>
      <c r="T113" s="70"/>
      <c r="U113" s="71"/>
      <c r="V113" s="202"/>
      <c r="W113" s="6"/>
    </row>
    <row r="114" spans="1:23" ht="15.6">
      <c r="A114" s="7"/>
      <c r="B114" s="153" t="s">
        <v>42</v>
      </c>
      <c r="C114" s="13"/>
      <c r="D114" s="13"/>
      <c r="E114" s="13"/>
      <c r="F114" s="13"/>
      <c r="G114" s="13"/>
      <c r="H114" s="13"/>
      <c r="I114" s="13"/>
      <c r="J114" s="13"/>
      <c r="K114" s="13"/>
      <c r="L114" s="13"/>
      <c r="M114" s="9"/>
      <c r="N114" s="9"/>
      <c r="O114" s="9"/>
      <c r="P114" s="9"/>
      <c r="Q114" s="9"/>
      <c r="R114" s="9"/>
      <c r="S114" s="9"/>
      <c r="T114" s="9"/>
      <c r="U114" s="58"/>
      <c r="V114" s="194"/>
      <c r="W114" s="6"/>
    </row>
    <row r="115" spans="1:23" ht="15.6">
      <c r="A115" s="25"/>
      <c r="B115" s="26" t="s">
        <v>43</v>
      </c>
      <c r="C115" s="26"/>
      <c r="D115" s="26"/>
      <c r="E115" s="26"/>
      <c r="F115" s="26"/>
      <c r="G115" s="26"/>
      <c r="H115" s="26"/>
      <c r="I115" s="26"/>
      <c r="J115" s="26"/>
      <c r="K115" s="26"/>
      <c r="L115" s="26"/>
      <c r="M115" s="26"/>
      <c r="N115" s="26"/>
      <c r="O115" s="26"/>
      <c r="P115" s="26"/>
      <c r="Q115" s="26"/>
      <c r="R115" s="26"/>
      <c r="S115" s="26"/>
      <c r="T115" s="26"/>
      <c r="U115" s="60">
        <v>40500</v>
      </c>
      <c r="V115" s="196"/>
      <c r="W115" s="6"/>
    </row>
    <row r="116" spans="1:23" ht="15.6">
      <c r="A116" s="25"/>
      <c r="B116" s="26" t="s">
        <v>240</v>
      </c>
      <c r="C116" s="26"/>
      <c r="D116" s="26"/>
      <c r="E116" s="26"/>
      <c r="F116" s="26"/>
      <c r="G116" s="26"/>
      <c r="H116" s="26"/>
      <c r="I116" s="26"/>
      <c r="J116" s="26"/>
      <c r="K116" s="26"/>
      <c r="L116" s="26"/>
      <c r="M116" s="26"/>
      <c r="N116" s="26"/>
      <c r="O116" s="26"/>
      <c r="P116" s="26"/>
      <c r="Q116" s="26"/>
      <c r="R116" s="26"/>
      <c r="S116" s="26"/>
      <c r="T116" s="26"/>
      <c r="U116" s="60">
        <v>40500</v>
      </c>
      <c r="V116" s="196"/>
      <c r="W116" s="6"/>
    </row>
    <row r="117" spans="1:23" ht="15.6">
      <c r="A117" s="25"/>
      <c r="B117" s="26" t="s">
        <v>241</v>
      </c>
      <c r="C117" s="26"/>
      <c r="D117" s="26"/>
      <c r="E117" s="26"/>
      <c r="F117" s="26"/>
      <c r="G117" s="26"/>
      <c r="H117" s="26"/>
      <c r="I117" s="26"/>
      <c r="J117" s="26"/>
      <c r="K117" s="26"/>
      <c r="L117" s="26"/>
      <c r="M117" s="26"/>
      <c r="N117" s="26"/>
      <c r="O117" s="26"/>
      <c r="P117" s="26"/>
      <c r="Q117" s="26"/>
      <c r="R117" s="26"/>
      <c r="S117" s="26"/>
      <c r="T117" s="26"/>
      <c r="U117" s="60">
        <v>0</v>
      </c>
      <c r="V117" s="196"/>
      <c r="W117" s="6"/>
    </row>
    <row r="118" spans="1:23" ht="15.6">
      <c r="A118" s="25"/>
      <c r="B118" s="26" t="s">
        <v>209</v>
      </c>
      <c r="C118" s="26"/>
      <c r="D118" s="26"/>
      <c r="E118" s="26"/>
      <c r="F118" s="26"/>
      <c r="G118" s="26"/>
      <c r="H118" s="26"/>
      <c r="I118" s="26"/>
      <c r="J118" s="26"/>
      <c r="K118" s="26"/>
      <c r="L118" s="26"/>
      <c r="M118" s="26"/>
      <c r="N118" s="26"/>
      <c r="O118" s="26"/>
      <c r="P118" s="26"/>
      <c r="Q118" s="26"/>
      <c r="R118" s="26"/>
      <c r="S118" s="26"/>
      <c r="T118" s="26"/>
      <c r="U118" s="60">
        <v>0</v>
      </c>
      <c r="V118" s="196"/>
      <c r="W118" s="6"/>
    </row>
    <row r="119" spans="1:23" ht="15.6">
      <c r="A119" s="25"/>
      <c r="B119" s="26" t="s">
        <v>210</v>
      </c>
      <c r="C119" s="26"/>
      <c r="D119" s="26"/>
      <c r="E119" s="26"/>
      <c r="F119" s="26"/>
      <c r="G119" s="26"/>
      <c r="H119" s="26"/>
      <c r="I119" s="26"/>
      <c r="J119" s="26"/>
      <c r="K119" s="26"/>
      <c r="L119" s="26"/>
      <c r="M119" s="26"/>
      <c r="N119" s="26"/>
      <c r="O119" s="26"/>
      <c r="P119" s="26"/>
      <c r="Q119" s="26"/>
      <c r="R119" s="26"/>
      <c r="S119" s="26"/>
      <c r="T119" s="26"/>
      <c r="U119" s="60">
        <v>0</v>
      </c>
      <c r="V119" s="196"/>
      <c r="W119" s="6"/>
    </row>
    <row r="120" spans="1:23" ht="15.6">
      <c r="A120" s="25"/>
      <c r="B120" s="26" t="s">
        <v>211</v>
      </c>
      <c r="C120" s="26"/>
      <c r="D120" s="26"/>
      <c r="E120" s="26"/>
      <c r="F120" s="26"/>
      <c r="G120" s="26"/>
      <c r="H120" s="26"/>
      <c r="I120" s="26"/>
      <c r="J120" s="26"/>
      <c r="K120" s="26"/>
      <c r="L120" s="26"/>
      <c r="M120" s="26"/>
      <c r="N120" s="26"/>
      <c r="O120" s="26"/>
      <c r="P120" s="26"/>
      <c r="Q120" s="26"/>
      <c r="R120" s="26"/>
      <c r="S120" s="26"/>
      <c r="T120" s="26"/>
      <c r="U120" s="60">
        <v>0</v>
      </c>
      <c r="V120" s="196"/>
      <c r="W120" s="6"/>
    </row>
    <row r="121" spans="1:23" ht="15.6">
      <c r="A121" s="25"/>
      <c r="B121" s="26" t="s">
        <v>212</v>
      </c>
      <c r="C121" s="26"/>
      <c r="D121" s="26"/>
      <c r="E121" s="26"/>
      <c r="F121" s="26"/>
      <c r="G121" s="26"/>
      <c r="H121" s="26"/>
      <c r="I121" s="26"/>
      <c r="J121" s="26"/>
      <c r="K121" s="26"/>
      <c r="L121" s="26"/>
      <c r="M121" s="26"/>
      <c r="N121" s="26"/>
      <c r="O121" s="26"/>
      <c r="P121" s="26"/>
      <c r="Q121" s="26"/>
      <c r="R121" s="26"/>
      <c r="S121" s="26"/>
      <c r="T121" s="26"/>
      <c r="U121" s="60">
        <v>0</v>
      </c>
      <c r="V121" s="196"/>
      <c r="W121" s="6"/>
    </row>
    <row r="122" spans="1:23" ht="15.6">
      <c r="A122" s="25"/>
      <c r="B122" s="26" t="s">
        <v>242</v>
      </c>
      <c r="C122" s="26"/>
      <c r="D122" s="26"/>
      <c r="E122" s="26"/>
      <c r="F122" s="26"/>
      <c r="G122" s="26"/>
      <c r="H122" s="26"/>
      <c r="I122" s="26"/>
      <c r="J122" s="26"/>
      <c r="K122" s="26"/>
      <c r="L122" s="26"/>
      <c r="M122" s="26"/>
      <c r="N122" s="26"/>
      <c r="O122" s="26"/>
      <c r="P122" s="26"/>
      <c r="Q122" s="26"/>
      <c r="R122" s="26"/>
      <c r="S122" s="26"/>
      <c r="T122" s="26"/>
      <c r="U122" s="60">
        <v>0</v>
      </c>
      <c r="V122" s="196"/>
      <c r="W122" s="6"/>
    </row>
    <row r="123" spans="1:23" ht="15.6">
      <c r="A123" s="25"/>
      <c r="B123" s="26" t="s">
        <v>45</v>
      </c>
      <c r="C123" s="26"/>
      <c r="D123" s="26"/>
      <c r="E123" s="26"/>
      <c r="F123" s="26"/>
      <c r="G123" s="26"/>
      <c r="H123" s="26"/>
      <c r="I123" s="26"/>
      <c r="J123" s="26"/>
      <c r="K123" s="26"/>
      <c r="L123" s="26"/>
      <c r="M123" s="26"/>
      <c r="N123" s="26"/>
      <c r="O123" s="26"/>
      <c r="P123" s="26"/>
      <c r="Q123" s="26"/>
      <c r="R123" s="26"/>
      <c r="S123" s="26"/>
      <c r="T123" s="26"/>
      <c r="U123" s="60">
        <f>SUM(U116:U122)</f>
        <v>40500</v>
      </c>
      <c r="V123" s="196"/>
      <c r="W123" s="6"/>
    </row>
    <row r="124" spans="1:23" ht="15.6">
      <c r="A124" s="25"/>
      <c r="B124" s="26"/>
      <c r="C124" s="26"/>
      <c r="D124" s="26"/>
      <c r="E124" s="26"/>
      <c r="F124" s="26"/>
      <c r="G124" s="26"/>
      <c r="H124" s="26"/>
      <c r="I124" s="26"/>
      <c r="J124" s="26"/>
      <c r="K124" s="26"/>
      <c r="L124" s="26"/>
      <c r="M124" s="26"/>
      <c r="N124" s="26"/>
      <c r="O124" s="26"/>
      <c r="P124" s="26"/>
      <c r="Q124" s="26"/>
      <c r="R124" s="26"/>
      <c r="S124" s="26"/>
      <c r="T124" s="26"/>
      <c r="U124" s="73"/>
      <c r="V124" s="196"/>
      <c r="W124" s="6"/>
    </row>
    <row r="125" spans="1:23" ht="15.6">
      <c r="A125" s="7"/>
      <c r="B125" s="153" t="s">
        <v>46</v>
      </c>
      <c r="C125" s="13"/>
      <c r="D125" s="13"/>
      <c r="E125" s="13"/>
      <c r="F125" s="13"/>
      <c r="G125" s="13"/>
      <c r="H125" s="13"/>
      <c r="I125" s="13"/>
      <c r="J125" s="13"/>
      <c r="K125" s="13"/>
      <c r="L125" s="13"/>
      <c r="M125" s="9"/>
      <c r="N125" s="9"/>
      <c r="O125" s="9"/>
      <c r="P125" s="188"/>
      <c r="Q125" s="9"/>
      <c r="R125" s="9"/>
      <c r="S125" s="9"/>
      <c r="T125" s="9"/>
      <c r="U125" s="75"/>
      <c r="V125" s="194"/>
      <c r="W125" s="6"/>
    </row>
    <row r="126" spans="1:23" ht="15.6">
      <c r="A126" s="7"/>
      <c r="B126" s="13"/>
      <c r="C126" s="17" t="s">
        <v>185</v>
      </c>
      <c r="D126" s="17"/>
      <c r="E126" s="17" t="s">
        <v>99</v>
      </c>
      <c r="F126" s="17"/>
      <c r="G126" s="17" t="s">
        <v>102</v>
      </c>
      <c r="H126" s="17"/>
      <c r="I126" s="17" t="s">
        <v>108</v>
      </c>
      <c r="J126" s="17"/>
      <c r="K126" s="17"/>
      <c r="L126" s="17"/>
      <c r="M126" s="17"/>
      <c r="N126" s="17"/>
      <c r="O126" s="17"/>
      <c r="P126" s="188"/>
      <c r="Q126" s="188"/>
      <c r="R126" s="9"/>
      <c r="S126" s="9"/>
      <c r="T126" s="9"/>
      <c r="U126" s="75"/>
      <c r="V126" s="194"/>
      <c r="W126" s="6"/>
    </row>
    <row r="127" spans="1:23" ht="15.6">
      <c r="A127" s="25"/>
      <c r="B127" s="26" t="s">
        <v>122</v>
      </c>
      <c r="C127" s="59">
        <f>+N200-'September 09'!N200</f>
        <v>169</v>
      </c>
      <c r="D127" s="26"/>
      <c r="E127" s="59">
        <f>+S200-'September 09'!S200</f>
        <v>80</v>
      </c>
      <c r="F127" s="26"/>
      <c r="G127" s="59">
        <f>+'Dec 09'!N213-'September 09'!N213</f>
        <v>641</v>
      </c>
      <c r="H127" s="26"/>
      <c r="I127" s="59">
        <f>+S213-'September 09'!S213</f>
        <v>75</v>
      </c>
      <c r="J127" s="26"/>
      <c r="K127" s="26"/>
      <c r="L127" s="26"/>
      <c r="M127" s="26"/>
      <c r="N127" s="26"/>
      <c r="O127" s="26"/>
      <c r="P127" s="189"/>
      <c r="Q127" s="189"/>
      <c r="R127" s="26"/>
      <c r="S127" s="26"/>
      <c r="T127" s="26"/>
      <c r="U127" s="60">
        <f>SUM(C127:I127)</f>
        <v>965</v>
      </c>
      <c r="V127" s="196"/>
      <c r="W127" s="6"/>
    </row>
    <row r="128" spans="1:23" ht="15.6">
      <c r="A128" s="25"/>
      <c r="B128" s="26" t="s">
        <v>47</v>
      </c>
      <c r="C128" s="26">
        <v>85</v>
      </c>
      <c r="D128" s="26"/>
      <c r="E128" s="26">
        <v>0</v>
      </c>
      <c r="F128" s="26"/>
      <c r="G128" s="26">
        <v>945</v>
      </c>
      <c r="H128" s="26"/>
      <c r="I128" s="59">
        <v>639</v>
      </c>
      <c r="J128" s="26"/>
      <c r="K128" s="26"/>
      <c r="L128" s="26"/>
      <c r="M128" s="26"/>
      <c r="N128" s="26"/>
      <c r="O128" s="26"/>
      <c r="P128" s="189"/>
      <c r="Q128" s="189"/>
      <c r="R128" s="26"/>
      <c r="S128" s="26"/>
      <c r="T128" s="26"/>
      <c r="U128" s="60">
        <f>SUM(C128:I128)</f>
        <v>1669</v>
      </c>
      <c r="V128" s="196"/>
      <c r="W128" s="6"/>
    </row>
    <row r="129" spans="1:25" ht="15.6">
      <c r="A129" s="25"/>
      <c r="B129" s="26" t="s">
        <v>48</v>
      </c>
      <c r="C129" s="26"/>
      <c r="D129" s="26"/>
      <c r="E129" s="26"/>
      <c r="F129" s="26"/>
      <c r="G129" s="26"/>
      <c r="H129" s="26"/>
      <c r="I129" s="26"/>
      <c r="J129" s="26"/>
      <c r="K129" s="26"/>
      <c r="L129" s="26"/>
      <c r="M129" s="26"/>
      <c r="N129" s="26"/>
      <c r="O129" s="26"/>
      <c r="P129" s="26"/>
      <c r="Q129" s="26"/>
      <c r="R129" s="26"/>
      <c r="S129" s="26"/>
      <c r="T129" s="26"/>
      <c r="U129" s="60">
        <f>SUM(U127:U128)</f>
        <v>2634</v>
      </c>
      <c r="V129" s="196"/>
      <c r="W129" s="6"/>
    </row>
    <row r="130" spans="1:25" ht="15.6">
      <c r="A130" s="7"/>
      <c r="B130" s="153" t="s">
        <v>49</v>
      </c>
      <c r="C130" s="13"/>
      <c r="D130" s="13"/>
      <c r="E130" s="13"/>
      <c r="F130" s="13"/>
      <c r="G130" s="13"/>
      <c r="H130" s="13"/>
      <c r="I130" s="13"/>
      <c r="J130" s="13"/>
      <c r="K130" s="13"/>
      <c r="L130" s="13"/>
      <c r="M130" s="9"/>
      <c r="N130" s="9"/>
      <c r="O130" s="9"/>
      <c r="P130" s="9"/>
      <c r="Q130" s="9"/>
      <c r="R130" s="9"/>
      <c r="S130" s="9"/>
      <c r="T130" s="9"/>
      <c r="U130" s="58"/>
      <c r="V130" s="194"/>
      <c r="W130" s="6"/>
    </row>
    <row r="131" spans="1:25" ht="15.6">
      <c r="A131" s="25"/>
      <c r="B131" s="26" t="s">
        <v>50</v>
      </c>
      <c r="C131" s="77"/>
      <c r="D131" s="77"/>
      <c r="E131" s="77"/>
      <c r="F131" s="77"/>
      <c r="G131" s="77"/>
      <c r="H131" s="77"/>
      <c r="I131" s="77"/>
      <c r="J131" s="77"/>
      <c r="K131" s="77"/>
      <c r="L131" s="77"/>
      <c r="M131" s="26"/>
      <c r="N131" s="26"/>
      <c r="O131" s="26"/>
      <c r="P131" s="26"/>
      <c r="Q131" s="26"/>
      <c r="R131" s="26"/>
      <c r="S131" s="26"/>
      <c r="T131" s="26"/>
      <c r="U131" s="60">
        <f>U76+U78</f>
        <v>298297</v>
      </c>
      <c r="V131" s="196"/>
      <c r="W131" s="6"/>
      <c r="X131" s="182"/>
    </row>
    <row r="132" spans="1:25" ht="15.6">
      <c r="A132" s="25"/>
      <c r="B132" s="26" t="s">
        <v>51</v>
      </c>
      <c r="C132" s="77"/>
      <c r="D132" s="77"/>
      <c r="E132" s="77"/>
      <c r="F132" s="77"/>
      <c r="G132" s="77"/>
      <c r="H132" s="77"/>
      <c r="I132" s="77"/>
      <c r="J132" s="77"/>
      <c r="K132" s="77"/>
      <c r="L132" s="77"/>
      <c r="M132" s="26"/>
      <c r="N132" s="26"/>
      <c r="O132" s="26"/>
      <c r="P132" s="26"/>
      <c r="Q132" s="26"/>
      <c r="R132" s="26"/>
      <c r="S132" s="26"/>
      <c r="T132" s="26"/>
      <c r="U132" s="60">
        <v>0</v>
      </c>
      <c r="V132" s="196"/>
      <c r="W132" s="6"/>
      <c r="Y132" s="182"/>
    </row>
    <row r="133" spans="1:25" ht="15.6">
      <c r="A133" s="25"/>
      <c r="B133" s="26" t="s">
        <v>52</v>
      </c>
      <c r="C133" s="77"/>
      <c r="D133" s="77"/>
      <c r="E133" s="77"/>
      <c r="F133" s="77"/>
      <c r="G133" s="77"/>
      <c r="H133" s="77"/>
      <c r="I133" s="77"/>
      <c r="J133" s="77"/>
      <c r="K133" s="77"/>
      <c r="L133" s="77"/>
      <c r="M133" s="26"/>
      <c r="N133" s="26"/>
      <c r="O133" s="26"/>
      <c r="P133" s="26"/>
      <c r="Q133" s="26"/>
      <c r="R133" s="26"/>
      <c r="S133" s="26"/>
      <c r="T133" s="26"/>
      <c r="U133" s="60">
        <f>+U131+U132</f>
        <v>298297</v>
      </c>
      <c r="V133" s="196"/>
      <c r="W133" s="6"/>
    </row>
    <row r="134" spans="1:25" ht="15.6">
      <c r="A134" s="25"/>
      <c r="B134" s="26" t="s">
        <v>53</v>
      </c>
      <c r="C134" s="77"/>
      <c r="D134" s="77"/>
      <c r="E134" s="77"/>
      <c r="F134" s="77"/>
      <c r="G134" s="77"/>
      <c r="H134" s="77"/>
      <c r="I134" s="77"/>
      <c r="J134" s="77"/>
      <c r="K134" s="77"/>
      <c r="L134" s="77"/>
      <c r="M134" s="26"/>
      <c r="N134" s="26"/>
      <c r="O134" s="26"/>
      <c r="P134" s="26"/>
      <c r="Q134" s="26"/>
      <c r="R134" s="26"/>
      <c r="S134" s="26"/>
      <c r="T134" s="26"/>
      <c r="U134" s="60">
        <f>U81</f>
        <v>298297</v>
      </c>
      <c r="V134" s="196"/>
      <c r="W134" s="6"/>
      <c r="X134" s="64"/>
    </row>
    <row r="135" spans="1:25" ht="15.6">
      <c r="A135" s="25"/>
      <c r="B135" s="26"/>
      <c r="C135" s="26"/>
      <c r="D135" s="26"/>
      <c r="E135" s="26"/>
      <c r="F135" s="26"/>
      <c r="G135" s="26"/>
      <c r="H135" s="26"/>
      <c r="I135" s="26"/>
      <c r="J135" s="26"/>
      <c r="K135" s="26"/>
      <c r="L135" s="26"/>
      <c r="M135" s="26"/>
      <c r="N135" s="26"/>
      <c r="O135" s="26"/>
      <c r="P135" s="26"/>
      <c r="Q135" s="26"/>
      <c r="R135" s="26"/>
      <c r="S135" s="26"/>
      <c r="T135" s="26"/>
      <c r="U135" s="78"/>
      <c r="V135" s="196"/>
      <c r="W135" s="6"/>
    </row>
    <row r="136" spans="1:25" ht="15.6">
      <c r="A136" s="7"/>
      <c r="B136" s="153" t="s">
        <v>54</v>
      </c>
      <c r="C136" s="141"/>
      <c r="D136" s="141"/>
      <c r="E136" s="141"/>
      <c r="F136" s="141"/>
      <c r="G136" s="141"/>
      <c r="H136" s="141"/>
      <c r="I136" s="141"/>
      <c r="J136" s="141"/>
      <c r="K136" s="141"/>
      <c r="L136" s="141"/>
      <c r="M136" s="141"/>
      <c r="N136" s="141"/>
      <c r="O136" s="141"/>
      <c r="P136" s="141"/>
      <c r="Q136" s="142" t="s">
        <v>112</v>
      </c>
      <c r="R136" s="154"/>
      <c r="S136" s="142" t="s">
        <v>114</v>
      </c>
      <c r="T136" s="141"/>
      <c r="U136" s="155" t="s">
        <v>90</v>
      </c>
      <c r="V136" s="194"/>
      <c r="W136" s="6"/>
    </row>
    <row r="137" spans="1:25" ht="15.6">
      <c r="A137" s="25"/>
      <c r="B137" s="26" t="s">
        <v>55</v>
      </c>
      <c r="C137" s="26"/>
      <c r="D137" s="26"/>
      <c r="E137" s="26"/>
      <c r="F137" s="26"/>
      <c r="G137" s="26"/>
      <c r="H137" s="26"/>
      <c r="I137" s="26"/>
      <c r="J137" s="26"/>
      <c r="K137" s="26"/>
      <c r="L137" s="26"/>
      <c r="M137" s="26"/>
      <c r="N137" s="26"/>
      <c r="O137" s="26"/>
      <c r="P137" s="26"/>
      <c r="Q137" s="60">
        <v>0</v>
      </c>
      <c r="R137" s="26"/>
      <c r="S137" s="79" t="s">
        <v>115</v>
      </c>
      <c r="T137" s="26"/>
      <c r="U137" s="60">
        <f>Q137</f>
        <v>0</v>
      </c>
      <c r="V137" s="196"/>
      <c r="W137" s="6"/>
    </row>
    <row r="138" spans="1:25" ht="15.6">
      <c r="A138" s="25"/>
      <c r="B138" s="26" t="s">
        <v>56</v>
      </c>
      <c r="C138" s="26"/>
      <c r="D138" s="26"/>
      <c r="E138" s="26"/>
      <c r="F138" s="26"/>
      <c r="G138" s="26"/>
      <c r="H138" s="26"/>
      <c r="I138" s="26"/>
      <c r="J138" s="26"/>
      <c r="K138" s="26"/>
      <c r="L138" s="26"/>
      <c r="M138" s="26"/>
      <c r="N138" s="26"/>
      <c r="O138" s="26"/>
      <c r="P138" s="26"/>
      <c r="Q138" s="60">
        <f>+'September 09'!Q140</f>
        <v>4229</v>
      </c>
      <c r="R138" s="26"/>
      <c r="S138" s="79" t="s">
        <v>115</v>
      </c>
      <c r="T138" s="26"/>
      <c r="U138" s="60">
        <f>Q138</f>
        <v>4229</v>
      </c>
      <c r="V138" s="196"/>
      <c r="W138" s="6"/>
    </row>
    <row r="139" spans="1:25" ht="15.6">
      <c r="A139" s="25"/>
      <c r="B139" s="26" t="s">
        <v>57</v>
      </c>
      <c r="C139" s="26"/>
      <c r="D139" s="26"/>
      <c r="E139" s="26"/>
      <c r="F139" s="26"/>
      <c r="G139" s="26"/>
      <c r="H139" s="26"/>
      <c r="I139" s="26"/>
      <c r="J139" s="26"/>
      <c r="K139" s="26"/>
      <c r="L139" s="26"/>
      <c r="M139" s="26"/>
      <c r="N139" s="26"/>
      <c r="O139" s="26"/>
      <c r="P139" s="26"/>
      <c r="Q139" s="60">
        <v>0</v>
      </c>
      <c r="R139" s="26"/>
      <c r="S139" s="79" t="s">
        <v>115</v>
      </c>
      <c r="T139" s="26"/>
      <c r="U139" s="60">
        <f>Q139</f>
        <v>0</v>
      </c>
      <c r="V139" s="196"/>
      <c r="W139" s="6"/>
    </row>
    <row r="140" spans="1:25" ht="15.6">
      <c r="A140" s="25"/>
      <c r="B140" s="26" t="s">
        <v>58</v>
      </c>
      <c r="C140" s="26"/>
      <c r="D140" s="26"/>
      <c r="E140" s="26"/>
      <c r="F140" s="26"/>
      <c r="G140" s="26"/>
      <c r="H140" s="26"/>
      <c r="I140" s="26"/>
      <c r="J140" s="26"/>
      <c r="K140" s="26"/>
      <c r="L140" s="26"/>
      <c r="M140" s="26"/>
      <c r="N140" s="26"/>
      <c r="O140" s="26"/>
      <c r="P140" s="26"/>
      <c r="Q140" s="60">
        <f>SUM(Q138:Q139)</f>
        <v>4229</v>
      </c>
      <c r="R140" s="26"/>
      <c r="S140" s="79" t="s">
        <v>115</v>
      </c>
      <c r="T140" s="26"/>
      <c r="U140" s="60">
        <f>Q140</f>
        <v>4229</v>
      </c>
      <c r="V140" s="196"/>
      <c r="W140" s="6"/>
    </row>
    <row r="141" spans="1:25" ht="15.6">
      <c r="A141" s="25"/>
      <c r="B141" s="26" t="s">
        <v>215</v>
      </c>
      <c r="C141" s="26"/>
      <c r="D141" s="26"/>
      <c r="E141" s="26"/>
      <c r="F141" s="26"/>
      <c r="G141" s="26"/>
      <c r="H141" s="26"/>
      <c r="I141" s="26"/>
      <c r="J141" s="26"/>
      <c r="K141" s="26"/>
      <c r="L141" s="26"/>
      <c r="M141" s="26"/>
      <c r="N141" s="26"/>
      <c r="O141" s="26"/>
      <c r="P141" s="26"/>
      <c r="Q141" s="60"/>
      <c r="R141" s="26"/>
      <c r="S141" s="79"/>
      <c r="T141" s="26"/>
      <c r="U141" s="60"/>
      <c r="V141" s="196"/>
      <c r="W141" s="6"/>
    </row>
    <row r="142" spans="1:25" ht="15.6">
      <c r="A142" s="25"/>
      <c r="B142" s="26"/>
      <c r="C142" s="26"/>
      <c r="D142" s="26"/>
      <c r="E142" s="26"/>
      <c r="F142" s="26"/>
      <c r="G142" s="26"/>
      <c r="H142" s="26"/>
      <c r="I142" s="26"/>
      <c r="J142" s="26"/>
      <c r="K142" s="26"/>
      <c r="L142" s="26"/>
      <c r="M142" s="26"/>
      <c r="N142" s="26"/>
      <c r="O142" s="26"/>
      <c r="P142" s="26"/>
      <c r="Q142" s="26"/>
      <c r="R142" s="26"/>
      <c r="S142" s="26"/>
      <c r="T142" s="26"/>
      <c r="U142" s="26"/>
      <c r="V142" s="196"/>
      <c r="W142" s="6"/>
    </row>
    <row r="143" spans="1:25" ht="15.6">
      <c r="A143" s="25"/>
      <c r="B143" s="29"/>
      <c r="C143" s="29"/>
      <c r="D143" s="29"/>
      <c r="E143" s="29"/>
      <c r="F143" s="29"/>
      <c r="G143" s="29"/>
      <c r="H143" s="29"/>
      <c r="I143" s="29"/>
      <c r="J143" s="29"/>
      <c r="K143" s="29"/>
      <c r="L143" s="29"/>
      <c r="M143" s="29"/>
      <c r="N143" s="29"/>
      <c r="O143" s="29"/>
      <c r="P143" s="29"/>
      <c r="Q143" s="29"/>
      <c r="R143" s="29"/>
      <c r="S143" s="29"/>
      <c r="T143" s="29"/>
      <c r="U143" s="29"/>
      <c r="V143" s="203"/>
      <c r="W143" s="6"/>
    </row>
    <row r="144" spans="1:25" ht="15.6">
      <c r="A144" s="80"/>
      <c r="B144" s="57" t="s">
        <v>59</v>
      </c>
      <c r="C144" s="81"/>
      <c r="D144" s="81"/>
      <c r="E144" s="81"/>
      <c r="F144" s="81"/>
      <c r="G144" s="81"/>
      <c r="H144" s="81"/>
      <c r="I144" s="81"/>
      <c r="J144" s="81"/>
      <c r="K144" s="81"/>
      <c r="L144" s="81"/>
      <c r="M144" s="81"/>
      <c r="N144" s="81"/>
      <c r="O144" s="81"/>
      <c r="P144" s="19"/>
      <c r="Q144" s="19"/>
      <c r="R144" s="19"/>
      <c r="S144" s="19">
        <v>40178</v>
      </c>
      <c r="T144" s="15"/>
      <c r="U144" s="15"/>
      <c r="V144" s="194"/>
      <c r="W144" s="6"/>
    </row>
    <row r="145" spans="1:23" ht="15.6">
      <c r="A145" s="82"/>
      <c r="B145" s="83" t="s">
        <v>60</v>
      </c>
      <c r="C145" s="84"/>
      <c r="D145" s="84"/>
      <c r="E145" s="84"/>
      <c r="F145" s="84"/>
      <c r="G145" s="84"/>
      <c r="H145" s="84"/>
      <c r="I145" s="84"/>
      <c r="J145" s="84"/>
      <c r="K145" s="84"/>
      <c r="L145" s="84"/>
      <c r="M145" s="84"/>
      <c r="N145" s="84"/>
      <c r="O145" s="84"/>
      <c r="P145" s="85"/>
      <c r="Q145" s="85"/>
      <c r="R145" s="85"/>
      <c r="S145" s="86">
        <v>0.10630000000000001</v>
      </c>
      <c r="T145" s="26"/>
      <c r="U145" s="26"/>
      <c r="V145" s="196"/>
      <c r="W145" s="6"/>
    </row>
    <row r="146" spans="1:23" ht="15.6">
      <c r="A146" s="82"/>
      <c r="B146" s="83" t="s">
        <v>61</v>
      </c>
      <c r="C146" s="84"/>
      <c r="D146" s="84"/>
      <c r="E146" s="84"/>
      <c r="F146" s="84"/>
      <c r="G146" s="84"/>
      <c r="H146" s="84"/>
      <c r="I146" s="84"/>
      <c r="J146" s="84"/>
      <c r="K146" s="84"/>
      <c r="L146" s="84"/>
      <c r="M146" s="84"/>
      <c r="N146" s="84"/>
      <c r="O146" s="84"/>
      <c r="P146" s="85"/>
      <c r="Q146" s="85"/>
      <c r="R146" s="85"/>
      <c r="S146" s="86">
        <v>5.2200000000000003E-2</v>
      </c>
      <c r="T146" s="86"/>
      <c r="U146" s="26"/>
      <c r="V146" s="196"/>
      <c r="W146" s="6"/>
    </row>
    <row r="147" spans="1:23" ht="15.6">
      <c r="A147" s="82"/>
      <c r="B147" s="83" t="s">
        <v>62</v>
      </c>
      <c r="C147" s="84"/>
      <c r="D147" s="84"/>
      <c r="E147" s="84"/>
      <c r="F147" s="84"/>
      <c r="G147" s="84"/>
      <c r="H147" s="84"/>
      <c r="I147" s="84"/>
      <c r="J147" s="84"/>
      <c r="K147" s="84"/>
      <c r="L147" s="84"/>
      <c r="M147" s="84"/>
      <c r="N147" s="84"/>
      <c r="O147" s="84"/>
      <c r="P147" s="85"/>
      <c r="Q147" s="85"/>
      <c r="R147" s="85"/>
      <c r="S147" s="86">
        <f>S145-S146</f>
        <v>5.4100000000000002E-2</v>
      </c>
      <c r="T147" s="26"/>
      <c r="U147" s="26"/>
      <c r="V147" s="196"/>
      <c r="W147" s="6"/>
    </row>
    <row r="148" spans="1:23" ht="15.6">
      <c r="A148" s="82"/>
      <c r="B148" s="83" t="s">
        <v>63</v>
      </c>
      <c r="C148" s="84"/>
      <c r="D148" s="84"/>
      <c r="E148" s="84"/>
      <c r="F148" s="84"/>
      <c r="G148" s="84"/>
      <c r="H148" s="84"/>
      <c r="I148" s="84"/>
      <c r="J148" s="84"/>
      <c r="K148" s="84"/>
      <c r="L148" s="84"/>
      <c r="M148" s="84"/>
      <c r="N148" s="84"/>
      <c r="O148" s="84"/>
      <c r="P148" s="85"/>
      <c r="Q148" s="85"/>
      <c r="R148" s="85"/>
      <c r="S148" s="45">
        <v>9.4030000000000002E-2</v>
      </c>
      <c r="T148" s="26"/>
      <c r="U148" s="26"/>
      <c r="V148" s="196"/>
      <c r="W148" s="6"/>
    </row>
    <row r="149" spans="1:23" ht="15.6">
      <c r="A149" s="82"/>
      <c r="B149" s="83" t="s">
        <v>64</v>
      </c>
      <c r="C149" s="84"/>
      <c r="D149" s="84"/>
      <c r="E149" s="84"/>
      <c r="F149" s="84"/>
      <c r="G149" s="84"/>
      <c r="H149" s="84"/>
      <c r="I149" s="84"/>
      <c r="J149" s="84"/>
      <c r="K149" s="84"/>
      <c r="L149" s="84"/>
      <c r="M149" s="84"/>
      <c r="N149" s="84"/>
      <c r="O149" s="84"/>
      <c r="P149" s="85"/>
      <c r="Q149" s="85"/>
      <c r="R149" s="85"/>
      <c r="S149" s="86">
        <f>+U40</f>
        <v>9.6997168154875271E-3</v>
      </c>
      <c r="T149" s="26"/>
      <c r="U149" s="26"/>
      <c r="V149" s="196"/>
      <c r="W149" s="6"/>
    </row>
    <row r="150" spans="1:23" ht="15.6">
      <c r="A150" s="82"/>
      <c r="B150" s="83" t="s">
        <v>65</v>
      </c>
      <c r="C150" s="84"/>
      <c r="D150" s="84"/>
      <c r="E150" s="84"/>
      <c r="F150" s="84"/>
      <c r="G150" s="84"/>
      <c r="H150" s="84"/>
      <c r="I150" s="84"/>
      <c r="J150" s="84"/>
      <c r="K150" s="84"/>
      <c r="L150" s="84"/>
      <c r="M150" s="84"/>
      <c r="N150" s="84"/>
      <c r="O150" s="84"/>
      <c r="P150" s="85"/>
      <c r="Q150" s="85"/>
      <c r="R150" s="85"/>
      <c r="S150" s="86">
        <f>S148-S149</f>
        <v>8.4330283184512481E-2</v>
      </c>
      <c r="T150" s="26"/>
      <c r="U150" s="26"/>
      <c r="V150" s="196"/>
      <c r="W150" s="6"/>
    </row>
    <row r="151" spans="1:23" ht="15.6">
      <c r="A151" s="82"/>
      <c r="B151" s="83" t="s">
        <v>204</v>
      </c>
      <c r="C151" s="84"/>
      <c r="D151" s="84"/>
      <c r="E151" s="84"/>
      <c r="F151" s="84"/>
      <c r="G151" s="84"/>
      <c r="H151" s="84"/>
      <c r="I151" s="84"/>
      <c r="J151" s="84"/>
      <c r="K151" s="84"/>
      <c r="L151" s="84"/>
      <c r="M151" s="84"/>
      <c r="N151" s="84"/>
      <c r="O151" s="84"/>
      <c r="P151" s="85"/>
      <c r="Q151" s="85"/>
      <c r="R151" s="85"/>
      <c r="S151" s="183">
        <v>49780</v>
      </c>
      <c r="T151" s="26"/>
      <c r="U151" s="26"/>
      <c r="V151" s="196"/>
      <c r="W151" s="6"/>
    </row>
    <row r="152" spans="1:23" ht="15.6">
      <c r="A152" s="82"/>
      <c r="B152" s="83" t="s">
        <v>205</v>
      </c>
      <c r="C152" s="84"/>
      <c r="D152" s="84"/>
      <c r="E152" s="84"/>
      <c r="F152" s="84"/>
      <c r="G152" s="84"/>
      <c r="H152" s="84"/>
      <c r="I152" s="84"/>
      <c r="J152" s="84"/>
      <c r="K152" s="84"/>
      <c r="L152" s="84"/>
      <c r="M152" s="84"/>
      <c r="N152" s="84"/>
      <c r="O152" s="84"/>
      <c r="P152" s="85"/>
      <c r="Q152" s="85"/>
      <c r="R152" s="85"/>
      <c r="S152" s="183">
        <v>49780</v>
      </c>
      <c r="T152" s="26"/>
      <c r="U152" s="26"/>
      <c r="V152" s="196"/>
      <c r="W152" s="6"/>
    </row>
    <row r="153" spans="1:23" ht="15.6">
      <c r="A153" s="82"/>
      <c r="B153" s="83" t="s">
        <v>206</v>
      </c>
      <c r="C153" s="84"/>
      <c r="D153" s="84"/>
      <c r="E153" s="84"/>
      <c r="F153" s="84"/>
      <c r="G153" s="84"/>
      <c r="H153" s="84"/>
      <c r="I153" s="84"/>
      <c r="J153" s="84"/>
      <c r="K153" s="84"/>
      <c r="L153" s="84"/>
      <c r="M153" s="84"/>
      <c r="N153" s="84"/>
      <c r="O153" s="84"/>
      <c r="P153" s="85"/>
      <c r="Q153" s="85"/>
      <c r="R153" s="85"/>
      <c r="S153" s="183">
        <v>49780</v>
      </c>
      <c r="T153" s="26"/>
      <c r="U153" s="26"/>
      <c r="V153" s="196"/>
      <c r="W153" s="6"/>
    </row>
    <row r="154" spans="1:23" ht="15.6">
      <c r="A154" s="82"/>
      <c r="B154" s="83" t="s">
        <v>207</v>
      </c>
      <c r="C154" s="84"/>
      <c r="D154" s="84"/>
      <c r="E154" s="84"/>
      <c r="F154" s="84"/>
      <c r="G154" s="84"/>
      <c r="H154" s="84"/>
      <c r="I154" s="84"/>
      <c r="J154" s="84"/>
      <c r="K154" s="84"/>
      <c r="L154" s="84"/>
      <c r="M154" s="84"/>
      <c r="N154" s="84"/>
      <c r="O154" s="84"/>
      <c r="P154" s="85"/>
      <c r="Q154" s="85"/>
      <c r="R154" s="85"/>
      <c r="S154" s="183">
        <v>49780</v>
      </c>
      <c r="T154" s="26"/>
      <c r="U154" s="26"/>
      <c r="V154" s="196"/>
      <c r="W154" s="6"/>
    </row>
    <row r="155" spans="1:23" ht="15.6">
      <c r="A155" s="82"/>
      <c r="B155" s="83" t="s">
        <v>221</v>
      </c>
      <c r="C155" s="84"/>
      <c r="D155" s="84"/>
      <c r="E155" s="84"/>
      <c r="F155" s="84"/>
      <c r="G155" s="84"/>
      <c r="H155" s="84"/>
      <c r="I155" s="84"/>
      <c r="J155" s="84"/>
      <c r="K155" s="84"/>
      <c r="L155" s="84"/>
      <c r="M155" s="84"/>
      <c r="N155" s="84"/>
      <c r="O155" s="84"/>
      <c r="P155" s="85"/>
      <c r="Q155" s="85"/>
      <c r="R155" s="85"/>
      <c r="S155" s="87">
        <v>111.34</v>
      </c>
      <c r="T155" s="26"/>
      <c r="U155" s="26"/>
      <c r="V155" s="196"/>
      <c r="W155" s="6"/>
    </row>
    <row r="156" spans="1:23" ht="15.6">
      <c r="A156" s="82"/>
      <c r="B156" s="83" t="s">
        <v>222</v>
      </c>
      <c r="C156" s="84"/>
      <c r="D156" s="84"/>
      <c r="E156" s="84"/>
      <c r="F156" s="84"/>
      <c r="G156" s="84"/>
      <c r="H156" s="84"/>
      <c r="I156" s="84"/>
      <c r="J156" s="84"/>
      <c r="K156" s="84"/>
      <c r="L156" s="84"/>
      <c r="M156" s="84"/>
      <c r="N156" s="84"/>
      <c r="O156" s="84"/>
      <c r="P156" s="85"/>
      <c r="Q156" s="85"/>
      <c r="R156" s="85"/>
      <c r="S156" s="48">
        <v>152.94</v>
      </c>
      <c r="T156" s="26"/>
      <c r="U156" s="26"/>
      <c r="V156" s="196"/>
      <c r="W156" s="6"/>
    </row>
    <row r="157" spans="1:23" ht="15.6">
      <c r="A157" s="82" t="s">
        <v>223</v>
      </c>
      <c r="B157" s="83" t="s">
        <v>66</v>
      </c>
      <c r="C157" s="84"/>
      <c r="D157" s="84"/>
      <c r="E157" s="84"/>
      <c r="F157" s="84"/>
      <c r="G157" s="84"/>
      <c r="H157" s="84"/>
      <c r="I157" s="84"/>
      <c r="J157" s="84"/>
      <c r="K157" s="84"/>
      <c r="L157" s="84"/>
      <c r="M157" s="84"/>
      <c r="N157" s="84"/>
      <c r="O157" s="84"/>
      <c r="P157" s="85"/>
      <c r="Q157" s="85"/>
      <c r="R157" s="85"/>
      <c r="S157" s="86">
        <v>5.8599999999999999E-2</v>
      </c>
      <c r="T157" s="26"/>
      <c r="U157" s="26"/>
      <c r="V157" s="196"/>
      <c r="W157" s="6"/>
    </row>
    <row r="158" spans="1:23" ht="15.6">
      <c r="A158" s="82"/>
      <c r="B158" s="83" t="s">
        <v>67</v>
      </c>
      <c r="C158" s="84"/>
      <c r="D158" s="84"/>
      <c r="E158" s="84"/>
      <c r="F158" s="84"/>
      <c r="G158" s="84"/>
      <c r="H158" s="84"/>
      <c r="I158" s="84"/>
      <c r="J158" s="84"/>
      <c r="K158" s="84"/>
      <c r="L158" s="84"/>
      <c r="M158" s="84"/>
      <c r="N158" s="84"/>
      <c r="O158" s="84"/>
      <c r="P158" s="85"/>
      <c r="Q158" s="85"/>
      <c r="R158" s="85"/>
      <c r="S158" s="86">
        <v>0.35659999999999997</v>
      </c>
      <c r="T158" s="26"/>
      <c r="U158" s="26"/>
      <c r="V158" s="196"/>
      <c r="W158" s="6"/>
    </row>
    <row r="159" spans="1:23" ht="15.6">
      <c r="A159" s="82"/>
      <c r="B159" s="83"/>
      <c r="C159" s="83"/>
      <c r="D159" s="83"/>
      <c r="E159" s="83"/>
      <c r="F159" s="83"/>
      <c r="G159" s="83"/>
      <c r="H159" s="83"/>
      <c r="I159" s="83"/>
      <c r="J159" s="83"/>
      <c r="K159" s="83"/>
      <c r="L159" s="83"/>
      <c r="M159" s="83"/>
      <c r="N159" s="83"/>
      <c r="O159" s="83"/>
      <c r="P159" s="26"/>
      <c r="Q159" s="26"/>
      <c r="R159" s="33"/>
      <c r="S159" s="88"/>
      <c r="T159" s="26"/>
      <c r="U159" s="89"/>
      <c r="V159" s="196"/>
      <c r="W159" s="6"/>
    </row>
    <row r="160" spans="1:23" ht="15.6">
      <c r="A160" s="80"/>
      <c r="B160" s="90"/>
      <c r="C160" s="90"/>
      <c r="D160" s="90"/>
      <c r="E160" s="90"/>
      <c r="F160" s="90"/>
      <c r="G160" s="90"/>
      <c r="H160" s="90"/>
      <c r="I160" s="90"/>
      <c r="J160" s="90"/>
      <c r="K160" s="90"/>
      <c r="L160" s="90"/>
      <c r="M160" s="90"/>
      <c r="N160" s="90"/>
      <c r="O160" s="90"/>
      <c r="P160" s="9"/>
      <c r="Q160" s="9"/>
      <c r="R160" s="20"/>
      <c r="S160" s="91"/>
      <c r="T160" s="9"/>
      <c r="U160" s="92"/>
      <c r="V160" s="194"/>
      <c r="W160" s="6"/>
    </row>
    <row r="161" spans="1:23" ht="16.2" thickBot="1">
      <c r="A161" s="136"/>
      <c r="B161" s="131" t="str">
        <f>+B110</f>
        <v>PPAF3 INVESTOR REPORT QUARTER ENDING DECEMBER 2009</v>
      </c>
      <c r="C161" s="137"/>
      <c r="D161" s="137"/>
      <c r="E161" s="137"/>
      <c r="F161" s="137"/>
      <c r="G161" s="137"/>
      <c r="H161" s="137"/>
      <c r="I161" s="137"/>
      <c r="J161" s="137"/>
      <c r="K161" s="137"/>
      <c r="L161" s="137"/>
      <c r="M161" s="137"/>
      <c r="N161" s="137"/>
      <c r="O161" s="137"/>
      <c r="P161" s="132"/>
      <c r="Q161" s="132"/>
      <c r="R161" s="138"/>
      <c r="S161" s="139"/>
      <c r="T161" s="132"/>
      <c r="U161" s="140"/>
      <c r="V161" s="134"/>
      <c r="W161" s="6"/>
    </row>
    <row r="162" spans="1:23" ht="15.6">
      <c r="A162" s="93"/>
      <c r="B162" s="94" t="s">
        <v>68</v>
      </c>
      <c r="C162" s="95"/>
      <c r="D162" s="95"/>
      <c r="E162" s="95"/>
      <c r="F162" s="95"/>
      <c r="G162" s="95"/>
      <c r="H162" s="95"/>
      <c r="I162" s="95"/>
      <c r="J162" s="95"/>
      <c r="K162" s="95"/>
      <c r="L162" s="95"/>
      <c r="M162" s="96"/>
      <c r="N162" s="95"/>
      <c r="O162" s="96"/>
      <c r="P162" s="95"/>
      <c r="Q162" s="96"/>
      <c r="R162" s="95" t="s">
        <v>94</v>
      </c>
      <c r="S162" s="96" t="s">
        <v>116</v>
      </c>
      <c r="T162" s="97"/>
      <c r="U162" s="97"/>
      <c r="V162" s="193"/>
      <c r="W162" s="6"/>
    </row>
    <row r="163" spans="1:23" ht="15.6">
      <c r="A163" s="98"/>
      <c r="B163" s="83" t="s">
        <v>216</v>
      </c>
      <c r="C163" s="61"/>
      <c r="D163" s="61"/>
      <c r="E163" s="61"/>
      <c r="F163" s="61"/>
      <c r="G163" s="61"/>
      <c r="H163" s="61"/>
      <c r="I163" s="61"/>
      <c r="J163" s="61"/>
      <c r="K163" s="61"/>
      <c r="L163" s="61"/>
      <c r="M163" s="61"/>
      <c r="N163" s="61"/>
      <c r="O163" s="26"/>
      <c r="P163" s="26"/>
      <c r="Q163" s="26"/>
      <c r="R163" s="211">
        <v>980</v>
      </c>
      <c r="S163" s="215">
        <v>28297</v>
      </c>
      <c r="T163" s="60"/>
      <c r="U163" s="89"/>
      <c r="V163" s="204"/>
      <c r="W163" s="6"/>
    </row>
    <row r="164" spans="1:23" ht="15.6">
      <c r="A164" s="98"/>
      <c r="B164" s="83" t="s">
        <v>217</v>
      </c>
      <c r="C164" s="61"/>
      <c r="D164" s="61"/>
      <c r="E164" s="61"/>
      <c r="F164" s="61"/>
      <c r="G164" s="61"/>
      <c r="H164" s="61"/>
      <c r="I164" s="61"/>
      <c r="J164" s="61"/>
      <c r="K164" s="61"/>
      <c r="L164" s="61"/>
      <c r="M164" s="61"/>
      <c r="N164" s="61"/>
      <c r="O164" s="26"/>
      <c r="P164" s="26"/>
      <c r="Q164" s="26"/>
      <c r="R164" s="158">
        <v>58</v>
      </c>
      <c r="S164" s="215">
        <v>725</v>
      </c>
      <c r="T164" s="60"/>
      <c r="U164" s="89"/>
      <c r="V164" s="204"/>
      <c r="W164" s="6"/>
    </row>
    <row r="165" spans="1:23" ht="15.6">
      <c r="A165" s="98"/>
      <c r="B165" s="83" t="s">
        <v>218</v>
      </c>
      <c r="C165" s="61"/>
      <c r="D165" s="61"/>
      <c r="E165" s="61"/>
      <c r="F165" s="61"/>
      <c r="G165" s="61"/>
      <c r="H165" s="61"/>
      <c r="I165" s="61"/>
      <c r="J165" s="61"/>
      <c r="K165" s="61"/>
      <c r="L165" s="61"/>
      <c r="M165" s="61"/>
      <c r="N165" s="61"/>
      <c r="O165" s="26"/>
      <c r="P165" s="26"/>
      <c r="Q165" s="26"/>
      <c r="R165" s="158">
        <v>314</v>
      </c>
      <c r="S165" s="215">
        <v>461</v>
      </c>
      <c r="T165" s="60"/>
      <c r="U165" s="89"/>
      <c r="V165" s="204"/>
      <c r="W165" s="6"/>
    </row>
    <row r="166" spans="1:23" ht="15.6">
      <c r="A166" s="98"/>
      <c r="B166" s="83" t="s">
        <v>219</v>
      </c>
      <c r="C166" s="61"/>
      <c r="D166" s="61"/>
      <c r="E166" s="61"/>
      <c r="F166" s="61"/>
      <c r="G166" s="61"/>
      <c r="H166" s="61"/>
      <c r="I166" s="61"/>
      <c r="J166" s="61"/>
      <c r="K166" s="61"/>
      <c r="L166" s="61"/>
      <c r="M166" s="61"/>
      <c r="N166" s="61"/>
      <c r="O166" s="26"/>
      <c r="P166" s="26"/>
      <c r="Q166" s="26"/>
      <c r="R166" s="158">
        <v>276</v>
      </c>
      <c r="S166" s="215">
        <v>884</v>
      </c>
      <c r="T166" s="60"/>
      <c r="U166" s="89"/>
      <c r="V166" s="204"/>
      <c r="W166" s="6"/>
    </row>
    <row r="167" spans="1:23" ht="15.6">
      <c r="A167" s="98"/>
      <c r="B167" s="83" t="s">
        <v>90</v>
      </c>
      <c r="C167" s="61"/>
      <c r="D167" s="61"/>
      <c r="E167" s="61"/>
      <c r="F167" s="61"/>
      <c r="G167" s="61"/>
      <c r="H167" s="61"/>
      <c r="I167" s="61"/>
      <c r="J167" s="61"/>
      <c r="K167" s="61"/>
      <c r="L167" s="61"/>
      <c r="M167" s="61"/>
      <c r="N167" s="61"/>
      <c r="O167" s="26"/>
      <c r="P167" s="26"/>
      <c r="Q167" s="26"/>
      <c r="R167" s="211">
        <f>SUM(R163:R166)</f>
        <v>1628</v>
      </c>
      <c r="S167" s="215">
        <f>SUM(S163:S166)</f>
        <v>30367</v>
      </c>
      <c r="T167" s="60"/>
      <c r="U167" s="89"/>
      <c r="V167" s="204"/>
      <c r="W167" s="6"/>
    </row>
    <row r="168" spans="1:23" ht="15.6">
      <c r="A168" s="98"/>
      <c r="B168" s="83"/>
      <c r="C168" s="61"/>
      <c r="D168" s="61"/>
      <c r="E168" s="61"/>
      <c r="F168" s="61"/>
      <c r="G168" s="61"/>
      <c r="H168" s="61"/>
      <c r="I168" s="61"/>
      <c r="J168" s="61"/>
      <c r="K168" s="61"/>
      <c r="L168" s="61"/>
      <c r="M168" s="61"/>
      <c r="N168" s="61"/>
      <c r="O168" s="26"/>
      <c r="P168" s="26"/>
      <c r="Q168" s="26"/>
      <c r="R168" s="158"/>
      <c r="S168" s="215"/>
      <c r="T168" s="60"/>
      <c r="U168" s="89"/>
      <c r="V168" s="204"/>
      <c r="W168" s="6"/>
    </row>
    <row r="169" spans="1:23" ht="15.6">
      <c r="A169" s="98"/>
      <c r="B169" s="83" t="s">
        <v>220</v>
      </c>
      <c r="C169" s="61"/>
      <c r="D169" s="61"/>
      <c r="E169" s="61"/>
      <c r="F169" s="61"/>
      <c r="G169" s="61"/>
      <c r="H169" s="61"/>
      <c r="I169" s="61"/>
      <c r="J169" s="61"/>
      <c r="K169" s="61"/>
      <c r="L169" s="61"/>
      <c r="M169" s="61"/>
      <c r="N169" s="61"/>
      <c r="O169" s="26"/>
      <c r="P169" s="26"/>
      <c r="Q169" s="26"/>
      <c r="R169" s="158">
        <v>15</v>
      </c>
      <c r="S169" s="215">
        <v>162</v>
      </c>
      <c r="T169" s="60"/>
      <c r="U169" s="89"/>
      <c r="V169" s="204"/>
      <c r="W169" s="6"/>
    </row>
    <row r="170" spans="1:23" ht="15.6">
      <c r="A170" s="98"/>
      <c r="B170" s="83" t="s">
        <v>224</v>
      </c>
      <c r="C170" s="61"/>
      <c r="D170" s="61"/>
      <c r="E170" s="61"/>
      <c r="F170" s="61"/>
      <c r="G170" s="61"/>
      <c r="H170" s="61"/>
      <c r="I170" s="61"/>
      <c r="J170" s="61"/>
      <c r="K170" s="61"/>
      <c r="L170" s="61"/>
      <c r="M170" s="61"/>
      <c r="N170" s="61"/>
      <c r="O170" s="26"/>
      <c r="P170" s="26"/>
      <c r="Q170" s="26"/>
      <c r="R170" s="158">
        <v>12</v>
      </c>
      <c r="S170" s="215">
        <v>577</v>
      </c>
      <c r="T170" s="60"/>
      <c r="U170" s="89"/>
      <c r="V170" s="204"/>
      <c r="W170" s="6"/>
    </row>
    <row r="171" spans="1:23" ht="15.6">
      <c r="A171" s="98"/>
      <c r="B171" s="156" t="s">
        <v>69</v>
      </c>
      <c r="C171" s="61"/>
      <c r="D171" s="61"/>
      <c r="E171" s="61"/>
      <c r="F171" s="61"/>
      <c r="G171" s="61"/>
      <c r="H171" s="61"/>
      <c r="I171" s="61"/>
      <c r="J171" s="61"/>
      <c r="K171" s="61"/>
      <c r="L171" s="61"/>
      <c r="M171" s="61"/>
      <c r="N171" s="61"/>
      <c r="O171" s="26"/>
      <c r="P171" s="26"/>
      <c r="Q171" s="26"/>
      <c r="R171" s="158"/>
      <c r="S171" s="215">
        <v>0</v>
      </c>
      <c r="T171" s="26"/>
      <c r="U171" s="89"/>
      <c r="V171" s="204"/>
      <c r="W171" s="6"/>
    </row>
    <row r="172" spans="1:23" ht="15.6">
      <c r="A172" s="98"/>
      <c r="B172" s="156" t="s">
        <v>70</v>
      </c>
      <c r="C172" s="61"/>
      <c r="D172" s="61"/>
      <c r="E172" s="61"/>
      <c r="F172" s="61"/>
      <c r="G172" s="61"/>
      <c r="H172" s="61"/>
      <c r="I172" s="61"/>
      <c r="J172" s="61"/>
      <c r="K172" s="61"/>
      <c r="L172" s="61"/>
      <c r="M172" s="61"/>
      <c r="N172" s="61"/>
      <c r="O172" s="26"/>
      <c r="P172" s="26"/>
      <c r="Q172" s="26"/>
      <c r="R172" s="158"/>
      <c r="S172" s="215">
        <f>Q76</f>
        <v>0</v>
      </c>
      <c r="T172" s="26"/>
      <c r="U172" s="89"/>
      <c r="V172" s="204"/>
      <c r="W172" s="6"/>
    </row>
    <row r="173" spans="1:23" ht="15.6">
      <c r="A173" s="101"/>
      <c r="B173" s="156" t="s">
        <v>71</v>
      </c>
      <c r="C173" s="61"/>
      <c r="D173" s="61"/>
      <c r="E173" s="61"/>
      <c r="F173" s="61"/>
      <c r="G173" s="61"/>
      <c r="H173" s="61"/>
      <c r="I173" s="61"/>
      <c r="J173" s="61"/>
      <c r="K173" s="61"/>
      <c r="L173" s="61"/>
      <c r="M173" s="83"/>
      <c r="N173" s="83"/>
      <c r="O173" s="83"/>
      <c r="P173" s="26"/>
      <c r="Q173" s="26"/>
      <c r="R173" s="158"/>
      <c r="S173" s="221"/>
      <c r="T173" s="26"/>
      <c r="U173" s="89"/>
      <c r="V173" s="205"/>
      <c r="W173" s="6"/>
    </row>
    <row r="174" spans="1:23" ht="15.6">
      <c r="A174" s="98"/>
      <c r="B174" s="83" t="s">
        <v>72</v>
      </c>
      <c r="C174" s="61"/>
      <c r="D174" s="61"/>
      <c r="E174" s="61"/>
      <c r="F174" s="61"/>
      <c r="G174" s="61"/>
      <c r="H174" s="61"/>
      <c r="I174" s="61"/>
      <c r="J174" s="61"/>
      <c r="K174" s="61"/>
      <c r="L174" s="61"/>
      <c r="M174" s="61"/>
      <c r="N174" s="61"/>
      <c r="O174" s="61"/>
      <c r="P174" s="26"/>
      <c r="Q174" s="26"/>
      <c r="R174" s="158"/>
      <c r="S174" s="215">
        <f>U129</f>
        <v>2634</v>
      </c>
      <c r="T174" s="26"/>
      <c r="U174" s="89"/>
      <c r="V174" s="205"/>
      <c r="W174" s="6"/>
    </row>
    <row r="175" spans="1:23" ht="15.6">
      <c r="A175" s="98"/>
      <c r="B175" s="83" t="s">
        <v>73</v>
      </c>
      <c r="C175" s="61"/>
      <c r="D175" s="61"/>
      <c r="E175" s="61"/>
      <c r="F175" s="61"/>
      <c r="G175" s="61"/>
      <c r="H175" s="61"/>
      <c r="I175" s="61"/>
      <c r="J175" s="61"/>
      <c r="K175" s="61"/>
      <c r="L175" s="61"/>
      <c r="M175" s="61"/>
      <c r="N175" s="61"/>
      <c r="O175" s="61"/>
      <c r="P175" s="26"/>
      <c r="Q175" s="26"/>
      <c r="R175" s="158"/>
      <c r="S175" s="215">
        <f>'September 09'!S175+S174</f>
        <v>62893</v>
      </c>
      <c r="T175" s="26"/>
      <c r="U175" s="89"/>
      <c r="V175" s="205"/>
      <c r="W175" s="6"/>
    </row>
    <row r="176" spans="1:23" ht="15.6">
      <c r="A176" s="98"/>
      <c r="B176" s="83" t="s">
        <v>74</v>
      </c>
      <c r="C176" s="61"/>
      <c r="D176" s="61"/>
      <c r="E176" s="61"/>
      <c r="F176" s="61"/>
      <c r="G176" s="61"/>
      <c r="H176" s="61"/>
      <c r="I176" s="61"/>
      <c r="J176" s="61"/>
      <c r="K176" s="61"/>
      <c r="L176" s="61"/>
      <c r="M176" s="61"/>
      <c r="N176" s="61"/>
      <c r="O176" s="61"/>
      <c r="P176" s="26"/>
      <c r="Q176" s="26"/>
      <c r="R176" s="158"/>
      <c r="S176" s="215">
        <f>'September 09'!S176+465</f>
        <v>12107</v>
      </c>
      <c r="T176" s="26"/>
      <c r="U176" s="89"/>
      <c r="V176" s="205"/>
      <c r="W176" s="6"/>
    </row>
    <row r="177" spans="1:23" ht="15.6">
      <c r="A177" s="98"/>
      <c r="B177" s="83"/>
      <c r="C177" s="61"/>
      <c r="D177" s="61"/>
      <c r="E177" s="61"/>
      <c r="F177" s="61"/>
      <c r="G177" s="61"/>
      <c r="H177" s="61"/>
      <c r="I177" s="61"/>
      <c r="J177" s="61"/>
      <c r="K177" s="61"/>
      <c r="L177" s="61"/>
      <c r="M177" s="61"/>
      <c r="N177" s="61"/>
      <c r="O177" s="61"/>
      <c r="P177" s="26"/>
      <c r="Q177" s="26"/>
      <c r="R177" s="158"/>
      <c r="S177" s="215"/>
      <c r="T177" s="26"/>
      <c r="U177" s="89"/>
      <c r="V177" s="205"/>
      <c r="W177" s="6"/>
    </row>
    <row r="178" spans="1:23" ht="15.6">
      <c r="A178" s="101"/>
      <c r="B178" s="156" t="s">
        <v>259</v>
      </c>
      <c r="C178" s="61"/>
      <c r="D178" s="61"/>
      <c r="E178" s="61"/>
      <c r="F178" s="61"/>
      <c r="G178" s="61"/>
      <c r="H178" s="61"/>
      <c r="I178" s="61"/>
      <c r="J178" s="61"/>
      <c r="K178" s="61"/>
      <c r="L178" s="61"/>
      <c r="M178" s="83"/>
      <c r="N178" s="83"/>
      <c r="O178" s="83"/>
      <c r="P178" s="26"/>
      <c r="Q178" s="26"/>
      <c r="R178" s="158"/>
      <c r="S178" s="219"/>
      <c r="T178" s="26"/>
      <c r="U178" s="89"/>
      <c r="V178" s="205"/>
      <c r="W178" s="6"/>
    </row>
    <row r="179" spans="1:23" ht="15.6">
      <c r="A179" s="101"/>
      <c r="B179" s="83" t="s">
        <v>254</v>
      </c>
      <c r="C179" s="61"/>
      <c r="D179" s="61"/>
      <c r="E179" s="61"/>
      <c r="F179" s="61"/>
      <c r="G179" s="61"/>
      <c r="H179" s="61"/>
      <c r="I179" s="61"/>
      <c r="J179" s="61"/>
      <c r="K179" s="61"/>
      <c r="L179" s="61"/>
      <c r="M179" s="83"/>
      <c r="N179" s="83"/>
      <c r="O179" s="83"/>
      <c r="P179" s="26"/>
      <c r="Q179" s="26"/>
      <c r="R179" s="158"/>
      <c r="S179" s="219">
        <v>3</v>
      </c>
      <c r="T179" s="26"/>
      <c r="U179" s="89"/>
      <c r="V179" s="205"/>
      <c r="W179" s="6"/>
    </row>
    <row r="180" spans="1:23" ht="15.6">
      <c r="A180" s="98"/>
      <c r="B180" s="83" t="s">
        <v>75</v>
      </c>
      <c r="C180" s="61"/>
      <c r="D180" s="61"/>
      <c r="E180" s="61"/>
      <c r="F180" s="61"/>
      <c r="G180" s="61"/>
      <c r="H180" s="61"/>
      <c r="I180" s="61"/>
      <c r="J180" s="61"/>
      <c r="K180" s="61"/>
      <c r="L180" s="61"/>
      <c r="M180" s="104"/>
      <c r="N180" s="104"/>
      <c r="O180" s="105"/>
      <c r="P180" s="26"/>
      <c r="Q180" s="26"/>
      <c r="R180" s="158"/>
      <c r="S180" s="220">
        <v>12.01</v>
      </c>
      <c r="T180" s="26"/>
      <c r="U180" s="89"/>
      <c r="V180" s="205"/>
      <c r="W180" s="6"/>
    </row>
    <row r="181" spans="1:23" ht="15.6">
      <c r="A181" s="98"/>
      <c r="B181" s="83" t="s">
        <v>76</v>
      </c>
      <c r="C181" s="61"/>
      <c r="D181" s="61"/>
      <c r="E181" s="61"/>
      <c r="F181" s="61"/>
      <c r="G181" s="61"/>
      <c r="H181" s="61"/>
      <c r="I181" s="61"/>
      <c r="J181" s="61"/>
      <c r="K181" s="61"/>
      <c r="L181" s="61"/>
      <c r="M181" s="104"/>
      <c r="N181" s="104"/>
      <c r="O181" s="105"/>
      <c r="P181" s="26"/>
      <c r="Q181" s="26"/>
      <c r="R181" s="158"/>
      <c r="S181" s="220">
        <v>157.66999999999999</v>
      </c>
      <c r="T181" s="26"/>
      <c r="U181" s="89"/>
      <c r="V181" s="205"/>
      <c r="W181" s="6"/>
    </row>
    <row r="182" spans="1:23" ht="15.6">
      <c r="A182" s="98"/>
      <c r="B182" s="83"/>
      <c r="C182" s="61"/>
      <c r="D182" s="61"/>
      <c r="E182" s="61"/>
      <c r="F182" s="61"/>
      <c r="G182" s="61"/>
      <c r="H182" s="61"/>
      <c r="I182" s="61"/>
      <c r="J182" s="61"/>
      <c r="K182" s="61"/>
      <c r="L182" s="61"/>
      <c r="M182" s="106"/>
      <c r="N182" s="104"/>
      <c r="O182" s="105"/>
      <c r="P182" s="26"/>
      <c r="Q182" s="26"/>
      <c r="R182" s="158"/>
      <c r="S182" s="219"/>
      <c r="T182" s="26"/>
      <c r="U182" s="89"/>
      <c r="V182" s="205"/>
      <c r="W182" s="6"/>
    </row>
    <row r="183" spans="1:23" ht="15.6">
      <c r="A183" s="98"/>
      <c r="B183" s="156" t="s">
        <v>77</v>
      </c>
      <c r="C183" s="61"/>
      <c r="D183" s="61"/>
      <c r="E183" s="61"/>
      <c r="F183" s="61"/>
      <c r="G183" s="61"/>
      <c r="H183" s="61"/>
      <c r="I183" s="61"/>
      <c r="J183" s="61"/>
      <c r="K183" s="61"/>
      <c r="L183" s="61"/>
      <c r="M183" s="61"/>
      <c r="N183" s="106"/>
      <c r="O183" s="104"/>
      <c r="P183" s="105"/>
      <c r="Q183" s="26"/>
      <c r="R183" s="157"/>
      <c r="S183" s="157"/>
      <c r="T183" s="107"/>
      <c r="U183" s="33"/>
      <c r="V183" s="206"/>
      <c r="W183" s="6"/>
    </row>
    <row r="184" spans="1:23" ht="15.6">
      <c r="A184" s="98"/>
      <c r="B184" s="83" t="s">
        <v>78</v>
      </c>
      <c r="C184" s="61"/>
      <c r="D184" s="61"/>
      <c r="E184" s="61"/>
      <c r="F184" s="61"/>
      <c r="G184" s="61"/>
      <c r="H184" s="61"/>
      <c r="I184" s="61"/>
      <c r="J184" s="61"/>
      <c r="K184" s="61"/>
      <c r="L184" s="61"/>
      <c r="M184" s="61"/>
      <c r="N184" s="106"/>
      <c r="O184" s="104"/>
      <c r="P184" s="105"/>
      <c r="Q184" s="26"/>
      <c r="R184" s="157"/>
      <c r="S184" s="216">
        <v>125</v>
      </c>
      <c r="T184" s="108"/>
      <c r="U184" s="33"/>
      <c r="V184" s="206"/>
      <c r="W184" s="6"/>
    </row>
    <row r="185" spans="1:23" ht="15.6">
      <c r="A185" s="98"/>
      <c r="B185" s="83" t="s">
        <v>75</v>
      </c>
      <c r="C185" s="61"/>
      <c r="D185" s="61"/>
      <c r="E185" s="61"/>
      <c r="F185" s="61"/>
      <c r="G185" s="61"/>
      <c r="H185" s="61"/>
      <c r="I185" s="61"/>
      <c r="J185" s="61"/>
      <c r="K185" s="61"/>
      <c r="L185" s="61"/>
      <c r="M185" s="61"/>
      <c r="N185" s="106"/>
      <c r="O185" s="104"/>
      <c r="P185" s="105"/>
      <c r="Q185" s="26"/>
      <c r="R185" s="157"/>
      <c r="S185" s="216">
        <v>3.9</v>
      </c>
      <c r="T185" s="108"/>
      <c r="U185" s="33"/>
      <c r="V185" s="206"/>
      <c r="W185" s="6"/>
    </row>
    <row r="186" spans="1:23" ht="15.6">
      <c r="A186" s="98"/>
      <c r="B186" s="83" t="s">
        <v>79</v>
      </c>
      <c r="C186" s="61"/>
      <c r="D186" s="61"/>
      <c r="E186" s="61"/>
      <c r="F186" s="61"/>
      <c r="G186" s="61"/>
      <c r="H186" s="61"/>
      <c r="I186" s="61"/>
      <c r="J186" s="61"/>
      <c r="K186" s="61"/>
      <c r="L186" s="61"/>
      <c r="M186" s="61"/>
      <c r="N186" s="106"/>
      <c r="O186" s="104"/>
      <c r="P186" s="105"/>
      <c r="Q186" s="26"/>
      <c r="R186" s="157"/>
      <c r="S186" s="216">
        <v>48.55</v>
      </c>
      <c r="T186" s="108"/>
      <c r="U186" s="33"/>
      <c r="V186" s="206"/>
      <c r="W186" s="6"/>
    </row>
    <row r="187" spans="1:23" ht="15.6">
      <c r="A187" s="98"/>
      <c r="B187" s="83"/>
      <c r="C187" s="61"/>
      <c r="D187" s="61"/>
      <c r="E187" s="61"/>
      <c r="F187" s="61"/>
      <c r="G187" s="61"/>
      <c r="H187" s="61"/>
      <c r="I187" s="61"/>
      <c r="J187" s="61"/>
      <c r="K187" s="61"/>
      <c r="L187" s="61"/>
      <c r="M187" s="106"/>
      <c r="N187" s="104"/>
      <c r="O187" s="105"/>
      <c r="P187" s="26"/>
      <c r="Q187" s="26"/>
      <c r="R187" s="26"/>
      <c r="S187" s="79"/>
      <c r="T187" s="26"/>
      <c r="U187" s="89"/>
      <c r="V187" s="205"/>
      <c r="W187" s="6"/>
    </row>
    <row r="188" spans="1:23" ht="17.399999999999999">
      <c r="A188" s="98"/>
      <c r="B188" s="180" t="s">
        <v>196</v>
      </c>
      <c r="C188" s="61"/>
      <c r="D188" s="61"/>
      <c r="E188" s="61"/>
      <c r="F188" s="61"/>
      <c r="G188" s="61"/>
      <c r="H188" s="61"/>
      <c r="I188" s="61"/>
      <c r="J188" s="61"/>
      <c r="K188" s="181" t="s">
        <v>195</v>
      </c>
      <c r="L188" s="61"/>
      <c r="M188" s="106"/>
      <c r="N188" s="104"/>
      <c r="O188" s="105"/>
      <c r="P188" s="26"/>
      <c r="Q188" s="26"/>
      <c r="R188" s="26"/>
      <c r="S188" s="79"/>
      <c r="T188" s="26"/>
      <c r="U188" s="89"/>
      <c r="V188" s="205"/>
      <c r="W188" s="6"/>
    </row>
    <row r="189" spans="1:23" ht="15.6">
      <c r="A189" s="25"/>
      <c r="B189" s="109" t="s">
        <v>80</v>
      </c>
      <c r="C189" s="110"/>
      <c r="D189" s="110"/>
      <c r="E189" s="110"/>
      <c r="F189" s="110"/>
      <c r="G189" s="110"/>
      <c r="H189" s="110"/>
      <c r="I189" s="110"/>
      <c r="J189" s="110"/>
      <c r="K189" s="110"/>
      <c r="L189" s="110"/>
      <c r="M189" s="111"/>
      <c r="N189" s="110"/>
      <c r="O189" s="111"/>
      <c r="P189" s="110"/>
      <c r="Q189" s="111"/>
      <c r="R189" s="110"/>
      <c r="S189" s="111"/>
      <c r="T189" s="110"/>
      <c r="U189" s="112"/>
      <c r="V189" s="205"/>
      <c r="W189" s="6"/>
    </row>
    <row r="190" spans="1:23" ht="15.6">
      <c r="A190" s="25"/>
      <c r="B190" s="30"/>
      <c r="C190" s="189"/>
      <c r="D190" s="189"/>
      <c r="E190" s="189"/>
      <c r="F190" s="189"/>
      <c r="G190" s="189"/>
      <c r="H190" s="189"/>
      <c r="I190" s="189"/>
      <c r="J190" s="189"/>
      <c r="K190" s="189"/>
      <c r="L190" s="189"/>
      <c r="M190" s="109" t="s">
        <v>100</v>
      </c>
      <c r="N190" s="110"/>
      <c r="O190" s="111"/>
      <c r="P190" s="110"/>
      <c r="Q190" s="109" t="s">
        <v>26</v>
      </c>
      <c r="R190" s="110"/>
      <c r="S190" s="111"/>
      <c r="T190" s="110"/>
      <c r="U190" s="112"/>
      <c r="V190" s="205"/>
      <c r="W190" s="6"/>
    </row>
    <row r="191" spans="1:23" ht="15.6">
      <c r="A191" s="25"/>
      <c r="B191" s="189"/>
      <c r="C191" s="111"/>
      <c r="D191" s="111"/>
      <c r="E191" s="111"/>
      <c r="F191" s="111"/>
      <c r="G191" s="111"/>
      <c r="H191" s="111"/>
      <c r="I191" s="111"/>
      <c r="J191" s="111"/>
      <c r="K191" s="111"/>
      <c r="L191" s="111" t="s">
        <v>94</v>
      </c>
      <c r="M191" s="110" t="s">
        <v>101</v>
      </c>
      <c r="N191" s="111" t="s">
        <v>103</v>
      </c>
      <c r="O191" s="110" t="s">
        <v>101</v>
      </c>
      <c r="P191" s="110"/>
      <c r="Q191" s="111" t="s">
        <v>94</v>
      </c>
      <c r="R191" s="110" t="s">
        <v>101</v>
      </c>
      <c r="S191" s="111" t="s">
        <v>103</v>
      </c>
      <c r="T191" s="110" t="s">
        <v>101</v>
      </c>
      <c r="U191" s="112"/>
      <c r="V191" s="205"/>
      <c r="W191" s="6"/>
    </row>
    <row r="192" spans="1:23" ht="15.6">
      <c r="A192" s="25"/>
      <c r="B192" s="61" t="s">
        <v>81</v>
      </c>
      <c r="C192" s="113"/>
      <c r="D192" s="113"/>
      <c r="E192" s="113"/>
      <c r="F192" s="113"/>
      <c r="G192" s="113"/>
      <c r="H192" s="113"/>
      <c r="I192" s="113"/>
      <c r="J192" s="113"/>
      <c r="K192" s="113"/>
      <c r="L192" s="227">
        <v>2486</v>
      </c>
      <c r="M192" s="45">
        <f t="shared" ref="M192:M198" si="0">+L192/$L$199</f>
        <v>0.84615384615384615</v>
      </c>
      <c r="N192" s="227">
        <v>6966</v>
      </c>
      <c r="O192" s="45">
        <f t="shared" ref="O192:O198" si="1">N192/$N$199</f>
        <v>0.82839814484480911</v>
      </c>
      <c r="P192" s="223"/>
      <c r="Q192" s="227">
        <v>4001</v>
      </c>
      <c r="R192" s="45">
        <f t="shared" ref="R192:R198" si="2">+Q192/$Q$199</f>
        <v>0.88458987397744859</v>
      </c>
      <c r="S192" s="227">
        <v>3478</v>
      </c>
      <c r="T192" s="45">
        <f t="shared" ref="T192:T198" si="3">+S192/$S$199</f>
        <v>0.84151947737720789</v>
      </c>
      <c r="U192" s="112"/>
      <c r="V192" s="205"/>
      <c r="W192" s="6"/>
    </row>
    <row r="193" spans="1:24" ht="15.6">
      <c r="A193" s="25"/>
      <c r="B193" s="61" t="s">
        <v>82</v>
      </c>
      <c r="C193" s="113"/>
      <c r="D193" s="113"/>
      <c r="E193" s="113"/>
      <c r="F193" s="113"/>
      <c r="G193" s="113"/>
      <c r="H193" s="113"/>
      <c r="I193" s="113"/>
      <c r="J193" s="113"/>
      <c r="K193" s="113"/>
      <c r="L193" s="227">
        <v>47</v>
      </c>
      <c r="M193" s="45">
        <f t="shared" si="0"/>
        <v>1.5997277059223963E-2</v>
      </c>
      <c r="N193" s="227">
        <v>171</v>
      </c>
      <c r="O193" s="45">
        <f t="shared" si="1"/>
        <v>2.0335354976810559E-2</v>
      </c>
      <c r="P193" s="223"/>
      <c r="Q193" s="227">
        <v>53</v>
      </c>
      <c r="R193" s="45">
        <f t="shared" si="2"/>
        <v>1.1717886358611542E-2</v>
      </c>
      <c r="S193" s="227">
        <v>51</v>
      </c>
      <c r="T193" s="45">
        <f t="shared" si="3"/>
        <v>1.2339704814904429E-2</v>
      </c>
      <c r="U193" s="112"/>
      <c r="V193" s="205"/>
      <c r="W193" s="6"/>
    </row>
    <row r="194" spans="1:24" ht="15.6">
      <c r="A194" s="25"/>
      <c r="B194" s="61" t="s">
        <v>83</v>
      </c>
      <c r="C194" s="113"/>
      <c r="D194" s="113"/>
      <c r="E194" s="113"/>
      <c r="F194" s="113"/>
      <c r="G194" s="113"/>
      <c r="H194" s="113"/>
      <c r="I194" s="113"/>
      <c r="J194" s="113"/>
      <c r="K194" s="113"/>
      <c r="L194" s="227">
        <v>42</v>
      </c>
      <c r="M194" s="45">
        <f t="shared" si="0"/>
        <v>1.4295439074200136E-2</v>
      </c>
      <c r="N194" s="227">
        <v>120</v>
      </c>
      <c r="O194" s="45">
        <f t="shared" si="1"/>
        <v>1.4270424545130217E-2</v>
      </c>
      <c r="P194" s="223"/>
      <c r="Q194" s="227">
        <v>43</v>
      </c>
      <c r="R194" s="45">
        <f t="shared" si="2"/>
        <v>9.5069644041565326E-3</v>
      </c>
      <c r="S194" s="227">
        <v>31</v>
      </c>
      <c r="T194" s="45">
        <f t="shared" si="3"/>
        <v>7.5006048874909264E-3</v>
      </c>
      <c r="U194" s="112"/>
      <c r="V194" s="205"/>
      <c r="W194" s="6"/>
    </row>
    <row r="195" spans="1:24" ht="15.6">
      <c r="A195" s="25"/>
      <c r="B195" s="61" t="s">
        <v>186</v>
      </c>
      <c r="C195" s="113"/>
      <c r="D195" s="113"/>
      <c r="E195" s="113"/>
      <c r="F195" s="113"/>
      <c r="G195" s="113"/>
      <c r="H195" s="113"/>
      <c r="I195" s="113"/>
      <c r="J195" s="113"/>
      <c r="K195" s="113"/>
      <c r="L195" s="227">
        <v>33</v>
      </c>
      <c r="M195" s="45">
        <f t="shared" si="0"/>
        <v>1.123213070115725E-2</v>
      </c>
      <c r="N195" s="227">
        <v>96</v>
      </c>
      <c r="O195" s="45">
        <f t="shared" si="1"/>
        <v>1.1416339636104174E-2</v>
      </c>
      <c r="P195" s="223"/>
      <c r="Q195" s="227">
        <v>38</v>
      </c>
      <c r="R195" s="45">
        <f t="shared" si="2"/>
        <v>8.4015034269290297E-3</v>
      </c>
      <c r="S195" s="227">
        <v>41</v>
      </c>
      <c r="T195" s="45">
        <f t="shared" si="3"/>
        <v>9.9201548511976771E-3</v>
      </c>
      <c r="U195" s="112"/>
      <c r="V195" s="205"/>
      <c r="W195" s="6"/>
    </row>
    <row r="196" spans="1:24" ht="15.6">
      <c r="A196" s="25"/>
      <c r="B196" s="61" t="s">
        <v>187</v>
      </c>
      <c r="C196" s="113"/>
      <c r="D196" s="113"/>
      <c r="E196" s="113"/>
      <c r="F196" s="113"/>
      <c r="G196" s="113"/>
      <c r="H196" s="113"/>
      <c r="I196" s="113"/>
      <c r="J196" s="113"/>
      <c r="K196" s="113"/>
      <c r="L196" s="227">
        <v>34</v>
      </c>
      <c r="M196" s="45">
        <f t="shared" si="0"/>
        <v>1.1572498298162015E-2</v>
      </c>
      <c r="N196" s="227">
        <v>119</v>
      </c>
      <c r="O196" s="45">
        <f t="shared" si="1"/>
        <v>1.4151504340587465E-2</v>
      </c>
      <c r="P196" s="223"/>
      <c r="Q196" s="227">
        <v>56</v>
      </c>
      <c r="R196" s="45">
        <f t="shared" si="2"/>
        <v>1.2381162944948043E-2</v>
      </c>
      <c r="S196" s="227">
        <v>64</v>
      </c>
      <c r="T196" s="45">
        <f t="shared" si="3"/>
        <v>1.5485119767723203E-2</v>
      </c>
      <c r="U196" s="112"/>
      <c r="V196" s="205"/>
      <c r="W196" s="6"/>
    </row>
    <row r="197" spans="1:24" ht="15.6">
      <c r="A197" s="25"/>
      <c r="B197" s="61" t="s">
        <v>188</v>
      </c>
      <c r="C197" s="113"/>
      <c r="D197" s="113"/>
      <c r="E197" s="113"/>
      <c r="F197" s="113"/>
      <c r="G197" s="113"/>
      <c r="H197" s="113"/>
      <c r="I197" s="113"/>
      <c r="J197" s="113"/>
      <c r="K197" s="113"/>
      <c r="L197" s="227">
        <v>36</v>
      </c>
      <c r="M197" s="45">
        <f t="shared" si="0"/>
        <v>1.2253233492171545E-2</v>
      </c>
      <c r="N197" s="227">
        <v>111</v>
      </c>
      <c r="O197" s="45">
        <f t="shared" si="1"/>
        <v>1.3200142704245452E-2</v>
      </c>
      <c r="P197" s="223"/>
      <c r="Q197" s="227">
        <v>48</v>
      </c>
      <c r="R197" s="45">
        <f t="shared" si="2"/>
        <v>1.0612425381384037E-2</v>
      </c>
      <c r="S197" s="227">
        <v>38</v>
      </c>
      <c r="T197" s="45">
        <f t="shared" si="3"/>
        <v>9.1942898620856525E-3</v>
      </c>
      <c r="U197" s="112"/>
      <c r="V197" s="205"/>
      <c r="W197" s="6"/>
    </row>
    <row r="198" spans="1:24" ht="15.6">
      <c r="A198" s="25"/>
      <c r="B198" s="61" t="s">
        <v>189</v>
      </c>
      <c r="C198" s="113"/>
      <c r="D198" s="113"/>
      <c r="E198" s="113"/>
      <c r="F198" s="113"/>
      <c r="G198" s="113"/>
      <c r="H198" s="113"/>
      <c r="I198" s="113"/>
      <c r="J198" s="113"/>
      <c r="K198" s="113"/>
      <c r="L198" s="227">
        <v>260</v>
      </c>
      <c r="M198" s="45">
        <f t="shared" si="0"/>
        <v>8.8495575221238937E-2</v>
      </c>
      <c r="N198" s="227">
        <v>826</v>
      </c>
      <c r="O198" s="45">
        <f t="shared" si="1"/>
        <v>9.8228088952312997E-2</v>
      </c>
      <c r="P198" s="223"/>
      <c r="Q198" s="227">
        <v>284</v>
      </c>
      <c r="R198" s="45">
        <f t="shared" si="2"/>
        <v>6.2790183506522226E-2</v>
      </c>
      <c r="S198" s="227">
        <v>430</v>
      </c>
      <c r="T198" s="45">
        <f t="shared" si="3"/>
        <v>0.10404064843939027</v>
      </c>
      <c r="U198" s="112"/>
      <c r="V198" s="205"/>
      <c r="W198" s="6"/>
    </row>
    <row r="199" spans="1:24" ht="15.6">
      <c r="A199" s="25"/>
      <c r="B199" s="61" t="s">
        <v>84</v>
      </c>
      <c r="C199" s="113"/>
      <c r="D199" s="113"/>
      <c r="E199" s="113"/>
      <c r="F199" s="113"/>
      <c r="G199" s="113"/>
      <c r="H199" s="113"/>
      <c r="I199" s="113"/>
      <c r="J199" s="113"/>
      <c r="K199" s="113"/>
      <c r="L199" s="227">
        <f>SUM(L192:L198)</f>
        <v>2938</v>
      </c>
      <c r="M199" s="45">
        <f>SUM(M192:M198)</f>
        <v>1</v>
      </c>
      <c r="N199" s="227">
        <f>SUM(N192:N198)</f>
        <v>8409</v>
      </c>
      <c r="O199" s="45">
        <f>SUM(O192:O198)</f>
        <v>1</v>
      </c>
      <c r="P199" s="223"/>
      <c r="Q199" s="227">
        <f>SUM(Q192:Q198)</f>
        <v>4523</v>
      </c>
      <c r="R199" s="45">
        <f>SUM(R192:R198)</f>
        <v>1.0000000000000002</v>
      </c>
      <c r="S199" s="227">
        <f>SUM(S192:S198)</f>
        <v>4133</v>
      </c>
      <c r="T199" s="45">
        <f>SUM(T192:T198)</f>
        <v>1</v>
      </c>
      <c r="U199" s="112"/>
      <c r="V199" s="205"/>
      <c r="W199" s="6"/>
      <c r="X199" s="64"/>
    </row>
    <row r="200" spans="1:24" ht="15.6">
      <c r="A200" s="25"/>
      <c r="B200" s="61" t="s">
        <v>85</v>
      </c>
      <c r="C200" s="113"/>
      <c r="D200" s="113"/>
      <c r="E200" s="113"/>
      <c r="F200" s="113"/>
      <c r="G200" s="113"/>
      <c r="H200" s="113"/>
      <c r="I200" s="113"/>
      <c r="J200" s="113"/>
      <c r="K200" s="113"/>
      <c r="L200" s="227">
        <v>1266</v>
      </c>
      <c r="M200" s="33"/>
      <c r="N200" s="227">
        <v>7793</v>
      </c>
      <c r="O200" s="33"/>
      <c r="P200" s="223"/>
      <c r="Q200" s="227">
        <v>683</v>
      </c>
      <c r="R200" s="33"/>
      <c r="S200" s="227">
        <v>1459</v>
      </c>
      <c r="T200" s="33"/>
      <c r="U200" s="112"/>
      <c r="V200" s="205"/>
      <c r="W200" s="6"/>
      <c r="X200" s="64"/>
    </row>
    <row r="201" spans="1:24" ht="15.6">
      <c r="A201" s="25"/>
      <c r="B201" s="61" t="s">
        <v>86</v>
      </c>
      <c r="C201" s="113"/>
      <c r="D201" s="113"/>
      <c r="E201" s="113"/>
      <c r="F201" s="113"/>
      <c r="G201" s="113"/>
      <c r="H201" s="113"/>
      <c r="I201" s="113"/>
      <c r="J201" s="113"/>
      <c r="K201" s="113"/>
      <c r="L201" s="227">
        <f>SUM(L199:L200)</f>
        <v>4204</v>
      </c>
      <c r="M201" s="76"/>
      <c r="N201" s="227">
        <f>SUM(N199:N200)</f>
        <v>16202</v>
      </c>
      <c r="O201" s="229"/>
      <c r="P201" s="224"/>
      <c r="Q201" s="227">
        <f>SUM(Q199:Q200)</f>
        <v>5206</v>
      </c>
      <c r="R201" s="76"/>
      <c r="S201" s="227">
        <f>SUM(S199:S200)</f>
        <v>5592</v>
      </c>
      <c r="T201" s="76"/>
      <c r="U201" s="189"/>
      <c r="V201" s="205"/>
      <c r="W201" s="6"/>
      <c r="X201" s="64"/>
    </row>
    <row r="202" spans="1:24" ht="15.6">
      <c r="A202" s="25"/>
      <c r="B202" s="61"/>
      <c r="C202" s="113"/>
      <c r="D202" s="113"/>
      <c r="E202" s="113"/>
      <c r="F202" s="113"/>
      <c r="G202" s="113"/>
      <c r="H202" s="113"/>
      <c r="I202" s="113"/>
      <c r="J202" s="113"/>
      <c r="K202" s="113"/>
      <c r="L202" s="222"/>
      <c r="M202" s="225"/>
      <c r="N202" s="222"/>
      <c r="O202" s="225"/>
      <c r="P202" s="223"/>
      <c r="Q202" s="222"/>
      <c r="R202" s="225"/>
      <c r="S202" s="222"/>
      <c r="T202" s="225"/>
      <c r="U202" s="112"/>
      <c r="V202" s="205"/>
      <c r="W202" s="6"/>
    </row>
    <row r="203" spans="1:24" ht="15.6">
      <c r="A203" s="25"/>
      <c r="B203" s="61"/>
      <c r="C203" s="110"/>
      <c r="D203" s="110"/>
      <c r="E203" s="110"/>
      <c r="F203" s="110"/>
      <c r="G203" s="110"/>
      <c r="H203" s="110"/>
      <c r="I203" s="110"/>
      <c r="J203" s="110"/>
      <c r="K203" s="110"/>
      <c r="L203" s="110"/>
      <c r="M203" s="109" t="s">
        <v>27</v>
      </c>
      <c r="N203" s="110"/>
      <c r="O203" s="111"/>
      <c r="P203" s="110"/>
      <c r="Q203" s="109" t="s">
        <v>28</v>
      </c>
      <c r="R203" s="110"/>
      <c r="S203" s="111"/>
      <c r="T203" s="110"/>
      <c r="U203" s="112"/>
      <c r="V203" s="205"/>
      <c r="W203" s="6"/>
    </row>
    <row r="204" spans="1:24" ht="15.6">
      <c r="A204" s="25"/>
      <c r="B204" s="189"/>
      <c r="C204" s="111"/>
      <c r="D204" s="111"/>
      <c r="E204" s="111"/>
      <c r="F204" s="111"/>
      <c r="G204" s="111"/>
      <c r="H204" s="111"/>
      <c r="I204" s="111"/>
      <c r="J204" s="111"/>
      <c r="K204" s="111"/>
      <c r="L204" s="111" t="s">
        <v>94</v>
      </c>
      <c r="M204" s="110" t="s">
        <v>101</v>
      </c>
      <c r="N204" s="111" t="s">
        <v>103</v>
      </c>
      <c r="O204" s="110" t="s">
        <v>101</v>
      </c>
      <c r="P204" s="110"/>
      <c r="Q204" s="111" t="s">
        <v>94</v>
      </c>
      <c r="R204" s="110" t="s">
        <v>101</v>
      </c>
      <c r="S204" s="111" t="s">
        <v>103</v>
      </c>
      <c r="T204" s="110" t="s">
        <v>101</v>
      </c>
      <c r="U204" s="112"/>
      <c r="V204" s="205"/>
      <c r="W204" s="6"/>
    </row>
    <row r="205" spans="1:24" ht="15.6">
      <c r="A205" s="25"/>
      <c r="B205" s="61" t="s">
        <v>81</v>
      </c>
      <c r="C205" s="113"/>
      <c r="D205" s="113"/>
      <c r="E205" s="113"/>
      <c r="F205" s="113"/>
      <c r="G205" s="113"/>
      <c r="H205" s="113"/>
      <c r="I205" s="113"/>
      <c r="J205" s="113"/>
      <c r="K205" s="113"/>
      <c r="L205" s="227">
        <v>8409</v>
      </c>
      <c r="M205" s="45">
        <f t="shared" ref="M205:M211" si="4">+L205/$L$212</f>
        <v>0.89562253701139627</v>
      </c>
      <c r="N205" s="227">
        <v>220650</v>
      </c>
      <c r="O205" s="45">
        <f t="shared" ref="O205:O211" si="5">+N205/$N$212</f>
        <v>0.88633323558829791</v>
      </c>
      <c r="P205" s="223"/>
      <c r="Q205" s="227">
        <v>2950</v>
      </c>
      <c r="R205" s="45">
        <f t="shared" ref="R205:R211" si="6">Q205/$Q$212</f>
        <v>0.94008922880815804</v>
      </c>
      <c r="S205" s="227">
        <v>34252</v>
      </c>
      <c r="T205" s="45">
        <f t="shared" ref="T205:T211" si="7">+S205/$S$212</f>
        <v>0.93055857422299504</v>
      </c>
      <c r="U205" s="112"/>
      <c r="V205" s="205"/>
      <c r="W205" s="6"/>
    </row>
    <row r="206" spans="1:24" ht="15.6">
      <c r="A206" s="25"/>
      <c r="B206" s="61" t="s">
        <v>82</v>
      </c>
      <c r="C206" s="113"/>
      <c r="D206" s="113"/>
      <c r="E206" s="113"/>
      <c r="F206" s="113"/>
      <c r="G206" s="113"/>
      <c r="H206" s="113"/>
      <c r="I206" s="113"/>
      <c r="J206" s="113"/>
      <c r="K206" s="113"/>
      <c r="L206" s="227">
        <v>262</v>
      </c>
      <c r="M206" s="45">
        <f t="shared" si="4"/>
        <v>2.7904995207157311E-2</v>
      </c>
      <c r="N206" s="227">
        <v>7262</v>
      </c>
      <c r="O206" s="45">
        <f t="shared" si="5"/>
        <v>2.9170867694730204E-2</v>
      </c>
      <c r="P206" s="223"/>
      <c r="Q206" s="227">
        <v>81</v>
      </c>
      <c r="R206" s="45">
        <f t="shared" si="6"/>
        <v>2.5812619502868069E-2</v>
      </c>
      <c r="S206" s="227">
        <v>1048</v>
      </c>
      <c r="T206" s="45">
        <f t="shared" si="7"/>
        <v>2.8472071288850251E-2</v>
      </c>
      <c r="U206" s="112"/>
      <c r="V206" s="205"/>
      <c r="W206" s="6"/>
    </row>
    <row r="207" spans="1:24" ht="15.6">
      <c r="A207" s="25"/>
      <c r="B207" s="61" t="s">
        <v>83</v>
      </c>
      <c r="C207" s="113"/>
      <c r="D207" s="113"/>
      <c r="E207" s="113"/>
      <c r="F207" s="113"/>
      <c r="G207" s="113"/>
      <c r="H207" s="113"/>
      <c r="I207" s="113"/>
      <c r="J207" s="113"/>
      <c r="K207" s="113"/>
      <c r="L207" s="227">
        <v>210</v>
      </c>
      <c r="M207" s="45">
        <f t="shared" si="4"/>
        <v>2.2366599211843648E-2</v>
      </c>
      <c r="N207" s="227">
        <v>5937</v>
      </c>
      <c r="O207" s="45">
        <f t="shared" si="5"/>
        <v>2.3848449670010083E-2</v>
      </c>
      <c r="P207" s="223"/>
      <c r="Q207" s="227">
        <v>30</v>
      </c>
      <c r="R207" s="45">
        <f t="shared" si="6"/>
        <v>9.5602294455066923E-3</v>
      </c>
      <c r="S207" s="227">
        <v>417</v>
      </c>
      <c r="T207" s="45">
        <f t="shared" si="7"/>
        <v>1.1329058900239079E-2</v>
      </c>
      <c r="U207" s="112"/>
      <c r="V207" s="205"/>
      <c r="W207" s="6"/>
      <c r="X207" s="182"/>
    </row>
    <row r="208" spans="1:24" ht="15.6">
      <c r="A208" s="25"/>
      <c r="B208" s="61" t="s">
        <v>186</v>
      </c>
      <c r="C208" s="113"/>
      <c r="D208" s="113"/>
      <c r="E208" s="113"/>
      <c r="F208" s="113"/>
      <c r="G208" s="113"/>
      <c r="H208" s="113"/>
      <c r="I208" s="113"/>
      <c r="J208" s="113"/>
      <c r="K208" s="113"/>
      <c r="L208" s="227">
        <v>115</v>
      </c>
      <c r="M208" s="45">
        <f t="shared" si="4"/>
        <v>1.2248375758866758E-2</v>
      </c>
      <c r="N208" s="227">
        <v>3419</v>
      </c>
      <c r="O208" s="45">
        <f t="shared" si="5"/>
        <v>1.3733846963409882E-2</v>
      </c>
      <c r="P208" s="223"/>
      <c r="Q208" s="227">
        <v>20</v>
      </c>
      <c r="R208" s="45">
        <f t="shared" si="6"/>
        <v>6.3734862970044612E-3</v>
      </c>
      <c r="S208" s="227">
        <v>336</v>
      </c>
      <c r="T208" s="45">
        <f t="shared" si="7"/>
        <v>9.1284503368832867E-3</v>
      </c>
      <c r="U208" s="112"/>
      <c r="V208" s="205"/>
      <c r="W208" s="6"/>
    </row>
    <row r="209" spans="1:24" ht="15.6">
      <c r="A209" s="25"/>
      <c r="B209" s="61" t="s">
        <v>187</v>
      </c>
      <c r="C209" s="113"/>
      <c r="D209" s="113"/>
      <c r="E209" s="113"/>
      <c r="F209" s="113"/>
      <c r="G209" s="113"/>
      <c r="H209" s="113"/>
      <c r="I209" s="113"/>
      <c r="J209" s="113"/>
      <c r="K209" s="113"/>
      <c r="L209" s="227">
        <v>95</v>
      </c>
      <c r="M209" s="45">
        <f t="shared" si="4"/>
        <v>1.0118223452976888E-2</v>
      </c>
      <c r="N209" s="227">
        <v>3035</v>
      </c>
      <c r="O209" s="45">
        <f t="shared" si="5"/>
        <v>1.2191349966057032E-2</v>
      </c>
      <c r="P209" s="223"/>
      <c r="Q209" s="227">
        <v>9</v>
      </c>
      <c r="R209" s="45">
        <f t="shared" si="6"/>
        <v>2.8680688336520078E-3</v>
      </c>
      <c r="S209" s="227">
        <v>101</v>
      </c>
      <c r="T209" s="45">
        <f t="shared" si="7"/>
        <v>2.7439687024559878E-3</v>
      </c>
      <c r="U209" s="112"/>
      <c r="V209" s="205"/>
      <c r="W209" s="6"/>
    </row>
    <row r="210" spans="1:24" ht="15.6">
      <c r="A210" s="25"/>
      <c r="B210" s="61" t="s">
        <v>188</v>
      </c>
      <c r="C210" s="113"/>
      <c r="D210" s="113"/>
      <c r="E210" s="113"/>
      <c r="F210" s="113"/>
      <c r="G210" s="113"/>
      <c r="H210" s="113"/>
      <c r="I210" s="113"/>
      <c r="J210" s="113"/>
      <c r="K210" s="113"/>
      <c r="L210" s="227">
        <v>77</v>
      </c>
      <c r="M210" s="45">
        <f t="shared" si="4"/>
        <v>8.2010863776760031E-3</v>
      </c>
      <c r="N210" s="227">
        <v>2160</v>
      </c>
      <c r="O210" s="45">
        <f t="shared" si="5"/>
        <v>8.6765456101097829E-3</v>
      </c>
      <c r="P210" s="223"/>
      <c r="Q210" s="227">
        <v>12</v>
      </c>
      <c r="R210" s="45">
        <f t="shared" si="6"/>
        <v>3.8240917782026767E-3</v>
      </c>
      <c r="S210" s="227">
        <v>159</v>
      </c>
      <c r="T210" s="45">
        <f t="shared" si="7"/>
        <v>4.3197131058465548E-3</v>
      </c>
      <c r="U210" s="112"/>
      <c r="V210" s="205"/>
      <c r="W210" s="6"/>
    </row>
    <row r="211" spans="1:24" ht="15.6">
      <c r="A211" s="25"/>
      <c r="B211" s="61" t="s">
        <v>189</v>
      </c>
      <c r="C211" s="113"/>
      <c r="D211" s="113"/>
      <c r="E211" s="113"/>
      <c r="F211" s="113"/>
      <c r="G211" s="113"/>
      <c r="H211" s="113"/>
      <c r="I211" s="113"/>
      <c r="J211" s="113"/>
      <c r="K211" s="113"/>
      <c r="L211" s="227">
        <v>221</v>
      </c>
      <c r="M211" s="45">
        <f t="shared" si="4"/>
        <v>2.3538182980083075E-2</v>
      </c>
      <c r="N211" s="227">
        <v>6484</v>
      </c>
      <c r="O211" s="45">
        <f t="shared" si="5"/>
        <v>2.6045704507385106E-2</v>
      </c>
      <c r="P211" s="223"/>
      <c r="Q211" s="227">
        <v>36</v>
      </c>
      <c r="R211" s="45">
        <f t="shared" si="6"/>
        <v>1.1472275334608031E-2</v>
      </c>
      <c r="S211" s="227">
        <v>495</v>
      </c>
      <c r="T211" s="45">
        <f t="shared" si="7"/>
        <v>1.3448163442729841E-2</v>
      </c>
      <c r="U211" s="112"/>
      <c r="V211" s="205"/>
      <c r="W211" s="6"/>
    </row>
    <row r="212" spans="1:24" ht="15.6">
      <c r="A212" s="25"/>
      <c r="B212" s="61" t="str">
        <f>B199</f>
        <v>Total Performing  Assets</v>
      </c>
      <c r="C212" s="113"/>
      <c r="D212" s="113"/>
      <c r="E212" s="113"/>
      <c r="F212" s="113"/>
      <c r="G212" s="113"/>
      <c r="H212" s="113"/>
      <c r="I212" s="113"/>
      <c r="J212" s="113"/>
      <c r="K212" s="113"/>
      <c r="L212" s="227">
        <f>SUM(L205:L211)</f>
        <v>9389</v>
      </c>
      <c r="M212" s="45">
        <f>SUM(M205:M211)</f>
        <v>0.99999999999999989</v>
      </c>
      <c r="N212" s="227">
        <f>SUM(N205:N211)</f>
        <v>248947</v>
      </c>
      <c r="O212" s="45">
        <f>SUM(O205:O211)</f>
        <v>1</v>
      </c>
      <c r="P212" s="223"/>
      <c r="Q212" s="227">
        <f>SUM(Q205:Q211)</f>
        <v>3138</v>
      </c>
      <c r="R212" s="45">
        <f>SUM(R205:R211)</f>
        <v>1</v>
      </c>
      <c r="S212" s="227">
        <f>SUM(S205:S211)</f>
        <v>36808</v>
      </c>
      <c r="T212" s="45">
        <f>SUM(T205:T211)</f>
        <v>0.99999999999999989</v>
      </c>
      <c r="U212" s="112"/>
      <c r="V212" s="205"/>
      <c r="W212" s="6"/>
    </row>
    <row r="213" spans="1:24" ht="15.6">
      <c r="A213" s="25"/>
      <c r="B213" s="61" t="s">
        <v>85</v>
      </c>
      <c r="C213" s="113"/>
      <c r="D213" s="113"/>
      <c r="E213" s="113"/>
      <c r="F213" s="113"/>
      <c r="G213" s="113"/>
      <c r="H213" s="113"/>
      <c r="I213" s="113"/>
      <c r="J213" s="113"/>
      <c r="K213" s="113"/>
      <c r="L213" s="227">
        <v>82</v>
      </c>
      <c r="M213" s="228"/>
      <c r="N213" s="227">
        <v>2341</v>
      </c>
      <c r="O213" s="33"/>
      <c r="P213" s="223"/>
      <c r="Q213" s="227">
        <v>39</v>
      </c>
      <c r="R213" s="228"/>
      <c r="S213" s="227">
        <v>717</v>
      </c>
      <c r="T213" s="228"/>
      <c r="U213" s="112"/>
      <c r="V213" s="205"/>
      <c r="W213" s="6"/>
    </row>
    <row r="214" spans="1:24" ht="15.6">
      <c r="A214" s="25"/>
      <c r="B214" s="61" t="s">
        <v>86</v>
      </c>
      <c r="C214" s="113"/>
      <c r="D214" s="113"/>
      <c r="E214" s="113"/>
      <c r="F214" s="113"/>
      <c r="G214" s="113"/>
      <c r="H214" s="113"/>
      <c r="I214" s="113"/>
      <c r="J214" s="113"/>
      <c r="K214" s="113"/>
      <c r="L214" s="227">
        <f>SUM(L212:L213)</f>
        <v>9471</v>
      </c>
      <c r="M214" s="76"/>
      <c r="N214" s="227">
        <f>SUM(N212:N213)</f>
        <v>251288</v>
      </c>
      <c r="O214" s="45"/>
      <c r="P214" s="224"/>
      <c r="Q214" s="227">
        <f>SUM(Q212:Q213)</f>
        <v>3177</v>
      </c>
      <c r="R214" s="76"/>
      <c r="S214" s="227">
        <f>SUM(S212:S213)</f>
        <v>37525</v>
      </c>
      <c r="T214" s="76"/>
      <c r="U214" s="189"/>
      <c r="V214" s="190"/>
    </row>
    <row r="215" spans="1:24" ht="15.6">
      <c r="A215" s="25"/>
      <c r="B215" s="61"/>
      <c r="C215" s="110"/>
      <c r="D215" s="110"/>
      <c r="E215" s="110"/>
      <c r="F215" s="110"/>
      <c r="G215" s="110"/>
      <c r="H215" s="110"/>
      <c r="I215" s="110"/>
      <c r="J215" s="110"/>
      <c r="K215" s="110"/>
      <c r="L215" s="223"/>
      <c r="M215" s="226"/>
      <c r="N215" s="223"/>
      <c r="O215" s="226"/>
      <c r="P215" s="223"/>
      <c r="Q215" s="226"/>
      <c r="R215" s="223"/>
      <c r="S215" s="222"/>
      <c r="T215" s="223"/>
      <c r="U215" s="112"/>
      <c r="V215" s="205"/>
      <c r="W215" s="6"/>
    </row>
    <row r="216" spans="1:24" ht="15.6">
      <c r="A216" s="25"/>
      <c r="B216" s="61" t="s">
        <v>86</v>
      </c>
      <c r="C216" s="110"/>
      <c r="D216" s="110"/>
      <c r="E216" s="110"/>
      <c r="F216" s="110"/>
      <c r="G216" s="110"/>
      <c r="H216" s="110"/>
      <c r="I216" s="110"/>
      <c r="J216" s="110"/>
      <c r="K216" s="110"/>
      <c r="L216" s="223"/>
      <c r="M216" s="226"/>
      <c r="N216" s="223"/>
      <c r="O216" s="226"/>
      <c r="P216" s="223"/>
      <c r="Q216" s="226"/>
      <c r="R216" s="223"/>
      <c r="S216" s="227">
        <f>+N201+S201+N214+S214</f>
        <v>310607</v>
      </c>
      <c r="T216" s="225"/>
      <c r="U216" s="112"/>
      <c r="V216" s="205"/>
      <c r="W216" s="6"/>
      <c r="X216" s="182"/>
    </row>
    <row r="217" spans="1:24" ht="15.6">
      <c r="A217" s="25"/>
      <c r="B217" s="61"/>
      <c r="C217" s="110"/>
      <c r="D217" s="110"/>
      <c r="E217" s="110"/>
      <c r="F217" s="110"/>
      <c r="G217" s="110"/>
      <c r="H217" s="110"/>
      <c r="I217" s="110"/>
      <c r="J217" s="110"/>
      <c r="K217" s="110"/>
      <c r="L217" s="111"/>
      <c r="M217" s="111"/>
      <c r="N217" s="111"/>
      <c r="O217" s="111"/>
      <c r="P217" s="110"/>
      <c r="Q217" s="111"/>
      <c r="R217" s="110"/>
      <c r="S217" s="227"/>
      <c r="T217" s="116"/>
      <c r="U217" s="112"/>
      <c r="V217" s="205"/>
      <c r="W217" s="6"/>
    </row>
    <row r="218" spans="1:24" ht="15.6">
      <c r="A218" s="25"/>
      <c r="B218" s="118" t="s">
        <v>87</v>
      </c>
      <c r="C218" s="110"/>
      <c r="D218" s="110"/>
      <c r="E218" s="110"/>
      <c r="F218" s="110"/>
      <c r="G218" s="110"/>
      <c r="H218" s="110"/>
      <c r="I218" s="110"/>
      <c r="J218" s="110"/>
      <c r="K218" s="110"/>
      <c r="L218" s="110"/>
      <c r="M218" s="111"/>
      <c r="N218" s="110"/>
      <c r="O218" s="111"/>
      <c r="P218" s="110"/>
      <c r="Q218" s="111"/>
      <c r="R218" s="110"/>
      <c r="S218" s="227"/>
      <c r="T218" s="110"/>
      <c r="U218" s="209"/>
      <c r="V218" s="205"/>
      <c r="W218" s="6"/>
    </row>
    <row r="219" spans="1:24" ht="15.6">
      <c r="A219" s="25"/>
      <c r="B219" s="61"/>
      <c r="C219" s="110"/>
      <c r="D219" s="110"/>
      <c r="E219" s="110"/>
      <c r="F219" s="110"/>
      <c r="G219" s="110"/>
      <c r="H219" s="110"/>
      <c r="I219" s="110"/>
      <c r="J219" s="110"/>
      <c r="K219" s="110"/>
      <c r="L219" s="110"/>
      <c r="M219" s="111"/>
      <c r="N219" s="110"/>
      <c r="O219" s="111"/>
      <c r="P219" s="110"/>
      <c r="Q219" s="111"/>
      <c r="R219" s="110"/>
      <c r="S219" s="227"/>
      <c r="T219" s="110"/>
      <c r="U219" s="112"/>
      <c r="V219" s="205"/>
      <c r="W219" s="6"/>
    </row>
    <row r="220" spans="1:24" ht="15.6">
      <c r="A220" s="25"/>
      <c r="B220" s="61" t="s">
        <v>88</v>
      </c>
      <c r="C220" s="110"/>
      <c r="D220" s="110"/>
      <c r="E220" s="110"/>
      <c r="F220" s="110"/>
      <c r="G220" s="110"/>
      <c r="H220" s="110"/>
      <c r="I220" s="110"/>
      <c r="J220" s="110"/>
      <c r="K220" s="110"/>
      <c r="L220" s="110"/>
      <c r="M220" s="111"/>
      <c r="N220" s="110"/>
      <c r="O220" s="111"/>
      <c r="P220" s="110"/>
      <c r="Q220" s="111"/>
      <c r="R220" s="110"/>
      <c r="S220" s="227">
        <f>+N199+S199+N212+S212</f>
        <v>298297</v>
      </c>
      <c r="T220" s="110"/>
      <c r="U220" s="112"/>
      <c r="V220" s="205"/>
      <c r="W220" s="6"/>
      <c r="X220" s="182"/>
    </row>
    <row r="221" spans="1:24" ht="15.6">
      <c r="A221" s="25"/>
      <c r="B221" s="61" t="s">
        <v>89</v>
      </c>
      <c r="C221" s="110"/>
      <c r="D221" s="110"/>
      <c r="E221" s="110"/>
      <c r="F221" s="110"/>
      <c r="G221" s="110"/>
      <c r="H221" s="110"/>
      <c r="I221" s="110"/>
      <c r="J221" s="110"/>
      <c r="K221" s="110"/>
      <c r="L221" s="110"/>
      <c r="M221" s="111"/>
      <c r="N221" s="110"/>
      <c r="O221" s="111"/>
      <c r="P221" s="110"/>
      <c r="Q221" s="111"/>
      <c r="R221" s="110"/>
      <c r="S221" s="227">
        <f>+U79</f>
        <v>0</v>
      </c>
      <c r="T221" s="110"/>
      <c r="U221" s="112"/>
      <c r="V221" s="205"/>
      <c r="W221" s="119"/>
    </row>
    <row r="222" spans="1:24" ht="15.6">
      <c r="A222" s="25"/>
      <c r="B222" s="61" t="s">
        <v>90</v>
      </c>
      <c r="C222" s="110"/>
      <c r="D222" s="110"/>
      <c r="E222" s="110"/>
      <c r="F222" s="110"/>
      <c r="G222" s="110"/>
      <c r="H222" s="110"/>
      <c r="I222" s="110"/>
      <c r="J222" s="110"/>
      <c r="K222" s="110"/>
      <c r="L222" s="110"/>
      <c r="M222" s="111"/>
      <c r="N222" s="110"/>
      <c r="O222" s="111"/>
      <c r="P222" s="110"/>
      <c r="Q222" s="111"/>
      <c r="R222" s="110"/>
      <c r="S222" s="227">
        <f>SUM(S220:S221)</f>
        <v>298297</v>
      </c>
      <c r="T222" s="110"/>
      <c r="U222" s="112"/>
      <c r="V222" s="205"/>
      <c r="W222" s="6"/>
    </row>
    <row r="223" spans="1:24" ht="15.6">
      <c r="A223" s="25"/>
      <c r="B223" s="61"/>
      <c r="C223" s="110"/>
      <c r="D223" s="110"/>
      <c r="E223" s="110"/>
      <c r="F223" s="110"/>
      <c r="G223" s="110"/>
      <c r="H223" s="110"/>
      <c r="I223" s="110"/>
      <c r="J223" s="110"/>
      <c r="K223" s="110"/>
      <c r="L223" s="110"/>
      <c r="M223" s="111"/>
      <c r="N223" s="110"/>
      <c r="O223" s="111"/>
      <c r="P223" s="110"/>
      <c r="Q223" s="111"/>
      <c r="R223" s="110"/>
      <c r="S223" s="113"/>
      <c r="T223" s="110"/>
      <c r="U223" s="112"/>
      <c r="V223" s="205"/>
      <c r="W223" s="6"/>
    </row>
    <row r="224" spans="1:24" ht="15.6">
      <c r="A224" s="25"/>
      <c r="B224" s="61" t="s">
        <v>91</v>
      </c>
      <c r="C224" s="110"/>
      <c r="D224" s="110"/>
      <c r="E224" s="110"/>
      <c r="F224" s="110"/>
      <c r="G224" s="110"/>
      <c r="H224" s="110"/>
      <c r="I224" s="110"/>
      <c r="J224" s="110"/>
      <c r="K224" s="110"/>
      <c r="L224" s="110"/>
      <c r="M224" s="111"/>
      <c r="N224" s="110"/>
      <c r="O224" s="111"/>
      <c r="P224" s="110"/>
      <c r="Q224" s="111"/>
      <c r="R224" s="110"/>
      <c r="S224" s="113">
        <f>U33</f>
        <v>298296.65520000004</v>
      </c>
      <c r="T224" s="110"/>
      <c r="U224" s="112"/>
      <c r="V224" s="205"/>
      <c r="W224" s="6"/>
    </row>
    <row r="225" spans="1:23" ht="15.6">
      <c r="A225" s="25"/>
      <c r="B225" s="61"/>
      <c r="C225" s="110"/>
      <c r="D225" s="110"/>
      <c r="E225" s="110"/>
      <c r="F225" s="110"/>
      <c r="G225" s="110"/>
      <c r="H225" s="110"/>
      <c r="I225" s="110"/>
      <c r="J225" s="110"/>
      <c r="K225" s="110"/>
      <c r="L225" s="110"/>
      <c r="M225" s="111"/>
      <c r="N225" s="110"/>
      <c r="O225" s="111"/>
      <c r="P225" s="110"/>
      <c r="Q225" s="111"/>
      <c r="R225" s="110"/>
      <c r="S225" s="113"/>
      <c r="T225" s="110"/>
      <c r="U225" s="112"/>
      <c r="V225" s="205"/>
      <c r="W225" s="6"/>
    </row>
    <row r="226" spans="1:23" ht="15.6">
      <c r="A226" s="25"/>
      <c r="B226" s="61" t="s">
        <v>92</v>
      </c>
      <c r="C226" s="110"/>
      <c r="D226" s="110"/>
      <c r="E226" s="110"/>
      <c r="F226" s="110"/>
      <c r="G226" s="110"/>
      <c r="H226" s="110"/>
      <c r="I226" s="110"/>
      <c r="J226" s="110"/>
      <c r="K226" s="110"/>
      <c r="L226" s="110"/>
      <c r="M226" s="111"/>
      <c r="N226" s="110"/>
      <c r="O226" s="111"/>
      <c r="P226" s="110"/>
      <c r="Q226" s="111"/>
      <c r="R226" s="110"/>
      <c r="S226" s="113">
        <f>S222/S224</f>
        <v>1.0000011558962998</v>
      </c>
      <c r="T226" s="110"/>
      <c r="U226" s="112"/>
      <c r="V226" s="205"/>
      <c r="W226" s="6"/>
    </row>
    <row r="227" spans="1:23" ht="15.6">
      <c r="A227" s="25"/>
      <c r="B227" s="26"/>
      <c r="C227" s="26"/>
      <c r="D227" s="26"/>
      <c r="E227" s="26"/>
      <c r="F227" s="26"/>
      <c r="G227" s="26"/>
      <c r="H227" s="26"/>
      <c r="I227" s="26"/>
      <c r="J227" s="26"/>
      <c r="K227" s="26"/>
      <c r="L227" s="26"/>
      <c r="M227" s="33"/>
      <c r="N227" s="26"/>
      <c r="O227" s="26"/>
      <c r="P227" s="26"/>
      <c r="Q227" s="59"/>
      <c r="R227" s="120"/>
      <c r="S227" s="60"/>
      <c r="T227" s="120"/>
      <c r="U227" s="89"/>
      <c r="V227" s="196"/>
      <c r="W227" s="6"/>
    </row>
    <row r="228" spans="1:23" ht="15.6">
      <c r="A228" s="121"/>
      <c r="B228" s="30" t="s">
        <v>127</v>
      </c>
      <c r="C228" s="122"/>
      <c r="D228" s="122"/>
      <c r="E228" s="122"/>
      <c r="F228" s="122"/>
      <c r="G228" s="122"/>
      <c r="H228" s="122"/>
      <c r="I228" s="122"/>
      <c r="J228" s="122"/>
      <c r="K228" s="122"/>
      <c r="L228" s="122"/>
      <c r="M228" s="110"/>
      <c r="N228" s="112"/>
      <c r="O228" s="30"/>
      <c r="P228" s="123"/>
      <c r="Q228" s="123"/>
      <c r="R228" s="123"/>
      <c r="S228" s="124"/>
      <c r="T228" s="29"/>
      <c r="U228" s="29"/>
      <c r="V228" s="203"/>
      <c r="W228" s="6"/>
    </row>
    <row r="229" spans="1:23" ht="15.6">
      <c r="A229" s="125"/>
      <c r="B229" s="13" t="s">
        <v>128</v>
      </c>
      <c r="C229" s="126"/>
      <c r="D229" s="126"/>
      <c r="E229" s="126"/>
      <c r="F229" s="126"/>
      <c r="G229" s="126"/>
      <c r="H229" s="126"/>
      <c r="I229" s="126"/>
      <c r="J229" s="126"/>
      <c r="K229" s="126"/>
      <c r="L229" s="126"/>
      <c r="M229" s="127"/>
      <c r="N229" s="13"/>
      <c r="O229" s="13"/>
      <c r="P229" s="126"/>
      <c r="Q229" s="126"/>
      <c r="R229" s="12"/>
      <c r="S229" s="12"/>
      <c r="T229" s="12"/>
      <c r="U229" s="12"/>
      <c r="V229" s="207"/>
      <c r="W229" s="6"/>
    </row>
    <row r="230" spans="1:23" ht="15.6">
      <c r="A230" s="125"/>
      <c r="B230" s="13" t="s">
        <v>246</v>
      </c>
      <c r="C230" s="13"/>
      <c r="D230" s="13"/>
      <c r="E230" s="13"/>
      <c r="F230" s="13"/>
      <c r="G230" s="13"/>
      <c r="H230" s="13"/>
      <c r="I230" s="13"/>
      <c r="J230" s="13"/>
      <c r="K230" s="13"/>
      <c r="L230" s="13"/>
      <c r="M230" s="13"/>
      <c r="N230" s="13"/>
      <c r="O230" s="13"/>
      <c r="P230" s="13"/>
      <c r="Q230" s="13"/>
      <c r="R230" s="13"/>
      <c r="S230" s="13"/>
      <c r="T230" s="13"/>
      <c r="U230" s="13"/>
      <c r="V230" s="207"/>
      <c r="W230" s="6"/>
    </row>
    <row r="231" spans="1:23" ht="15.6">
      <c r="A231" s="125"/>
      <c r="B231" s="13" t="s">
        <v>129</v>
      </c>
      <c r="C231" s="126"/>
      <c r="D231" s="126"/>
      <c r="E231" s="126"/>
      <c r="F231" s="126"/>
      <c r="G231" s="126"/>
      <c r="H231" s="126"/>
      <c r="I231" s="126"/>
      <c r="J231" s="126"/>
      <c r="K231" s="126"/>
      <c r="L231" s="126"/>
      <c r="M231" s="127"/>
      <c r="N231" s="13"/>
      <c r="O231" s="13"/>
      <c r="P231" s="126"/>
      <c r="Q231" s="126"/>
      <c r="R231" s="12"/>
      <c r="S231" s="12"/>
      <c r="T231" s="12"/>
      <c r="U231" s="12"/>
      <c r="V231" s="207"/>
      <c r="W231" s="6"/>
    </row>
    <row r="232" spans="1:23" ht="15.6">
      <c r="A232" s="125"/>
      <c r="B232" s="13"/>
      <c r="C232" s="126"/>
      <c r="D232" s="126"/>
      <c r="E232" s="126"/>
      <c r="F232" s="126"/>
      <c r="G232" s="126"/>
      <c r="H232" s="126"/>
      <c r="I232" s="126"/>
      <c r="J232" s="126"/>
      <c r="K232" s="126"/>
      <c r="L232" s="126"/>
      <c r="M232" s="127"/>
      <c r="N232" s="13"/>
      <c r="O232" s="13"/>
      <c r="P232" s="126"/>
      <c r="Q232" s="126"/>
      <c r="R232" s="12"/>
      <c r="S232" s="12"/>
      <c r="T232" s="12"/>
      <c r="U232" s="12"/>
      <c r="V232" s="207"/>
      <c r="W232" s="6"/>
    </row>
    <row r="233" spans="1:23" ht="15.6">
      <c r="A233" s="125"/>
      <c r="B233" s="13"/>
      <c r="C233" s="126"/>
      <c r="D233" s="126"/>
      <c r="E233" s="126"/>
      <c r="F233" s="126"/>
      <c r="G233" s="126"/>
      <c r="H233" s="126"/>
      <c r="I233" s="126"/>
      <c r="J233" s="126"/>
      <c r="K233" s="126"/>
      <c r="L233" s="126"/>
      <c r="M233" s="127"/>
      <c r="N233" s="13"/>
      <c r="O233" s="13"/>
      <c r="P233" s="126"/>
      <c r="Q233" s="126"/>
      <c r="R233" s="12"/>
      <c r="S233" s="12"/>
      <c r="T233" s="12"/>
      <c r="U233" s="12"/>
      <c r="V233" s="207"/>
      <c r="W233" s="6"/>
    </row>
    <row r="234" spans="1:23" ht="16.2" thickBot="1">
      <c r="A234" s="125"/>
      <c r="B234" s="13" t="str">
        <f>+B161</f>
        <v>PPAF3 INVESTOR REPORT QUARTER ENDING DECEMBER 2009</v>
      </c>
      <c r="C234" s="126"/>
      <c r="D234" s="126"/>
      <c r="E234" s="126"/>
      <c r="F234" s="126"/>
      <c r="G234" s="126"/>
      <c r="H234" s="126"/>
      <c r="I234" s="126"/>
      <c r="J234" s="126"/>
      <c r="K234" s="126"/>
      <c r="L234" s="126"/>
      <c r="M234" s="127"/>
      <c r="N234" s="13"/>
      <c r="O234" s="13"/>
      <c r="P234" s="126"/>
      <c r="Q234" s="126"/>
      <c r="R234" s="12"/>
      <c r="S234" s="12"/>
      <c r="T234" s="12"/>
      <c r="U234" s="12"/>
      <c r="V234" s="208"/>
      <c r="W234" s="6"/>
    </row>
    <row r="235" spans="1:23">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row>
  </sheetData>
  <phoneticPr fontId="0" type="noConversion"/>
  <hyperlinks>
    <hyperlink ref="I9" r:id="rId1"/>
    <hyperlink ref="K188"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16383" man="1"/>
    <brk id="110" max="16383" man="1"/>
    <brk id="161" max="21" man="1"/>
    <brk id="240" man="1"/>
  </rowBreaks>
  <colBreaks count="1" manualBreakCount="1">
    <brk id="23" max="1048575" man="1"/>
  </colBreak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23"/>
  </sheetPr>
  <dimension ref="A1:Y235"/>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 t="s">
        <v>223</v>
      </c>
      <c r="B1" s="3" t="s">
        <v>123</v>
      </c>
      <c r="C1" s="4"/>
      <c r="D1" s="4"/>
      <c r="E1" s="4"/>
      <c r="F1" s="4"/>
      <c r="G1" s="4"/>
      <c r="H1" s="4"/>
      <c r="I1" s="4"/>
      <c r="J1" s="4"/>
      <c r="K1" s="4"/>
      <c r="L1" s="4"/>
      <c r="M1" s="5"/>
      <c r="N1" s="5"/>
      <c r="O1" s="5"/>
      <c r="P1" s="5"/>
      <c r="Q1" s="5"/>
      <c r="R1" s="5"/>
      <c r="S1" s="5"/>
      <c r="T1" s="5"/>
      <c r="U1" s="5"/>
      <c r="V1" s="193"/>
      <c r="W1" s="6"/>
    </row>
    <row r="2" spans="1:23" ht="15.6">
      <c r="A2" s="7"/>
      <c r="B2" s="8"/>
      <c r="C2" s="8"/>
      <c r="D2" s="8"/>
      <c r="E2" s="8"/>
      <c r="F2" s="8"/>
      <c r="G2" s="8"/>
      <c r="H2" s="8"/>
      <c r="I2" s="8"/>
      <c r="J2" s="8"/>
      <c r="K2" s="8"/>
      <c r="L2" s="8"/>
      <c r="M2" s="9"/>
      <c r="N2" s="9"/>
      <c r="O2" s="9"/>
      <c r="P2" s="9"/>
      <c r="Q2" s="9"/>
      <c r="R2" s="9"/>
      <c r="S2" s="9"/>
      <c r="T2" s="9"/>
      <c r="U2" s="9"/>
      <c r="V2" s="194"/>
      <c r="W2" s="6"/>
    </row>
    <row r="3" spans="1:23" ht="15.6">
      <c r="A3" s="10"/>
      <c r="B3" s="141" t="s">
        <v>125</v>
      </c>
      <c r="C3" s="9"/>
      <c r="D3" s="9"/>
      <c r="E3" s="9"/>
      <c r="F3" s="9"/>
      <c r="G3" s="9"/>
      <c r="H3" s="9"/>
      <c r="I3" s="9"/>
      <c r="J3" s="9"/>
      <c r="K3" s="9"/>
      <c r="L3" s="9"/>
      <c r="M3" s="9"/>
      <c r="N3" s="9"/>
      <c r="O3" s="9"/>
      <c r="P3" s="9"/>
      <c r="Q3" s="9"/>
      <c r="R3" s="9"/>
      <c r="S3" s="9"/>
      <c r="T3" s="9"/>
      <c r="U3" s="9"/>
      <c r="V3" s="194"/>
      <c r="W3" s="6"/>
    </row>
    <row r="4" spans="1:23" ht="15.6">
      <c r="A4" s="7"/>
      <c r="B4" s="8"/>
      <c r="C4" s="8"/>
      <c r="D4" s="8"/>
      <c r="E4" s="8"/>
      <c r="F4" s="8"/>
      <c r="G4" s="8"/>
      <c r="H4" s="8"/>
      <c r="I4" s="8"/>
      <c r="J4" s="8"/>
      <c r="K4" s="8"/>
      <c r="L4" s="8"/>
      <c r="M4" s="9"/>
      <c r="N4" s="9"/>
      <c r="O4" s="9"/>
      <c r="P4" s="9"/>
      <c r="Q4" s="9"/>
      <c r="R4" s="9"/>
      <c r="S4" s="9"/>
      <c r="T4" s="9"/>
      <c r="U4" s="9"/>
      <c r="V4" s="194"/>
      <c r="W4" s="6"/>
    </row>
    <row r="5" spans="1:23" ht="16.2">
      <c r="A5" s="7"/>
      <c r="B5" s="192" t="s">
        <v>0</v>
      </c>
      <c r="C5" s="11"/>
      <c r="D5" s="11"/>
      <c r="E5" s="11"/>
      <c r="F5" s="11"/>
      <c r="G5" s="11"/>
      <c r="H5" s="11"/>
      <c r="I5" s="11"/>
      <c r="J5" s="11"/>
      <c r="K5" s="11"/>
      <c r="L5" s="11"/>
      <c r="M5" s="9"/>
      <c r="N5" s="9"/>
      <c r="O5" s="9"/>
      <c r="P5" s="9"/>
      <c r="Q5" s="9"/>
      <c r="R5" s="9"/>
      <c r="S5" s="9"/>
      <c r="T5" s="9"/>
      <c r="U5" s="9"/>
      <c r="V5" s="194"/>
      <c r="W5" s="6"/>
    </row>
    <row r="6" spans="1:23" ht="16.2">
      <c r="A6" s="7"/>
      <c r="B6" s="192" t="s">
        <v>1</v>
      </c>
      <c r="C6" s="11"/>
      <c r="D6" s="11"/>
      <c r="E6" s="11"/>
      <c r="F6" s="11"/>
      <c r="G6" s="11"/>
      <c r="H6" s="11"/>
      <c r="I6" s="11"/>
      <c r="J6" s="11"/>
      <c r="K6" s="11"/>
      <c r="L6" s="11"/>
      <c r="M6" s="9"/>
      <c r="N6" s="9"/>
      <c r="O6" s="9"/>
      <c r="P6" s="9"/>
      <c r="Q6" s="9"/>
      <c r="R6" s="9"/>
      <c r="S6" s="9"/>
      <c r="T6" s="9"/>
      <c r="U6" s="9"/>
      <c r="V6" s="194"/>
      <c r="W6" s="6"/>
    </row>
    <row r="7" spans="1:23" ht="16.2">
      <c r="A7" s="7"/>
      <c r="B7" s="192" t="s">
        <v>2</v>
      </c>
      <c r="C7" s="11"/>
      <c r="D7" s="11"/>
      <c r="E7" s="11"/>
      <c r="F7" s="11"/>
      <c r="G7" s="11"/>
      <c r="H7" s="11"/>
      <c r="I7" s="11"/>
      <c r="J7" s="11"/>
      <c r="K7" s="11"/>
      <c r="L7" s="11"/>
      <c r="M7" s="9"/>
      <c r="N7" s="9"/>
      <c r="O7" s="9"/>
      <c r="P7" s="9"/>
      <c r="Q7" s="9"/>
      <c r="R7" s="9"/>
      <c r="S7" s="9"/>
      <c r="T7" s="9"/>
      <c r="U7" s="9"/>
      <c r="V7" s="194"/>
      <c r="W7" s="6"/>
    </row>
    <row r="8" spans="1:23" ht="16.2">
      <c r="A8" s="7"/>
      <c r="B8" s="12"/>
      <c r="C8" s="11"/>
      <c r="D8" s="11"/>
      <c r="E8" s="11"/>
      <c r="F8" s="11"/>
      <c r="G8" s="11"/>
      <c r="H8" s="11"/>
      <c r="I8" s="11"/>
      <c r="J8" s="11"/>
      <c r="K8" s="11"/>
      <c r="L8" s="11"/>
      <c r="M8" s="9"/>
      <c r="N8" s="9"/>
      <c r="O8" s="9"/>
      <c r="P8" s="9"/>
      <c r="Q8" s="9"/>
      <c r="R8" s="9"/>
      <c r="S8" s="9"/>
      <c r="T8" s="9"/>
      <c r="U8" s="9"/>
      <c r="V8" s="194"/>
      <c r="W8" s="6"/>
    </row>
    <row r="9" spans="1:23" ht="18">
      <c r="A9" s="7"/>
      <c r="B9" s="178" t="s">
        <v>194</v>
      </c>
      <c r="C9" s="11"/>
      <c r="D9" s="11"/>
      <c r="E9" s="11"/>
      <c r="F9" s="11"/>
      <c r="G9" s="11"/>
      <c r="H9" s="11"/>
      <c r="I9" s="179" t="s">
        <v>195</v>
      </c>
      <c r="J9" s="11"/>
      <c r="K9" s="11"/>
      <c r="L9" s="11"/>
      <c r="M9" s="9"/>
      <c r="N9" s="9"/>
      <c r="O9" s="9"/>
      <c r="P9" s="9"/>
      <c r="Q9" s="9"/>
      <c r="R9" s="9"/>
      <c r="S9" s="9"/>
      <c r="T9" s="9"/>
      <c r="U9" s="9"/>
      <c r="V9" s="194"/>
      <c r="W9" s="6"/>
    </row>
    <row r="10" spans="1:23" ht="16.2">
      <c r="A10" s="7"/>
      <c r="B10" s="11"/>
      <c r="C10" s="11"/>
      <c r="D10" s="11"/>
      <c r="E10" s="11"/>
      <c r="F10" s="11"/>
      <c r="G10" s="11"/>
      <c r="H10" s="11"/>
      <c r="I10" s="11"/>
      <c r="J10" s="11"/>
      <c r="K10" s="11"/>
      <c r="L10" s="11"/>
      <c r="M10" s="13"/>
      <c r="N10" s="13"/>
      <c r="O10" s="9"/>
      <c r="P10" s="9"/>
      <c r="Q10" s="9"/>
      <c r="R10" s="9"/>
      <c r="S10" s="9"/>
      <c r="T10" s="9"/>
      <c r="U10" s="9"/>
      <c r="V10" s="194"/>
      <c r="W10" s="6"/>
    </row>
    <row r="11" spans="1:23" ht="15.6">
      <c r="A11" s="7"/>
      <c r="B11" s="13" t="s">
        <v>3</v>
      </c>
      <c r="C11" s="13"/>
      <c r="D11" s="13"/>
      <c r="E11" s="13"/>
      <c r="F11" s="13"/>
      <c r="G11" s="13"/>
      <c r="H11" s="13"/>
      <c r="I11" s="13"/>
      <c r="J11" s="13"/>
      <c r="K11" s="13"/>
      <c r="L11" s="13"/>
      <c r="M11" s="9"/>
      <c r="N11" s="9"/>
      <c r="O11" s="9"/>
      <c r="P11" s="9"/>
      <c r="Q11" s="9"/>
      <c r="R11" s="9"/>
      <c r="S11" s="9"/>
      <c r="T11" s="9"/>
      <c r="U11" s="9"/>
      <c r="V11" s="194"/>
      <c r="W11" s="6"/>
    </row>
    <row r="12" spans="1:23" ht="16.2" thickBot="1">
      <c r="A12" s="7"/>
      <c r="B12" s="13"/>
      <c r="C12" s="13"/>
      <c r="D12" s="13"/>
      <c r="E12" s="13"/>
      <c r="F12" s="13"/>
      <c r="G12" s="13"/>
      <c r="H12" s="13"/>
      <c r="I12" s="13"/>
      <c r="J12" s="13"/>
      <c r="K12" s="13"/>
      <c r="L12" s="13"/>
      <c r="M12" s="9"/>
      <c r="N12" s="9"/>
      <c r="O12" s="9"/>
      <c r="P12" s="9"/>
      <c r="Q12" s="9"/>
      <c r="R12" s="9"/>
      <c r="S12" s="9"/>
      <c r="T12" s="9"/>
      <c r="U12" s="9"/>
      <c r="V12" s="194"/>
      <c r="W12" s="6"/>
    </row>
    <row r="13" spans="1:23" ht="15.6">
      <c r="A13" s="2"/>
      <c r="B13" s="5"/>
      <c r="C13" s="5"/>
      <c r="D13" s="5"/>
      <c r="E13" s="5"/>
      <c r="F13" s="5"/>
      <c r="G13" s="5"/>
      <c r="H13" s="5"/>
      <c r="I13" s="5"/>
      <c r="J13" s="5"/>
      <c r="K13" s="5"/>
      <c r="L13" s="5"/>
      <c r="M13" s="5"/>
      <c r="N13" s="5"/>
      <c r="O13" s="5"/>
      <c r="P13" s="5"/>
      <c r="Q13" s="5"/>
      <c r="R13" s="5"/>
      <c r="S13" s="5"/>
      <c r="T13" s="5"/>
      <c r="U13" s="5"/>
      <c r="V13" s="193"/>
      <c r="W13" s="6"/>
    </row>
    <row r="14" spans="1:23" ht="15.6">
      <c r="A14" s="7"/>
      <c r="B14" s="14" t="s">
        <v>4</v>
      </c>
      <c r="C14" s="14"/>
      <c r="D14" s="14"/>
      <c r="E14" s="14"/>
      <c r="F14" s="14"/>
      <c r="G14" s="14"/>
      <c r="H14" s="14"/>
      <c r="I14" s="14"/>
      <c r="J14" s="14"/>
      <c r="K14" s="14"/>
      <c r="L14" s="14"/>
      <c r="M14" s="15"/>
      <c r="N14" s="15"/>
      <c r="O14" s="15"/>
      <c r="P14" s="15"/>
      <c r="Q14" s="15"/>
      <c r="R14" s="15"/>
      <c r="S14" s="15"/>
      <c r="T14" s="15"/>
      <c r="U14" s="16" t="s">
        <v>126</v>
      </c>
      <c r="V14" s="194"/>
      <c r="W14" s="6"/>
    </row>
    <row r="15" spans="1:23" ht="15.6">
      <c r="A15" s="7"/>
      <c r="B15" s="14" t="s">
        <v>5</v>
      </c>
      <c r="C15" s="14"/>
      <c r="D15" s="14"/>
      <c r="E15" s="14"/>
      <c r="F15" s="14"/>
      <c r="G15" s="14"/>
      <c r="H15" s="14"/>
      <c r="I15" s="14"/>
      <c r="J15" s="14"/>
      <c r="K15" s="14"/>
      <c r="L15" s="14"/>
      <c r="M15" s="17" t="s">
        <v>93</v>
      </c>
      <c r="N15" s="18">
        <v>0.1492</v>
      </c>
      <c r="O15" s="17" t="s">
        <v>99</v>
      </c>
      <c r="P15" s="18">
        <v>5.4399999999999997E-2</v>
      </c>
      <c r="Q15" s="17" t="s">
        <v>102</v>
      </c>
      <c r="R15" s="18">
        <v>0.48899999999999999</v>
      </c>
      <c r="S15" s="17" t="s">
        <v>108</v>
      </c>
      <c r="T15" s="18">
        <v>0.30740000000000001</v>
      </c>
      <c r="U15" s="16"/>
      <c r="V15" s="195"/>
      <c r="W15" s="6"/>
    </row>
    <row r="16" spans="1:23" ht="15.6">
      <c r="A16" s="7"/>
      <c r="B16" s="14" t="s">
        <v>6</v>
      </c>
      <c r="C16" s="14"/>
      <c r="D16" s="14"/>
      <c r="E16" s="14"/>
      <c r="F16" s="14"/>
      <c r="G16" s="14"/>
      <c r="H16" s="14"/>
      <c r="I16" s="14"/>
      <c r="J16" s="14"/>
      <c r="K16" s="14"/>
      <c r="L16" s="14"/>
      <c r="M16" s="17" t="s">
        <v>93</v>
      </c>
      <c r="N16" s="18">
        <f>+N199/S222</f>
        <v>2.6684496963352285E-2</v>
      </c>
      <c r="O16" s="17" t="s">
        <v>99</v>
      </c>
      <c r="P16" s="18">
        <f>+S199/S222</f>
        <v>1.2343775768483396E-2</v>
      </c>
      <c r="Q16" s="17" t="s">
        <v>102</v>
      </c>
      <c r="R16" s="18">
        <f>+N212/S222</f>
        <v>0.85156636527250951</v>
      </c>
      <c r="S16" s="17" t="s">
        <v>108</v>
      </c>
      <c r="T16" s="18">
        <f>+S212/S222</f>
        <v>0.10940536199565476</v>
      </c>
      <c r="U16" s="16"/>
      <c r="V16" s="195"/>
      <c r="W16" s="6"/>
    </row>
    <row r="17" spans="1:23" ht="15.6">
      <c r="A17" s="7"/>
      <c r="B17" s="14" t="s">
        <v>7</v>
      </c>
      <c r="C17" s="14"/>
      <c r="D17" s="14"/>
      <c r="E17" s="14"/>
      <c r="F17" s="14"/>
      <c r="G17" s="14"/>
      <c r="H17" s="14"/>
      <c r="I17" s="14"/>
      <c r="J17" s="14"/>
      <c r="K17" s="14"/>
      <c r="L17" s="14"/>
      <c r="M17" s="15"/>
      <c r="N17" s="15"/>
      <c r="O17" s="15"/>
      <c r="P17" s="15"/>
      <c r="Q17" s="15"/>
      <c r="R17" s="15"/>
      <c r="S17" s="15"/>
      <c r="T17" s="15"/>
      <c r="U17" s="19">
        <v>38491</v>
      </c>
      <c r="V17" s="194"/>
      <c r="W17" s="6"/>
    </row>
    <row r="18" spans="1:23" ht="15.6">
      <c r="A18" s="7"/>
      <c r="B18" s="14" t="s">
        <v>8</v>
      </c>
      <c r="C18" s="14"/>
      <c r="D18" s="14"/>
      <c r="E18" s="14"/>
      <c r="F18" s="14"/>
      <c r="G18" s="14"/>
      <c r="H18" s="14"/>
      <c r="I18" s="14"/>
      <c r="J18" s="14"/>
      <c r="K18" s="14"/>
      <c r="L18" s="14"/>
      <c r="M18" s="15"/>
      <c r="N18" s="15"/>
      <c r="O18" s="15"/>
      <c r="P18" s="15"/>
      <c r="Q18" s="15"/>
      <c r="R18" s="15"/>
      <c r="S18" s="15"/>
      <c r="T18" s="15"/>
      <c r="U18" s="19">
        <v>40289</v>
      </c>
      <c r="V18" s="194"/>
      <c r="W18" s="6"/>
    </row>
    <row r="19" spans="1:23" ht="15.6">
      <c r="A19" s="7"/>
      <c r="B19" s="9"/>
      <c r="C19" s="9"/>
      <c r="D19" s="9"/>
      <c r="E19" s="9"/>
      <c r="F19" s="9"/>
      <c r="G19" s="9"/>
      <c r="H19" s="9"/>
      <c r="I19" s="9"/>
      <c r="J19" s="9"/>
      <c r="K19" s="9"/>
      <c r="L19" s="9"/>
      <c r="M19" s="9"/>
      <c r="N19" s="9"/>
      <c r="O19" s="9"/>
      <c r="P19" s="9"/>
      <c r="Q19" s="9"/>
      <c r="R19" s="9"/>
      <c r="S19" s="9"/>
      <c r="T19" s="9"/>
      <c r="U19" s="20"/>
      <c r="V19" s="194"/>
      <c r="W19" s="6"/>
    </row>
    <row r="20" spans="1:23" ht="15.6">
      <c r="A20" s="7"/>
      <c r="B20" s="21" t="s">
        <v>9</v>
      </c>
      <c r="C20" s="9"/>
      <c r="D20" s="9"/>
      <c r="E20" s="9"/>
      <c r="F20" s="9"/>
      <c r="G20" s="9"/>
      <c r="H20" s="9"/>
      <c r="I20" s="9"/>
      <c r="J20" s="9"/>
      <c r="K20" s="9"/>
      <c r="L20" s="9"/>
      <c r="M20" s="9"/>
      <c r="N20" s="9"/>
      <c r="O20" s="9"/>
      <c r="P20" s="9"/>
      <c r="Q20" s="9"/>
      <c r="R20" s="9"/>
      <c r="S20" s="20"/>
      <c r="T20" s="9"/>
      <c r="U20" s="12"/>
      <c r="V20" s="194"/>
      <c r="W20" s="6"/>
    </row>
    <row r="21" spans="1:23" ht="15.6">
      <c r="A21" s="7"/>
      <c r="B21" s="9"/>
      <c r="C21" s="9"/>
      <c r="D21" s="9"/>
      <c r="E21" s="9"/>
      <c r="F21" s="9"/>
      <c r="G21" s="9"/>
      <c r="H21" s="9"/>
      <c r="I21" s="9"/>
      <c r="J21" s="9"/>
      <c r="K21" s="9"/>
      <c r="L21" s="9"/>
      <c r="M21" s="9"/>
      <c r="N21" s="9"/>
      <c r="O21" s="9"/>
      <c r="P21" s="9"/>
      <c r="Q21" s="9"/>
      <c r="R21" s="9"/>
      <c r="S21" s="9"/>
      <c r="T21" s="9"/>
      <c r="U21" s="22"/>
      <c r="V21" s="194"/>
      <c r="W21" s="6"/>
    </row>
    <row r="22" spans="1:23" ht="15.6">
      <c r="A22" s="7"/>
      <c r="B22" s="9"/>
      <c r="C22" s="142" t="s">
        <v>130</v>
      </c>
      <c r="D22" s="142"/>
      <c r="E22" s="142" t="s">
        <v>131</v>
      </c>
      <c r="F22" s="142"/>
      <c r="G22" s="142" t="s">
        <v>132</v>
      </c>
      <c r="H22" s="142"/>
      <c r="I22" s="142" t="s">
        <v>133</v>
      </c>
      <c r="J22" s="142"/>
      <c r="K22" s="142" t="s">
        <v>134</v>
      </c>
      <c r="L22" s="142"/>
      <c r="M22" s="144" t="s">
        <v>135</v>
      </c>
      <c r="N22" s="144"/>
      <c r="O22" s="144" t="s">
        <v>136</v>
      </c>
      <c r="P22" s="144"/>
      <c r="Q22" s="144" t="s">
        <v>137</v>
      </c>
      <c r="R22" s="23"/>
      <c r="S22" s="24"/>
      <c r="T22" s="12"/>
      <c r="U22" s="12"/>
      <c r="V22" s="194"/>
      <c r="W22" s="6"/>
    </row>
    <row r="23" spans="1:23" ht="15.6">
      <c r="A23" s="25"/>
      <c r="B23" s="26" t="s">
        <v>10</v>
      </c>
      <c r="C23" s="157" t="s">
        <v>96</v>
      </c>
      <c r="D23" s="157"/>
      <c r="E23" s="157" t="s">
        <v>96</v>
      </c>
      <c r="F23" s="157"/>
      <c r="G23" s="157" t="s">
        <v>138</v>
      </c>
      <c r="H23" s="157"/>
      <c r="I23" s="157" t="s">
        <v>138</v>
      </c>
      <c r="J23" s="157"/>
      <c r="K23" s="157" t="s">
        <v>104</v>
      </c>
      <c r="L23" s="143"/>
      <c r="M23" s="28" t="s">
        <v>104</v>
      </c>
      <c r="N23" s="28"/>
      <c r="O23" s="28" t="s">
        <v>109</v>
      </c>
      <c r="P23" s="28"/>
      <c r="Q23" s="28" t="s">
        <v>109</v>
      </c>
      <c r="R23" s="28"/>
      <c r="S23" s="28"/>
      <c r="T23" s="29"/>
      <c r="U23" s="29"/>
      <c r="V23" s="196"/>
      <c r="W23" s="6"/>
    </row>
    <row r="24" spans="1:23" ht="15.6">
      <c r="A24" s="25"/>
      <c r="B24" s="26" t="s">
        <v>11</v>
      </c>
      <c r="C24" s="157" t="s">
        <v>97</v>
      </c>
      <c r="D24" s="157"/>
      <c r="E24" s="157" t="s">
        <v>97</v>
      </c>
      <c r="F24" s="157"/>
      <c r="G24" s="157" t="s">
        <v>139</v>
      </c>
      <c r="H24" s="157"/>
      <c r="I24" s="157" t="s">
        <v>139</v>
      </c>
      <c r="J24" s="157"/>
      <c r="K24" s="157" t="s">
        <v>105</v>
      </c>
      <c r="L24" s="27"/>
      <c r="M24" s="28" t="s">
        <v>105</v>
      </c>
      <c r="N24" s="28"/>
      <c r="O24" s="28" t="s">
        <v>110</v>
      </c>
      <c r="P24" s="28"/>
      <c r="Q24" s="28" t="s">
        <v>110</v>
      </c>
      <c r="R24" s="28"/>
      <c r="S24" s="28"/>
      <c r="T24" s="29"/>
      <c r="U24" s="29"/>
      <c r="V24" s="196"/>
      <c r="W24" s="6"/>
    </row>
    <row r="25" spans="1:23" ht="15.6">
      <c r="A25" s="25"/>
      <c r="B25" s="30" t="s">
        <v>12</v>
      </c>
      <c r="C25" s="110" t="s">
        <v>96</v>
      </c>
      <c r="D25" s="110"/>
      <c r="E25" s="110" t="s">
        <v>96</v>
      </c>
      <c r="F25" s="110"/>
      <c r="G25" s="110" t="s">
        <v>138</v>
      </c>
      <c r="H25" s="110"/>
      <c r="I25" s="110" t="s">
        <v>138</v>
      </c>
      <c r="J25" s="30"/>
      <c r="K25" s="110" t="s">
        <v>104</v>
      </c>
      <c r="L25" s="30"/>
      <c r="M25" s="31" t="s">
        <v>104</v>
      </c>
      <c r="N25" s="28"/>
      <c r="O25" s="31" t="s">
        <v>109</v>
      </c>
      <c r="P25" s="28"/>
      <c r="Q25" s="31" t="s">
        <v>109</v>
      </c>
      <c r="R25" s="31"/>
      <c r="S25" s="31"/>
      <c r="T25" s="32"/>
      <c r="U25" s="29"/>
      <c r="V25" s="196"/>
      <c r="W25" s="6"/>
    </row>
    <row r="26" spans="1:23" ht="15.6">
      <c r="A26" s="25"/>
      <c r="B26" s="30" t="s">
        <v>13</v>
      </c>
      <c r="C26" s="110" t="s">
        <v>97</v>
      </c>
      <c r="D26" s="110"/>
      <c r="E26" s="110" t="s">
        <v>97</v>
      </c>
      <c r="F26" s="110"/>
      <c r="G26" s="110" t="s">
        <v>139</v>
      </c>
      <c r="H26" s="110"/>
      <c r="I26" s="110" t="s">
        <v>139</v>
      </c>
      <c r="J26" s="30"/>
      <c r="K26" s="110" t="s">
        <v>105</v>
      </c>
      <c r="L26" s="30"/>
      <c r="M26" s="31" t="s">
        <v>105</v>
      </c>
      <c r="N26" s="28"/>
      <c r="O26" s="31" t="s">
        <v>110</v>
      </c>
      <c r="P26" s="28"/>
      <c r="Q26" s="31" t="s">
        <v>110</v>
      </c>
      <c r="R26" s="31"/>
      <c r="S26" s="31"/>
      <c r="T26" s="32"/>
      <c r="U26" s="29"/>
      <c r="V26" s="196"/>
      <c r="W26" s="6"/>
    </row>
    <row r="27" spans="1:23" ht="15.6">
      <c r="A27" s="25"/>
      <c r="B27" s="26" t="s">
        <v>14</v>
      </c>
      <c r="C27" s="33" t="s">
        <v>140</v>
      </c>
      <c r="D27" s="26"/>
      <c r="E27" s="33" t="s">
        <v>141</v>
      </c>
      <c r="F27" s="26"/>
      <c r="G27" s="33" t="s">
        <v>142</v>
      </c>
      <c r="H27" s="26"/>
      <c r="I27" s="33" t="s">
        <v>258</v>
      </c>
      <c r="J27" s="26"/>
      <c r="K27" s="33" t="s">
        <v>143</v>
      </c>
      <c r="L27" s="26"/>
      <c r="M27" s="26" t="s">
        <v>144</v>
      </c>
      <c r="N27" s="28"/>
      <c r="O27" s="26" t="s">
        <v>145</v>
      </c>
      <c r="P27" s="28"/>
      <c r="Q27" s="26" t="s">
        <v>146</v>
      </c>
      <c r="R27" s="28"/>
      <c r="S27" s="33"/>
      <c r="T27" s="29"/>
      <c r="U27" s="29"/>
      <c r="V27" s="196"/>
      <c r="W27" s="6"/>
    </row>
    <row r="28" spans="1:23" ht="15.6">
      <c r="A28" s="25"/>
      <c r="B28" s="26" t="s">
        <v>147</v>
      </c>
      <c r="C28" s="168">
        <v>146000</v>
      </c>
      <c r="D28" s="33"/>
      <c r="E28" s="165">
        <v>259500</v>
      </c>
      <c r="F28" s="33"/>
      <c r="G28" s="168">
        <v>16000</v>
      </c>
      <c r="H28" s="33"/>
      <c r="I28" s="165">
        <v>35500</v>
      </c>
      <c r="J28" s="26"/>
      <c r="K28" s="168">
        <v>18000</v>
      </c>
      <c r="L28" s="26"/>
      <c r="M28" s="165">
        <v>33000</v>
      </c>
      <c r="N28" s="35"/>
      <c r="O28" s="34">
        <v>24500</v>
      </c>
      <c r="P28" s="34"/>
      <c r="Q28" s="165">
        <v>30000</v>
      </c>
      <c r="R28" s="34"/>
      <c r="S28" s="34"/>
      <c r="T28" s="36"/>
      <c r="U28" s="34"/>
      <c r="V28" s="197"/>
      <c r="W28" s="6"/>
    </row>
    <row r="29" spans="1:23" ht="15.6">
      <c r="A29" s="25"/>
      <c r="B29" s="26" t="s">
        <v>15</v>
      </c>
      <c r="C29" s="168">
        <f>C28*C35</f>
        <v>77639.8508</v>
      </c>
      <c r="D29" s="169"/>
      <c r="E29" s="165">
        <f>E28*E35</f>
        <v>137996.85810000001</v>
      </c>
      <c r="F29" s="169"/>
      <c r="G29" s="168">
        <v>16000</v>
      </c>
      <c r="H29" s="169"/>
      <c r="I29" s="165">
        <v>35500</v>
      </c>
      <c r="J29" s="38"/>
      <c r="K29" s="168">
        <v>18000</v>
      </c>
      <c r="L29" s="38"/>
      <c r="M29" s="165">
        <v>33000</v>
      </c>
      <c r="N29" s="35"/>
      <c r="O29" s="34">
        <v>24500</v>
      </c>
      <c r="P29" s="34"/>
      <c r="Q29" s="165">
        <v>30000</v>
      </c>
      <c r="R29" s="39"/>
      <c r="S29" s="34"/>
      <c r="T29" s="36"/>
      <c r="U29" s="34"/>
      <c r="V29" s="197"/>
      <c r="W29" s="6"/>
    </row>
    <row r="30" spans="1:23" ht="15.6">
      <c r="A30" s="40"/>
      <c r="B30" s="30" t="s">
        <v>148</v>
      </c>
      <c r="C30" s="162">
        <f>C34*C28</f>
        <v>68911.211599999995</v>
      </c>
      <c r="D30" s="170"/>
      <c r="E30" s="171">
        <f>E34*E28</f>
        <v>122482.5987</v>
      </c>
      <c r="F30" s="170"/>
      <c r="G30" s="162">
        <v>16000</v>
      </c>
      <c r="H30" s="170"/>
      <c r="I30" s="171">
        <v>35500</v>
      </c>
      <c r="J30" s="159"/>
      <c r="K30" s="162">
        <v>18000</v>
      </c>
      <c r="L30" s="41"/>
      <c r="M30" s="166">
        <v>33000</v>
      </c>
      <c r="N30" s="43"/>
      <c r="O30" s="42">
        <v>24500</v>
      </c>
      <c r="P30" s="42"/>
      <c r="Q30" s="166">
        <v>30000</v>
      </c>
      <c r="R30" s="42"/>
      <c r="S30" s="42"/>
      <c r="T30" s="44"/>
      <c r="U30" s="42"/>
      <c r="V30" s="196"/>
      <c r="W30" s="6"/>
    </row>
    <row r="31" spans="1:23" ht="15.6">
      <c r="A31" s="40"/>
      <c r="B31" s="158" t="s">
        <v>260</v>
      </c>
      <c r="C31" s="172">
        <v>146000</v>
      </c>
      <c r="D31" s="173"/>
      <c r="E31" s="172">
        <v>178000</v>
      </c>
      <c r="F31" s="172"/>
      <c r="G31" s="172">
        <v>16000</v>
      </c>
      <c r="H31" s="172"/>
      <c r="I31" s="172">
        <v>24500</v>
      </c>
      <c r="J31" s="161"/>
      <c r="K31" s="172">
        <v>18000</v>
      </c>
      <c r="L31" s="161"/>
      <c r="M31" s="167">
        <v>22500</v>
      </c>
      <c r="N31" s="164"/>
      <c r="O31" s="167">
        <v>24500</v>
      </c>
      <c r="P31" s="163"/>
      <c r="Q31" s="167">
        <v>20500</v>
      </c>
      <c r="R31" s="42"/>
      <c r="S31" s="42"/>
      <c r="T31" s="44"/>
      <c r="U31" s="34">
        <f>+Q31+O31+M31+K31+I31+G31+E31+C31</f>
        <v>450000</v>
      </c>
      <c r="V31" s="196"/>
      <c r="W31" s="6"/>
    </row>
    <row r="32" spans="1:23" ht="15.6">
      <c r="A32" s="40"/>
      <c r="B32" s="158" t="s">
        <v>261</v>
      </c>
      <c r="C32" s="172">
        <f>C28*C35</f>
        <v>77639.8508</v>
      </c>
      <c r="D32" s="173"/>
      <c r="E32" s="172">
        <f>E31*E35</f>
        <v>94656.804400000008</v>
      </c>
      <c r="F32" s="172"/>
      <c r="G32" s="172">
        <v>16000</v>
      </c>
      <c r="H32" s="172"/>
      <c r="I32" s="172">
        <v>24500</v>
      </c>
      <c r="J32" s="161"/>
      <c r="K32" s="172">
        <v>18000</v>
      </c>
      <c r="L32" s="161"/>
      <c r="M32" s="167">
        <v>22500</v>
      </c>
      <c r="N32" s="164"/>
      <c r="O32" s="167">
        <v>24500</v>
      </c>
      <c r="P32" s="163"/>
      <c r="Q32" s="167">
        <v>20500</v>
      </c>
      <c r="R32" s="42"/>
      <c r="S32" s="42"/>
      <c r="T32" s="44"/>
      <c r="U32" s="34">
        <f>+Q32+O32+M32+K32+I32+G32+E32+C32</f>
        <v>298296.65520000004</v>
      </c>
      <c r="V32" s="196"/>
      <c r="W32" s="6"/>
    </row>
    <row r="33" spans="1:23" ht="15.6">
      <c r="A33" s="40"/>
      <c r="B33" s="30" t="s">
        <v>262</v>
      </c>
      <c r="C33" s="162">
        <f>C34*C28</f>
        <v>68911.211599999995</v>
      </c>
      <c r="D33" s="162"/>
      <c r="E33" s="162">
        <f>E34*E31</f>
        <v>84015.038799999995</v>
      </c>
      <c r="F33" s="162"/>
      <c r="G33" s="162">
        <v>16000</v>
      </c>
      <c r="H33" s="162"/>
      <c r="I33" s="162">
        <v>24500</v>
      </c>
      <c r="J33" s="160"/>
      <c r="K33" s="162">
        <v>18000</v>
      </c>
      <c r="L33" s="160"/>
      <c r="M33" s="162">
        <v>22500</v>
      </c>
      <c r="N33" s="160"/>
      <c r="O33" s="162">
        <v>24500</v>
      </c>
      <c r="P33" s="162"/>
      <c r="Q33" s="162">
        <v>20500</v>
      </c>
      <c r="R33" s="42"/>
      <c r="S33" s="42"/>
      <c r="T33" s="44"/>
      <c r="U33" s="42">
        <f>+Q33+O33+M33+K33+I33+G33+E33+C33</f>
        <v>278926.25039999996</v>
      </c>
      <c r="V33" s="196"/>
      <c r="W33" s="6"/>
    </row>
    <row r="34" spans="1:23" ht="15.6">
      <c r="A34" s="40"/>
      <c r="B34" s="174" t="s">
        <v>149</v>
      </c>
      <c r="C34" s="175">
        <v>0.47199459999999999</v>
      </c>
      <c r="D34" s="175"/>
      <c r="E34" s="175">
        <v>0.47199459999999999</v>
      </c>
      <c r="F34" s="175"/>
      <c r="G34" s="175">
        <v>1</v>
      </c>
      <c r="H34" s="175"/>
      <c r="I34" s="175">
        <v>1</v>
      </c>
      <c r="J34" s="175"/>
      <c r="K34" s="175">
        <v>1</v>
      </c>
      <c r="L34" s="175"/>
      <c r="M34" s="175">
        <v>1</v>
      </c>
      <c r="N34" s="175"/>
      <c r="O34" s="175">
        <v>1</v>
      </c>
      <c r="P34" s="175"/>
      <c r="Q34" s="175">
        <v>1</v>
      </c>
      <c r="R34" s="176"/>
      <c r="S34" s="42"/>
      <c r="T34" s="44"/>
      <c r="U34" s="42"/>
      <c r="V34" s="196"/>
      <c r="W34" s="6"/>
    </row>
    <row r="35" spans="1:23" ht="15.6">
      <c r="A35" s="40"/>
      <c r="B35" s="174" t="s">
        <v>150</v>
      </c>
      <c r="C35" s="175">
        <v>0.53177980000000002</v>
      </c>
      <c r="D35" s="175"/>
      <c r="E35" s="175">
        <v>0.53177980000000002</v>
      </c>
      <c r="F35" s="175"/>
      <c r="G35" s="175">
        <v>1</v>
      </c>
      <c r="H35" s="175"/>
      <c r="I35" s="175">
        <v>1</v>
      </c>
      <c r="J35" s="175"/>
      <c r="K35" s="175">
        <v>1</v>
      </c>
      <c r="L35" s="175"/>
      <c r="M35" s="175">
        <v>1</v>
      </c>
      <c r="N35" s="175"/>
      <c r="O35" s="175">
        <v>1</v>
      </c>
      <c r="P35" s="175"/>
      <c r="Q35" s="175">
        <v>1</v>
      </c>
      <c r="R35" s="176"/>
      <c r="S35" s="42"/>
      <c r="T35" s="44"/>
      <c r="U35" s="42"/>
      <c r="V35" s="196"/>
      <c r="W35" s="6"/>
    </row>
    <row r="36" spans="1:23" ht="15.6">
      <c r="A36" s="25"/>
      <c r="B36" s="26" t="s">
        <v>153</v>
      </c>
      <c r="C36" s="157" t="s">
        <v>157</v>
      </c>
      <c r="D36" s="157"/>
      <c r="E36" s="157" t="s">
        <v>157</v>
      </c>
      <c r="F36" s="157"/>
      <c r="G36" s="157" t="s">
        <v>158</v>
      </c>
      <c r="H36" s="157"/>
      <c r="I36" s="157" t="s">
        <v>158</v>
      </c>
      <c r="J36" s="157"/>
      <c r="K36" s="157" t="s">
        <v>159</v>
      </c>
      <c r="L36" s="184"/>
      <c r="M36" s="157" t="s">
        <v>160</v>
      </c>
      <c r="N36" s="158"/>
      <c r="O36" s="157" t="s">
        <v>161</v>
      </c>
      <c r="P36" s="157"/>
      <c r="Q36" s="157" t="s">
        <v>162</v>
      </c>
      <c r="R36" s="157"/>
      <c r="S36" s="157"/>
      <c r="T36" s="158"/>
      <c r="U36" s="29"/>
      <c r="V36" s="196"/>
      <c r="W36" s="6"/>
    </row>
    <row r="37" spans="1:23" ht="15.6">
      <c r="A37" s="25"/>
      <c r="B37" s="26" t="s">
        <v>151</v>
      </c>
      <c r="C37" s="185">
        <v>8.3000000000000001E-3</v>
      </c>
      <c r="D37" s="185"/>
      <c r="E37" s="185">
        <v>9.0399999999999994E-3</v>
      </c>
      <c r="F37" s="185"/>
      <c r="G37" s="185">
        <v>9.4000000000000004E-3</v>
      </c>
      <c r="H37" s="185"/>
      <c r="I37" s="185">
        <v>1.014E-2</v>
      </c>
      <c r="J37" s="185"/>
      <c r="K37" s="185">
        <v>1.21E-2</v>
      </c>
      <c r="L37" s="185"/>
      <c r="M37" s="185">
        <v>1.2540000000000001E-2</v>
      </c>
      <c r="N37" s="185"/>
      <c r="O37" s="185">
        <v>1.5599999999999999E-2</v>
      </c>
      <c r="P37" s="185"/>
      <c r="Q37" s="185">
        <v>1.584E-2</v>
      </c>
      <c r="R37" s="186"/>
      <c r="S37" s="185"/>
      <c r="T37" s="158"/>
      <c r="U37" s="33"/>
      <c r="V37" s="196"/>
      <c r="W37" s="6"/>
    </row>
    <row r="38" spans="1:23" ht="15.6">
      <c r="A38" s="25"/>
      <c r="B38" s="26" t="s">
        <v>152</v>
      </c>
      <c r="C38" s="185">
        <v>7.8813000000000008E-3</v>
      </c>
      <c r="D38" s="185"/>
      <c r="E38" s="185">
        <v>9.6200000000000001E-3</v>
      </c>
      <c r="F38" s="185"/>
      <c r="G38" s="185">
        <v>8.9812999999999994E-3</v>
      </c>
      <c r="H38" s="185"/>
      <c r="I38" s="185">
        <v>1.072E-2</v>
      </c>
      <c r="J38" s="185"/>
      <c r="K38" s="185">
        <v>1.16813E-2</v>
      </c>
      <c r="L38" s="185"/>
      <c r="M38" s="185">
        <v>1.312E-2</v>
      </c>
      <c r="N38" s="185"/>
      <c r="O38" s="185">
        <v>1.51813E-2</v>
      </c>
      <c r="P38" s="185"/>
      <c r="Q38" s="185">
        <v>1.6420000000000001E-2</v>
      </c>
      <c r="R38" s="186"/>
      <c r="S38" s="185"/>
      <c r="T38" s="158"/>
      <c r="U38" s="29"/>
      <c r="V38" s="196"/>
      <c r="W38" s="6"/>
    </row>
    <row r="39" spans="1:23" ht="15.6">
      <c r="A39" s="25"/>
      <c r="B39" s="26" t="s">
        <v>263</v>
      </c>
      <c r="C39" s="157" t="s">
        <v>157</v>
      </c>
      <c r="D39" s="185"/>
      <c r="E39" s="185" t="s">
        <v>198</v>
      </c>
      <c r="F39" s="185"/>
      <c r="G39" s="157" t="s">
        <v>158</v>
      </c>
      <c r="H39" s="185"/>
      <c r="I39" s="185" t="s">
        <v>225</v>
      </c>
      <c r="J39" s="185"/>
      <c r="K39" s="157" t="s">
        <v>159</v>
      </c>
      <c r="L39" s="185"/>
      <c r="M39" s="185" t="s">
        <v>199</v>
      </c>
      <c r="N39" s="185"/>
      <c r="O39" s="157" t="s">
        <v>161</v>
      </c>
      <c r="P39" s="185"/>
      <c r="Q39" s="185" t="s">
        <v>200</v>
      </c>
      <c r="R39" s="186"/>
      <c r="S39" s="185"/>
      <c r="T39" s="158"/>
      <c r="U39" s="29"/>
      <c r="V39" s="196"/>
      <c r="W39" s="6"/>
    </row>
    <row r="40" spans="1:23" ht="15.6">
      <c r="A40" s="25"/>
      <c r="B40" s="26" t="s">
        <v>264</v>
      </c>
      <c r="C40" s="185">
        <f>+C37</f>
        <v>8.3000000000000001E-3</v>
      </c>
      <c r="D40" s="185"/>
      <c r="E40" s="185">
        <v>8.5880000000000001E-3</v>
      </c>
      <c r="F40" s="185"/>
      <c r="G40" s="185">
        <f>+G37</f>
        <v>9.4000000000000004E-3</v>
      </c>
      <c r="H40" s="185"/>
      <c r="I40" s="185">
        <v>9.7664999999999991E-3</v>
      </c>
      <c r="J40" s="185"/>
      <c r="K40" s="185">
        <f>+K37</f>
        <v>1.21E-2</v>
      </c>
      <c r="L40" s="184"/>
      <c r="M40" s="185">
        <v>1.2380199999999999E-2</v>
      </c>
      <c r="N40" s="184"/>
      <c r="O40" s="185">
        <f>+O37</f>
        <v>1.5599999999999999E-2</v>
      </c>
      <c r="P40" s="185"/>
      <c r="Q40" s="185">
        <v>1.6013199999999998E-2</v>
      </c>
      <c r="R40" s="186"/>
      <c r="S40" s="185"/>
      <c r="T40" s="158"/>
      <c r="U40" s="45">
        <f>SUMPRODUCT(C40:Q40,C32:Q32)/U32</f>
        <v>1.0237552766991937E-2</v>
      </c>
      <c r="V40" s="196"/>
      <c r="W40" s="6"/>
    </row>
    <row r="41" spans="1:23" ht="15.6">
      <c r="A41" s="25"/>
      <c r="B41" s="26" t="s">
        <v>265</v>
      </c>
      <c r="C41" s="185">
        <f>+C38</f>
        <v>7.8813000000000008E-3</v>
      </c>
      <c r="D41" s="185"/>
      <c r="E41" s="185">
        <v>8.1693000000000009E-3</v>
      </c>
      <c r="F41" s="185"/>
      <c r="G41" s="185">
        <f>+G38</f>
        <v>8.9812999999999994E-3</v>
      </c>
      <c r="H41" s="185"/>
      <c r="I41" s="185">
        <v>9.3477999999999999E-3</v>
      </c>
      <c r="J41" s="185"/>
      <c r="K41" s="185">
        <f>+K38</f>
        <v>1.16813E-2</v>
      </c>
      <c r="L41" s="184"/>
      <c r="M41" s="185">
        <v>1.19615E-2</v>
      </c>
      <c r="N41" s="184"/>
      <c r="O41" s="185">
        <f>+O38</f>
        <v>1.51813E-2</v>
      </c>
      <c r="P41" s="185"/>
      <c r="Q41" s="185">
        <v>1.5594500000000001E-2</v>
      </c>
      <c r="R41" s="186"/>
      <c r="S41" s="185"/>
      <c r="T41" s="158"/>
      <c r="U41" s="29"/>
      <c r="V41" s="196"/>
      <c r="W41" s="6"/>
    </row>
    <row r="42" spans="1:23" ht="15.6">
      <c r="A42" s="25"/>
      <c r="B42" s="26" t="s">
        <v>17</v>
      </c>
      <c r="C42" s="187">
        <v>39918</v>
      </c>
      <c r="D42" s="187"/>
      <c r="E42" s="187">
        <v>39918</v>
      </c>
      <c r="F42" s="187"/>
      <c r="G42" s="187">
        <v>39918</v>
      </c>
      <c r="H42" s="187"/>
      <c r="I42" s="187">
        <v>39918</v>
      </c>
      <c r="J42" s="187"/>
      <c r="K42" s="187">
        <v>39918</v>
      </c>
      <c r="L42" s="187"/>
      <c r="M42" s="187">
        <v>39918</v>
      </c>
      <c r="N42" s="187"/>
      <c r="O42" s="187">
        <v>39918</v>
      </c>
      <c r="P42" s="187"/>
      <c r="Q42" s="187">
        <v>39918</v>
      </c>
      <c r="R42" s="157"/>
      <c r="S42" s="157"/>
      <c r="T42" s="158"/>
      <c r="U42" s="29"/>
      <c r="V42" s="196"/>
      <c r="W42" s="6"/>
    </row>
    <row r="43" spans="1:23" ht="15.6">
      <c r="A43" s="25"/>
      <c r="B43" s="26" t="s">
        <v>18</v>
      </c>
      <c r="C43" s="46">
        <v>40283</v>
      </c>
      <c r="D43" s="51"/>
      <c r="E43" s="46">
        <v>40283</v>
      </c>
      <c r="F43" s="51"/>
      <c r="G43" s="46">
        <v>40283</v>
      </c>
      <c r="H43" s="51"/>
      <c r="I43" s="46">
        <v>40283</v>
      </c>
      <c r="J43" s="51"/>
      <c r="K43" s="46">
        <v>40283</v>
      </c>
      <c r="L43" s="51"/>
      <c r="M43" s="46">
        <v>40283</v>
      </c>
      <c r="N43" s="51"/>
      <c r="O43" s="46">
        <v>40283</v>
      </c>
      <c r="P43" s="46"/>
      <c r="Q43" s="46">
        <v>40283</v>
      </c>
      <c r="R43" s="33"/>
      <c r="S43" s="33"/>
      <c r="T43" s="29"/>
      <c r="U43" s="29"/>
      <c r="V43" s="196"/>
      <c r="W43" s="6"/>
    </row>
    <row r="44" spans="1:23" ht="15.6">
      <c r="A44" s="25"/>
      <c r="B44" s="26" t="s">
        <v>154</v>
      </c>
      <c r="C44" s="33" t="s">
        <v>163</v>
      </c>
      <c r="D44" s="33"/>
      <c r="E44" s="33" t="s">
        <v>163</v>
      </c>
      <c r="F44" s="33"/>
      <c r="G44" s="33" t="s">
        <v>164</v>
      </c>
      <c r="H44" s="33"/>
      <c r="I44" s="33" t="s">
        <v>164</v>
      </c>
      <c r="J44" s="33"/>
      <c r="K44" s="33" t="s">
        <v>106</v>
      </c>
      <c r="L44" s="33"/>
      <c r="M44" s="33" t="s">
        <v>165</v>
      </c>
      <c r="N44" s="33"/>
      <c r="O44" s="33" t="s">
        <v>166</v>
      </c>
      <c r="P44" s="33"/>
      <c r="Q44" s="33" t="s">
        <v>167</v>
      </c>
      <c r="R44" s="33"/>
      <c r="S44" s="33"/>
      <c r="T44" s="29"/>
      <c r="U44" s="29"/>
      <c r="V44" s="196"/>
      <c r="W44" s="6"/>
    </row>
    <row r="45" spans="1:23" ht="15.6">
      <c r="A45" s="25"/>
      <c r="B45" s="26" t="s">
        <v>266</v>
      </c>
      <c r="C45" s="33" t="s">
        <v>163</v>
      </c>
      <c r="D45" s="26"/>
      <c r="E45" s="33" t="s">
        <v>228</v>
      </c>
      <c r="F45" s="26"/>
      <c r="G45" s="33" t="s">
        <v>164</v>
      </c>
      <c r="H45" s="26"/>
      <c r="I45" s="33" t="s">
        <v>226</v>
      </c>
      <c r="J45" s="26"/>
      <c r="K45" s="33" t="s">
        <v>106</v>
      </c>
      <c r="L45" s="26"/>
      <c r="M45" s="33" t="s">
        <v>227</v>
      </c>
      <c r="N45" s="26"/>
      <c r="O45" s="33" t="s">
        <v>166</v>
      </c>
      <c r="P45" s="33"/>
      <c r="Q45" s="33" t="s">
        <v>229</v>
      </c>
      <c r="R45" s="33"/>
      <c r="S45" s="33"/>
      <c r="T45" s="29"/>
      <c r="U45" s="29"/>
      <c r="V45" s="196"/>
      <c r="W45" s="6"/>
    </row>
    <row r="46" spans="1:23" ht="15.6">
      <c r="A46" s="25"/>
      <c r="B46" s="26"/>
      <c r="C46" s="26"/>
      <c r="D46" s="26"/>
      <c r="E46" s="26"/>
      <c r="F46" s="26"/>
      <c r="G46" s="26"/>
      <c r="H46" s="26"/>
      <c r="I46" s="26"/>
      <c r="J46" s="26"/>
      <c r="K46" s="26"/>
      <c r="L46" s="26"/>
      <c r="M46" s="47"/>
      <c r="N46" s="47"/>
      <c r="O46" s="26"/>
      <c r="P46" s="47"/>
      <c r="Q46" s="47"/>
      <c r="R46" s="47"/>
      <c r="S46" s="47"/>
      <c r="T46" s="47"/>
      <c r="U46" s="47"/>
      <c r="V46" s="196"/>
      <c r="W46" s="6"/>
    </row>
    <row r="47" spans="1:23" ht="15.6">
      <c r="A47" s="25"/>
      <c r="B47" s="26" t="s">
        <v>201</v>
      </c>
      <c r="C47" s="26"/>
      <c r="D47" s="26"/>
      <c r="E47" s="26"/>
      <c r="F47" s="26"/>
      <c r="G47" s="26"/>
      <c r="H47" s="26"/>
      <c r="I47" s="26"/>
      <c r="J47" s="26"/>
      <c r="K47" s="26"/>
      <c r="L47" s="26"/>
      <c r="M47" s="26"/>
      <c r="N47" s="26"/>
      <c r="O47" s="26"/>
      <c r="P47" s="26"/>
      <c r="Q47" s="26"/>
      <c r="R47" s="26"/>
      <c r="S47" s="26"/>
      <c r="T47" s="26"/>
      <c r="U47" s="45">
        <f>SUM(G31:Q31)/(C31+E31)</f>
        <v>0.3888888888888889</v>
      </c>
      <c r="V47" s="196"/>
      <c r="W47" s="6"/>
    </row>
    <row r="48" spans="1:23" ht="15.6">
      <c r="A48" s="25"/>
      <c r="B48" s="26" t="s">
        <v>202</v>
      </c>
      <c r="C48" s="26"/>
      <c r="D48" s="26"/>
      <c r="E48" s="26"/>
      <c r="F48" s="26"/>
      <c r="G48" s="26"/>
      <c r="H48" s="26"/>
      <c r="I48" s="26"/>
      <c r="J48" s="26"/>
      <c r="K48" s="26"/>
      <c r="L48" s="26"/>
      <c r="M48" s="26"/>
      <c r="N48" s="26"/>
      <c r="O48" s="26"/>
      <c r="P48" s="26"/>
      <c r="Q48" s="26"/>
      <c r="R48" s="26"/>
      <c r="S48" s="26"/>
      <c r="T48" s="26"/>
      <c r="U48" s="45">
        <f>SUM(F33:Q33)/(C33+E33)</f>
        <v>0.82392656375494322</v>
      </c>
      <c r="V48" s="196"/>
      <c r="W48" s="6"/>
    </row>
    <row r="49" spans="1:23" ht="15.6">
      <c r="A49" s="25"/>
      <c r="B49" s="26" t="s">
        <v>203</v>
      </c>
      <c r="C49" s="26"/>
      <c r="D49" s="26"/>
      <c r="E49" s="26"/>
      <c r="F49" s="26"/>
      <c r="G49" s="26"/>
      <c r="H49" s="26"/>
      <c r="I49" s="26"/>
      <c r="J49" s="26"/>
      <c r="K49" s="26"/>
      <c r="L49" s="26"/>
      <c r="M49" s="26"/>
      <c r="N49" s="26"/>
      <c r="O49" s="26"/>
      <c r="P49" s="26"/>
      <c r="Q49" s="26"/>
      <c r="R49" s="26"/>
      <c r="S49" s="33" t="s">
        <v>95</v>
      </c>
      <c r="T49" s="33" t="s">
        <v>117</v>
      </c>
      <c r="U49" s="34">
        <v>99000</v>
      </c>
      <c r="V49" s="196"/>
      <c r="W49" s="6"/>
    </row>
    <row r="50" spans="1:23" ht="15.6">
      <c r="A50" s="25"/>
      <c r="B50" s="26"/>
      <c r="C50" s="26"/>
      <c r="D50" s="26"/>
      <c r="E50" s="26"/>
      <c r="F50" s="26"/>
      <c r="G50" s="26"/>
      <c r="H50" s="26"/>
      <c r="I50" s="26"/>
      <c r="J50" s="26"/>
      <c r="K50" s="26"/>
      <c r="L50" s="26"/>
      <c r="M50" s="26"/>
      <c r="N50" s="26"/>
      <c r="O50" s="26"/>
      <c r="P50" s="26"/>
      <c r="Q50" s="26"/>
      <c r="R50" s="26"/>
      <c r="S50" s="26" t="s">
        <v>213</v>
      </c>
      <c r="T50" s="26"/>
      <c r="U50" s="48"/>
      <c r="V50" s="196"/>
      <c r="W50" s="6"/>
    </row>
    <row r="51" spans="1:23" ht="15.6">
      <c r="A51" s="25"/>
      <c r="B51" s="26" t="s">
        <v>19</v>
      </c>
      <c r="C51" s="26"/>
      <c r="D51" s="26"/>
      <c r="E51" s="26"/>
      <c r="F51" s="26"/>
      <c r="G51" s="26"/>
      <c r="H51" s="26"/>
      <c r="I51" s="26"/>
      <c r="J51" s="26"/>
      <c r="K51" s="26"/>
      <c r="L51" s="26"/>
      <c r="M51" s="26"/>
      <c r="N51" s="26"/>
      <c r="O51" s="26"/>
      <c r="P51" s="26"/>
      <c r="Q51" s="26"/>
      <c r="R51" s="26"/>
      <c r="S51" s="33"/>
      <c r="T51" s="33"/>
      <c r="U51" s="33" t="s">
        <v>118</v>
      </c>
      <c r="V51" s="196"/>
      <c r="W51" s="6"/>
    </row>
    <row r="52" spans="1:23" ht="15.6">
      <c r="A52" s="40"/>
      <c r="B52" s="30" t="s">
        <v>20</v>
      </c>
      <c r="C52" s="30"/>
      <c r="D52" s="30"/>
      <c r="E52" s="30"/>
      <c r="F52" s="30"/>
      <c r="G52" s="30"/>
      <c r="H52" s="30"/>
      <c r="I52" s="30"/>
      <c r="J52" s="30"/>
      <c r="K52" s="30"/>
      <c r="L52" s="30"/>
      <c r="M52" s="30"/>
      <c r="N52" s="30"/>
      <c r="O52" s="30"/>
      <c r="P52" s="30"/>
      <c r="Q52" s="30"/>
      <c r="R52" s="30"/>
      <c r="S52" s="49"/>
      <c r="T52" s="49"/>
      <c r="U52" s="50">
        <v>40283</v>
      </c>
      <c r="V52" s="198"/>
      <c r="W52" s="6"/>
    </row>
    <row r="53" spans="1:23" ht="15.6">
      <c r="A53" s="25"/>
      <c r="B53" s="26" t="s">
        <v>155</v>
      </c>
      <c r="C53" s="26"/>
      <c r="D53" s="26"/>
      <c r="E53" s="26"/>
      <c r="F53" s="26"/>
      <c r="G53" s="26"/>
      <c r="H53" s="26"/>
      <c r="I53" s="26"/>
      <c r="J53" s="26"/>
      <c r="K53" s="26"/>
      <c r="L53" s="26"/>
      <c r="M53" s="26"/>
      <c r="N53" s="26"/>
      <c r="O53" s="26"/>
      <c r="P53" s="26"/>
      <c r="Q53" s="29"/>
      <c r="R53" s="26">
        <f>U53-S53+1</f>
        <v>92</v>
      </c>
      <c r="S53" s="52">
        <v>40101</v>
      </c>
      <c r="T53" s="53"/>
      <c r="U53" s="52">
        <v>40192</v>
      </c>
      <c r="V53" s="196"/>
      <c r="W53" s="6"/>
    </row>
    <row r="54" spans="1:23" ht="15.6">
      <c r="A54" s="25"/>
      <c r="B54" s="26" t="s">
        <v>156</v>
      </c>
      <c r="C54" s="26"/>
      <c r="D54" s="26"/>
      <c r="E54" s="26"/>
      <c r="F54" s="26"/>
      <c r="G54" s="26"/>
      <c r="H54" s="26"/>
      <c r="I54" s="26"/>
      <c r="J54" s="26"/>
      <c r="K54" s="26"/>
      <c r="L54" s="26"/>
      <c r="M54" s="26"/>
      <c r="N54" s="26"/>
      <c r="O54" s="26"/>
      <c r="P54" s="26"/>
      <c r="Q54" s="29"/>
      <c r="R54" s="26">
        <f>U54-S54+1</f>
        <v>90</v>
      </c>
      <c r="S54" s="52">
        <v>40193</v>
      </c>
      <c r="T54" s="53"/>
      <c r="U54" s="52">
        <v>40282</v>
      </c>
      <c r="V54" s="196"/>
      <c r="W54" s="6"/>
    </row>
    <row r="55" spans="1:23" ht="15.6">
      <c r="A55" s="25"/>
      <c r="B55" s="26" t="s">
        <v>21</v>
      </c>
      <c r="C55" s="26"/>
      <c r="D55" s="26"/>
      <c r="E55" s="26"/>
      <c r="F55" s="26"/>
      <c r="G55" s="26"/>
      <c r="H55" s="26"/>
      <c r="I55" s="26"/>
      <c r="J55" s="26"/>
      <c r="K55" s="26"/>
      <c r="L55" s="26"/>
      <c r="M55" s="26"/>
      <c r="N55" s="26"/>
      <c r="O55" s="26"/>
      <c r="P55" s="26"/>
      <c r="Q55" s="26"/>
      <c r="R55" s="26"/>
      <c r="S55" s="52"/>
      <c r="T55" s="53"/>
      <c r="U55" s="52" t="s">
        <v>119</v>
      </c>
      <c r="V55" s="196"/>
      <c r="W55" s="6"/>
    </row>
    <row r="56" spans="1:23" ht="15.6">
      <c r="A56" s="25"/>
      <c r="B56" s="26" t="s">
        <v>22</v>
      </c>
      <c r="C56" s="26"/>
      <c r="D56" s="26"/>
      <c r="E56" s="26"/>
      <c r="F56" s="26"/>
      <c r="G56" s="26"/>
      <c r="H56" s="26"/>
      <c r="I56" s="26"/>
      <c r="J56" s="26"/>
      <c r="K56" s="26"/>
      <c r="L56" s="26"/>
      <c r="M56" s="26"/>
      <c r="N56" s="26"/>
      <c r="O56" s="26"/>
      <c r="P56" s="26"/>
      <c r="Q56" s="26"/>
      <c r="R56" s="26"/>
      <c r="S56" s="52"/>
      <c r="T56" s="53"/>
      <c r="U56" s="52">
        <v>40269</v>
      </c>
      <c r="V56" s="196"/>
      <c r="W56" s="6"/>
    </row>
    <row r="57" spans="1:23" ht="15.6">
      <c r="A57" s="25"/>
      <c r="B57" s="26"/>
      <c r="C57" s="26"/>
      <c r="D57" s="26"/>
      <c r="E57" s="26"/>
      <c r="F57" s="26"/>
      <c r="G57" s="26"/>
      <c r="H57" s="26"/>
      <c r="I57" s="26"/>
      <c r="J57" s="26"/>
      <c r="K57" s="26"/>
      <c r="L57" s="26"/>
      <c r="M57" s="26"/>
      <c r="N57" s="26"/>
      <c r="O57" s="26"/>
      <c r="P57" s="26"/>
      <c r="Q57" s="26"/>
      <c r="R57" s="26"/>
      <c r="S57" s="26"/>
      <c r="T57" s="26"/>
      <c r="U57" s="54"/>
      <c r="V57" s="196"/>
      <c r="W57" s="6"/>
    </row>
    <row r="58" spans="1:23" ht="15.6">
      <c r="A58" s="7"/>
      <c r="B58" s="9"/>
      <c r="C58" s="9"/>
      <c r="D58" s="9"/>
      <c r="E58" s="9"/>
      <c r="F58" s="9"/>
      <c r="G58" s="9"/>
      <c r="H58" s="9"/>
      <c r="I58" s="9"/>
      <c r="J58" s="9"/>
      <c r="K58" s="9"/>
      <c r="L58" s="9"/>
      <c r="M58" s="9"/>
      <c r="N58" s="9"/>
      <c r="O58" s="9"/>
      <c r="P58" s="9"/>
      <c r="Q58" s="9"/>
      <c r="R58" s="9"/>
      <c r="S58" s="9"/>
      <c r="T58" s="9"/>
      <c r="U58" s="55"/>
      <c r="V58" s="194"/>
      <c r="W58" s="6"/>
    </row>
    <row r="59" spans="1:23" ht="16.2" thickBot="1">
      <c r="A59" s="130"/>
      <c r="B59" s="131" t="s">
        <v>269</v>
      </c>
      <c r="C59" s="132"/>
      <c r="D59" s="132"/>
      <c r="E59" s="132"/>
      <c r="F59" s="132"/>
      <c r="G59" s="132"/>
      <c r="H59" s="132"/>
      <c r="I59" s="132"/>
      <c r="J59" s="132"/>
      <c r="K59" s="132"/>
      <c r="L59" s="132"/>
      <c r="M59" s="132"/>
      <c r="N59" s="132"/>
      <c r="O59" s="132"/>
      <c r="P59" s="132"/>
      <c r="Q59" s="132"/>
      <c r="R59" s="132"/>
      <c r="S59" s="132"/>
      <c r="T59" s="132"/>
      <c r="U59" s="133"/>
      <c r="V59" s="134"/>
      <c r="W59" s="6"/>
    </row>
    <row r="60" spans="1:23" ht="15.6">
      <c r="A60" s="2"/>
      <c r="B60" s="5" t="s">
        <v>237</v>
      </c>
      <c r="C60" s="5"/>
      <c r="D60" s="5"/>
      <c r="E60" s="5"/>
      <c r="F60" s="5"/>
      <c r="G60" s="5"/>
      <c r="H60" s="5"/>
      <c r="I60" s="5"/>
      <c r="J60" s="5"/>
      <c r="K60" s="5"/>
      <c r="L60" s="5"/>
      <c r="M60" s="5"/>
      <c r="N60" s="5"/>
      <c r="O60" s="5"/>
      <c r="P60" s="5"/>
      <c r="Q60" s="5"/>
      <c r="R60" s="5"/>
      <c r="S60" s="5"/>
      <c r="T60" s="5"/>
      <c r="U60" s="56"/>
      <c r="V60" s="193"/>
      <c r="W60" s="6"/>
    </row>
    <row r="61" spans="1:23" ht="15.6">
      <c r="A61" s="7"/>
      <c r="B61" s="57" t="s">
        <v>23</v>
      </c>
      <c r="C61" s="13"/>
      <c r="D61" s="13"/>
      <c r="E61" s="13"/>
      <c r="F61" s="13"/>
      <c r="G61" s="13"/>
      <c r="H61" s="13"/>
      <c r="I61" s="13"/>
      <c r="J61" s="13"/>
      <c r="K61" s="13"/>
      <c r="L61" s="13"/>
      <c r="M61" s="9"/>
      <c r="N61" s="9"/>
      <c r="O61" s="9"/>
      <c r="P61" s="9"/>
      <c r="Q61" s="9"/>
      <c r="R61" s="9"/>
      <c r="S61" s="9"/>
      <c r="T61" s="9"/>
      <c r="U61" s="58"/>
      <c r="V61" s="194"/>
      <c r="W61" s="6"/>
    </row>
    <row r="62" spans="1:23" ht="15.6">
      <c r="A62" s="7"/>
      <c r="B62" s="13"/>
      <c r="C62" s="13"/>
      <c r="D62" s="13"/>
      <c r="E62" s="13"/>
      <c r="F62" s="13"/>
      <c r="G62" s="13"/>
      <c r="H62" s="13"/>
      <c r="I62" s="13"/>
      <c r="J62" s="13"/>
      <c r="K62" s="13"/>
      <c r="L62" s="13"/>
      <c r="M62" s="9"/>
      <c r="N62" s="9"/>
      <c r="O62" s="9"/>
      <c r="P62" s="9"/>
      <c r="Q62" s="9"/>
      <c r="R62" s="9"/>
      <c r="S62" s="9"/>
      <c r="T62" s="9"/>
      <c r="U62" s="58"/>
      <c r="V62" s="194"/>
      <c r="W62" s="6"/>
    </row>
    <row r="63" spans="1:23" s="151" customFormat="1" ht="46.8">
      <c r="A63" s="145"/>
      <c r="B63" s="146"/>
      <c r="C63" s="147"/>
      <c r="D63" s="147"/>
      <c r="E63" s="147"/>
      <c r="F63" s="147"/>
      <c r="G63" s="147"/>
      <c r="H63" s="147"/>
      <c r="I63" s="147"/>
      <c r="J63" s="147"/>
      <c r="K63" s="147" t="s">
        <v>197</v>
      </c>
      <c r="L63" s="147"/>
      <c r="M63" s="147" t="s">
        <v>98</v>
      </c>
      <c r="N63" s="147"/>
      <c r="O63" s="147" t="s">
        <v>107</v>
      </c>
      <c r="P63" s="147"/>
      <c r="Q63" s="147" t="s">
        <v>111</v>
      </c>
      <c r="R63" s="147"/>
      <c r="S63" s="147" t="s">
        <v>113</v>
      </c>
      <c r="T63" s="147"/>
      <c r="U63" s="148" t="s">
        <v>120</v>
      </c>
      <c r="V63" s="199"/>
      <c r="W63" s="150"/>
    </row>
    <row r="64" spans="1:23" ht="15.6">
      <c r="A64" s="25"/>
      <c r="B64" s="26" t="s">
        <v>24</v>
      </c>
      <c r="C64" s="59"/>
      <c r="D64" s="59"/>
      <c r="E64" s="59"/>
      <c r="F64" s="59"/>
      <c r="G64" s="59"/>
      <c r="H64" s="59"/>
      <c r="I64" s="59"/>
      <c r="J64" s="59"/>
      <c r="K64" s="59">
        <f>265+63566+3306</f>
        <v>67137</v>
      </c>
      <c r="L64" s="59"/>
      <c r="M64" s="59">
        <v>16202</v>
      </c>
      <c r="N64" s="59"/>
      <c r="O64" s="59">
        <f>864+6+1952</f>
        <v>2822</v>
      </c>
      <c r="P64" s="59"/>
      <c r="Q64" s="59">
        <v>0</v>
      </c>
      <c r="R64" s="59"/>
      <c r="S64" s="59">
        <v>0</v>
      </c>
      <c r="T64" s="59"/>
      <c r="U64" s="60">
        <f>+M64-O64+Q64-S64</f>
        <v>13380</v>
      </c>
      <c r="V64" s="196"/>
      <c r="W64" s="6"/>
    </row>
    <row r="65" spans="1:24" ht="15.6">
      <c r="A65" s="25"/>
      <c r="B65" s="26" t="s">
        <v>25</v>
      </c>
      <c r="C65" s="59"/>
      <c r="D65" s="59"/>
      <c r="E65" s="59"/>
      <c r="F65" s="59"/>
      <c r="G65" s="59"/>
      <c r="H65" s="59"/>
      <c r="I65" s="59"/>
      <c r="J65" s="59"/>
      <c r="K65" s="59"/>
      <c r="L65" s="59"/>
      <c r="M65" s="59"/>
      <c r="N65" s="59"/>
      <c r="O65" s="59"/>
      <c r="P65" s="59"/>
      <c r="Q65" s="59">
        <v>0</v>
      </c>
      <c r="R65" s="59"/>
      <c r="S65" s="59">
        <v>0</v>
      </c>
      <c r="T65" s="59"/>
      <c r="U65" s="60">
        <f>M65-O65</f>
        <v>0</v>
      </c>
      <c r="V65" s="196"/>
      <c r="W65" s="6"/>
    </row>
    <row r="66" spans="1:24" ht="15.6">
      <c r="A66" s="25"/>
      <c r="B66" s="26"/>
      <c r="C66" s="59"/>
      <c r="D66" s="59"/>
      <c r="E66" s="59"/>
      <c r="F66" s="59"/>
      <c r="G66" s="59"/>
      <c r="H66" s="59"/>
      <c r="I66" s="59"/>
      <c r="J66" s="59"/>
      <c r="K66" s="59"/>
      <c r="L66" s="59"/>
      <c r="M66" s="59"/>
      <c r="N66" s="59"/>
      <c r="O66" s="59"/>
      <c r="P66" s="59"/>
      <c r="Q66" s="59"/>
      <c r="R66" s="59"/>
      <c r="S66" s="59"/>
      <c r="T66" s="59"/>
      <c r="U66" s="60"/>
      <c r="V66" s="196"/>
      <c r="W66" s="6"/>
    </row>
    <row r="67" spans="1:24" ht="15.6">
      <c r="A67" s="25"/>
      <c r="B67" s="26" t="s">
        <v>26</v>
      </c>
      <c r="C67" s="59"/>
      <c r="D67" s="59"/>
      <c r="E67" s="59"/>
      <c r="F67" s="59"/>
      <c r="G67" s="59"/>
      <c r="H67" s="59"/>
      <c r="I67" s="59"/>
      <c r="J67" s="59"/>
      <c r="K67" s="59">
        <v>24470</v>
      </c>
      <c r="L67" s="59"/>
      <c r="M67" s="59">
        <v>5592</v>
      </c>
      <c r="N67" s="59"/>
      <c r="O67" s="59">
        <v>922</v>
      </c>
      <c r="P67" s="59"/>
      <c r="Q67" s="59">
        <v>0</v>
      </c>
      <c r="R67" s="59"/>
      <c r="S67" s="59">
        <f>SUM(S64:S66)</f>
        <v>0</v>
      </c>
      <c r="T67" s="59"/>
      <c r="U67" s="60">
        <f>+M67-O67+Q67-S67</f>
        <v>4670</v>
      </c>
      <c r="V67" s="196"/>
      <c r="W67" s="6"/>
    </row>
    <row r="68" spans="1:24" ht="15.6">
      <c r="A68" s="25"/>
      <c r="B68" s="26" t="s">
        <v>25</v>
      </c>
      <c r="C68" s="59"/>
      <c r="D68" s="59"/>
      <c r="E68" s="59"/>
      <c r="F68" s="59"/>
      <c r="G68" s="59"/>
      <c r="H68" s="59"/>
      <c r="I68" s="59"/>
      <c r="J68" s="59"/>
      <c r="K68" s="59"/>
      <c r="L68" s="59"/>
      <c r="M68" s="59"/>
      <c r="N68" s="59"/>
      <c r="O68" s="59"/>
      <c r="P68" s="59"/>
      <c r="Q68" s="59">
        <v>0</v>
      </c>
      <c r="R68" s="59"/>
      <c r="S68" s="59">
        <v>0</v>
      </c>
      <c r="T68" s="59"/>
      <c r="U68" s="61"/>
      <c r="V68" s="196"/>
      <c r="W68" s="6"/>
    </row>
    <row r="69" spans="1:24" ht="15.6">
      <c r="A69" s="25"/>
      <c r="B69" s="62"/>
      <c r="C69" s="59"/>
      <c r="D69" s="59"/>
      <c r="E69" s="59"/>
      <c r="F69" s="59"/>
      <c r="G69" s="59"/>
      <c r="H69" s="59"/>
      <c r="I69" s="59"/>
      <c r="J69" s="59"/>
      <c r="K69" s="59"/>
      <c r="L69" s="59"/>
      <c r="M69" s="59"/>
      <c r="N69" s="59"/>
      <c r="O69" s="63"/>
      <c r="P69" s="59"/>
      <c r="Q69" s="59"/>
      <c r="R69" s="59"/>
      <c r="S69" s="59"/>
      <c r="T69" s="59"/>
      <c r="U69" s="61"/>
      <c r="V69" s="196"/>
      <c r="W69" s="6"/>
    </row>
    <row r="70" spans="1:24" ht="15.6">
      <c r="A70" s="25"/>
      <c r="B70" s="26" t="s">
        <v>27</v>
      </c>
      <c r="C70" s="59"/>
      <c r="D70" s="59"/>
      <c r="E70" s="59"/>
      <c r="F70" s="59"/>
      <c r="G70" s="59"/>
      <c r="H70" s="59"/>
      <c r="I70" s="59"/>
      <c r="J70" s="59"/>
      <c r="K70" s="59">
        <v>220072</v>
      </c>
      <c r="L70" s="59"/>
      <c r="M70" s="59">
        <v>251288</v>
      </c>
      <c r="N70" s="59"/>
      <c r="O70" s="59">
        <f>9653+1570</f>
        <v>11223</v>
      </c>
      <c r="P70" s="59"/>
      <c r="Q70" s="59">
        <v>0</v>
      </c>
      <c r="R70" s="59"/>
      <c r="S70" s="59">
        <v>0</v>
      </c>
      <c r="T70" s="59"/>
      <c r="U70" s="60">
        <f>+M70-O70+Q70-S70</f>
        <v>240065</v>
      </c>
      <c r="V70" s="196"/>
      <c r="W70" s="6"/>
    </row>
    <row r="71" spans="1:24" ht="15.6">
      <c r="A71" s="25"/>
      <c r="B71" s="26" t="s">
        <v>25</v>
      </c>
      <c r="C71" s="59"/>
      <c r="D71" s="59"/>
      <c r="E71" s="59"/>
      <c r="F71" s="59"/>
      <c r="G71" s="59"/>
      <c r="H71" s="59"/>
      <c r="I71" s="59"/>
      <c r="J71" s="59"/>
      <c r="K71" s="59"/>
      <c r="L71" s="59"/>
      <c r="M71" s="59"/>
      <c r="N71" s="59"/>
      <c r="O71" s="59"/>
      <c r="P71" s="59"/>
      <c r="Q71" s="59">
        <v>0</v>
      </c>
      <c r="R71" s="59"/>
      <c r="S71" s="59">
        <v>0</v>
      </c>
      <c r="T71" s="59"/>
      <c r="U71" s="60">
        <f>M71-O71+Q71-S71</f>
        <v>0</v>
      </c>
      <c r="V71" s="196"/>
      <c r="W71" s="6"/>
    </row>
    <row r="72" spans="1:24" ht="15.6">
      <c r="A72" s="25"/>
      <c r="B72" s="26"/>
      <c r="C72" s="59"/>
      <c r="D72" s="59"/>
      <c r="E72" s="59"/>
      <c r="F72" s="59"/>
      <c r="G72" s="59"/>
      <c r="H72" s="59"/>
      <c r="I72" s="59"/>
      <c r="J72" s="59"/>
      <c r="K72" s="59"/>
      <c r="L72" s="59"/>
      <c r="M72" s="59"/>
      <c r="N72" s="59"/>
      <c r="O72" s="59"/>
      <c r="P72" s="59"/>
      <c r="Q72" s="59"/>
      <c r="R72" s="59"/>
      <c r="S72" s="59"/>
      <c r="T72" s="59"/>
      <c r="U72" s="60"/>
      <c r="V72" s="196"/>
      <c r="W72" s="6"/>
    </row>
    <row r="73" spans="1:24" ht="15.6">
      <c r="A73" s="25"/>
      <c r="B73" s="26" t="s">
        <v>28</v>
      </c>
      <c r="C73" s="59"/>
      <c r="D73" s="59"/>
      <c r="E73" s="59"/>
      <c r="F73" s="59"/>
      <c r="G73" s="59"/>
      <c r="H73" s="59"/>
      <c r="I73" s="59"/>
      <c r="J73" s="59"/>
      <c r="K73" s="59">
        <v>138321</v>
      </c>
      <c r="L73" s="59"/>
      <c r="M73" s="59">
        <v>37525</v>
      </c>
      <c r="N73" s="59"/>
      <c r="O73" s="59">
        <f>5649+587</f>
        <v>6236</v>
      </c>
      <c r="P73" s="59"/>
      <c r="Q73" s="59">
        <v>0</v>
      </c>
      <c r="R73" s="59"/>
      <c r="S73" s="59">
        <v>0</v>
      </c>
      <c r="T73" s="59"/>
      <c r="U73" s="60">
        <f>+M73-O73+Q73-S73</f>
        <v>31289</v>
      </c>
      <c r="V73" s="196"/>
      <c r="W73" s="6"/>
    </row>
    <row r="74" spans="1:24" ht="15.6">
      <c r="A74" s="25"/>
      <c r="B74" s="26" t="s">
        <v>25</v>
      </c>
      <c r="C74" s="59"/>
      <c r="D74" s="59"/>
      <c r="E74" s="59"/>
      <c r="F74" s="59"/>
      <c r="G74" s="59"/>
      <c r="H74" s="59"/>
      <c r="I74" s="59"/>
      <c r="J74" s="59"/>
      <c r="K74" s="59"/>
      <c r="L74" s="59"/>
      <c r="M74" s="59"/>
      <c r="N74" s="59"/>
      <c r="O74" s="59"/>
      <c r="P74" s="59"/>
      <c r="Q74" s="59">
        <v>0</v>
      </c>
      <c r="R74" s="59"/>
      <c r="S74" s="59">
        <v>0</v>
      </c>
      <c r="T74" s="59"/>
      <c r="U74" s="60"/>
      <c r="V74" s="196"/>
      <c r="W74" s="6"/>
    </row>
    <row r="75" spans="1:24" ht="15.6">
      <c r="A75" s="25"/>
      <c r="B75" s="59"/>
      <c r="C75" s="59"/>
      <c r="D75" s="59"/>
      <c r="E75" s="59"/>
      <c r="F75" s="59"/>
      <c r="G75" s="59"/>
      <c r="H75" s="59"/>
      <c r="I75" s="59"/>
      <c r="J75" s="59"/>
      <c r="K75" s="59"/>
      <c r="L75" s="59"/>
      <c r="M75" s="59"/>
      <c r="N75" s="59"/>
      <c r="O75" s="59"/>
      <c r="P75" s="59"/>
      <c r="Q75" s="59"/>
      <c r="R75" s="59"/>
      <c r="S75" s="59"/>
      <c r="T75" s="59"/>
      <c r="U75" s="60"/>
      <c r="V75" s="196"/>
      <c r="W75" s="6"/>
    </row>
    <row r="76" spans="1:24" ht="15.6">
      <c r="A76" s="25"/>
      <c r="B76" s="26" t="s">
        <v>29</v>
      </c>
      <c r="C76" s="59"/>
      <c r="D76" s="59"/>
      <c r="E76" s="59"/>
      <c r="F76" s="59"/>
      <c r="G76" s="59"/>
      <c r="H76" s="59"/>
      <c r="I76" s="59"/>
      <c r="J76" s="59"/>
      <c r="K76" s="59">
        <f>SUM(K64:K73)</f>
        <v>450000</v>
      </c>
      <c r="L76" s="59"/>
      <c r="M76" s="59">
        <f>SUM(M64:M73)</f>
        <v>310607</v>
      </c>
      <c r="N76" s="59"/>
      <c r="O76" s="59">
        <f>SUM(O64:O74)</f>
        <v>21203</v>
      </c>
      <c r="P76" s="59"/>
      <c r="Q76" s="59">
        <f>SUM(Q64:Q74)</f>
        <v>0</v>
      </c>
      <c r="R76" s="59"/>
      <c r="S76" s="59">
        <f>SUM(S71:S75)</f>
        <v>0</v>
      </c>
      <c r="T76" s="59"/>
      <c r="U76" s="59">
        <f>SUM(U64:U74)</f>
        <v>289404</v>
      </c>
      <c r="V76" s="196"/>
      <c r="W76" s="6"/>
      <c r="X76" s="182"/>
    </row>
    <row r="77" spans="1:24" ht="15.6">
      <c r="A77" s="25"/>
      <c r="B77" s="26"/>
      <c r="C77" s="59"/>
      <c r="D77" s="59"/>
      <c r="E77" s="59"/>
      <c r="F77" s="59"/>
      <c r="G77" s="59"/>
      <c r="H77" s="59"/>
      <c r="I77" s="59"/>
      <c r="J77" s="59"/>
      <c r="K77" s="59"/>
      <c r="L77" s="59"/>
      <c r="M77" s="59"/>
      <c r="N77" s="59"/>
      <c r="O77" s="59"/>
      <c r="P77" s="59"/>
      <c r="Q77" s="59"/>
      <c r="R77" s="59"/>
      <c r="S77" s="59"/>
      <c r="T77" s="59"/>
      <c r="U77" s="61"/>
      <c r="V77" s="196"/>
      <c r="W77" s="6"/>
    </row>
    <row r="78" spans="1:24" ht="15.6">
      <c r="A78" s="25"/>
      <c r="B78" s="26" t="s">
        <v>214</v>
      </c>
      <c r="C78" s="59"/>
      <c r="D78" s="59"/>
      <c r="E78" s="59"/>
      <c r="F78" s="59"/>
      <c r="G78" s="59"/>
      <c r="H78" s="59"/>
      <c r="I78" s="59"/>
      <c r="J78" s="59"/>
      <c r="K78" s="59">
        <v>0</v>
      </c>
      <c r="L78" s="59"/>
      <c r="M78" s="59">
        <v>-12310</v>
      </c>
      <c r="N78" s="59"/>
      <c r="O78" s="59">
        <v>-1832</v>
      </c>
      <c r="P78" s="59"/>
      <c r="Q78" s="59"/>
      <c r="R78" s="59"/>
      <c r="S78" s="59"/>
      <c r="T78" s="59"/>
      <c r="U78" s="60">
        <f>+M78-O78</f>
        <v>-10478</v>
      </c>
      <c r="V78" s="196"/>
      <c r="W78" s="6"/>
    </row>
    <row r="79" spans="1:24" ht="15.6">
      <c r="A79" s="25"/>
      <c r="B79" s="26" t="s">
        <v>30</v>
      </c>
      <c r="C79" s="59"/>
      <c r="D79" s="59"/>
      <c r="E79" s="59"/>
      <c r="F79" s="59"/>
      <c r="G79" s="59"/>
      <c r="H79" s="59"/>
      <c r="I79" s="59"/>
      <c r="J79" s="59"/>
      <c r="K79" s="59">
        <v>0</v>
      </c>
      <c r="L79" s="59"/>
      <c r="M79" s="59">
        <v>0</v>
      </c>
      <c r="N79" s="59"/>
      <c r="O79" s="59">
        <v>0</v>
      </c>
      <c r="P79" s="59"/>
      <c r="Q79" s="59">
        <v>0</v>
      </c>
      <c r="R79" s="59"/>
      <c r="S79" s="59"/>
      <c r="T79" s="59"/>
      <c r="U79" s="61">
        <v>0</v>
      </c>
      <c r="V79" s="196"/>
      <c r="W79" s="6"/>
      <c r="X79" s="182"/>
    </row>
    <row r="80" spans="1:24" ht="15.6">
      <c r="A80" s="25"/>
      <c r="B80" s="26" t="s">
        <v>31</v>
      </c>
      <c r="C80" s="59"/>
      <c r="D80" s="59"/>
      <c r="E80" s="59"/>
      <c r="F80" s="59"/>
      <c r="G80" s="59"/>
      <c r="H80" s="59"/>
      <c r="I80" s="59"/>
      <c r="J80" s="59"/>
      <c r="K80" s="59">
        <v>0</v>
      </c>
      <c r="L80" s="59"/>
      <c r="M80" s="59">
        <v>0</v>
      </c>
      <c r="N80" s="59"/>
      <c r="O80" s="59"/>
      <c r="P80" s="59"/>
      <c r="Q80" s="59">
        <v>0</v>
      </c>
      <c r="R80" s="59"/>
      <c r="S80" s="59"/>
      <c r="T80" s="59"/>
      <c r="U80" s="61">
        <f>Q80+M80</f>
        <v>0</v>
      </c>
      <c r="V80" s="196"/>
      <c r="W80" s="6"/>
    </row>
    <row r="81" spans="1:24" ht="15.6">
      <c r="A81" s="25"/>
      <c r="B81" s="26" t="s">
        <v>16</v>
      </c>
      <c r="C81" s="61"/>
      <c r="D81" s="61"/>
      <c r="E81" s="61"/>
      <c r="F81" s="61"/>
      <c r="G81" s="61"/>
      <c r="H81" s="61"/>
      <c r="I81" s="61"/>
      <c r="J81" s="61"/>
      <c r="K81" s="61">
        <f>SUM(K76:K80)</f>
        <v>450000</v>
      </c>
      <c r="L81" s="61"/>
      <c r="M81" s="61">
        <f>SUM(M76:M80)</f>
        <v>298297</v>
      </c>
      <c r="N81" s="59"/>
      <c r="O81" s="59">
        <f>O79-O80</f>
        <v>0</v>
      </c>
      <c r="P81" s="59"/>
      <c r="Q81" s="59"/>
      <c r="R81" s="59"/>
      <c r="S81" s="59"/>
      <c r="T81" s="59"/>
      <c r="U81" s="61">
        <f>SUM(U76:U80)</f>
        <v>278926</v>
      </c>
      <c r="V81" s="196"/>
      <c r="W81" s="6"/>
    </row>
    <row r="82" spans="1:24" ht="15.6">
      <c r="A82" s="25"/>
      <c r="B82" s="59"/>
      <c r="C82" s="26"/>
      <c r="D82" s="26"/>
      <c r="E82" s="26"/>
      <c r="F82" s="26"/>
      <c r="G82" s="26"/>
      <c r="H82" s="26"/>
      <c r="I82" s="26"/>
      <c r="J82" s="26"/>
      <c r="K82" s="26"/>
      <c r="L82" s="26"/>
      <c r="M82" s="26"/>
      <c r="N82" s="26"/>
      <c r="O82" s="26"/>
      <c r="P82" s="26"/>
      <c r="Q82" s="26"/>
      <c r="R82" s="26"/>
      <c r="S82" s="33"/>
      <c r="T82" s="26"/>
      <c r="U82" s="33"/>
      <c r="V82" s="196"/>
      <c r="W82" s="6"/>
    </row>
    <row r="83" spans="1:24" ht="15.6">
      <c r="A83" s="7"/>
      <c r="B83" s="57" t="s">
        <v>32</v>
      </c>
      <c r="C83" s="14"/>
      <c r="D83" s="14"/>
      <c r="E83" s="14"/>
      <c r="F83" s="14"/>
      <c r="G83" s="14"/>
      <c r="H83" s="14"/>
      <c r="I83" s="14"/>
      <c r="J83" s="14"/>
      <c r="K83" s="14"/>
      <c r="L83" s="14"/>
      <c r="M83" s="14"/>
      <c r="N83" s="14"/>
      <c r="O83" s="14"/>
      <c r="P83" s="14"/>
      <c r="Q83" s="14"/>
      <c r="R83" s="17"/>
      <c r="S83" s="17"/>
      <c r="T83" s="17"/>
      <c r="U83" s="17" t="s">
        <v>121</v>
      </c>
      <c r="V83" s="200"/>
      <c r="W83" s="6"/>
    </row>
    <row r="84" spans="1:24" ht="15.6">
      <c r="A84" s="25"/>
      <c r="B84" s="26" t="s">
        <v>33</v>
      </c>
      <c r="C84" s="26"/>
      <c r="D84" s="26"/>
      <c r="E84" s="26"/>
      <c r="F84" s="26"/>
      <c r="G84" s="26"/>
      <c r="H84" s="26"/>
      <c r="I84" s="26"/>
      <c r="J84" s="26"/>
      <c r="K84" s="26"/>
      <c r="L84" s="26"/>
      <c r="M84" s="26"/>
      <c r="N84" s="26"/>
      <c r="O84" s="59"/>
      <c r="P84" s="26"/>
      <c r="Q84" s="26"/>
      <c r="R84" s="26"/>
      <c r="S84" s="59"/>
      <c r="T84" s="26"/>
      <c r="U84" s="60">
        <v>64796</v>
      </c>
      <c r="V84" s="196"/>
      <c r="W84" s="6"/>
    </row>
    <row r="85" spans="1:24" ht="15.6">
      <c r="A85" s="25"/>
      <c r="B85" s="26" t="s">
        <v>34</v>
      </c>
      <c r="C85" s="47"/>
      <c r="D85" s="47"/>
      <c r="E85" s="47"/>
      <c r="F85" s="47"/>
      <c r="G85" s="47"/>
      <c r="H85" s="47"/>
      <c r="I85" s="47"/>
      <c r="J85" s="47"/>
      <c r="K85" s="47"/>
      <c r="L85" s="47"/>
      <c r="M85" s="51"/>
      <c r="N85" s="26"/>
      <c r="O85" s="26"/>
      <c r="P85" s="26"/>
      <c r="Q85" s="26"/>
      <c r="R85" s="26"/>
      <c r="S85" s="59"/>
      <c r="T85" s="26"/>
      <c r="U85" s="60">
        <f>386+63+21-11-16</f>
        <v>443</v>
      </c>
      <c r="V85" s="196"/>
      <c r="W85" s="6"/>
    </row>
    <row r="86" spans="1:24" ht="15.6">
      <c r="A86" s="25"/>
      <c r="B86" s="26" t="s">
        <v>230</v>
      </c>
      <c r="C86" s="26"/>
      <c r="D86" s="26"/>
      <c r="E86" s="26"/>
      <c r="F86" s="26"/>
      <c r="G86" s="26"/>
      <c r="H86" s="26"/>
      <c r="I86" s="26"/>
      <c r="J86" s="26"/>
      <c r="K86" s="26"/>
      <c r="L86" s="26"/>
      <c r="M86" s="26"/>
      <c r="N86" s="26"/>
      <c r="O86" s="26"/>
      <c r="P86" s="26"/>
      <c r="Q86" s="26"/>
      <c r="R86" s="26"/>
      <c r="S86" s="59"/>
      <c r="T86" s="26"/>
      <c r="U86" s="60">
        <v>0</v>
      </c>
      <c r="V86" s="196"/>
      <c r="W86" s="6"/>
      <c r="X86" s="64"/>
    </row>
    <row r="87" spans="1:24" ht="15.6">
      <c r="A87" s="25"/>
      <c r="B87" s="26" t="s">
        <v>231</v>
      </c>
      <c r="C87" s="26"/>
      <c r="D87" s="26"/>
      <c r="E87" s="26"/>
      <c r="F87" s="26"/>
      <c r="G87" s="26"/>
      <c r="H87" s="26"/>
      <c r="I87" s="26"/>
      <c r="J87" s="26"/>
      <c r="K87" s="26"/>
      <c r="L87" s="26"/>
      <c r="M87" s="26"/>
      <c r="N87" s="26"/>
      <c r="O87" s="26"/>
      <c r="P87" s="26"/>
      <c r="Q87" s="26"/>
      <c r="R87" s="26"/>
      <c r="S87" s="59"/>
      <c r="T87" s="26"/>
      <c r="U87" s="60">
        <v>0</v>
      </c>
      <c r="V87" s="196"/>
      <c r="W87" s="6"/>
      <c r="X87" s="64"/>
    </row>
    <row r="88" spans="1:24" ht="15.6">
      <c r="A88" s="25"/>
      <c r="B88" s="26" t="s">
        <v>35</v>
      </c>
      <c r="C88" s="26"/>
      <c r="D88" s="26"/>
      <c r="E88" s="26"/>
      <c r="F88" s="26"/>
      <c r="G88" s="26"/>
      <c r="H88" s="26"/>
      <c r="I88" s="26"/>
      <c r="J88" s="26"/>
      <c r="K88" s="26"/>
      <c r="L88" s="26"/>
      <c r="M88" s="26"/>
      <c r="N88" s="26"/>
      <c r="O88" s="26"/>
      <c r="P88" s="26"/>
      <c r="Q88" s="26"/>
      <c r="R88" s="26"/>
      <c r="S88" s="59"/>
      <c r="T88" s="26"/>
      <c r="U88" s="60">
        <f>SUM(U84:U87)</f>
        <v>65239</v>
      </c>
      <c r="V88" s="196"/>
      <c r="W88" s="6"/>
      <c r="X88" s="64"/>
    </row>
    <row r="89" spans="1:24" ht="15.6">
      <c r="A89" s="25"/>
      <c r="B89" s="26"/>
      <c r="C89" s="26"/>
      <c r="D89" s="26"/>
      <c r="E89" s="26"/>
      <c r="F89" s="26"/>
      <c r="G89" s="26"/>
      <c r="H89" s="26"/>
      <c r="I89" s="26"/>
      <c r="J89" s="26"/>
      <c r="K89" s="26"/>
      <c r="L89" s="26"/>
      <c r="M89" s="26"/>
      <c r="N89" s="26"/>
      <c r="O89" s="26"/>
      <c r="P89" s="26"/>
      <c r="Q89" s="26"/>
      <c r="R89" s="26"/>
      <c r="S89" s="59"/>
      <c r="T89" s="26"/>
      <c r="U89" s="61"/>
      <c r="V89" s="196"/>
      <c r="W89" s="6"/>
    </row>
    <row r="90" spans="1:24" ht="15.6">
      <c r="A90" s="25"/>
      <c r="B90" s="152" t="s">
        <v>36</v>
      </c>
      <c r="C90" s="65"/>
      <c r="D90" s="65"/>
      <c r="E90" s="65"/>
      <c r="F90" s="65"/>
      <c r="G90" s="65"/>
      <c r="H90" s="65"/>
      <c r="I90" s="65"/>
      <c r="J90" s="65"/>
      <c r="K90" s="65"/>
      <c r="L90" s="65"/>
      <c r="M90" s="26"/>
      <c r="N90" s="26"/>
      <c r="O90" s="26"/>
      <c r="P90" s="26"/>
      <c r="Q90" s="26"/>
      <c r="R90" s="26"/>
      <c r="S90" s="59"/>
      <c r="T90" s="26"/>
      <c r="U90" s="60"/>
      <c r="V90" s="196"/>
      <c r="W90" s="6"/>
      <c r="X90" s="64"/>
    </row>
    <row r="91" spans="1:24" ht="15.6">
      <c r="A91" s="25">
        <v>1</v>
      </c>
      <c r="B91" s="26" t="s">
        <v>37</v>
      </c>
      <c r="C91" s="26"/>
      <c r="D91" s="26"/>
      <c r="E91" s="26"/>
      <c r="F91" s="26"/>
      <c r="G91" s="26"/>
      <c r="H91" s="26"/>
      <c r="I91" s="26"/>
      <c r="J91" s="26"/>
      <c r="K91" s="26"/>
      <c r="L91" s="26"/>
      <c r="M91" s="26"/>
      <c r="N91" s="26"/>
      <c r="O91" s="26"/>
      <c r="P91" s="26"/>
      <c r="Q91" s="26"/>
      <c r="R91" s="26"/>
      <c r="S91" s="26"/>
      <c r="T91" s="26"/>
      <c r="U91" s="60">
        <v>-2</v>
      </c>
      <c r="V91" s="196"/>
      <c r="W91" s="6"/>
    </row>
    <row r="92" spans="1:24" ht="15.6">
      <c r="A92" s="25">
        <f>A91+1</f>
        <v>2</v>
      </c>
      <c r="B92" s="26" t="s">
        <v>168</v>
      </c>
      <c r="C92" s="26"/>
      <c r="D92" s="26"/>
      <c r="E92" s="26"/>
      <c r="F92" s="26"/>
      <c r="G92" s="26"/>
      <c r="H92" s="26"/>
      <c r="I92" s="26"/>
      <c r="J92" s="26"/>
      <c r="K92" s="26"/>
      <c r="L92" s="26"/>
      <c r="M92" s="26"/>
      <c r="N92" s="26"/>
      <c r="O92" s="26"/>
      <c r="P92" s="26"/>
      <c r="Q92" s="26"/>
      <c r="R92" s="26"/>
      <c r="S92" s="26"/>
      <c r="T92" s="26"/>
      <c r="U92" s="60">
        <f>-294-189-5</f>
        <v>-488</v>
      </c>
      <c r="V92" s="196"/>
      <c r="W92" s="6"/>
      <c r="X92" s="64"/>
    </row>
    <row r="93" spans="1:24" ht="15.6">
      <c r="A93" s="25">
        <v>3</v>
      </c>
      <c r="B93" s="26" t="s">
        <v>38</v>
      </c>
      <c r="C93" s="26"/>
      <c r="D93" s="26"/>
      <c r="E93" s="26"/>
      <c r="F93" s="26"/>
      <c r="G93" s="26"/>
      <c r="H93" s="26"/>
      <c r="I93" s="26"/>
      <c r="J93" s="26"/>
      <c r="K93" s="26"/>
      <c r="L93" s="26"/>
      <c r="M93" s="26"/>
      <c r="N93" s="26"/>
      <c r="O93" s="26"/>
      <c r="P93" s="26"/>
      <c r="Q93" s="26"/>
      <c r="R93" s="26"/>
      <c r="S93" s="26"/>
      <c r="T93" s="26"/>
      <c r="U93" s="60">
        <v>-700</v>
      </c>
      <c r="V93" s="196"/>
      <c r="W93" s="6"/>
      <c r="X93" s="64"/>
    </row>
    <row r="94" spans="1:24" ht="15.6">
      <c r="A94" s="177" t="s">
        <v>190</v>
      </c>
      <c r="B94" s="26" t="s">
        <v>169</v>
      </c>
      <c r="C94" s="26"/>
      <c r="D94" s="26"/>
      <c r="E94" s="26"/>
      <c r="F94" s="26"/>
      <c r="G94" s="26"/>
      <c r="H94" s="26"/>
      <c r="I94" s="26"/>
      <c r="J94" s="26"/>
      <c r="K94" s="26"/>
      <c r="L94" s="26"/>
      <c r="M94" s="26"/>
      <c r="N94" s="26"/>
      <c r="O94" s="26"/>
      <c r="P94" s="26"/>
      <c r="Q94" s="26"/>
      <c r="R94" s="26"/>
      <c r="S94" s="26"/>
      <c r="T94" s="26"/>
      <c r="U94" s="60">
        <v>-159</v>
      </c>
      <c r="V94" s="196"/>
      <c r="W94" s="6"/>
      <c r="X94" s="64"/>
    </row>
    <row r="95" spans="1:24" ht="15.6">
      <c r="A95" s="177" t="s">
        <v>191</v>
      </c>
      <c r="B95" s="26" t="s">
        <v>170</v>
      </c>
      <c r="C95" s="26"/>
      <c r="D95" s="26"/>
      <c r="E95" s="26"/>
      <c r="F95" s="26"/>
      <c r="G95" s="26"/>
      <c r="H95" s="26"/>
      <c r="I95" s="26"/>
      <c r="J95" s="26"/>
      <c r="K95" s="26"/>
      <c r="L95" s="26"/>
      <c r="M95" s="26"/>
      <c r="N95" s="26"/>
      <c r="O95" s="26"/>
      <c r="P95" s="26"/>
      <c r="Q95" s="26"/>
      <c r="R95" s="26"/>
      <c r="S95" s="26"/>
      <c r="T95" s="26"/>
      <c r="U95" s="60">
        <v>-200</v>
      </c>
      <c r="V95" s="196"/>
      <c r="W95" s="6"/>
      <c r="X95" s="182"/>
    </row>
    <row r="96" spans="1:24" ht="15.6">
      <c r="A96" s="25">
        <v>5</v>
      </c>
      <c r="B96" s="26" t="s">
        <v>171</v>
      </c>
      <c r="C96" s="26"/>
      <c r="D96" s="26"/>
      <c r="E96" s="26"/>
      <c r="F96" s="26"/>
      <c r="G96" s="26"/>
      <c r="H96" s="26"/>
      <c r="I96" s="26"/>
      <c r="J96" s="26"/>
      <c r="K96" s="26"/>
      <c r="L96" s="26"/>
      <c r="M96" s="26"/>
      <c r="N96" s="26"/>
      <c r="O96" s="26"/>
      <c r="P96" s="26"/>
      <c r="Q96" s="26"/>
      <c r="R96" s="26"/>
      <c r="S96" s="26"/>
      <c r="T96" s="26"/>
      <c r="U96" s="60">
        <v>-7</v>
      </c>
      <c r="V96" s="196"/>
      <c r="W96" s="6"/>
    </row>
    <row r="97" spans="1:24" ht="15.6">
      <c r="A97" s="177" t="s">
        <v>174</v>
      </c>
      <c r="B97" s="26" t="s">
        <v>172</v>
      </c>
      <c r="C97" s="26"/>
      <c r="D97" s="26"/>
      <c r="E97" s="26"/>
      <c r="F97" s="26"/>
      <c r="G97" s="26"/>
      <c r="H97" s="26"/>
      <c r="I97" s="26"/>
      <c r="J97" s="26"/>
      <c r="K97" s="26"/>
      <c r="L97" s="26"/>
      <c r="M97" s="26"/>
      <c r="N97" s="26"/>
      <c r="O97" s="26"/>
      <c r="P97" s="26"/>
      <c r="Q97" s="26"/>
      <c r="R97" s="26"/>
      <c r="S97" s="26"/>
      <c r="T97" s="26"/>
      <c r="U97" s="60">
        <v>-37</v>
      </c>
      <c r="V97" s="196"/>
      <c r="W97" s="6"/>
      <c r="X97" s="182"/>
    </row>
    <row r="98" spans="1:24" ht="15.6">
      <c r="A98" s="177" t="s">
        <v>176</v>
      </c>
      <c r="B98" s="26" t="s">
        <v>173</v>
      </c>
      <c r="C98" s="26"/>
      <c r="D98" s="26"/>
      <c r="E98" s="26"/>
      <c r="F98" s="26"/>
      <c r="G98" s="26"/>
      <c r="H98" s="26"/>
      <c r="I98" s="26"/>
      <c r="J98" s="26"/>
      <c r="K98" s="26"/>
      <c r="L98" s="26"/>
      <c r="M98" s="26"/>
      <c r="N98" s="26"/>
      <c r="O98" s="26"/>
      <c r="P98" s="26"/>
      <c r="Q98" s="26"/>
      <c r="R98" s="26"/>
      <c r="S98" s="26"/>
      <c r="T98" s="26"/>
      <c r="U98" s="60">
        <v>-59</v>
      </c>
      <c r="V98" s="196"/>
      <c r="W98" s="119"/>
      <c r="X98" s="182"/>
    </row>
    <row r="99" spans="1:24" ht="15.6">
      <c r="A99" s="177" t="s">
        <v>178</v>
      </c>
      <c r="B99" s="26" t="s">
        <v>175</v>
      </c>
      <c r="C99" s="26"/>
      <c r="D99" s="26"/>
      <c r="E99" s="26"/>
      <c r="F99" s="26"/>
      <c r="G99" s="26"/>
      <c r="H99" s="26"/>
      <c r="I99" s="26"/>
      <c r="J99" s="26"/>
      <c r="K99" s="26"/>
      <c r="L99" s="26"/>
      <c r="M99" s="26"/>
      <c r="N99" s="26"/>
      <c r="O99" s="26"/>
      <c r="P99" s="26"/>
      <c r="Q99" s="26"/>
      <c r="R99" s="26"/>
      <c r="S99" s="26"/>
      <c r="T99" s="26"/>
      <c r="U99" s="60">
        <v>-54</v>
      </c>
      <c r="V99" s="196"/>
      <c r="W99" s="6"/>
      <c r="X99" s="182"/>
    </row>
    <row r="100" spans="1:24" ht="15.6">
      <c r="A100" s="177" t="s">
        <v>180</v>
      </c>
      <c r="B100" s="26" t="s">
        <v>177</v>
      </c>
      <c r="C100" s="26"/>
      <c r="D100" s="26"/>
      <c r="E100" s="26"/>
      <c r="F100" s="26"/>
      <c r="G100" s="26"/>
      <c r="H100" s="26"/>
      <c r="I100" s="26"/>
      <c r="J100" s="26"/>
      <c r="K100" s="26"/>
      <c r="L100" s="26"/>
      <c r="M100" s="26"/>
      <c r="N100" s="26"/>
      <c r="O100" s="26"/>
      <c r="P100" s="26"/>
      <c r="Q100" s="26"/>
      <c r="R100" s="26"/>
      <c r="S100" s="26"/>
      <c r="T100" s="26"/>
      <c r="U100" s="60">
        <v>-69</v>
      </c>
      <c r="V100" s="196"/>
      <c r="W100" s="119"/>
      <c r="X100" s="182"/>
    </row>
    <row r="101" spans="1:24" ht="15.6">
      <c r="A101" s="177" t="s">
        <v>192</v>
      </c>
      <c r="B101" s="26" t="s">
        <v>179</v>
      </c>
      <c r="C101" s="26"/>
      <c r="D101" s="26"/>
      <c r="E101" s="26"/>
      <c r="F101" s="26"/>
      <c r="G101" s="26"/>
      <c r="H101" s="26"/>
      <c r="I101" s="26"/>
      <c r="J101" s="26"/>
      <c r="K101" s="26"/>
      <c r="L101" s="26"/>
      <c r="M101" s="26"/>
      <c r="N101" s="26"/>
      <c r="O101" s="26"/>
      <c r="P101" s="26"/>
      <c r="Q101" s="26"/>
      <c r="R101" s="26"/>
      <c r="S101" s="26"/>
      <c r="T101" s="26"/>
      <c r="U101" s="60">
        <v>-94</v>
      </c>
      <c r="V101" s="196"/>
      <c r="W101" s="6"/>
      <c r="X101" s="182"/>
    </row>
    <row r="102" spans="1:24" ht="15.6">
      <c r="A102" s="177" t="s">
        <v>193</v>
      </c>
      <c r="B102" s="26" t="s">
        <v>181</v>
      </c>
      <c r="C102" s="26"/>
      <c r="D102" s="26"/>
      <c r="E102" s="26"/>
      <c r="F102" s="26"/>
      <c r="G102" s="26"/>
      <c r="H102" s="26"/>
      <c r="I102" s="26"/>
      <c r="J102" s="26"/>
      <c r="K102" s="26"/>
      <c r="L102" s="26"/>
      <c r="M102" s="26"/>
      <c r="N102" s="26"/>
      <c r="O102" s="26"/>
      <c r="P102" s="26"/>
      <c r="Q102" s="26"/>
      <c r="R102" s="26"/>
      <c r="S102" s="26"/>
      <c r="T102" s="26"/>
      <c r="U102" s="60">
        <v>-81</v>
      </c>
      <c r="V102" s="196"/>
      <c r="W102" s="119"/>
      <c r="X102" s="182"/>
    </row>
    <row r="103" spans="1:24" ht="15.6">
      <c r="A103" s="25">
        <v>9</v>
      </c>
      <c r="B103" s="26" t="s">
        <v>257</v>
      </c>
      <c r="C103" s="26"/>
      <c r="D103" s="26"/>
      <c r="E103" s="26"/>
      <c r="F103" s="26"/>
      <c r="G103" s="26"/>
      <c r="H103" s="26"/>
      <c r="I103" s="26"/>
      <c r="J103" s="26"/>
      <c r="K103" s="26"/>
      <c r="L103" s="26"/>
      <c r="M103" s="26"/>
      <c r="N103" s="26"/>
      <c r="O103" s="26"/>
      <c r="P103" s="26"/>
      <c r="Q103" s="26"/>
      <c r="R103" s="26"/>
      <c r="S103" s="26"/>
      <c r="T103" s="26"/>
      <c r="U103" s="60">
        <f>+S220-U32</f>
        <v>-19370.655200000037</v>
      </c>
      <c r="V103" s="196"/>
      <c r="W103" s="6"/>
      <c r="X103" s="182"/>
    </row>
    <row r="104" spans="1:24" ht="15.6">
      <c r="A104" s="25">
        <v>10</v>
      </c>
      <c r="B104" s="26" t="s">
        <v>234</v>
      </c>
      <c r="C104" s="26"/>
      <c r="D104" s="26"/>
      <c r="E104" s="26"/>
      <c r="F104" s="26"/>
      <c r="G104" s="26"/>
      <c r="H104" s="26"/>
      <c r="I104" s="26"/>
      <c r="J104" s="26"/>
      <c r="K104" s="26"/>
      <c r="L104" s="26"/>
      <c r="M104" s="26"/>
      <c r="N104" s="26"/>
      <c r="O104" s="26"/>
      <c r="P104" s="26"/>
      <c r="Q104" s="26"/>
      <c r="R104" s="26"/>
      <c r="S104" s="26"/>
      <c r="T104" s="26"/>
      <c r="U104" s="60">
        <v>-40500</v>
      </c>
      <c r="V104" s="196"/>
      <c r="W104" s="6"/>
      <c r="X104" s="64"/>
    </row>
    <row r="105" spans="1:24" ht="15.6">
      <c r="A105" s="25">
        <v>11</v>
      </c>
      <c r="B105" s="26" t="s">
        <v>183</v>
      </c>
      <c r="C105" s="26"/>
      <c r="D105" s="26"/>
      <c r="E105" s="26"/>
      <c r="F105" s="26"/>
      <c r="G105" s="26"/>
      <c r="H105" s="26"/>
      <c r="I105" s="26"/>
      <c r="J105" s="26"/>
      <c r="K105" s="26"/>
      <c r="L105" s="26"/>
      <c r="M105" s="26"/>
      <c r="N105" s="26"/>
      <c r="O105" s="26"/>
      <c r="P105" s="26"/>
      <c r="Q105" s="26"/>
      <c r="R105" s="26"/>
      <c r="S105" s="26"/>
      <c r="T105" s="26"/>
      <c r="U105" s="60">
        <v>0</v>
      </c>
      <c r="V105" s="196"/>
      <c r="W105" s="6"/>
      <c r="X105" s="64"/>
    </row>
    <row r="106" spans="1:24" ht="15.6">
      <c r="A106" s="25">
        <v>12</v>
      </c>
      <c r="B106" s="26" t="s">
        <v>184</v>
      </c>
      <c r="C106" s="26"/>
      <c r="D106" s="26"/>
      <c r="E106" s="26"/>
      <c r="F106" s="26"/>
      <c r="G106" s="26"/>
      <c r="H106" s="26"/>
      <c r="I106" s="26"/>
      <c r="J106" s="26"/>
      <c r="K106" s="26"/>
      <c r="L106" s="26"/>
      <c r="M106" s="26"/>
      <c r="N106" s="26"/>
      <c r="O106" s="26"/>
      <c r="P106" s="26"/>
      <c r="Q106" s="26"/>
      <c r="R106" s="26"/>
      <c r="S106" s="26"/>
      <c r="T106" s="26"/>
      <c r="U106" s="60">
        <v>-331</v>
      </c>
      <c r="V106" s="196"/>
      <c r="W106" s="6"/>
      <c r="X106" s="182"/>
    </row>
    <row r="107" spans="1:24" ht="15.6">
      <c r="A107" s="25">
        <v>13</v>
      </c>
      <c r="B107" s="26" t="s">
        <v>40</v>
      </c>
      <c r="C107" s="26"/>
      <c r="D107" s="26"/>
      <c r="E107" s="26"/>
      <c r="F107" s="26"/>
      <c r="G107" s="26"/>
      <c r="H107" s="26"/>
      <c r="I107" s="26"/>
      <c r="J107" s="26"/>
      <c r="K107" s="26"/>
      <c r="L107" s="26"/>
      <c r="M107" s="26"/>
      <c r="N107" s="26"/>
      <c r="O107" s="26"/>
      <c r="P107" s="26"/>
      <c r="Q107" s="26"/>
      <c r="R107" s="26"/>
      <c r="S107" s="26"/>
      <c r="T107" s="26"/>
      <c r="U107" s="60">
        <f>-SUM(U88:V106)</f>
        <v>-3087.3447999999626</v>
      </c>
      <c r="V107" s="196"/>
      <c r="W107" s="6"/>
      <c r="X107" s="182"/>
    </row>
    <row r="108" spans="1:24" ht="15.6">
      <c r="A108" s="25"/>
      <c r="B108" s="29"/>
      <c r="C108" s="26"/>
      <c r="D108" s="26"/>
      <c r="E108" s="26"/>
      <c r="F108" s="26"/>
      <c r="G108" s="26"/>
      <c r="H108" s="26"/>
      <c r="I108" s="26"/>
      <c r="J108" s="26"/>
      <c r="K108" s="26"/>
      <c r="L108" s="26"/>
      <c r="M108" s="26"/>
      <c r="N108" s="26"/>
      <c r="O108" s="26"/>
      <c r="P108" s="26"/>
      <c r="Q108" s="26"/>
      <c r="R108" s="26"/>
      <c r="S108" s="59"/>
      <c r="T108" s="59"/>
      <c r="U108" s="59"/>
      <c r="V108" s="196"/>
      <c r="W108" s="6"/>
      <c r="X108" s="182"/>
    </row>
    <row r="109" spans="1:24" ht="15.6">
      <c r="A109" s="7"/>
      <c r="B109" s="12"/>
      <c r="C109" s="9"/>
      <c r="D109" s="9"/>
      <c r="E109" s="9"/>
      <c r="F109" s="9"/>
      <c r="G109" s="9"/>
      <c r="H109" s="9"/>
      <c r="I109" s="9"/>
      <c r="J109" s="9"/>
      <c r="K109" s="9"/>
      <c r="L109" s="9"/>
      <c r="M109" s="9"/>
      <c r="N109" s="9"/>
      <c r="O109" s="9"/>
      <c r="P109" s="9"/>
      <c r="Q109" s="9"/>
      <c r="R109" s="9"/>
      <c r="S109" s="66"/>
      <c r="T109" s="66"/>
      <c r="U109" s="66"/>
      <c r="V109" s="194"/>
      <c r="W109" s="6"/>
    </row>
    <row r="110" spans="1:24" ht="16.2" thickBot="1">
      <c r="A110" s="130"/>
      <c r="B110" s="131" t="str">
        <f>+B59</f>
        <v>PPAF3 INVESTOR REPORT QUARTER ENDING MARCH 2010</v>
      </c>
      <c r="C110" s="132"/>
      <c r="D110" s="132"/>
      <c r="E110" s="132"/>
      <c r="F110" s="132"/>
      <c r="G110" s="132"/>
      <c r="H110" s="132"/>
      <c r="I110" s="132"/>
      <c r="J110" s="132"/>
      <c r="K110" s="132"/>
      <c r="L110" s="132"/>
      <c r="M110" s="132"/>
      <c r="N110" s="132"/>
      <c r="O110" s="132"/>
      <c r="P110" s="132"/>
      <c r="Q110" s="132"/>
      <c r="R110" s="132"/>
      <c r="S110" s="135"/>
      <c r="T110" s="135"/>
      <c r="U110" s="135"/>
      <c r="V110" s="134"/>
      <c r="W110" s="6"/>
    </row>
    <row r="111" spans="1:24" ht="15.6">
      <c r="A111" s="2"/>
      <c r="B111" s="5"/>
      <c r="C111" s="5"/>
      <c r="D111" s="5"/>
      <c r="E111" s="5"/>
      <c r="F111" s="5"/>
      <c r="G111" s="5"/>
      <c r="H111" s="5"/>
      <c r="I111" s="5"/>
      <c r="J111" s="5"/>
      <c r="K111" s="5"/>
      <c r="L111" s="5"/>
      <c r="M111" s="5"/>
      <c r="N111" s="5"/>
      <c r="O111" s="5"/>
      <c r="P111" s="5"/>
      <c r="Q111" s="5"/>
      <c r="R111" s="5"/>
      <c r="S111" s="67"/>
      <c r="T111" s="67"/>
      <c r="U111" s="67"/>
      <c r="V111" s="193"/>
      <c r="W111" s="6"/>
    </row>
    <row r="112" spans="1:24" ht="15.6">
      <c r="A112" s="68"/>
      <c r="B112" s="69" t="s">
        <v>41</v>
      </c>
      <c r="C112" s="70"/>
      <c r="D112" s="70"/>
      <c r="E112" s="70"/>
      <c r="F112" s="70"/>
      <c r="G112" s="70"/>
      <c r="H112" s="70"/>
      <c r="I112" s="70"/>
      <c r="J112" s="70"/>
      <c r="K112" s="70"/>
      <c r="L112" s="70"/>
      <c r="M112" s="70"/>
      <c r="N112" s="70"/>
      <c r="O112" s="70"/>
      <c r="P112" s="70"/>
      <c r="Q112" s="70"/>
      <c r="R112" s="70"/>
      <c r="S112" s="70"/>
      <c r="T112" s="70"/>
      <c r="U112" s="71"/>
      <c r="V112" s="201"/>
      <c r="W112" s="6"/>
    </row>
    <row r="113" spans="1:23" ht="15.6">
      <c r="A113" s="68"/>
      <c r="B113" s="70"/>
      <c r="C113" s="70"/>
      <c r="D113" s="70"/>
      <c r="E113" s="70"/>
      <c r="F113" s="70"/>
      <c r="G113" s="70"/>
      <c r="H113" s="70"/>
      <c r="I113" s="70"/>
      <c r="J113" s="70"/>
      <c r="K113" s="70"/>
      <c r="L113" s="70"/>
      <c r="M113" s="70"/>
      <c r="N113" s="70"/>
      <c r="O113" s="70"/>
      <c r="P113" s="70"/>
      <c r="Q113" s="70"/>
      <c r="R113" s="70"/>
      <c r="S113" s="70"/>
      <c r="T113" s="70"/>
      <c r="U113" s="71"/>
      <c r="V113" s="202"/>
      <c r="W113" s="6"/>
    </row>
    <row r="114" spans="1:23" ht="15.6">
      <c r="A114" s="7"/>
      <c r="B114" s="153" t="s">
        <v>42</v>
      </c>
      <c r="C114" s="13"/>
      <c r="D114" s="13"/>
      <c r="E114" s="13"/>
      <c r="F114" s="13"/>
      <c r="G114" s="13"/>
      <c r="H114" s="13"/>
      <c r="I114" s="13"/>
      <c r="J114" s="13"/>
      <c r="K114" s="13"/>
      <c r="L114" s="13"/>
      <c r="M114" s="9"/>
      <c r="N114" s="9"/>
      <c r="O114" s="9"/>
      <c r="P114" s="9"/>
      <c r="Q114" s="9"/>
      <c r="R114" s="9"/>
      <c r="S114" s="9"/>
      <c r="T114" s="9"/>
      <c r="U114" s="58"/>
      <c r="V114" s="194"/>
      <c r="W114" s="6"/>
    </row>
    <row r="115" spans="1:23" ht="15.6">
      <c r="A115" s="25"/>
      <c r="B115" s="26" t="s">
        <v>43</v>
      </c>
      <c r="C115" s="26"/>
      <c r="D115" s="26"/>
      <c r="E115" s="26"/>
      <c r="F115" s="26"/>
      <c r="G115" s="26"/>
      <c r="H115" s="26"/>
      <c r="I115" s="26"/>
      <c r="J115" s="26"/>
      <c r="K115" s="26"/>
      <c r="L115" s="26"/>
      <c r="M115" s="26"/>
      <c r="N115" s="26"/>
      <c r="O115" s="26"/>
      <c r="P115" s="26"/>
      <c r="Q115" s="26"/>
      <c r="R115" s="26"/>
      <c r="S115" s="26"/>
      <c r="T115" s="26"/>
      <c r="U115" s="60">
        <v>40500</v>
      </c>
      <c r="V115" s="196"/>
      <c r="W115" s="6"/>
    </row>
    <row r="116" spans="1:23" ht="15.6">
      <c r="A116" s="25"/>
      <c r="B116" s="26" t="s">
        <v>240</v>
      </c>
      <c r="C116" s="26"/>
      <c r="D116" s="26"/>
      <c r="E116" s="26"/>
      <c r="F116" s="26"/>
      <c r="G116" s="26"/>
      <c r="H116" s="26"/>
      <c r="I116" s="26"/>
      <c r="J116" s="26"/>
      <c r="K116" s="26"/>
      <c r="L116" s="26"/>
      <c r="M116" s="26"/>
      <c r="N116" s="26"/>
      <c r="O116" s="26"/>
      <c r="P116" s="26"/>
      <c r="Q116" s="26"/>
      <c r="R116" s="26"/>
      <c r="S116" s="26"/>
      <c r="T116" s="26"/>
      <c r="U116" s="60">
        <v>40500</v>
      </c>
      <c r="V116" s="196"/>
      <c r="W116" s="6"/>
    </row>
    <row r="117" spans="1:23" ht="15.6">
      <c r="A117" s="25"/>
      <c r="B117" s="26" t="s">
        <v>241</v>
      </c>
      <c r="C117" s="26"/>
      <c r="D117" s="26"/>
      <c r="E117" s="26"/>
      <c r="F117" s="26"/>
      <c r="G117" s="26"/>
      <c r="H117" s="26"/>
      <c r="I117" s="26"/>
      <c r="J117" s="26"/>
      <c r="K117" s="26"/>
      <c r="L117" s="26"/>
      <c r="M117" s="26"/>
      <c r="N117" s="26"/>
      <c r="O117" s="26"/>
      <c r="P117" s="26"/>
      <c r="Q117" s="26"/>
      <c r="R117" s="26"/>
      <c r="S117" s="26"/>
      <c r="T117" s="26"/>
      <c r="U117" s="60">
        <v>0</v>
      </c>
      <c r="V117" s="196"/>
      <c r="W117" s="6"/>
    </row>
    <row r="118" spans="1:23" ht="15.6">
      <c r="A118" s="25"/>
      <c r="B118" s="26" t="s">
        <v>209</v>
      </c>
      <c r="C118" s="26"/>
      <c r="D118" s="26"/>
      <c r="E118" s="26"/>
      <c r="F118" s="26"/>
      <c r="G118" s="26"/>
      <c r="H118" s="26"/>
      <c r="I118" s="26"/>
      <c r="J118" s="26"/>
      <c r="K118" s="26"/>
      <c r="L118" s="26"/>
      <c r="M118" s="26"/>
      <c r="N118" s="26"/>
      <c r="O118" s="26"/>
      <c r="P118" s="26"/>
      <c r="Q118" s="26"/>
      <c r="R118" s="26"/>
      <c r="S118" s="26"/>
      <c r="T118" s="26"/>
      <c r="U118" s="60">
        <v>0</v>
      </c>
      <c r="V118" s="196"/>
      <c r="W118" s="6"/>
    </row>
    <row r="119" spans="1:23" ht="15.6">
      <c r="A119" s="25"/>
      <c r="B119" s="26" t="s">
        <v>210</v>
      </c>
      <c r="C119" s="26"/>
      <c r="D119" s="26"/>
      <c r="E119" s="26"/>
      <c r="F119" s="26"/>
      <c r="G119" s="26"/>
      <c r="H119" s="26"/>
      <c r="I119" s="26"/>
      <c r="J119" s="26"/>
      <c r="K119" s="26"/>
      <c r="L119" s="26"/>
      <c r="M119" s="26"/>
      <c r="N119" s="26"/>
      <c r="O119" s="26"/>
      <c r="P119" s="26"/>
      <c r="Q119" s="26"/>
      <c r="R119" s="26"/>
      <c r="S119" s="26"/>
      <c r="T119" s="26"/>
      <c r="U119" s="60">
        <v>0</v>
      </c>
      <c r="V119" s="196"/>
      <c r="W119" s="6"/>
    </row>
    <row r="120" spans="1:23" ht="15.6">
      <c r="A120" s="25"/>
      <c r="B120" s="26" t="s">
        <v>211</v>
      </c>
      <c r="C120" s="26"/>
      <c r="D120" s="26"/>
      <c r="E120" s="26"/>
      <c r="F120" s="26"/>
      <c r="G120" s="26"/>
      <c r="H120" s="26"/>
      <c r="I120" s="26"/>
      <c r="J120" s="26"/>
      <c r="K120" s="26"/>
      <c r="L120" s="26"/>
      <c r="M120" s="26"/>
      <c r="N120" s="26"/>
      <c r="O120" s="26"/>
      <c r="P120" s="26"/>
      <c r="Q120" s="26"/>
      <c r="R120" s="26"/>
      <c r="S120" s="26"/>
      <c r="T120" s="26"/>
      <c r="U120" s="60">
        <v>0</v>
      </c>
      <c r="V120" s="196"/>
      <c r="W120" s="6"/>
    </row>
    <row r="121" spans="1:23" ht="15.6">
      <c r="A121" s="25"/>
      <c r="B121" s="26" t="s">
        <v>212</v>
      </c>
      <c r="C121" s="26"/>
      <c r="D121" s="26"/>
      <c r="E121" s="26"/>
      <c r="F121" s="26"/>
      <c r="G121" s="26"/>
      <c r="H121" s="26"/>
      <c r="I121" s="26"/>
      <c r="J121" s="26"/>
      <c r="K121" s="26"/>
      <c r="L121" s="26"/>
      <c r="M121" s="26"/>
      <c r="N121" s="26"/>
      <c r="O121" s="26"/>
      <c r="P121" s="26"/>
      <c r="Q121" s="26"/>
      <c r="R121" s="26"/>
      <c r="S121" s="26"/>
      <c r="T121" s="26"/>
      <c r="U121" s="60">
        <v>0</v>
      </c>
      <c r="V121" s="196"/>
      <c r="W121" s="6"/>
    </row>
    <row r="122" spans="1:23" ht="15.6">
      <c r="A122" s="25"/>
      <c r="B122" s="26" t="s">
        <v>242</v>
      </c>
      <c r="C122" s="26"/>
      <c r="D122" s="26"/>
      <c r="E122" s="26"/>
      <c r="F122" s="26"/>
      <c r="G122" s="26"/>
      <c r="H122" s="26"/>
      <c r="I122" s="26"/>
      <c r="J122" s="26"/>
      <c r="K122" s="26"/>
      <c r="L122" s="26"/>
      <c r="M122" s="26"/>
      <c r="N122" s="26"/>
      <c r="O122" s="26"/>
      <c r="P122" s="26"/>
      <c r="Q122" s="26"/>
      <c r="R122" s="26"/>
      <c r="S122" s="26"/>
      <c r="T122" s="26"/>
      <c r="U122" s="60">
        <v>0</v>
      </c>
      <c r="V122" s="196"/>
      <c r="W122" s="6"/>
    </row>
    <row r="123" spans="1:23" ht="15.6">
      <c r="A123" s="25"/>
      <c r="B123" s="26" t="s">
        <v>45</v>
      </c>
      <c r="C123" s="26"/>
      <c r="D123" s="26"/>
      <c r="E123" s="26"/>
      <c r="F123" s="26"/>
      <c r="G123" s="26"/>
      <c r="H123" s="26"/>
      <c r="I123" s="26"/>
      <c r="J123" s="26"/>
      <c r="K123" s="26"/>
      <c r="L123" s="26"/>
      <c r="M123" s="26"/>
      <c r="N123" s="26"/>
      <c r="O123" s="26"/>
      <c r="P123" s="26"/>
      <c r="Q123" s="26"/>
      <c r="R123" s="26"/>
      <c r="S123" s="26"/>
      <c r="T123" s="26"/>
      <c r="U123" s="60">
        <f>SUM(U116:U122)</f>
        <v>40500</v>
      </c>
      <c r="V123" s="196"/>
      <c r="W123" s="6"/>
    </row>
    <row r="124" spans="1:23" ht="15.6">
      <c r="A124" s="25"/>
      <c r="B124" s="26"/>
      <c r="C124" s="26"/>
      <c r="D124" s="26"/>
      <c r="E124" s="26"/>
      <c r="F124" s="26"/>
      <c r="G124" s="26"/>
      <c r="H124" s="26"/>
      <c r="I124" s="26"/>
      <c r="J124" s="26"/>
      <c r="K124" s="26"/>
      <c r="L124" s="26"/>
      <c r="M124" s="26"/>
      <c r="N124" s="26"/>
      <c r="O124" s="26"/>
      <c r="P124" s="26"/>
      <c r="Q124" s="26"/>
      <c r="R124" s="26"/>
      <c r="S124" s="26"/>
      <c r="T124" s="26"/>
      <c r="U124" s="73"/>
      <c r="V124" s="196"/>
      <c r="W124" s="6"/>
    </row>
    <row r="125" spans="1:23" ht="15.6">
      <c r="A125" s="7"/>
      <c r="B125" s="153" t="s">
        <v>46</v>
      </c>
      <c r="C125" s="13"/>
      <c r="D125" s="13"/>
      <c r="E125" s="13"/>
      <c r="F125" s="13"/>
      <c r="G125" s="13"/>
      <c r="H125" s="13"/>
      <c r="I125" s="13"/>
      <c r="J125" s="13"/>
      <c r="K125" s="13"/>
      <c r="L125" s="13"/>
      <c r="M125" s="9"/>
      <c r="N125" s="9"/>
      <c r="O125" s="9"/>
      <c r="P125" s="188"/>
      <c r="Q125" s="9"/>
      <c r="R125" s="9"/>
      <c r="S125" s="9"/>
      <c r="T125" s="9"/>
      <c r="U125" s="75"/>
      <c r="V125" s="194"/>
      <c r="W125" s="6"/>
    </row>
    <row r="126" spans="1:23" ht="15.6">
      <c r="A126" s="7"/>
      <c r="B126" s="13"/>
      <c r="C126" s="17" t="s">
        <v>185</v>
      </c>
      <c r="D126" s="17"/>
      <c r="E126" s="17" t="s">
        <v>99</v>
      </c>
      <c r="F126" s="17"/>
      <c r="G126" s="17" t="s">
        <v>102</v>
      </c>
      <c r="H126" s="17"/>
      <c r="I126" s="17" t="s">
        <v>108</v>
      </c>
      <c r="J126" s="17"/>
      <c r="K126" s="17"/>
      <c r="L126" s="17"/>
      <c r="M126" s="17"/>
      <c r="N126" s="17"/>
      <c r="O126" s="17"/>
      <c r="P126" s="188"/>
      <c r="Q126" s="188"/>
      <c r="R126" s="9"/>
      <c r="S126" s="9"/>
      <c r="T126" s="9"/>
      <c r="U126" s="75"/>
      <c r="V126" s="194"/>
      <c r="W126" s="6"/>
    </row>
    <row r="127" spans="1:23" ht="15.6">
      <c r="A127" s="25"/>
      <c r="B127" s="26" t="s">
        <v>122</v>
      </c>
      <c r="C127" s="59">
        <f>+N200-'Dec 09'!N200</f>
        <v>-1856</v>
      </c>
      <c r="D127" s="26"/>
      <c r="E127" s="59">
        <f>+S200-'Dec 09'!S200</f>
        <v>-232</v>
      </c>
      <c r="F127" s="26"/>
      <c r="G127" s="59">
        <f>+'March 10'!N213-'Dec 09'!N213</f>
        <v>200</v>
      </c>
      <c r="H127" s="26"/>
      <c r="I127" s="59">
        <f>+S213-'Dec 09'!S213</f>
        <v>56</v>
      </c>
      <c r="J127" s="26"/>
      <c r="K127" s="26"/>
      <c r="L127" s="26"/>
      <c r="M127" s="26"/>
      <c r="N127" s="26"/>
      <c r="O127" s="26"/>
      <c r="P127" s="189"/>
      <c r="Q127" s="189"/>
      <c r="R127" s="26"/>
      <c r="S127" s="26"/>
      <c r="T127" s="26"/>
      <c r="U127" s="60">
        <f>SUM(C127:I127)</f>
        <v>-1832</v>
      </c>
      <c r="V127" s="196"/>
      <c r="W127" s="6"/>
    </row>
    <row r="128" spans="1:23" ht="15.6">
      <c r="A128" s="25"/>
      <c r="B128" s="26" t="s">
        <v>47</v>
      </c>
      <c r="C128" s="26">
        <v>1952</v>
      </c>
      <c r="D128" s="26"/>
      <c r="E128" s="26">
        <v>0</v>
      </c>
      <c r="F128" s="26"/>
      <c r="G128" s="26">
        <v>1570</v>
      </c>
      <c r="H128" s="26"/>
      <c r="I128" s="59">
        <v>587</v>
      </c>
      <c r="J128" s="26"/>
      <c r="K128" s="26"/>
      <c r="L128" s="26"/>
      <c r="M128" s="26"/>
      <c r="N128" s="26"/>
      <c r="O128" s="26"/>
      <c r="P128" s="189"/>
      <c r="Q128" s="189"/>
      <c r="R128" s="26"/>
      <c r="S128" s="26"/>
      <c r="T128" s="26"/>
      <c r="U128" s="60">
        <f>SUM(C128:I128)</f>
        <v>4109</v>
      </c>
      <c r="V128" s="196"/>
      <c r="W128" s="6"/>
    </row>
    <row r="129" spans="1:25" ht="15.6">
      <c r="A129" s="25"/>
      <c r="B129" s="26" t="s">
        <v>48</v>
      </c>
      <c r="C129" s="26"/>
      <c r="D129" s="26"/>
      <c r="E129" s="26"/>
      <c r="F129" s="26"/>
      <c r="G129" s="26"/>
      <c r="H129" s="26"/>
      <c r="I129" s="26"/>
      <c r="J129" s="26"/>
      <c r="K129" s="26"/>
      <c r="L129" s="26"/>
      <c r="M129" s="26"/>
      <c r="N129" s="26"/>
      <c r="O129" s="26"/>
      <c r="P129" s="26"/>
      <c r="Q129" s="26"/>
      <c r="R129" s="26"/>
      <c r="S129" s="26"/>
      <c r="T129" s="26"/>
      <c r="U129" s="60">
        <f>SUM(U127:U128)</f>
        <v>2277</v>
      </c>
      <c r="V129" s="196"/>
      <c r="W129" s="6"/>
    </row>
    <row r="130" spans="1:25" ht="15.6">
      <c r="A130" s="7"/>
      <c r="B130" s="153" t="s">
        <v>49</v>
      </c>
      <c r="C130" s="13"/>
      <c r="D130" s="13"/>
      <c r="E130" s="13"/>
      <c r="F130" s="13"/>
      <c r="G130" s="13"/>
      <c r="H130" s="13"/>
      <c r="I130" s="13"/>
      <c r="J130" s="13"/>
      <c r="K130" s="13"/>
      <c r="L130" s="13"/>
      <c r="M130" s="9"/>
      <c r="N130" s="9"/>
      <c r="O130" s="9"/>
      <c r="P130" s="9"/>
      <c r="Q130" s="9"/>
      <c r="R130" s="9"/>
      <c r="S130" s="9"/>
      <c r="T130" s="9"/>
      <c r="U130" s="58"/>
      <c r="V130" s="194"/>
      <c r="W130" s="6"/>
    </row>
    <row r="131" spans="1:25" ht="15.6">
      <c r="A131" s="25"/>
      <c r="B131" s="26" t="s">
        <v>50</v>
      </c>
      <c r="C131" s="77"/>
      <c r="D131" s="77"/>
      <c r="E131" s="77"/>
      <c r="F131" s="77"/>
      <c r="G131" s="77"/>
      <c r="H131" s="77"/>
      <c r="I131" s="77"/>
      <c r="J131" s="77"/>
      <c r="K131" s="77"/>
      <c r="L131" s="77"/>
      <c r="M131" s="26"/>
      <c r="N131" s="26"/>
      <c r="O131" s="26"/>
      <c r="P131" s="26"/>
      <c r="Q131" s="26"/>
      <c r="R131" s="26"/>
      <c r="S131" s="26"/>
      <c r="T131" s="26"/>
      <c r="U131" s="60">
        <f>U76+U78</f>
        <v>278926</v>
      </c>
      <c r="V131" s="196"/>
      <c r="W131" s="6"/>
      <c r="X131" s="182"/>
    </row>
    <row r="132" spans="1:25" ht="15.6">
      <c r="A132" s="25"/>
      <c r="B132" s="26" t="s">
        <v>51</v>
      </c>
      <c r="C132" s="77"/>
      <c r="D132" s="77"/>
      <c r="E132" s="77"/>
      <c r="F132" s="77"/>
      <c r="G132" s="77"/>
      <c r="H132" s="77"/>
      <c r="I132" s="77"/>
      <c r="J132" s="77"/>
      <c r="K132" s="77"/>
      <c r="L132" s="77"/>
      <c r="M132" s="26"/>
      <c r="N132" s="26"/>
      <c r="O132" s="26"/>
      <c r="P132" s="26"/>
      <c r="Q132" s="26"/>
      <c r="R132" s="26"/>
      <c r="S132" s="26"/>
      <c r="T132" s="26"/>
      <c r="U132" s="60">
        <v>0</v>
      </c>
      <c r="V132" s="196"/>
      <c r="W132" s="6"/>
      <c r="Y132" s="182"/>
    </row>
    <row r="133" spans="1:25" ht="15.6">
      <c r="A133" s="25"/>
      <c r="B133" s="26" t="s">
        <v>52</v>
      </c>
      <c r="C133" s="77"/>
      <c r="D133" s="77"/>
      <c r="E133" s="77"/>
      <c r="F133" s="77"/>
      <c r="G133" s="77"/>
      <c r="H133" s="77"/>
      <c r="I133" s="77"/>
      <c r="J133" s="77"/>
      <c r="K133" s="77"/>
      <c r="L133" s="77"/>
      <c r="M133" s="26"/>
      <c r="N133" s="26"/>
      <c r="O133" s="26"/>
      <c r="P133" s="26"/>
      <c r="Q133" s="26"/>
      <c r="R133" s="26"/>
      <c r="S133" s="26"/>
      <c r="T133" s="26"/>
      <c r="U133" s="60">
        <f>+U131+U132</f>
        <v>278926</v>
      </c>
      <c r="V133" s="196"/>
      <c r="W133" s="6"/>
    </row>
    <row r="134" spans="1:25" ht="15.6">
      <c r="A134" s="25"/>
      <c r="B134" s="26" t="s">
        <v>53</v>
      </c>
      <c r="C134" s="77"/>
      <c r="D134" s="77"/>
      <c r="E134" s="77"/>
      <c r="F134" s="77"/>
      <c r="G134" s="77"/>
      <c r="H134" s="77"/>
      <c r="I134" s="77"/>
      <c r="J134" s="77"/>
      <c r="K134" s="77"/>
      <c r="L134" s="77"/>
      <c r="M134" s="26"/>
      <c r="N134" s="26"/>
      <c r="O134" s="26"/>
      <c r="P134" s="26"/>
      <c r="Q134" s="26"/>
      <c r="R134" s="26"/>
      <c r="S134" s="26"/>
      <c r="T134" s="26"/>
      <c r="U134" s="60">
        <f>U81</f>
        <v>278926</v>
      </c>
      <c r="V134" s="196"/>
      <c r="W134" s="6"/>
      <c r="X134" s="64"/>
    </row>
    <row r="135" spans="1:25" ht="15.6">
      <c r="A135" s="25"/>
      <c r="B135" s="26"/>
      <c r="C135" s="26"/>
      <c r="D135" s="26"/>
      <c r="E135" s="26"/>
      <c r="F135" s="26"/>
      <c r="G135" s="26"/>
      <c r="H135" s="26"/>
      <c r="I135" s="26"/>
      <c r="J135" s="26"/>
      <c r="K135" s="26"/>
      <c r="L135" s="26"/>
      <c r="M135" s="26"/>
      <c r="N135" s="26"/>
      <c r="O135" s="26"/>
      <c r="P135" s="26"/>
      <c r="Q135" s="26"/>
      <c r="R135" s="26"/>
      <c r="S135" s="26"/>
      <c r="T135" s="26"/>
      <c r="U135" s="78"/>
      <c r="V135" s="196"/>
      <c r="W135" s="6"/>
    </row>
    <row r="136" spans="1:25" ht="15.6">
      <c r="A136" s="7"/>
      <c r="B136" s="153" t="s">
        <v>54</v>
      </c>
      <c r="C136" s="141"/>
      <c r="D136" s="141"/>
      <c r="E136" s="141"/>
      <c r="F136" s="141"/>
      <c r="G136" s="141"/>
      <c r="H136" s="141"/>
      <c r="I136" s="141"/>
      <c r="J136" s="141"/>
      <c r="K136" s="141"/>
      <c r="L136" s="141"/>
      <c r="M136" s="141"/>
      <c r="N136" s="141"/>
      <c r="O136" s="141"/>
      <c r="P136" s="141"/>
      <c r="Q136" s="142" t="s">
        <v>112</v>
      </c>
      <c r="R136" s="154"/>
      <c r="S136" s="142" t="s">
        <v>114</v>
      </c>
      <c r="T136" s="141"/>
      <c r="U136" s="155" t="s">
        <v>90</v>
      </c>
      <c r="V136" s="194"/>
      <c r="W136" s="6"/>
    </row>
    <row r="137" spans="1:25" ht="15.6">
      <c r="A137" s="25"/>
      <c r="B137" s="26" t="s">
        <v>55</v>
      </c>
      <c r="C137" s="26"/>
      <c r="D137" s="26"/>
      <c r="E137" s="26"/>
      <c r="F137" s="26"/>
      <c r="G137" s="26"/>
      <c r="H137" s="26"/>
      <c r="I137" s="26"/>
      <c r="J137" s="26"/>
      <c r="K137" s="26"/>
      <c r="L137" s="26"/>
      <c r="M137" s="26"/>
      <c r="N137" s="26"/>
      <c r="O137" s="26"/>
      <c r="P137" s="26"/>
      <c r="Q137" s="60">
        <v>0</v>
      </c>
      <c r="R137" s="26"/>
      <c r="S137" s="79" t="s">
        <v>115</v>
      </c>
      <c r="T137" s="26"/>
      <c r="U137" s="60">
        <f>Q137</f>
        <v>0</v>
      </c>
      <c r="V137" s="196"/>
      <c r="W137" s="6"/>
    </row>
    <row r="138" spans="1:25" ht="15.6">
      <c r="A138" s="25"/>
      <c r="B138" s="26" t="s">
        <v>56</v>
      </c>
      <c r="C138" s="26"/>
      <c r="D138" s="26"/>
      <c r="E138" s="26"/>
      <c r="F138" s="26"/>
      <c r="G138" s="26"/>
      <c r="H138" s="26"/>
      <c r="I138" s="26"/>
      <c r="J138" s="26"/>
      <c r="K138" s="26"/>
      <c r="L138" s="26"/>
      <c r="M138" s="26"/>
      <c r="N138" s="26"/>
      <c r="O138" s="26"/>
      <c r="P138" s="26"/>
      <c r="Q138" s="60">
        <f>+'Dec 09'!Q140</f>
        <v>4229</v>
      </c>
      <c r="R138" s="26"/>
      <c r="S138" s="79" t="s">
        <v>115</v>
      </c>
      <c r="T138" s="26"/>
      <c r="U138" s="60">
        <f>Q138</f>
        <v>4229</v>
      </c>
      <c r="V138" s="196"/>
      <c r="W138" s="6"/>
    </row>
    <row r="139" spans="1:25" ht="15.6">
      <c r="A139" s="25"/>
      <c r="B139" s="26" t="s">
        <v>57</v>
      </c>
      <c r="C139" s="26"/>
      <c r="D139" s="26"/>
      <c r="E139" s="26"/>
      <c r="F139" s="26"/>
      <c r="G139" s="26"/>
      <c r="H139" s="26"/>
      <c r="I139" s="26"/>
      <c r="J139" s="26"/>
      <c r="K139" s="26"/>
      <c r="L139" s="26"/>
      <c r="M139" s="26"/>
      <c r="N139" s="26"/>
      <c r="O139" s="26"/>
      <c r="P139" s="26"/>
      <c r="Q139" s="60">
        <v>0</v>
      </c>
      <c r="R139" s="26"/>
      <c r="S139" s="79" t="s">
        <v>115</v>
      </c>
      <c r="T139" s="26"/>
      <c r="U139" s="60">
        <f>Q139</f>
        <v>0</v>
      </c>
      <c r="V139" s="196"/>
      <c r="W139" s="6"/>
    </row>
    <row r="140" spans="1:25" ht="15.6">
      <c r="A140" s="25"/>
      <c r="B140" s="26" t="s">
        <v>58</v>
      </c>
      <c r="C140" s="26"/>
      <c r="D140" s="26"/>
      <c r="E140" s="26"/>
      <c r="F140" s="26"/>
      <c r="G140" s="26"/>
      <c r="H140" s="26"/>
      <c r="I140" s="26"/>
      <c r="J140" s="26"/>
      <c r="K140" s="26"/>
      <c r="L140" s="26"/>
      <c r="M140" s="26"/>
      <c r="N140" s="26"/>
      <c r="O140" s="26"/>
      <c r="P140" s="26"/>
      <c r="Q140" s="60">
        <f>SUM(Q138:Q139)</f>
        <v>4229</v>
      </c>
      <c r="R140" s="26"/>
      <c r="S140" s="79" t="s">
        <v>115</v>
      </c>
      <c r="T140" s="26"/>
      <c r="U140" s="60">
        <f>Q140</f>
        <v>4229</v>
      </c>
      <c r="V140" s="196"/>
      <c r="W140" s="6"/>
    </row>
    <row r="141" spans="1:25" ht="15.6">
      <c r="A141" s="25"/>
      <c r="B141" s="26" t="s">
        <v>215</v>
      </c>
      <c r="C141" s="26"/>
      <c r="D141" s="26"/>
      <c r="E141" s="26"/>
      <c r="F141" s="26"/>
      <c r="G141" s="26"/>
      <c r="H141" s="26"/>
      <c r="I141" s="26"/>
      <c r="J141" s="26"/>
      <c r="K141" s="26"/>
      <c r="L141" s="26"/>
      <c r="M141" s="26"/>
      <c r="N141" s="26"/>
      <c r="O141" s="26"/>
      <c r="P141" s="26"/>
      <c r="Q141" s="60"/>
      <c r="R141" s="26"/>
      <c r="S141" s="79"/>
      <c r="T141" s="26"/>
      <c r="U141" s="60"/>
      <c r="V141" s="196"/>
      <c r="W141" s="6"/>
    </row>
    <row r="142" spans="1:25" ht="15.6">
      <c r="A142" s="25"/>
      <c r="B142" s="26"/>
      <c r="C142" s="26"/>
      <c r="D142" s="26"/>
      <c r="E142" s="26"/>
      <c r="F142" s="26"/>
      <c r="G142" s="26"/>
      <c r="H142" s="26"/>
      <c r="I142" s="26"/>
      <c r="J142" s="26"/>
      <c r="K142" s="26"/>
      <c r="L142" s="26"/>
      <c r="M142" s="26"/>
      <c r="N142" s="26"/>
      <c r="O142" s="26"/>
      <c r="P142" s="26"/>
      <c r="Q142" s="26"/>
      <c r="R142" s="26"/>
      <c r="S142" s="26"/>
      <c r="T142" s="26"/>
      <c r="U142" s="26"/>
      <c r="V142" s="196"/>
      <c r="W142" s="6"/>
    </row>
    <row r="143" spans="1:25" ht="15.6">
      <c r="A143" s="25"/>
      <c r="B143" s="29"/>
      <c r="C143" s="29"/>
      <c r="D143" s="29"/>
      <c r="E143" s="29"/>
      <c r="F143" s="29"/>
      <c r="G143" s="29"/>
      <c r="H143" s="29"/>
      <c r="I143" s="29"/>
      <c r="J143" s="29"/>
      <c r="K143" s="29"/>
      <c r="L143" s="29"/>
      <c r="M143" s="29"/>
      <c r="N143" s="29"/>
      <c r="O143" s="29"/>
      <c r="P143" s="29"/>
      <c r="Q143" s="29"/>
      <c r="R143" s="29"/>
      <c r="S143" s="29"/>
      <c r="T143" s="29"/>
      <c r="U143" s="29"/>
      <c r="V143" s="203"/>
      <c r="W143" s="6"/>
    </row>
    <row r="144" spans="1:25" ht="15.6">
      <c r="A144" s="80"/>
      <c r="B144" s="57" t="s">
        <v>59</v>
      </c>
      <c r="C144" s="81"/>
      <c r="D144" s="81"/>
      <c r="E144" s="81"/>
      <c r="F144" s="81"/>
      <c r="G144" s="81"/>
      <c r="H144" s="81"/>
      <c r="I144" s="81"/>
      <c r="J144" s="81"/>
      <c r="K144" s="81"/>
      <c r="L144" s="81"/>
      <c r="M144" s="81"/>
      <c r="N144" s="81"/>
      <c r="O144" s="81"/>
      <c r="P144" s="19"/>
      <c r="Q144" s="19"/>
      <c r="R144" s="19"/>
      <c r="S144" s="19">
        <v>40268</v>
      </c>
      <c r="T144" s="15"/>
      <c r="U144" s="15"/>
      <c r="V144" s="194"/>
      <c r="W144" s="6"/>
    </row>
    <row r="145" spans="1:23" ht="15.6">
      <c r="A145" s="82"/>
      <c r="B145" s="83" t="s">
        <v>60</v>
      </c>
      <c r="C145" s="84"/>
      <c r="D145" s="84"/>
      <c r="E145" s="84"/>
      <c r="F145" s="84"/>
      <c r="G145" s="84"/>
      <c r="H145" s="84"/>
      <c r="I145" s="84"/>
      <c r="J145" s="84"/>
      <c r="K145" s="84"/>
      <c r="L145" s="84"/>
      <c r="M145" s="84"/>
      <c r="N145" s="84"/>
      <c r="O145" s="84"/>
      <c r="P145" s="85"/>
      <c r="Q145" s="85"/>
      <c r="R145" s="85"/>
      <c r="S145" s="86">
        <v>0.10630000000000001</v>
      </c>
      <c r="T145" s="26"/>
      <c r="U145" s="26"/>
      <c r="V145" s="196"/>
      <c r="W145" s="6"/>
    </row>
    <row r="146" spans="1:23" ht="15.6">
      <c r="A146" s="82"/>
      <c r="B146" s="83" t="s">
        <v>61</v>
      </c>
      <c r="C146" s="84"/>
      <c r="D146" s="84"/>
      <c r="E146" s="84"/>
      <c r="F146" s="84"/>
      <c r="G146" s="84"/>
      <c r="H146" s="84"/>
      <c r="I146" s="84"/>
      <c r="J146" s="84"/>
      <c r="K146" s="84"/>
      <c r="L146" s="84"/>
      <c r="M146" s="84"/>
      <c r="N146" s="84"/>
      <c r="O146" s="84"/>
      <c r="P146" s="85"/>
      <c r="Q146" s="85"/>
      <c r="R146" s="85"/>
      <c r="S146" s="86">
        <v>5.2200000000000003E-2</v>
      </c>
      <c r="T146" s="86"/>
      <c r="U146" s="26"/>
      <c r="V146" s="196"/>
      <c r="W146" s="6"/>
    </row>
    <row r="147" spans="1:23" ht="15.6">
      <c r="A147" s="82"/>
      <c r="B147" s="83" t="s">
        <v>62</v>
      </c>
      <c r="C147" s="84"/>
      <c r="D147" s="84"/>
      <c r="E147" s="84"/>
      <c r="F147" s="84"/>
      <c r="G147" s="84"/>
      <c r="H147" s="84"/>
      <c r="I147" s="84"/>
      <c r="J147" s="84"/>
      <c r="K147" s="84"/>
      <c r="L147" s="84"/>
      <c r="M147" s="84"/>
      <c r="N147" s="84"/>
      <c r="O147" s="84"/>
      <c r="P147" s="85"/>
      <c r="Q147" s="85"/>
      <c r="R147" s="85"/>
      <c r="S147" s="86">
        <f>S145-S146</f>
        <v>5.4100000000000002E-2</v>
      </c>
      <c r="T147" s="26"/>
      <c r="U147" s="26"/>
      <c r="V147" s="196"/>
      <c r="W147" s="6"/>
    </row>
    <row r="148" spans="1:23" ht="15.6">
      <c r="A148" s="82"/>
      <c r="B148" s="83" t="s">
        <v>63</v>
      </c>
      <c r="C148" s="84"/>
      <c r="D148" s="84"/>
      <c r="E148" s="84"/>
      <c r="F148" s="84"/>
      <c r="G148" s="84"/>
      <c r="H148" s="84"/>
      <c r="I148" s="84"/>
      <c r="J148" s="84"/>
      <c r="K148" s="84"/>
      <c r="L148" s="84"/>
      <c r="M148" s="84"/>
      <c r="N148" s="84"/>
      <c r="O148" s="84"/>
      <c r="P148" s="85"/>
      <c r="Q148" s="85"/>
      <c r="R148" s="85"/>
      <c r="S148" s="45">
        <v>9.3740000000000004E-2</v>
      </c>
      <c r="T148" s="26"/>
      <c r="U148" s="26"/>
      <c r="V148" s="196"/>
      <c r="W148" s="6"/>
    </row>
    <row r="149" spans="1:23" ht="15.6">
      <c r="A149" s="82"/>
      <c r="B149" s="83" t="s">
        <v>64</v>
      </c>
      <c r="C149" s="84"/>
      <c r="D149" s="84"/>
      <c r="E149" s="84"/>
      <c r="F149" s="84"/>
      <c r="G149" s="84"/>
      <c r="H149" s="84"/>
      <c r="I149" s="84"/>
      <c r="J149" s="84"/>
      <c r="K149" s="84"/>
      <c r="L149" s="84"/>
      <c r="M149" s="84"/>
      <c r="N149" s="84"/>
      <c r="O149" s="84"/>
      <c r="P149" s="85"/>
      <c r="Q149" s="85"/>
      <c r="R149" s="85"/>
      <c r="S149" s="86">
        <f>+U40</f>
        <v>1.0237552766991937E-2</v>
      </c>
      <c r="T149" s="26"/>
      <c r="U149" s="26"/>
      <c r="V149" s="196"/>
      <c r="W149" s="6"/>
    </row>
    <row r="150" spans="1:23" ht="15.6">
      <c r="A150" s="82"/>
      <c r="B150" s="83" t="s">
        <v>65</v>
      </c>
      <c r="C150" s="84"/>
      <c r="D150" s="84"/>
      <c r="E150" s="84"/>
      <c r="F150" s="84"/>
      <c r="G150" s="84"/>
      <c r="H150" s="84"/>
      <c r="I150" s="84"/>
      <c r="J150" s="84"/>
      <c r="K150" s="84"/>
      <c r="L150" s="84"/>
      <c r="M150" s="84"/>
      <c r="N150" s="84"/>
      <c r="O150" s="84"/>
      <c r="P150" s="85"/>
      <c r="Q150" s="85"/>
      <c r="R150" s="85"/>
      <c r="S150" s="86">
        <f>S148-S149</f>
        <v>8.3502447233008065E-2</v>
      </c>
      <c r="T150" s="26"/>
      <c r="U150" s="26"/>
      <c r="V150" s="196"/>
      <c r="W150" s="6"/>
    </row>
    <row r="151" spans="1:23" ht="15.6">
      <c r="A151" s="82"/>
      <c r="B151" s="83" t="s">
        <v>204</v>
      </c>
      <c r="C151" s="84"/>
      <c r="D151" s="84"/>
      <c r="E151" s="84"/>
      <c r="F151" s="84"/>
      <c r="G151" s="84"/>
      <c r="H151" s="84"/>
      <c r="I151" s="84"/>
      <c r="J151" s="84"/>
      <c r="K151" s="84"/>
      <c r="L151" s="84"/>
      <c r="M151" s="84"/>
      <c r="N151" s="84"/>
      <c r="O151" s="84"/>
      <c r="P151" s="85"/>
      <c r="Q151" s="85"/>
      <c r="R151" s="85"/>
      <c r="S151" s="183">
        <v>49780</v>
      </c>
      <c r="T151" s="26"/>
      <c r="U151" s="26"/>
      <c r="V151" s="196"/>
      <c r="W151" s="6"/>
    </row>
    <row r="152" spans="1:23" ht="15.6">
      <c r="A152" s="82"/>
      <c r="B152" s="83" t="s">
        <v>205</v>
      </c>
      <c r="C152" s="84"/>
      <c r="D152" s="84"/>
      <c r="E152" s="84"/>
      <c r="F152" s="84"/>
      <c r="G152" s="84"/>
      <c r="H152" s="84"/>
      <c r="I152" s="84"/>
      <c r="J152" s="84"/>
      <c r="K152" s="84"/>
      <c r="L152" s="84"/>
      <c r="M152" s="84"/>
      <c r="N152" s="84"/>
      <c r="O152" s="84"/>
      <c r="P152" s="85"/>
      <c r="Q152" s="85"/>
      <c r="R152" s="85"/>
      <c r="S152" s="183">
        <v>49780</v>
      </c>
      <c r="T152" s="26"/>
      <c r="U152" s="26"/>
      <c r="V152" s="196"/>
      <c r="W152" s="6"/>
    </row>
    <row r="153" spans="1:23" ht="15.6">
      <c r="A153" s="82"/>
      <c r="B153" s="83" t="s">
        <v>206</v>
      </c>
      <c r="C153" s="84"/>
      <c r="D153" s="84"/>
      <c r="E153" s="84"/>
      <c r="F153" s="84"/>
      <c r="G153" s="84"/>
      <c r="H153" s="84"/>
      <c r="I153" s="84"/>
      <c r="J153" s="84"/>
      <c r="K153" s="84"/>
      <c r="L153" s="84"/>
      <c r="M153" s="84"/>
      <c r="N153" s="84"/>
      <c r="O153" s="84"/>
      <c r="P153" s="85"/>
      <c r="Q153" s="85"/>
      <c r="R153" s="85"/>
      <c r="S153" s="183">
        <v>49780</v>
      </c>
      <c r="T153" s="26"/>
      <c r="U153" s="26"/>
      <c r="V153" s="196"/>
      <c r="W153" s="6"/>
    </row>
    <row r="154" spans="1:23" ht="15.6">
      <c r="A154" s="82"/>
      <c r="B154" s="83" t="s">
        <v>207</v>
      </c>
      <c r="C154" s="84"/>
      <c r="D154" s="84"/>
      <c r="E154" s="84"/>
      <c r="F154" s="84"/>
      <c r="G154" s="84"/>
      <c r="H154" s="84"/>
      <c r="I154" s="84"/>
      <c r="J154" s="84"/>
      <c r="K154" s="84"/>
      <c r="L154" s="84"/>
      <c r="M154" s="84"/>
      <c r="N154" s="84"/>
      <c r="O154" s="84"/>
      <c r="P154" s="85"/>
      <c r="Q154" s="85"/>
      <c r="R154" s="85"/>
      <c r="S154" s="183">
        <v>49780</v>
      </c>
      <c r="T154" s="26"/>
      <c r="U154" s="26"/>
      <c r="V154" s="196"/>
      <c r="W154" s="6"/>
    </row>
    <row r="155" spans="1:23" ht="15.6">
      <c r="A155" s="82"/>
      <c r="B155" s="83" t="s">
        <v>221</v>
      </c>
      <c r="C155" s="84"/>
      <c r="D155" s="84"/>
      <c r="E155" s="84"/>
      <c r="F155" s="84"/>
      <c r="G155" s="84"/>
      <c r="H155" s="84"/>
      <c r="I155" s="84"/>
      <c r="J155" s="84"/>
      <c r="K155" s="84"/>
      <c r="L155" s="84"/>
      <c r="M155" s="84"/>
      <c r="N155" s="84"/>
      <c r="O155" s="84"/>
      <c r="P155" s="85"/>
      <c r="Q155" s="85"/>
      <c r="R155" s="85"/>
      <c r="S155" s="87">
        <v>111.34</v>
      </c>
      <c r="T155" s="26"/>
      <c r="U155" s="26"/>
      <c r="V155" s="196"/>
      <c r="W155" s="6"/>
    </row>
    <row r="156" spans="1:23" ht="15.6">
      <c r="A156" s="82"/>
      <c r="B156" s="83" t="s">
        <v>222</v>
      </c>
      <c r="C156" s="84"/>
      <c r="D156" s="84"/>
      <c r="E156" s="84"/>
      <c r="F156" s="84"/>
      <c r="G156" s="84"/>
      <c r="H156" s="84"/>
      <c r="I156" s="84"/>
      <c r="J156" s="84"/>
      <c r="K156" s="84"/>
      <c r="L156" s="84"/>
      <c r="M156" s="84"/>
      <c r="N156" s="84"/>
      <c r="O156" s="84"/>
      <c r="P156" s="85"/>
      <c r="Q156" s="85"/>
      <c r="R156" s="85"/>
      <c r="S156" s="48">
        <v>153.58000000000001</v>
      </c>
      <c r="T156" s="26"/>
      <c r="U156" s="26"/>
      <c r="V156" s="196"/>
      <c r="W156" s="6"/>
    </row>
    <row r="157" spans="1:23" ht="15.6">
      <c r="A157" s="82" t="s">
        <v>223</v>
      </c>
      <c r="B157" s="83" t="s">
        <v>66</v>
      </c>
      <c r="C157" s="84"/>
      <c r="D157" s="84"/>
      <c r="E157" s="84"/>
      <c r="F157" s="84"/>
      <c r="G157" s="84"/>
      <c r="H157" s="84"/>
      <c r="I157" s="84"/>
      <c r="J157" s="84"/>
      <c r="K157" s="84"/>
      <c r="L157" s="84"/>
      <c r="M157" s="84"/>
      <c r="N157" s="84"/>
      <c r="O157" s="84"/>
      <c r="P157" s="85"/>
      <c r="Q157" s="85"/>
      <c r="R157" s="85"/>
      <c r="S157" s="86">
        <v>5.7200000000000001E-2</v>
      </c>
      <c r="T157" s="26"/>
      <c r="U157" s="26"/>
      <c r="V157" s="196"/>
      <c r="W157" s="6"/>
    </row>
    <row r="158" spans="1:23" ht="15.6">
      <c r="A158" s="82"/>
      <c r="B158" s="83" t="s">
        <v>67</v>
      </c>
      <c r="C158" s="84"/>
      <c r="D158" s="84"/>
      <c r="E158" s="84"/>
      <c r="F158" s="84"/>
      <c r="G158" s="84"/>
      <c r="H158" s="84"/>
      <c r="I158" s="84"/>
      <c r="J158" s="84"/>
      <c r="K158" s="84"/>
      <c r="L158" s="84"/>
      <c r="M158" s="84"/>
      <c r="N158" s="84"/>
      <c r="O158" s="84"/>
      <c r="P158" s="85"/>
      <c r="Q158" s="85"/>
      <c r="R158" s="85"/>
      <c r="S158" s="86">
        <v>0.3498</v>
      </c>
      <c r="T158" s="26"/>
      <c r="U158" s="26"/>
      <c r="V158" s="196"/>
      <c r="W158" s="6"/>
    </row>
    <row r="159" spans="1:23" ht="15.6">
      <c r="A159" s="82"/>
      <c r="B159" s="83"/>
      <c r="C159" s="83"/>
      <c r="D159" s="83"/>
      <c r="E159" s="83"/>
      <c r="F159" s="83"/>
      <c r="G159" s="83"/>
      <c r="H159" s="83"/>
      <c r="I159" s="83"/>
      <c r="J159" s="83"/>
      <c r="K159" s="83"/>
      <c r="L159" s="83"/>
      <c r="M159" s="83"/>
      <c r="N159" s="83"/>
      <c r="O159" s="83"/>
      <c r="P159" s="26"/>
      <c r="Q159" s="26"/>
      <c r="R159" s="33"/>
      <c r="S159" s="88"/>
      <c r="T159" s="26"/>
      <c r="U159" s="89"/>
      <c r="V159" s="196"/>
      <c r="W159" s="6"/>
    </row>
    <row r="160" spans="1:23" ht="15.6">
      <c r="A160" s="80"/>
      <c r="B160" s="90"/>
      <c r="C160" s="90"/>
      <c r="D160" s="90"/>
      <c r="E160" s="90"/>
      <c r="F160" s="90"/>
      <c r="G160" s="90"/>
      <c r="H160" s="90"/>
      <c r="I160" s="90"/>
      <c r="J160" s="90"/>
      <c r="K160" s="90"/>
      <c r="L160" s="90"/>
      <c r="M160" s="90"/>
      <c r="N160" s="90"/>
      <c r="O160" s="90"/>
      <c r="P160" s="9"/>
      <c r="Q160" s="9"/>
      <c r="R160" s="20"/>
      <c r="S160" s="91"/>
      <c r="T160" s="9"/>
      <c r="U160" s="92"/>
      <c r="V160" s="194"/>
      <c r="W160" s="6"/>
    </row>
    <row r="161" spans="1:23" ht="16.2" thickBot="1">
      <c r="A161" s="136"/>
      <c r="B161" s="131" t="str">
        <f>+B110</f>
        <v>PPAF3 INVESTOR REPORT QUARTER ENDING MARCH 2010</v>
      </c>
      <c r="C161" s="137"/>
      <c r="D161" s="137"/>
      <c r="E161" s="137"/>
      <c r="F161" s="137"/>
      <c r="G161" s="137"/>
      <c r="H161" s="137"/>
      <c r="I161" s="137"/>
      <c r="J161" s="137"/>
      <c r="K161" s="137"/>
      <c r="L161" s="137"/>
      <c r="M161" s="137"/>
      <c r="N161" s="137"/>
      <c r="O161" s="137"/>
      <c r="P161" s="132"/>
      <c r="Q161" s="132"/>
      <c r="R161" s="138"/>
      <c r="S161" s="139"/>
      <c r="T161" s="132"/>
      <c r="U161" s="140"/>
      <c r="V161" s="134"/>
      <c r="W161" s="6"/>
    </row>
    <row r="162" spans="1:23" ht="15.6">
      <c r="A162" s="93"/>
      <c r="B162" s="94" t="s">
        <v>68</v>
      </c>
      <c r="C162" s="95"/>
      <c r="D162" s="95"/>
      <c r="E162" s="95"/>
      <c r="F162" s="95"/>
      <c r="G162" s="95"/>
      <c r="H162" s="95"/>
      <c r="I162" s="95"/>
      <c r="J162" s="95"/>
      <c r="K162" s="95"/>
      <c r="L162" s="95"/>
      <c r="M162" s="96"/>
      <c r="N162" s="95"/>
      <c r="O162" s="96"/>
      <c r="P162" s="95"/>
      <c r="Q162" s="96"/>
      <c r="R162" s="95" t="s">
        <v>94</v>
      </c>
      <c r="S162" s="96" t="s">
        <v>116</v>
      </c>
      <c r="T162" s="97"/>
      <c r="U162" s="97"/>
      <c r="V162" s="193"/>
      <c r="W162" s="6"/>
    </row>
    <row r="163" spans="1:23" ht="15.6">
      <c r="A163" s="98"/>
      <c r="B163" s="83" t="s">
        <v>216</v>
      </c>
      <c r="C163" s="61"/>
      <c r="D163" s="61"/>
      <c r="E163" s="61"/>
      <c r="F163" s="61"/>
      <c r="G163" s="61"/>
      <c r="H163" s="61"/>
      <c r="I163" s="61"/>
      <c r="J163" s="61"/>
      <c r="K163" s="61"/>
      <c r="L163" s="61"/>
      <c r="M163" s="61"/>
      <c r="N163" s="61"/>
      <c r="O163" s="26"/>
      <c r="P163" s="26"/>
      <c r="Q163" s="26"/>
      <c r="R163" s="211">
        <v>974</v>
      </c>
      <c r="S163" s="215">
        <v>28055</v>
      </c>
      <c r="T163" s="60"/>
      <c r="U163" s="89"/>
      <c r="V163" s="204"/>
      <c r="W163" s="6"/>
    </row>
    <row r="164" spans="1:23" ht="15.6">
      <c r="A164" s="98"/>
      <c r="B164" s="83" t="s">
        <v>217</v>
      </c>
      <c r="C164" s="61"/>
      <c r="D164" s="61"/>
      <c r="E164" s="61"/>
      <c r="F164" s="61"/>
      <c r="G164" s="61"/>
      <c r="H164" s="61"/>
      <c r="I164" s="61"/>
      <c r="J164" s="61"/>
      <c r="K164" s="61"/>
      <c r="L164" s="61"/>
      <c r="M164" s="61"/>
      <c r="N164" s="61"/>
      <c r="O164" s="26"/>
      <c r="P164" s="26"/>
      <c r="Q164" s="26"/>
      <c r="R164" s="158">
        <v>53</v>
      </c>
      <c r="S164" s="215">
        <v>635</v>
      </c>
      <c r="T164" s="60"/>
      <c r="U164" s="89"/>
      <c r="V164" s="204"/>
      <c r="W164" s="6"/>
    </row>
    <row r="165" spans="1:23" ht="15.6">
      <c r="A165" s="98"/>
      <c r="B165" s="83" t="s">
        <v>218</v>
      </c>
      <c r="C165" s="61"/>
      <c r="D165" s="61"/>
      <c r="E165" s="61"/>
      <c r="F165" s="61"/>
      <c r="G165" s="61"/>
      <c r="H165" s="61"/>
      <c r="I165" s="61"/>
      <c r="J165" s="61"/>
      <c r="K165" s="61"/>
      <c r="L165" s="61"/>
      <c r="M165" s="61"/>
      <c r="N165" s="61"/>
      <c r="O165" s="26"/>
      <c r="P165" s="26"/>
      <c r="Q165" s="26"/>
      <c r="R165" s="158">
        <v>307</v>
      </c>
      <c r="S165" s="215">
        <v>338</v>
      </c>
      <c r="T165" s="60"/>
      <c r="U165" s="89"/>
      <c r="V165" s="204"/>
      <c r="W165" s="6"/>
    </row>
    <row r="166" spans="1:23" ht="15.6">
      <c r="A166" s="98"/>
      <c r="B166" s="83" t="s">
        <v>219</v>
      </c>
      <c r="C166" s="61"/>
      <c r="D166" s="61"/>
      <c r="E166" s="61"/>
      <c r="F166" s="61"/>
      <c r="G166" s="61"/>
      <c r="H166" s="61"/>
      <c r="I166" s="61"/>
      <c r="J166" s="61"/>
      <c r="K166" s="61"/>
      <c r="L166" s="61"/>
      <c r="M166" s="61"/>
      <c r="N166" s="61"/>
      <c r="O166" s="26"/>
      <c r="P166" s="26"/>
      <c r="Q166" s="26"/>
      <c r="R166" s="158">
        <v>273</v>
      </c>
      <c r="S166" s="215">
        <v>864</v>
      </c>
      <c r="T166" s="60"/>
      <c r="U166" s="89"/>
      <c r="V166" s="204"/>
      <c r="W166" s="6"/>
    </row>
    <row r="167" spans="1:23" ht="15.6">
      <c r="A167" s="98"/>
      <c r="B167" s="83" t="s">
        <v>90</v>
      </c>
      <c r="C167" s="61"/>
      <c r="D167" s="61"/>
      <c r="E167" s="61"/>
      <c r="F167" s="61"/>
      <c r="G167" s="61"/>
      <c r="H167" s="61"/>
      <c r="I167" s="61"/>
      <c r="J167" s="61"/>
      <c r="K167" s="61"/>
      <c r="L167" s="61"/>
      <c r="M167" s="61"/>
      <c r="N167" s="61"/>
      <c r="O167" s="26"/>
      <c r="P167" s="26"/>
      <c r="Q167" s="26"/>
      <c r="R167" s="211">
        <f>SUM(R163:R166)</f>
        <v>1607</v>
      </c>
      <c r="S167" s="215">
        <f>SUM(S163:S166)</f>
        <v>29892</v>
      </c>
      <c r="T167" s="60"/>
      <c r="U167" s="89"/>
      <c r="V167" s="204"/>
      <c r="W167" s="6"/>
    </row>
    <row r="168" spans="1:23" ht="15.6">
      <c r="A168" s="98"/>
      <c r="B168" s="83"/>
      <c r="C168" s="61"/>
      <c r="D168" s="61"/>
      <c r="E168" s="61"/>
      <c r="F168" s="61"/>
      <c r="G168" s="61"/>
      <c r="H168" s="61"/>
      <c r="I168" s="61"/>
      <c r="J168" s="61"/>
      <c r="K168" s="61"/>
      <c r="L168" s="61"/>
      <c r="M168" s="61"/>
      <c r="N168" s="61"/>
      <c r="O168" s="26"/>
      <c r="P168" s="26"/>
      <c r="Q168" s="26"/>
      <c r="R168" s="158"/>
      <c r="S168" s="215"/>
      <c r="T168" s="60"/>
      <c r="U168" s="89"/>
      <c r="V168" s="204"/>
      <c r="W168" s="6"/>
    </row>
    <row r="169" spans="1:23" ht="15.6">
      <c r="A169" s="98"/>
      <c r="B169" s="83" t="s">
        <v>220</v>
      </c>
      <c r="C169" s="61"/>
      <c r="D169" s="61"/>
      <c r="E169" s="61"/>
      <c r="F169" s="61"/>
      <c r="G169" s="61"/>
      <c r="H169" s="61"/>
      <c r="I169" s="61"/>
      <c r="J169" s="61"/>
      <c r="K169" s="61"/>
      <c r="L169" s="61"/>
      <c r="M169" s="61"/>
      <c r="N169" s="61"/>
      <c r="O169" s="26"/>
      <c r="P169" s="26"/>
      <c r="Q169" s="26"/>
      <c r="R169" s="158">
        <v>13</v>
      </c>
      <c r="S169" s="215">
        <v>209</v>
      </c>
      <c r="T169" s="60"/>
      <c r="U169" s="89"/>
      <c r="V169" s="204"/>
      <c r="W169" s="6"/>
    </row>
    <row r="170" spans="1:23" ht="15.6">
      <c r="A170" s="98"/>
      <c r="B170" s="83" t="s">
        <v>224</v>
      </c>
      <c r="C170" s="61"/>
      <c r="D170" s="61"/>
      <c r="E170" s="61"/>
      <c r="F170" s="61"/>
      <c r="G170" s="61"/>
      <c r="H170" s="61"/>
      <c r="I170" s="61"/>
      <c r="J170" s="61"/>
      <c r="K170" s="61"/>
      <c r="L170" s="61"/>
      <c r="M170" s="61"/>
      <c r="N170" s="61"/>
      <c r="O170" s="26"/>
      <c r="P170" s="26"/>
      <c r="Q170" s="26"/>
      <c r="R170" s="158">
        <v>11</v>
      </c>
      <c r="S170" s="215">
        <v>533</v>
      </c>
      <c r="T170" s="60"/>
      <c r="U170" s="89"/>
      <c r="V170" s="204"/>
      <c r="W170" s="6"/>
    </row>
    <row r="171" spans="1:23" ht="15.6">
      <c r="A171" s="98"/>
      <c r="B171" s="156" t="s">
        <v>69</v>
      </c>
      <c r="C171" s="61"/>
      <c r="D171" s="61"/>
      <c r="E171" s="61"/>
      <c r="F171" s="61"/>
      <c r="G171" s="61"/>
      <c r="H171" s="61"/>
      <c r="I171" s="61"/>
      <c r="J171" s="61"/>
      <c r="K171" s="61"/>
      <c r="L171" s="61"/>
      <c r="M171" s="61"/>
      <c r="N171" s="61"/>
      <c r="O171" s="26"/>
      <c r="P171" s="26"/>
      <c r="Q171" s="26"/>
      <c r="R171" s="158"/>
      <c r="S171" s="215">
        <v>0</v>
      </c>
      <c r="T171" s="26"/>
      <c r="U171" s="89"/>
      <c r="V171" s="204"/>
      <c r="W171" s="6"/>
    </row>
    <row r="172" spans="1:23" ht="15.6">
      <c r="A172" s="98"/>
      <c r="B172" s="156" t="s">
        <v>70</v>
      </c>
      <c r="C172" s="61"/>
      <c r="D172" s="61"/>
      <c r="E172" s="61"/>
      <c r="F172" s="61"/>
      <c r="G172" s="61"/>
      <c r="H172" s="61"/>
      <c r="I172" s="61"/>
      <c r="J172" s="61"/>
      <c r="K172" s="61"/>
      <c r="L172" s="61"/>
      <c r="M172" s="61"/>
      <c r="N172" s="61"/>
      <c r="O172" s="26"/>
      <c r="P172" s="26"/>
      <c r="Q172" s="26"/>
      <c r="R172" s="158"/>
      <c r="S172" s="215">
        <f>Q76</f>
        <v>0</v>
      </c>
      <c r="T172" s="26"/>
      <c r="U172" s="89"/>
      <c r="V172" s="204"/>
      <c r="W172" s="6"/>
    </row>
    <row r="173" spans="1:23" ht="15.6">
      <c r="A173" s="101"/>
      <c r="B173" s="156" t="s">
        <v>71</v>
      </c>
      <c r="C173" s="61"/>
      <c r="D173" s="61"/>
      <c r="E173" s="61"/>
      <c r="F173" s="61"/>
      <c r="G173" s="61"/>
      <c r="H173" s="61"/>
      <c r="I173" s="61"/>
      <c r="J173" s="61"/>
      <c r="K173" s="61"/>
      <c r="L173" s="61"/>
      <c r="M173" s="83"/>
      <c r="N173" s="83"/>
      <c r="O173" s="83"/>
      <c r="P173" s="26"/>
      <c r="Q173" s="26"/>
      <c r="R173" s="158"/>
      <c r="S173" s="221"/>
      <c r="T173" s="26"/>
      <c r="U173" s="89"/>
      <c r="V173" s="205"/>
      <c r="W173" s="6"/>
    </row>
    <row r="174" spans="1:23" ht="15.6">
      <c r="A174" s="98"/>
      <c r="B174" s="83" t="s">
        <v>72</v>
      </c>
      <c r="C174" s="61"/>
      <c r="D174" s="61"/>
      <c r="E174" s="61"/>
      <c r="F174" s="61"/>
      <c r="G174" s="61"/>
      <c r="H174" s="61"/>
      <c r="I174" s="61"/>
      <c r="J174" s="61"/>
      <c r="K174" s="61"/>
      <c r="L174" s="61"/>
      <c r="M174" s="61"/>
      <c r="N174" s="61"/>
      <c r="O174" s="61"/>
      <c r="P174" s="26"/>
      <c r="Q174" s="26"/>
      <c r="R174" s="158"/>
      <c r="S174" s="215">
        <f>U129</f>
        <v>2277</v>
      </c>
      <c r="T174" s="26"/>
      <c r="U174" s="89"/>
      <c r="V174" s="205"/>
      <c r="W174" s="6"/>
    </row>
    <row r="175" spans="1:23" ht="15.6">
      <c r="A175" s="98"/>
      <c r="B175" s="83" t="s">
        <v>73</v>
      </c>
      <c r="C175" s="61"/>
      <c r="D175" s="61"/>
      <c r="E175" s="61"/>
      <c r="F175" s="61"/>
      <c r="G175" s="61"/>
      <c r="H175" s="61"/>
      <c r="I175" s="61"/>
      <c r="J175" s="61"/>
      <c r="K175" s="61"/>
      <c r="L175" s="61"/>
      <c r="M175" s="61"/>
      <c r="N175" s="61"/>
      <c r="O175" s="61"/>
      <c r="P175" s="26"/>
      <c r="Q175" s="26"/>
      <c r="R175" s="158"/>
      <c r="S175" s="215">
        <f>'Dec 09'!S175+S174</f>
        <v>65170</v>
      </c>
      <c r="T175" s="26"/>
      <c r="U175" s="89"/>
      <c r="V175" s="205"/>
      <c r="W175" s="6"/>
    </row>
    <row r="176" spans="1:23" ht="15.6">
      <c r="A176" s="98"/>
      <c r="B176" s="83" t="s">
        <v>74</v>
      </c>
      <c r="C176" s="61"/>
      <c r="D176" s="61"/>
      <c r="E176" s="61"/>
      <c r="F176" s="61"/>
      <c r="G176" s="61"/>
      <c r="H176" s="61"/>
      <c r="I176" s="61"/>
      <c r="J176" s="61"/>
      <c r="K176" s="61"/>
      <c r="L176" s="61"/>
      <c r="M176" s="61"/>
      <c r="N176" s="61"/>
      <c r="O176" s="61"/>
      <c r="P176" s="26"/>
      <c r="Q176" s="26"/>
      <c r="R176" s="158"/>
      <c r="S176" s="215">
        <f>'Dec 09'!S176+709</f>
        <v>12816</v>
      </c>
      <c r="T176" s="26"/>
      <c r="U176" s="89"/>
      <c r="V176" s="205"/>
      <c r="W176" s="6"/>
    </row>
    <row r="177" spans="1:23" ht="15.6">
      <c r="A177" s="98"/>
      <c r="B177" s="83"/>
      <c r="C177" s="61"/>
      <c r="D177" s="61"/>
      <c r="E177" s="61"/>
      <c r="F177" s="61"/>
      <c r="G177" s="61"/>
      <c r="H177" s="61"/>
      <c r="I177" s="61"/>
      <c r="J177" s="61"/>
      <c r="K177" s="61"/>
      <c r="L177" s="61"/>
      <c r="M177" s="61"/>
      <c r="N177" s="61"/>
      <c r="O177" s="61"/>
      <c r="P177" s="26"/>
      <c r="Q177" s="26"/>
      <c r="R177" s="158"/>
      <c r="S177" s="215"/>
      <c r="T177" s="26"/>
      <c r="U177" s="89"/>
      <c r="V177" s="205"/>
      <c r="W177" s="6"/>
    </row>
    <row r="178" spans="1:23" ht="15.6">
      <c r="A178" s="101"/>
      <c r="B178" s="156" t="s">
        <v>259</v>
      </c>
      <c r="C178" s="61"/>
      <c r="D178" s="61"/>
      <c r="E178" s="61"/>
      <c r="F178" s="61"/>
      <c r="G178" s="61"/>
      <c r="H178" s="61"/>
      <c r="I178" s="61"/>
      <c r="J178" s="61"/>
      <c r="K178" s="61"/>
      <c r="L178" s="61"/>
      <c r="M178" s="83"/>
      <c r="N178" s="83"/>
      <c r="O178" s="83"/>
      <c r="P178" s="26"/>
      <c r="Q178" s="26"/>
      <c r="R178" s="158"/>
      <c r="S178" s="219"/>
      <c r="T178" s="26"/>
      <c r="U178" s="89"/>
      <c r="V178" s="205"/>
      <c r="W178" s="6"/>
    </row>
    <row r="179" spans="1:23" ht="15.6">
      <c r="A179" s="101"/>
      <c r="B179" s="83" t="s">
        <v>254</v>
      </c>
      <c r="C179" s="61"/>
      <c r="D179" s="61"/>
      <c r="E179" s="61"/>
      <c r="F179" s="61"/>
      <c r="G179" s="61"/>
      <c r="H179" s="61"/>
      <c r="I179" s="61"/>
      <c r="J179" s="61"/>
      <c r="K179" s="61"/>
      <c r="L179" s="61"/>
      <c r="M179" s="83"/>
      <c r="N179" s="83"/>
      <c r="O179" s="83"/>
      <c r="P179" s="26"/>
      <c r="Q179" s="26"/>
      <c r="R179" s="158"/>
      <c r="S179" s="219">
        <v>7</v>
      </c>
      <c r="T179" s="26"/>
      <c r="U179" s="89"/>
      <c r="V179" s="205"/>
      <c r="W179" s="6"/>
    </row>
    <row r="180" spans="1:23" ht="15.6">
      <c r="A180" s="98"/>
      <c r="B180" s="83" t="s">
        <v>75</v>
      </c>
      <c r="C180" s="61"/>
      <c r="D180" s="61"/>
      <c r="E180" s="61"/>
      <c r="F180" s="61"/>
      <c r="G180" s="61"/>
      <c r="H180" s="61"/>
      <c r="I180" s="61"/>
      <c r="J180" s="61"/>
      <c r="K180" s="61"/>
      <c r="L180" s="61"/>
      <c r="M180" s="104"/>
      <c r="N180" s="104"/>
      <c r="O180" s="105"/>
      <c r="P180" s="26"/>
      <c r="Q180" s="26"/>
      <c r="R180" s="158"/>
      <c r="S180" s="220">
        <v>11.4</v>
      </c>
      <c r="T180" s="26"/>
      <c r="U180" s="89"/>
      <c r="V180" s="205"/>
      <c r="W180" s="6"/>
    </row>
    <row r="181" spans="1:23" ht="15.6">
      <c r="A181" s="98"/>
      <c r="B181" s="83" t="s">
        <v>76</v>
      </c>
      <c r="C181" s="61"/>
      <c r="D181" s="61"/>
      <c r="E181" s="61"/>
      <c r="F181" s="61"/>
      <c r="G181" s="61"/>
      <c r="H181" s="61"/>
      <c r="I181" s="61"/>
      <c r="J181" s="61"/>
      <c r="K181" s="61"/>
      <c r="L181" s="61"/>
      <c r="M181" s="104"/>
      <c r="N181" s="104"/>
      <c r="O181" s="105"/>
      <c r="P181" s="26"/>
      <c r="Q181" s="26"/>
      <c r="R181" s="158"/>
      <c r="S181" s="220">
        <v>172.57</v>
      </c>
      <c r="T181" s="26"/>
      <c r="U181" s="89"/>
      <c r="V181" s="205"/>
      <c r="W181" s="6"/>
    </row>
    <row r="182" spans="1:23" ht="15.6">
      <c r="A182" s="98"/>
      <c r="B182" s="83"/>
      <c r="C182" s="61"/>
      <c r="D182" s="61"/>
      <c r="E182" s="61"/>
      <c r="F182" s="61"/>
      <c r="G182" s="61"/>
      <c r="H182" s="61"/>
      <c r="I182" s="61"/>
      <c r="J182" s="61"/>
      <c r="K182" s="61"/>
      <c r="L182" s="61"/>
      <c r="M182" s="106"/>
      <c r="N182" s="104"/>
      <c r="O182" s="105"/>
      <c r="P182" s="26"/>
      <c r="Q182" s="26"/>
      <c r="R182" s="158"/>
      <c r="S182" s="219"/>
      <c r="T182" s="26"/>
      <c r="U182" s="89"/>
      <c r="V182" s="205"/>
      <c r="W182" s="6"/>
    </row>
    <row r="183" spans="1:23" ht="15.6">
      <c r="A183" s="98"/>
      <c r="B183" s="156" t="s">
        <v>77</v>
      </c>
      <c r="C183" s="61"/>
      <c r="D183" s="61"/>
      <c r="E183" s="61"/>
      <c r="F183" s="61"/>
      <c r="G183" s="61"/>
      <c r="H183" s="61"/>
      <c r="I183" s="61"/>
      <c r="J183" s="61"/>
      <c r="K183" s="61"/>
      <c r="L183" s="61"/>
      <c r="M183" s="61"/>
      <c r="N183" s="106"/>
      <c r="O183" s="104"/>
      <c r="P183" s="105"/>
      <c r="Q183" s="26"/>
      <c r="R183" s="157"/>
      <c r="S183" s="157"/>
      <c r="T183" s="107"/>
      <c r="U183" s="33"/>
      <c r="V183" s="206"/>
      <c r="W183" s="6"/>
    </row>
    <row r="184" spans="1:23" ht="15.6">
      <c r="A184" s="98"/>
      <c r="B184" s="83" t="s">
        <v>78</v>
      </c>
      <c r="C184" s="61"/>
      <c r="D184" s="61"/>
      <c r="E184" s="61"/>
      <c r="F184" s="61"/>
      <c r="G184" s="61"/>
      <c r="H184" s="61"/>
      <c r="I184" s="61"/>
      <c r="J184" s="61"/>
      <c r="K184" s="61"/>
      <c r="L184" s="61"/>
      <c r="M184" s="61"/>
      <c r="N184" s="106"/>
      <c r="O184" s="104"/>
      <c r="P184" s="105"/>
      <c r="Q184" s="26"/>
      <c r="R184" s="157"/>
      <c r="S184" s="216">
        <v>122</v>
      </c>
      <c r="T184" s="108"/>
      <c r="U184" s="33"/>
      <c r="V184" s="206"/>
      <c r="W184" s="6"/>
    </row>
    <row r="185" spans="1:23" ht="15.6">
      <c r="A185" s="98"/>
      <c r="B185" s="83" t="s">
        <v>75</v>
      </c>
      <c r="C185" s="61"/>
      <c r="D185" s="61"/>
      <c r="E185" s="61"/>
      <c r="F185" s="61"/>
      <c r="G185" s="61"/>
      <c r="H185" s="61"/>
      <c r="I185" s="61"/>
      <c r="J185" s="61"/>
      <c r="K185" s="61"/>
      <c r="L185" s="61"/>
      <c r="M185" s="61"/>
      <c r="N185" s="106"/>
      <c r="O185" s="104"/>
      <c r="P185" s="105"/>
      <c r="Q185" s="26"/>
      <c r="R185" s="157"/>
      <c r="S185" s="216">
        <v>4.0999999999999996</v>
      </c>
      <c r="T185" s="108"/>
      <c r="U185" s="33"/>
      <c r="V185" s="206"/>
      <c r="W185" s="6"/>
    </row>
    <row r="186" spans="1:23" ht="15.6">
      <c r="A186" s="98"/>
      <c r="B186" s="83" t="s">
        <v>79</v>
      </c>
      <c r="C186" s="61"/>
      <c r="D186" s="61"/>
      <c r="E186" s="61"/>
      <c r="F186" s="61"/>
      <c r="G186" s="61"/>
      <c r="H186" s="61"/>
      <c r="I186" s="61"/>
      <c r="J186" s="61"/>
      <c r="K186" s="61"/>
      <c r="L186" s="61"/>
      <c r="M186" s="61"/>
      <c r="N186" s="106"/>
      <c r="O186" s="104"/>
      <c r="P186" s="105"/>
      <c r="Q186" s="26"/>
      <c r="R186" s="157"/>
      <c r="S186" s="216">
        <v>57.68</v>
      </c>
      <c r="T186" s="108"/>
      <c r="U186" s="33"/>
      <c r="V186" s="206"/>
      <c r="W186" s="6"/>
    </row>
    <row r="187" spans="1:23" ht="15.6">
      <c r="A187" s="98"/>
      <c r="B187" s="83"/>
      <c r="C187" s="61"/>
      <c r="D187" s="61"/>
      <c r="E187" s="61"/>
      <c r="F187" s="61"/>
      <c r="G187" s="61"/>
      <c r="H187" s="61"/>
      <c r="I187" s="61"/>
      <c r="J187" s="61"/>
      <c r="K187" s="61"/>
      <c r="L187" s="61"/>
      <c r="M187" s="106"/>
      <c r="N187" s="104"/>
      <c r="O187" s="105"/>
      <c r="P187" s="26"/>
      <c r="Q187" s="26"/>
      <c r="R187" s="26"/>
      <c r="S187" s="79"/>
      <c r="T187" s="26"/>
      <c r="U187" s="89"/>
      <c r="V187" s="205"/>
      <c r="W187" s="6"/>
    </row>
    <row r="188" spans="1:23" ht="17.399999999999999">
      <c r="A188" s="98"/>
      <c r="B188" s="180" t="s">
        <v>196</v>
      </c>
      <c r="C188" s="61"/>
      <c r="D188" s="61"/>
      <c r="E188" s="61"/>
      <c r="F188" s="61"/>
      <c r="G188" s="61"/>
      <c r="H188" s="61"/>
      <c r="I188" s="61"/>
      <c r="J188" s="61"/>
      <c r="K188" s="181" t="s">
        <v>195</v>
      </c>
      <c r="L188" s="61"/>
      <c r="M188" s="106"/>
      <c r="N188" s="104"/>
      <c r="O188" s="105"/>
      <c r="P188" s="26"/>
      <c r="Q188" s="26"/>
      <c r="R188" s="26"/>
      <c r="S188" s="79"/>
      <c r="T188" s="26"/>
      <c r="U188" s="89"/>
      <c r="V188" s="205"/>
      <c r="W188" s="6"/>
    </row>
    <row r="189" spans="1:23" ht="15.6">
      <c r="A189" s="25"/>
      <c r="B189" s="109" t="s">
        <v>80</v>
      </c>
      <c r="C189" s="110"/>
      <c r="D189" s="110"/>
      <c r="E189" s="110"/>
      <c r="F189" s="110"/>
      <c r="G189" s="110"/>
      <c r="H189" s="110"/>
      <c r="I189" s="110"/>
      <c r="J189" s="110"/>
      <c r="K189" s="110"/>
      <c r="L189" s="110"/>
      <c r="M189" s="111"/>
      <c r="N189" s="110"/>
      <c r="O189" s="111"/>
      <c r="P189" s="110"/>
      <c r="Q189" s="111"/>
      <c r="R189" s="110"/>
      <c r="S189" s="111"/>
      <c r="T189" s="110"/>
      <c r="U189" s="112"/>
      <c r="V189" s="205"/>
      <c r="W189" s="6"/>
    </row>
    <row r="190" spans="1:23" ht="15.6">
      <c r="A190" s="25"/>
      <c r="B190" s="30"/>
      <c r="C190" s="189"/>
      <c r="D190" s="189"/>
      <c r="E190" s="189"/>
      <c r="F190" s="189"/>
      <c r="G190" s="189"/>
      <c r="H190" s="189"/>
      <c r="I190" s="189"/>
      <c r="J190" s="189"/>
      <c r="K190" s="189"/>
      <c r="L190" s="189"/>
      <c r="M190" s="109" t="s">
        <v>100</v>
      </c>
      <c r="N190" s="110"/>
      <c r="O190" s="111"/>
      <c r="P190" s="110"/>
      <c r="Q190" s="109" t="s">
        <v>26</v>
      </c>
      <c r="R190" s="110"/>
      <c r="S190" s="111"/>
      <c r="T190" s="110"/>
      <c r="U190" s="112"/>
      <c r="V190" s="205"/>
      <c r="W190" s="6"/>
    </row>
    <row r="191" spans="1:23" ht="15.6">
      <c r="A191" s="25"/>
      <c r="B191" s="189"/>
      <c r="C191" s="111"/>
      <c r="D191" s="111"/>
      <c r="E191" s="111"/>
      <c r="F191" s="111"/>
      <c r="G191" s="111"/>
      <c r="H191" s="111"/>
      <c r="I191" s="111"/>
      <c r="J191" s="111"/>
      <c r="K191" s="111"/>
      <c r="L191" s="111" t="s">
        <v>94</v>
      </c>
      <c r="M191" s="110" t="s">
        <v>101</v>
      </c>
      <c r="N191" s="111" t="s">
        <v>103</v>
      </c>
      <c r="O191" s="110" t="s">
        <v>101</v>
      </c>
      <c r="P191" s="110"/>
      <c r="Q191" s="111" t="s">
        <v>94</v>
      </c>
      <c r="R191" s="110" t="s">
        <v>101</v>
      </c>
      <c r="S191" s="111" t="s">
        <v>103</v>
      </c>
      <c r="T191" s="110" t="s">
        <v>101</v>
      </c>
      <c r="U191" s="112"/>
      <c r="V191" s="205"/>
      <c r="W191" s="6"/>
    </row>
    <row r="192" spans="1:23" ht="15.6">
      <c r="A192" s="25"/>
      <c r="B192" s="61" t="s">
        <v>81</v>
      </c>
      <c r="C192" s="113"/>
      <c r="D192" s="113"/>
      <c r="E192" s="113"/>
      <c r="F192" s="113"/>
      <c r="G192" s="113"/>
      <c r="H192" s="113"/>
      <c r="I192" s="113"/>
      <c r="J192" s="113"/>
      <c r="K192" s="113"/>
      <c r="L192" s="227">
        <v>2218</v>
      </c>
      <c r="M192" s="45">
        <f t="shared" ref="M192:M198" si="0">+L192/$L$199</f>
        <v>0.83634992458521873</v>
      </c>
      <c r="N192" s="227">
        <v>6105</v>
      </c>
      <c r="O192" s="45">
        <f t="shared" ref="O192:O198" si="1">N192/$N$199</f>
        <v>0.8202337767029424</v>
      </c>
      <c r="P192" s="223"/>
      <c r="Q192" s="227">
        <v>2889</v>
      </c>
      <c r="R192" s="45">
        <f t="shared" ref="R192:R198" si="2">+Q192/$Q$199</f>
        <v>0.85095729013254784</v>
      </c>
      <c r="S192" s="227">
        <v>2822</v>
      </c>
      <c r="T192" s="45">
        <f t="shared" ref="T192:T198" si="3">+S192/$S$199</f>
        <v>0.81963404008132446</v>
      </c>
      <c r="U192" s="112"/>
      <c r="V192" s="205"/>
      <c r="W192" s="6"/>
    </row>
    <row r="193" spans="1:24" ht="15.6">
      <c r="A193" s="25"/>
      <c r="B193" s="61" t="s">
        <v>82</v>
      </c>
      <c r="C193" s="113"/>
      <c r="D193" s="113"/>
      <c r="E193" s="113"/>
      <c r="F193" s="113"/>
      <c r="G193" s="113"/>
      <c r="H193" s="113"/>
      <c r="I193" s="113"/>
      <c r="J193" s="113"/>
      <c r="K193" s="113"/>
      <c r="L193" s="227">
        <v>52</v>
      </c>
      <c r="M193" s="45">
        <f t="shared" si="0"/>
        <v>1.9607843137254902E-2</v>
      </c>
      <c r="N193" s="227">
        <v>196</v>
      </c>
      <c r="O193" s="45">
        <f t="shared" si="1"/>
        <v>2.6333467687760313E-2</v>
      </c>
      <c r="P193" s="223"/>
      <c r="Q193" s="227">
        <v>38</v>
      </c>
      <c r="R193" s="45">
        <f t="shared" si="2"/>
        <v>1.1192930780559647E-2</v>
      </c>
      <c r="S193" s="227">
        <v>34</v>
      </c>
      <c r="T193" s="45">
        <f t="shared" si="3"/>
        <v>9.8751089166424638E-3</v>
      </c>
      <c r="U193" s="112"/>
      <c r="V193" s="205"/>
      <c r="W193" s="6"/>
    </row>
    <row r="194" spans="1:24" ht="15.6">
      <c r="A194" s="25"/>
      <c r="B194" s="61" t="s">
        <v>83</v>
      </c>
      <c r="C194" s="113"/>
      <c r="D194" s="113"/>
      <c r="E194" s="113"/>
      <c r="F194" s="113"/>
      <c r="G194" s="113"/>
      <c r="H194" s="113"/>
      <c r="I194" s="113"/>
      <c r="J194" s="113"/>
      <c r="K194" s="113"/>
      <c r="L194" s="227">
        <v>45</v>
      </c>
      <c r="M194" s="45">
        <f t="shared" si="0"/>
        <v>1.6968325791855202E-2</v>
      </c>
      <c r="N194" s="227">
        <v>167</v>
      </c>
      <c r="O194" s="45">
        <f t="shared" si="1"/>
        <v>2.2437189305387614E-2</v>
      </c>
      <c r="P194" s="223"/>
      <c r="Q194" s="227">
        <v>55</v>
      </c>
      <c r="R194" s="45">
        <f t="shared" si="2"/>
        <v>1.6200294550810016E-2</v>
      </c>
      <c r="S194" s="227">
        <v>45</v>
      </c>
      <c r="T194" s="45">
        <f t="shared" si="3"/>
        <v>1.3069997095556202E-2</v>
      </c>
      <c r="U194" s="112"/>
      <c r="V194" s="205"/>
      <c r="W194" s="6"/>
    </row>
    <row r="195" spans="1:24" ht="15.6">
      <c r="A195" s="25"/>
      <c r="B195" s="61" t="s">
        <v>186</v>
      </c>
      <c r="C195" s="113"/>
      <c r="D195" s="113"/>
      <c r="E195" s="113"/>
      <c r="F195" s="113"/>
      <c r="G195" s="113"/>
      <c r="H195" s="113"/>
      <c r="I195" s="113"/>
      <c r="J195" s="113"/>
      <c r="K195" s="113"/>
      <c r="L195" s="227">
        <v>26</v>
      </c>
      <c r="M195" s="45">
        <f t="shared" si="0"/>
        <v>9.8039215686274508E-3</v>
      </c>
      <c r="N195" s="227">
        <v>51</v>
      </c>
      <c r="O195" s="45">
        <f t="shared" si="1"/>
        <v>6.8520757758968156E-3</v>
      </c>
      <c r="P195" s="223"/>
      <c r="Q195" s="227">
        <v>34</v>
      </c>
      <c r="R195" s="45">
        <f t="shared" si="2"/>
        <v>1.0014727540500737E-2</v>
      </c>
      <c r="S195" s="227">
        <v>40</v>
      </c>
      <c r="T195" s="45">
        <f t="shared" si="3"/>
        <v>1.1617775196049956E-2</v>
      </c>
      <c r="U195" s="112"/>
      <c r="V195" s="205"/>
      <c r="W195" s="6"/>
    </row>
    <row r="196" spans="1:24" ht="15.6">
      <c r="A196" s="25"/>
      <c r="B196" s="61" t="s">
        <v>187</v>
      </c>
      <c r="C196" s="113"/>
      <c r="D196" s="113"/>
      <c r="E196" s="113"/>
      <c r="F196" s="113"/>
      <c r="G196" s="113"/>
      <c r="H196" s="113"/>
      <c r="I196" s="113"/>
      <c r="J196" s="113"/>
      <c r="K196" s="113"/>
      <c r="L196" s="227">
        <v>28</v>
      </c>
      <c r="M196" s="45">
        <f t="shared" si="0"/>
        <v>1.0558069381598794E-2</v>
      </c>
      <c r="N196" s="227">
        <v>88</v>
      </c>
      <c r="O196" s="45">
        <f t="shared" si="1"/>
        <v>1.1823189574096466E-2</v>
      </c>
      <c r="P196" s="223"/>
      <c r="Q196" s="227">
        <v>57</v>
      </c>
      <c r="R196" s="45">
        <f t="shared" si="2"/>
        <v>1.6789396170839469E-2</v>
      </c>
      <c r="S196" s="227">
        <v>56</v>
      </c>
      <c r="T196" s="45">
        <f t="shared" si="3"/>
        <v>1.626488527446994E-2</v>
      </c>
      <c r="U196" s="112"/>
      <c r="V196" s="205"/>
      <c r="W196" s="6"/>
    </row>
    <row r="197" spans="1:24" ht="15.6">
      <c r="A197" s="25"/>
      <c r="B197" s="61" t="s">
        <v>188</v>
      </c>
      <c r="C197" s="113"/>
      <c r="D197" s="113"/>
      <c r="E197" s="113"/>
      <c r="F197" s="113"/>
      <c r="G197" s="113"/>
      <c r="H197" s="113"/>
      <c r="I197" s="113"/>
      <c r="J197" s="113"/>
      <c r="K197" s="113"/>
      <c r="L197" s="227">
        <v>31</v>
      </c>
      <c r="M197" s="45">
        <f t="shared" si="0"/>
        <v>1.1689291101055807E-2</v>
      </c>
      <c r="N197" s="227">
        <v>76</v>
      </c>
      <c r="O197" s="45">
        <f t="shared" si="1"/>
        <v>1.0210936450356039E-2</v>
      </c>
      <c r="P197" s="223"/>
      <c r="Q197" s="227">
        <v>38</v>
      </c>
      <c r="R197" s="45">
        <f t="shared" si="2"/>
        <v>1.1192930780559647E-2</v>
      </c>
      <c r="S197" s="227">
        <v>30</v>
      </c>
      <c r="T197" s="45">
        <f t="shared" si="3"/>
        <v>8.7133313970374666E-3</v>
      </c>
      <c r="U197" s="112"/>
      <c r="V197" s="205"/>
      <c r="W197" s="6"/>
    </row>
    <row r="198" spans="1:24" ht="15.6">
      <c r="A198" s="25"/>
      <c r="B198" s="61" t="s">
        <v>189</v>
      </c>
      <c r="C198" s="113"/>
      <c r="D198" s="113"/>
      <c r="E198" s="113"/>
      <c r="F198" s="113"/>
      <c r="G198" s="113"/>
      <c r="H198" s="113"/>
      <c r="I198" s="113"/>
      <c r="J198" s="113"/>
      <c r="K198" s="113"/>
      <c r="L198" s="227">
        <v>252</v>
      </c>
      <c r="M198" s="45">
        <f t="shared" si="0"/>
        <v>9.5022624434389136E-2</v>
      </c>
      <c r="N198" s="227">
        <v>760</v>
      </c>
      <c r="O198" s="45">
        <f t="shared" si="1"/>
        <v>0.1021093645035604</v>
      </c>
      <c r="P198" s="223"/>
      <c r="Q198" s="227">
        <v>284</v>
      </c>
      <c r="R198" s="45">
        <f t="shared" si="2"/>
        <v>8.3652430044182616E-2</v>
      </c>
      <c r="S198" s="227">
        <v>416</v>
      </c>
      <c r="T198" s="45">
        <f t="shared" si="3"/>
        <v>0.12082486203891955</v>
      </c>
      <c r="U198" s="112"/>
      <c r="V198" s="205"/>
      <c r="W198" s="6"/>
    </row>
    <row r="199" spans="1:24" ht="15.6">
      <c r="A199" s="25"/>
      <c r="B199" s="61" t="s">
        <v>84</v>
      </c>
      <c r="C199" s="113"/>
      <c r="D199" s="113"/>
      <c r="E199" s="113"/>
      <c r="F199" s="113"/>
      <c r="G199" s="113"/>
      <c r="H199" s="113"/>
      <c r="I199" s="113"/>
      <c r="J199" s="113"/>
      <c r="K199" s="113"/>
      <c r="L199" s="227">
        <f>SUM(L192:L198)</f>
        <v>2652</v>
      </c>
      <c r="M199" s="45">
        <f>SUM(M192:M198)</f>
        <v>1</v>
      </c>
      <c r="N199" s="227">
        <f>SUM(N192:N198)</f>
        <v>7443</v>
      </c>
      <c r="O199" s="45">
        <f>SUM(O192:O198)</f>
        <v>1.0000000000000002</v>
      </c>
      <c r="P199" s="223"/>
      <c r="Q199" s="227">
        <f>SUM(Q192:Q198)</f>
        <v>3395</v>
      </c>
      <c r="R199" s="45">
        <f>SUM(R192:R198)</f>
        <v>1</v>
      </c>
      <c r="S199" s="227">
        <f>SUM(S192:S198)</f>
        <v>3443</v>
      </c>
      <c r="T199" s="45">
        <f>SUM(T192:T198)</f>
        <v>1</v>
      </c>
      <c r="U199" s="112"/>
      <c r="V199" s="205"/>
      <c r="W199" s="6"/>
      <c r="X199" s="64"/>
    </row>
    <row r="200" spans="1:24" ht="15.6">
      <c r="A200" s="25"/>
      <c r="B200" s="61" t="s">
        <v>85</v>
      </c>
      <c r="C200" s="113"/>
      <c r="D200" s="113"/>
      <c r="E200" s="113"/>
      <c r="F200" s="113"/>
      <c r="G200" s="113"/>
      <c r="H200" s="113"/>
      <c r="I200" s="113"/>
      <c r="J200" s="113"/>
      <c r="K200" s="113"/>
      <c r="L200" s="227">
        <v>914</v>
      </c>
      <c r="M200" s="33"/>
      <c r="N200" s="227">
        <v>5937</v>
      </c>
      <c r="O200" s="33"/>
      <c r="P200" s="223"/>
      <c r="Q200" s="227">
        <v>555</v>
      </c>
      <c r="R200" s="33"/>
      <c r="S200" s="227">
        <v>1227</v>
      </c>
      <c r="T200" s="33"/>
      <c r="U200" s="112"/>
      <c r="V200" s="205"/>
      <c r="W200" s="6"/>
      <c r="X200" s="64"/>
    </row>
    <row r="201" spans="1:24" ht="15.6">
      <c r="A201" s="25"/>
      <c r="B201" s="61" t="s">
        <v>86</v>
      </c>
      <c r="C201" s="113"/>
      <c r="D201" s="113"/>
      <c r="E201" s="113"/>
      <c r="F201" s="113"/>
      <c r="G201" s="113"/>
      <c r="H201" s="113"/>
      <c r="I201" s="113"/>
      <c r="J201" s="113"/>
      <c r="K201" s="113"/>
      <c r="L201" s="227">
        <f>SUM(L199:L200)</f>
        <v>3566</v>
      </c>
      <c r="M201" s="189"/>
      <c r="N201" s="227">
        <f>SUM(N199:N200)</f>
        <v>13380</v>
      </c>
      <c r="O201" s="229"/>
      <c r="P201" s="224"/>
      <c r="Q201" s="227">
        <f>SUM(Q199:Q200)</f>
        <v>3950</v>
      </c>
      <c r="R201" s="189"/>
      <c r="S201" s="227">
        <f>SUM(S199:S200)</f>
        <v>4670</v>
      </c>
      <c r="T201" s="189"/>
      <c r="U201" s="189"/>
      <c r="V201" s="205"/>
      <c r="W201" s="6"/>
      <c r="X201" s="64"/>
    </row>
    <row r="202" spans="1:24" ht="15.6">
      <c r="A202" s="25"/>
      <c r="B202" s="61"/>
      <c r="C202" s="113"/>
      <c r="D202" s="113"/>
      <c r="E202" s="113"/>
      <c r="F202" s="113"/>
      <c r="G202" s="113"/>
      <c r="H202" s="113"/>
      <c r="I202" s="113"/>
      <c r="J202" s="113"/>
      <c r="K202" s="113"/>
      <c r="L202" s="222"/>
      <c r="M202" s="225"/>
      <c r="N202" s="222"/>
      <c r="O202" s="225"/>
      <c r="P202" s="223"/>
      <c r="Q202" s="222"/>
      <c r="R202" s="225"/>
      <c r="S202" s="222"/>
      <c r="T202" s="225"/>
      <c r="U202" s="112"/>
      <c r="V202" s="205"/>
      <c r="W202" s="6"/>
    </row>
    <row r="203" spans="1:24" ht="15.6">
      <c r="A203" s="25"/>
      <c r="B203" s="61"/>
      <c r="C203" s="110"/>
      <c r="D203" s="110"/>
      <c r="E203" s="110"/>
      <c r="F203" s="110"/>
      <c r="G203" s="110"/>
      <c r="H203" s="110"/>
      <c r="I203" s="110"/>
      <c r="J203" s="110"/>
      <c r="K203" s="110"/>
      <c r="L203" s="110"/>
      <c r="M203" s="109" t="s">
        <v>27</v>
      </c>
      <c r="N203" s="110"/>
      <c r="O203" s="111"/>
      <c r="P203" s="110"/>
      <c r="Q203" s="109" t="s">
        <v>28</v>
      </c>
      <c r="R203" s="110"/>
      <c r="S203" s="111"/>
      <c r="T203" s="110"/>
      <c r="U203" s="112"/>
      <c r="V203" s="205"/>
      <c r="W203" s="6"/>
    </row>
    <row r="204" spans="1:24" ht="15.6">
      <c r="A204" s="25"/>
      <c r="B204" s="189"/>
      <c r="C204" s="111"/>
      <c r="D204" s="111"/>
      <c r="E204" s="111"/>
      <c r="F204" s="111"/>
      <c r="G204" s="111"/>
      <c r="H204" s="111"/>
      <c r="I204" s="111"/>
      <c r="J204" s="111"/>
      <c r="K204" s="111"/>
      <c r="L204" s="111" t="s">
        <v>94</v>
      </c>
      <c r="M204" s="110" t="s">
        <v>101</v>
      </c>
      <c r="N204" s="111" t="s">
        <v>103</v>
      </c>
      <c r="O204" s="110" t="s">
        <v>101</v>
      </c>
      <c r="P204" s="110"/>
      <c r="Q204" s="111" t="s">
        <v>94</v>
      </c>
      <c r="R204" s="110" t="s">
        <v>101</v>
      </c>
      <c r="S204" s="111" t="s">
        <v>103</v>
      </c>
      <c r="T204" s="110" t="s">
        <v>101</v>
      </c>
      <c r="U204" s="112"/>
      <c r="V204" s="205"/>
      <c r="W204" s="6"/>
    </row>
    <row r="205" spans="1:24" ht="15.6">
      <c r="A205" s="25"/>
      <c r="B205" s="61" t="s">
        <v>81</v>
      </c>
      <c r="C205" s="113"/>
      <c r="D205" s="113"/>
      <c r="E205" s="113"/>
      <c r="F205" s="113"/>
      <c r="G205" s="113"/>
      <c r="H205" s="113"/>
      <c r="I205" s="113"/>
      <c r="J205" s="113"/>
      <c r="K205" s="113"/>
      <c r="L205" s="227">
        <v>8113</v>
      </c>
      <c r="M205" s="45">
        <f t="shared" ref="M205:M211" si="4">+L205/$L$212</f>
        <v>0.89281390998129195</v>
      </c>
      <c r="N205" s="227">
        <v>209469</v>
      </c>
      <c r="O205" s="45">
        <f t="shared" ref="O205:O211" si="5">+N205/$N$212</f>
        <v>0.88188561997945469</v>
      </c>
      <c r="P205" s="223"/>
      <c r="Q205" s="227">
        <v>2492</v>
      </c>
      <c r="R205" s="45">
        <f t="shared" ref="R205:R211" si="6">Q205/$Q$212</f>
        <v>0.93578670672174236</v>
      </c>
      <c r="S205" s="227">
        <v>28231</v>
      </c>
      <c r="T205" s="45">
        <f t="shared" ref="T205:T211" si="7">+S205/$S$212</f>
        <v>0.92512124786996985</v>
      </c>
      <c r="U205" s="112"/>
      <c r="V205" s="205"/>
      <c r="W205" s="6"/>
    </row>
    <row r="206" spans="1:24" ht="15.6">
      <c r="A206" s="25"/>
      <c r="B206" s="61" t="s">
        <v>82</v>
      </c>
      <c r="C206" s="113"/>
      <c r="D206" s="113"/>
      <c r="E206" s="113"/>
      <c r="F206" s="113"/>
      <c r="G206" s="113"/>
      <c r="H206" s="113"/>
      <c r="I206" s="113"/>
      <c r="J206" s="113"/>
      <c r="K206" s="113"/>
      <c r="L206" s="227">
        <v>318</v>
      </c>
      <c r="M206" s="45">
        <f t="shared" si="4"/>
        <v>3.4995047870584349E-2</v>
      </c>
      <c r="N206" s="227">
        <v>9129</v>
      </c>
      <c r="O206" s="45">
        <f t="shared" si="5"/>
        <v>3.8434010878900658E-2</v>
      </c>
      <c r="P206" s="223"/>
      <c r="Q206" s="227">
        <v>74</v>
      </c>
      <c r="R206" s="45">
        <f t="shared" si="6"/>
        <v>2.7788208787082238E-2</v>
      </c>
      <c r="S206" s="227">
        <v>888</v>
      </c>
      <c r="T206" s="45">
        <f t="shared" si="7"/>
        <v>2.9099488792764451E-2</v>
      </c>
      <c r="U206" s="112"/>
      <c r="V206" s="205"/>
      <c r="W206" s="6"/>
    </row>
    <row r="207" spans="1:24" ht="15.6">
      <c r="A207" s="25"/>
      <c r="B207" s="61" t="s">
        <v>83</v>
      </c>
      <c r="C207" s="113"/>
      <c r="D207" s="113"/>
      <c r="E207" s="113"/>
      <c r="F207" s="113"/>
      <c r="G207" s="113"/>
      <c r="H207" s="113"/>
      <c r="I207" s="113"/>
      <c r="J207" s="113"/>
      <c r="K207" s="113"/>
      <c r="L207" s="227">
        <v>152</v>
      </c>
      <c r="M207" s="45">
        <f t="shared" si="4"/>
        <v>1.6727192692857929E-2</v>
      </c>
      <c r="N207" s="227">
        <v>4487</v>
      </c>
      <c r="O207" s="45">
        <f t="shared" si="5"/>
        <v>1.8890722621714016E-2</v>
      </c>
      <c r="P207" s="223"/>
      <c r="Q207" s="227">
        <v>22</v>
      </c>
      <c r="R207" s="45">
        <f t="shared" si="6"/>
        <v>8.2613593691325572E-3</v>
      </c>
      <c r="S207" s="227">
        <v>395</v>
      </c>
      <c r="T207" s="45">
        <f t="shared" si="7"/>
        <v>1.2944029361646349E-2</v>
      </c>
      <c r="U207" s="112"/>
      <c r="V207" s="205"/>
      <c r="W207" s="6"/>
      <c r="X207" s="182"/>
    </row>
    <row r="208" spans="1:24" ht="15.6">
      <c r="A208" s="25"/>
      <c r="B208" s="61" t="s">
        <v>186</v>
      </c>
      <c r="C208" s="113"/>
      <c r="D208" s="113"/>
      <c r="E208" s="113"/>
      <c r="F208" s="113"/>
      <c r="G208" s="113"/>
      <c r="H208" s="113"/>
      <c r="I208" s="113"/>
      <c r="J208" s="113"/>
      <c r="K208" s="113"/>
      <c r="L208" s="227">
        <v>127</v>
      </c>
      <c r="M208" s="45">
        <f t="shared" si="4"/>
        <v>1.397600968416419E-2</v>
      </c>
      <c r="N208" s="227">
        <v>3579</v>
      </c>
      <c r="O208" s="45">
        <f t="shared" si="5"/>
        <v>1.5067951028106633E-2</v>
      </c>
      <c r="P208" s="223"/>
      <c r="Q208" s="227">
        <v>19</v>
      </c>
      <c r="R208" s="45">
        <f t="shared" si="6"/>
        <v>7.1348103642508449E-3</v>
      </c>
      <c r="S208" s="227">
        <v>284</v>
      </c>
      <c r="T208" s="45">
        <f t="shared" si="7"/>
        <v>9.3065932625507938E-3</v>
      </c>
      <c r="U208" s="112"/>
      <c r="V208" s="205"/>
      <c r="W208" s="6"/>
    </row>
    <row r="209" spans="1:24" ht="15.6">
      <c r="A209" s="25"/>
      <c r="B209" s="61" t="s">
        <v>187</v>
      </c>
      <c r="C209" s="113"/>
      <c r="D209" s="113"/>
      <c r="E209" s="113"/>
      <c r="F209" s="113"/>
      <c r="G209" s="113"/>
      <c r="H209" s="113"/>
      <c r="I209" s="113"/>
      <c r="J209" s="113"/>
      <c r="K209" s="113"/>
      <c r="L209" s="227">
        <v>83</v>
      </c>
      <c r="M209" s="45">
        <f t="shared" si="4"/>
        <v>9.1339275888632117E-3</v>
      </c>
      <c r="N209" s="227">
        <v>2271</v>
      </c>
      <c r="O209" s="45">
        <f t="shared" si="5"/>
        <v>9.5611390848924747E-3</v>
      </c>
      <c r="P209" s="223"/>
      <c r="Q209" s="227">
        <v>15</v>
      </c>
      <c r="R209" s="45">
        <f t="shared" si="6"/>
        <v>5.6327450244085617E-3</v>
      </c>
      <c r="S209" s="227">
        <v>172</v>
      </c>
      <c r="T209" s="45">
        <f t="shared" si="7"/>
        <v>5.6363874688687898E-3</v>
      </c>
      <c r="U209" s="112"/>
      <c r="V209" s="205"/>
      <c r="W209" s="6"/>
    </row>
    <row r="210" spans="1:24" ht="15.6">
      <c r="A210" s="25"/>
      <c r="B210" s="61" t="s">
        <v>188</v>
      </c>
      <c r="C210" s="113"/>
      <c r="D210" s="113"/>
      <c r="E210" s="113"/>
      <c r="F210" s="113"/>
      <c r="G210" s="113"/>
      <c r="H210" s="113"/>
      <c r="I210" s="113"/>
      <c r="J210" s="113"/>
      <c r="K210" s="113"/>
      <c r="L210" s="227">
        <v>64</v>
      </c>
      <c r="M210" s="45">
        <f t="shared" si="4"/>
        <v>7.0430285022559701E-3</v>
      </c>
      <c r="N210" s="227">
        <v>1951</v>
      </c>
      <c r="O210" s="45">
        <f t="shared" si="5"/>
        <v>8.2139068052070521E-3</v>
      </c>
      <c r="P210" s="223"/>
      <c r="Q210" s="227">
        <v>13</v>
      </c>
      <c r="R210" s="45">
        <f t="shared" si="6"/>
        <v>4.8817123544874202E-3</v>
      </c>
      <c r="S210" s="227">
        <v>156</v>
      </c>
      <c r="T210" s="45">
        <f t="shared" si="7"/>
        <v>5.1120723554856466E-3</v>
      </c>
      <c r="U210" s="112"/>
      <c r="V210" s="205"/>
      <c r="W210" s="6"/>
    </row>
    <row r="211" spans="1:24" ht="15.6">
      <c r="A211" s="25"/>
      <c r="B211" s="61" t="s">
        <v>189</v>
      </c>
      <c r="C211" s="113"/>
      <c r="D211" s="113"/>
      <c r="E211" s="113"/>
      <c r="F211" s="113"/>
      <c r="G211" s="113"/>
      <c r="H211" s="113"/>
      <c r="I211" s="113"/>
      <c r="J211" s="113"/>
      <c r="K211" s="113"/>
      <c r="L211" s="227">
        <v>230</v>
      </c>
      <c r="M211" s="45">
        <f t="shared" si="4"/>
        <v>2.5310883679982393E-2</v>
      </c>
      <c r="N211" s="227">
        <v>6638</v>
      </c>
      <c r="O211" s="45">
        <f t="shared" si="5"/>
        <v>2.7946649601724459E-2</v>
      </c>
      <c r="P211" s="223"/>
      <c r="Q211" s="227">
        <v>28</v>
      </c>
      <c r="R211" s="45">
        <f t="shared" si="6"/>
        <v>1.0514457378895982E-2</v>
      </c>
      <c r="S211" s="227">
        <v>390</v>
      </c>
      <c r="T211" s="45">
        <f t="shared" si="7"/>
        <v>1.2780180888714117E-2</v>
      </c>
      <c r="U211" s="112"/>
      <c r="V211" s="205"/>
      <c r="W211" s="6"/>
    </row>
    <row r="212" spans="1:24" ht="15.6">
      <c r="A212" s="25"/>
      <c r="B212" s="61" t="str">
        <f>B199</f>
        <v>Total Performing  Assets</v>
      </c>
      <c r="C212" s="113"/>
      <c r="D212" s="113"/>
      <c r="E212" s="113"/>
      <c r="F212" s="113"/>
      <c r="G212" s="113"/>
      <c r="H212" s="113"/>
      <c r="I212" s="113"/>
      <c r="J212" s="113"/>
      <c r="K212" s="113"/>
      <c r="L212" s="227">
        <f>SUM(L205:L211)</f>
        <v>9087</v>
      </c>
      <c r="M212" s="45">
        <f>SUM(M205:M211)</f>
        <v>1.0000000000000002</v>
      </c>
      <c r="N212" s="227">
        <f>SUM(N205:N211)</f>
        <v>237524</v>
      </c>
      <c r="O212" s="45">
        <f>SUM(O205:O211)</f>
        <v>0.99999999999999989</v>
      </c>
      <c r="P212" s="223"/>
      <c r="Q212" s="227">
        <f>SUM(Q205:Q211)</f>
        <v>2663</v>
      </c>
      <c r="R212" s="45">
        <f>SUM(R205:R211)</f>
        <v>1</v>
      </c>
      <c r="S212" s="227">
        <f>SUM(S205:S211)</f>
        <v>30516</v>
      </c>
      <c r="T212" s="45">
        <f>SUM(T205:T211)</f>
        <v>1</v>
      </c>
      <c r="U212" s="112"/>
      <c r="V212" s="205"/>
      <c r="W212" s="6"/>
    </row>
    <row r="213" spans="1:24" ht="15.6">
      <c r="A213" s="25"/>
      <c r="B213" s="61" t="s">
        <v>85</v>
      </c>
      <c r="C213" s="113"/>
      <c r="D213" s="113"/>
      <c r="E213" s="113"/>
      <c r="F213" s="113"/>
      <c r="G213" s="113"/>
      <c r="H213" s="113"/>
      <c r="I213" s="113"/>
      <c r="J213" s="113"/>
      <c r="K213" s="113"/>
      <c r="L213" s="227">
        <v>80</v>
      </c>
      <c r="M213" s="228"/>
      <c r="N213" s="227">
        <v>2541</v>
      </c>
      <c r="O213" s="33"/>
      <c r="P213" s="223"/>
      <c r="Q213" s="227">
        <v>42</v>
      </c>
      <c r="R213" s="228"/>
      <c r="S213" s="227">
        <v>773</v>
      </c>
      <c r="T213" s="228"/>
      <c r="U213" s="112"/>
      <c r="V213" s="205"/>
      <c r="W213" s="6"/>
    </row>
    <row r="214" spans="1:24" ht="15.6">
      <c r="A214" s="25"/>
      <c r="B214" s="61" t="s">
        <v>86</v>
      </c>
      <c r="C214" s="113"/>
      <c r="D214" s="113"/>
      <c r="E214" s="113"/>
      <c r="F214" s="113"/>
      <c r="G214" s="113"/>
      <c r="H214" s="113"/>
      <c r="I214" s="113"/>
      <c r="J214" s="113"/>
      <c r="K214" s="113"/>
      <c r="L214" s="227">
        <f>SUM(L212:L213)</f>
        <v>9167</v>
      </c>
      <c r="M214" s="189"/>
      <c r="N214" s="227">
        <f>SUM(N212:N213)</f>
        <v>240065</v>
      </c>
      <c r="O214" s="45"/>
      <c r="P214" s="224"/>
      <c r="Q214" s="227">
        <f>SUM(Q212:Q213)</f>
        <v>2705</v>
      </c>
      <c r="R214" s="189"/>
      <c r="S214" s="227">
        <f>SUM(S212:S213)</f>
        <v>31289</v>
      </c>
      <c r="T214" s="189"/>
      <c r="U214" s="189"/>
      <c r="V214" s="190"/>
    </row>
    <row r="215" spans="1:24" ht="15.6">
      <c r="A215" s="25"/>
      <c r="B215" s="61"/>
      <c r="C215" s="110"/>
      <c r="D215" s="110"/>
      <c r="E215" s="110"/>
      <c r="F215" s="110"/>
      <c r="G215" s="110"/>
      <c r="H215" s="110"/>
      <c r="I215" s="110"/>
      <c r="J215" s="110"/>
      <c r="K215" s="110"/>
      <c r="L215" s="223"/>
      <c r="M215" s="226"/>
      <c r="N215" s="223"/>
      <c r="O215" s="226"/>
      <c r="P215" s="223"/>
      <c r="Q215" s="226"/>
      <c r="R215" s="223"/>
      <c r="S215" s="222"/>
      <c r="T215" s="223"/>
      <c r="U215" s="112"/>
      <c r="V215" s="205"/>
      <c r="W215" s="6"/>
    </row>
    <row r="216" spans="1:24" ht="15.6">
      <c r="A216" s="25"/>
      <c r="B216" s="61" t="s">
        <v>86</v>
      </c>
      <c r="C216" s="110"/>
      <c r="D216" s="110"/>
      <c r="E216" s="110"/>
      <c r="F216" s="110"/>
      <c r="G216" s="110"/>
      <c r="H216" s="110"/>
      <c r="I216" s="110"/>
      <c r="J216" s="110"/>
      <c r="K216" s="110"/>
      <c r="L216" s="223"/>
      <c r="M216" s="226"/>
      <c r="N216" s="223"/>
      <c r="O216" s="226"/>
      <c r="P216" s="223"/>
      <c r="Q216" s="226"/>
      <c r="R216" s="223"/>
      <c r="S216" s="227">
        <f>+N201+S201+N214+S214</f>
        <v>289404</v>
      </c>
      <c r="T216" s="225"/>
      <c r="U216" s="112"/>
      <c r="V216" s="205"/>
      <c r="W216" s="6"/>
      <c r="X216" s="182"/>
    </row>
    <row r="217" spans="1:24" ht="15.6">
      <c r="A217" s="25"/>
      <c r="B217" s="61"/>
      <c r="C217" s="110"/>
      <c r="D217" s="110"/>
      <c r="E217" s="110"/>
      <c r="F217" s="110"/>
      <c r="G217" s="110"/>
      <c r="H217" s="110"/>
      <c r="I217" s="110"/>
      <c r="J217" s="110"/>
      <c r="K217" s="110"/>
      <c r="L217" s="111"/>
      <c r="M217" s="111"/>
      <c r="N217" s="111"/>
      <c r="O217" s="111"/>
      <c r="P217" s="110"/>
      <c r="Q217" s="111"/>
      <c r="R217" s="110"/>
      <c r="S217" s="227"/>
      <c r="T217" s="116"/>
      <c r="U217" s="112"/>
      <c r="V217" s="205"/>
      <c r="W217" s="6"/>
    </row>
    <row r="218" spans="1:24" ht="15.6">
      <c r="A218" s="25"/>
      <c r="B218" s="118" t="s">
        <v>87</v>
      </c>
      <c r="C218" s="110"/>
      <c r="D218" s="110"/>
      <c r="E218" s="110"/>
      <c r="F218" s="110"/>
      <c r="G218" s="110"/>
      <c r="H218" s="110"/>
      <c r="I218" s="110"/>
      <c r="J218" s="110"/>
      <c r="K218" s="110"/>
      <c r="L218" s="110"/>
      <c r="M218" s="111"/>
      <c r="N218" s="110"/>
      <c r="O218" s="111"/>
      <c r="P218" s="110"/>
      <c r="Q218" s="111"/>
      <c r="R218" s="110"/>
      <c r="S218" s="227"/>
      <c r="T218" s="110"/>
      <c r="U218" s="209"/>
      <c r="V218" s="205"/>
      <c r="W218" s="6"/>
    </row>
    <row r="219" spans="1:24" ht="15.6">
      <c r="A219" s="25"/>
      <c r="B219" s="61"/>
      <c r="C219" s="110"/>
      <c r="D219" s="110"/>
      <c r="E219" s="110"/>
      <c r="F219" s="110"/>
      <c r="G219" s="110"/>
      <c r="H219" s="110"/>
      <c r="I219" s="110"/>
      <c r="J219" s="110"/>
      <c r="K219" s="110"/>
      <c r="L219" s="110"/>
      <c r="M219" s="111"/>
      <c r="N219" s="110"/>
      <c r="O219" s="111"/>
      <c r="P219" s="110"/>
      <c r="Q219" s="111"/>
      <c r="R219" s="110"/>
      <c r="S219" s="227"/>
      <c r="T219" s="110"/>
      <c r="U219" s="112"/>
      <c r="V219" s="205"/>
      <c r="W219" s="6"/>
    </row>
    <row r="220" spans="1:24" ht="15.6">
      <c r="A220" s="25"/>
      <c r="B220" s="61" t="s">
        <v>88</v>
      </c>
      <c r="C220" s="110"/>
      <c r="D220" s="110"/>
      <c r="E220" s="110"/>
      <c r="F220" s="110"/>
      <c r="G220" s="110"/>
      <c r="H220" s="110"/>
      <c r="I220" s="110"/>
      <c r="J220" s="110"/>
      <c r="K220" s="110"/>
      <c r="L220" s="110"/>
      <c r="M220" s="111"/>
      <c r="N220" s="110"/>
      <c r="O220" s="111"/>
      <c r="P220" s="110"/>
      <c r="Q220" s="111"/>
      <c r="R220" s="110"/>
      <c r="S220" s="227">
        <f>+N199+S199+N212+S212</f>
        <v>278926</v>
      </c>
      <c r="T220" s="110"/>
      <c r="U220" s="112"/>
      <c r="V220" s="205"/>
      <c r="W220" s="6"/>
      <c r="X220" s="182"/>
    </row>
    <row r="221" spans="1:24" ht="15.6">
      <c r="A221" s="25"/>
      <c r="B221" s="61" t="s">
        <v>89</v>
      </c>
      <c r="C221" s="110"/>
      <c r="D221" s="110"/>
      <c r="E221" s="110"/>
      <c r="F221" s="110"/>
      <c r="G221" s="110"/>
      <c r="H221" s="110"/>
      <c r="I221" s="110"/>
      <c r="J221" s="110"/>
      <c r="K221" s="110"/>
      <c r="L221" s="110"/>
      <c r="M221" s="111"/>
      <c r="N221" s="110"/>
      <c r="O221" s="111"/>
      <c r="P221" s="110"/>
      <c r="Q221" s="111"/>
      <c r="R221" s="110"/>
      <c r="S221" s="227">
        <f>+U79</f>
        <v>0</v>
      </c>
      <c r="T221" s="110"/>
      <c r="U221" s="112"/>
      <c r="V221" s="205"/>
      <c r="W221" s="119"/>
    </row>
    <row r="222" spans="1:24" ht="15.6">
      <c r="A222" s="25"/>
      <c r="B222" s="61" t="s">
        <v>90</v>
      </c>
      <c r="C222" s="110"/>
      <c r="D222" s="110"/>
      <c r="E222" s="110"/>
      <c r="F222" s="110"/>
      <c r="G222" s="110"/>
      <c r="H222" s="110"/>
      <c r="I222" s="110"/>
      <c r="J222" s="110"/>
      <c r="K222" s="110"/>
      <c r="L222" s="110"/>
      <c r="M222" s="111"/>
      <c r="N222" s="110"/>
      <c r="O222" s="111"/>
      <c r="P222" s="110"/>
      <c r="Q222" s="111"/>
      <c r="R222" s="110"/>
      <c r="S222" s="227">
        <f>SUM(S220:S221)</f>
        <v>278926</v>
      </c>
      <c r="T222" s="110"/>
      <c r="U222" s="112"/>
      <c r="V222" s="205"/>
      <c r="W222" s="6"/>
    </row>
    <row r="223" spans="1:24" ht="15.6">
      <c r="A223" s="25"/>
      <c r="B223" s="61"/>
      <c r="C223" s="110"/>
      <c r="D223" s="110"/>
      <c r="E223" s="110"/>
      <c r="F223" s="110"/>
      <c r="G223" s="110"/>
      <c r="H223" s="110"/>
      <c r="I223" s="110"/>
      <c r="J223" s="110"/>
      <c r="K223" s="110"/>
      <c r="L223" s="110"/>
      <c r="M223" s="111"/>
      <c r="N223" s="110"/>
      <c r="O223" s="111"/>
      <c r="P223" s="110"/>
      <c r="Q223" s="111"/>
      <c r="R223" s="110"/>
      <c r="S223" s="113"/>
      <c r="T223" s="110"/>
      <c r="U223" s="112"/>
      <c r="V223" s="205"/>
      <c r="W223" s="6"/>
    </row>
    <row r="224" spans="1:24" ht="15.6">
      <c r="A224" s="25"/>
      <c r="B224" s="61" t="s">
        <v>91</v>
      </c>
      <c r="C224" s="110"/>
      <c r="D224" s="110"/>
      <c r="E224" s="110"/>
      <c r="F224" s="110"/>
      <c r="G224" s="110"/>
      <c r="H224" s="110"/>
      <c r="I224" s="110"/>
      <c r="J224" s="110"/>
      <c r="K224" s="110"/>
      <c r="L224" s="110"/>
      <c r="M224" s="111"/>
      <c r="N224" s="110"/>
      <c r="O224" s="111"/>
      <c r="P224" s="110"/>
      <c r="Q224" s="111"/>
      <c r="R224" s="110"/>
      <c r="S224" s="113">
        <f>U33</f>
        <v>278926.25039999996</v>
      </c>
      <c r="T224" s="110"/>
      <c r="U224" s="112"/>
      <c r="V224" s="205"/>
      <c r="W224" s="6"/>
    </row>
    <row r="225" spans="1:23" ht="15.6">
      <c r="A225" s="25"/>
      <c r="B225" s="61"/>
      <c r="C225" s="110"/>
      <c r="D225" s="110"/>
      <c r="E225" s="110"/>
      <c r="F225" s="110"/>
      <c r="G225" s="110"/>
      <c r="H225" s="110"/>
      <c r="I225" s="110"/>
      <c r="J225" s="110"/>
      <c r="K225" s="110"/>
      <c r="L225" s="110"/>
      <c r="M225" s="111"/>
      <c r="N225" s="110"/>
      <c r="O225" s="111"/>
      <c r="P225" s="110"/>
      <c r="Q225" s="111"/>
      <c r="R225" s="110"/>
      <c r="S225" s="113"/>
      <c r="T225" s="110"/>
      <c r="U225" s="112"/>
      <c r="V225" s="205"/>
      <c r="W225" s="6"/>
    </row>
    <row r="226" spans="1:23" ht="15.6">
      <c r="A226" s="25"/>
      <c r="B226" s="61" t="s">
        <v>92</v>
      </c>
      <c r="C226" s="110"/>
      <c r="D226" s="110"/>
      <c r="E226" s="110"/>
      <c r="F226" s="110"/>
      <c r="G226" s="110"/>
      <c r="H226" s="110"/>
      <c r="I226" s="110"/>
      <c r="J226" s="110"/>
      <c r="K226" s="110"/>
      <c r="L226" s="110"/>
      <c r="M226" s="111"/>
      <c r="N226" s="110"/>
      <c r="O226" s="111"/>
      <c r="P226" s="110"/>
      <c r="Q226" s="111"/>
      <c r="R226" s="110"/>
      <c r="S226" s="113">
        <f>S222/S224</f>
        <v>0.99999910227165922</v>
      </c>
      <c r="T226" s="110"/>
      <c r="U226" s="112"/>
      <c r="V226" s="205"/>
      <c r="W226" s="6"/>
    </row>
    <row r="227" spans="1:23" ht="15.6">
      <c r="A227" s="25"/>
      <c r="B227" s="26"/>
      <c r="C227" s="26"/>
      <c r="D227" s="26"/>
      <c r="E227" s="26"/>
      <c r="F227" s="26"/>
      <c r="G227" s="26"/>
      <c r="H227" s="26"/>
      <c r="I227" s="26"/>
      <c r="J227" s="26"/>
      <c r="K227" s="26"/>
      <c r="L227" s="26"/>
      <c r="M227" s="33"/>
      <c r="N227" s="26"/>
      <c r="O227" s="26"/>
      <c r="P227" s="26"/>
      <c r="Q227" s="59"/>
      <c r="R227" s="120"/>
      <c r="S227" s="60"/>
      <c r="T227" s="120"/>
      <c r="U227" s="89"/>
      <c r="V227" s="196"/>
      <c r="W227" s="6"/>
    </row>
    <row r="228" spans="1:23" ht="15.6">
      <c r="A228" s="121"/>
      <c r="B228" s="30" t="s">
        <v>127</v>
      </c>
      <c r="C228" s="122"/>
      <c r="D228" s="122"/>
      <c r="E228" s="122"/>
      <c r="F228" s="122"/>
      <c r="G228" s="122"/>
      <c r="H228" s="122"/>
      <c r="I228" s="122"/>
      <c r="J228" s="122"/>
      <c r="K228" s="122"/>
      <c r="L228" s="122"/>
      <c r="M228" s="110"/>
      <c r="N228" s="112"/>
      <c r="O228" s="30"/>
      <c r="P228" s="123"/>
      <c r="Q228" s="123"/>
      <c r="R228" s="123"/>
      <c r="S228" s="124"/>
      <c r="T228" s="29"/>
      <c r="U228" s="29"/>
      <c r="V228" s="203"/>
      <c r="W228" s="6"/>
    </row>
    <row r="229" spans="1:23" ht="15.6">
      <c r="A229" s="125"/>
      <c r="B229" s="13" t="s">
        <v>128</v>
      </c>
      <c r="C229" s="126"/>
      <c r="D229" s="126"/>
      <c r="E229" s="126"/>
      <c r="F229" s="126"/>
      <c r="G229" s="126"/>
      <c r="H229" s="126"/>
      <c r="I229" s="126"/>
      <c r="J229" s="126"/>
      <c r="K229" s="126"/>
      <c r="L229" s="126"/>
      <c r="M229" s="127"/>
      <c r="N229" s="13"/>
      <c r="O229" s="13"/>
      <c r="P229" s="126"/>
      <c r="Q229" s="126"/>
      <c r="R229" s="12"/>
      <c r="S229" s="12"/>
      <c r="T229" s="12"/>
      <c r="U229" s="12"/>
      <c r="V229" s="207"/>
      <c r="W229" s="6"/>
    </row>
    <row r="230" spans="1:23" ht="15.6">
      <c r="A230" s="125"/>
      <c r="B230" s="13" t="s">
        <v>246</v>
      </c>
      <c r="C230" s="13"/>
      <c r="D230" s="13"/>
      <c r="E230" s="13"/>
      <c r="F230" s="13"/>
      <c r="G230" s="13"/>
      <c r="H230" s="13"/>
      <c r="I230" s="13"/>
      <c r="J230" s="13"/>
      <c r="K230" s="13"/>
      <c r="L230" s="13"/>
      <c r="M230" s="13"/>
      <c r="N230" s="13"/>
      <c r="O230" s="13"/>
      <c r="P230" s="13"/>
      <c r="Q230" s="13"/>
      <c r="R230" s="13"/>
      <c r="S230" s="13"/>
      <c r="T230" s="13"/>
      <c r="U230" s="13"/>
      <c r="V230" s="207"/>
      <c r="W230" s="6"/>
    </row>
    <row r="231" spans="1:23" ht="15.6">
      <c r="A231" s="125"/>
      <c r="B231" s="13" t="s">
        <v>129</v>
      </c>
      <c r="C231" s="126"/>
      <c r="D231" s="126"/>
      <c r="E231" s="126"/>
      <c r="F231" s="126"/>
      <c r="G231" s="126"/>
      <c r="H231" s="126"/>
      <c r="I231" s="126"/>
      <c r="J231" s="126"/>
      <c r="K231" s="126"/>
      <c r="L231" s="126"/>
      <c r="M231" s="127"/>
      <c r="N231" s="13"/>
      <c r="O231" s="13"/>
      <c r="P231" s="126"/>
      <c r="Q231" s="126"/>
      <c r="R231" s="12"/>
      <c r="S231" s="12"/>
      <c r="T231" s="12"/>
      <c r="U231" s="12"/>
      <c r="V231" s="207"/>
      <c r="W231" s="6"/>
    </row>
    <row r="232" spans="1:23" ht="15.6">
      <c r="A232" s="125"/>
      <c r="B232" s="13"/>
      <c r="C232" s="126"/>
      <c r="D232" s="126"/>
      <c r="E232" s="126"/>
      <c r="F232" s="126"/>
      <c r="G232" s="126"/>
      <c r="H232" s="126"/>
      <c r="I232" s="126"/>
      <c r="J232" s="126"/>
      <c r="K232" s="126"/>
      <c r="L232" s="126"/>
      <c r="M232" s="127"/>
      <c r="N232" s="13"/>
      <c r="O232" s="13"/>
      <c r="P232" s="126"/>
      <c r="Q232" s="126"/>
      <c r="R232" s="12"/>
      <c r="S232" s="12"/>
      <c r="T232" s="12"/>
      <c r="U232" s="12"/>
      <c r="V232" s="207"/>
      <c r="W232" s="6"/>
    </row>
    <row r="233" spans="1:23" ht="15.6">
      <c r="A233" s="125"/>
      <c r="B233" s="13"/>
      <c r="C233" s="126"/>
      <c r="D233" s="126"/>
      <c r="E233" s="126"/>
      <c r="F233" s="126"/>
      <c r="G233" s="126"/>
      <c r="H233" s="126"/>
      <c r="I233" s="126"/>
      <c r="J233" s="126"/>
      <c r="K233" s="126"/>
      <c r="L233" s="126"/>
      <c r="M233" s="127"/>
      <c r="N233" s="13"/>
      <c r="O233" s="13"/>
      <c r="P233" s="126"/>
      <c r="Q233" s="126"/>
      <c r="R233" s="12"/>
      <c r="S233" s="12"/>
      <c r="T233" s="12"/>
      <c r="U233" s="12"/>
      <c r="V233" s="207"/>
      <c r="W233" s="6"/>
    </row>
    <row r="234" spans="1:23" ht="16.2" thickBot="1">
      <c r="A234" s="125"/>
      <c r="B234" s="13" t="str">
        <f>+B161</f>
        <v>PPAF3 INVESTOR REPORT QUARTER ENDING MARCH 2010</v>
      </c>
      <c r="C234" s="126"/>
      <c r="D234" s="126"/>
      <c r="E234" s="126"/>
      <c r="F234" s="126"/>
      <c r="G234" s="126"/>
      <c r="H234" s="126"/>
      <c r="I234" s="126"/>
      <c r="J234" s="126"/>
      <c r="K234" s="126"/>
      <c r="L234" s="126"/>
      <c r="M234" s="127"/>
      <c r="N234" s="13"/>
      <c r="O234" s="13"/>
      <c r="P234" s="126"/>
      <c r="Q234" s="126"/>
      <c r="R234" s="12"/>
      <c r="S234" s="12"/>
      <c r="T234" s="12"/>
      <c r="U234" s="12"/>
      <c r="V234" s="208"/>
      <c r="W234" s="6"/>
    </row>
    <row r="235" spans="1:23">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row>
  </sheetData>
  <phoneticPr fontId="0" type="noConversion"/>
  <hyperlinks>
    <hyperlink ref="I9" r:id="rId1"/>
    <hyperlink ref="K188"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16383" man="1"/>
    <brk id="110" max="16383" man="1"/>
    <brk id="161" max="21" man="1"/>
    <brk id="240" man="1"/>
  </rowBreaks>
  <colBreaks count="1" manualBreakCount="1">
    <brk id="23" max="1048575" man="1"/>
  </col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8"/>
  </sheetPr>
  <dimension ref="A1:Y234"/>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11.81640625" style="1" customWidth="1"/>
    <col min="23" max="16384" width="9.6328125" style="1"/>
  </cols>
  <sheetData>
    <row r="1" spans="1:23" ht="20.399999999999999">
      <c r="A1" s="2" t="s">
        <v>223</v>
      </c>
      <c r="B1" s="3" t="s">
        <v>123</v>
      </c>
      <c r="C1" s="4"/>
      <c r="D1" s="4"/>
      <c r="E1" s="4"/>
      <c r="F1" s="4"/>
      <c r="G1" s="4"/>
      <c r="H1" s="4"/>
      <c r="I1" s="4"/>
      <c r="J1" s="4"/>
      <c r="K1" s="4"/>
      <c r="L1" s="4"/>
      <c r="M1" s="5"/>
      <c r="N1" s="5"/>
      <c r="O1" s="5"/>
      <c r="P1" s="5"/>
      <c r="Q1" s="5"/>
      <c r="R1" s="5"/>
      <c r="S1" s="5"/>
      <c r="T1" s="5"/>
      <c r="U1" s="5"/>
      <c r="V1" s="5"/>
      <c r="W1" s="6"/>
    </row>
    <row r="2" spans="1:23" ht="15.6">
      <c r="A2" s="7"/>
      <c r="B2" s="8"/>
      <c r="C2" s="8"/>
      <c r="D2" s="8"/>
      <c r="E2" s="8"/>
      <c r="F2" s="8"/>
      <c r="G2" s="8"/>
      <c r="H2" s="8"/>
      <c r="I2" s="8"/>
      <c r="J2" s="8"/>
      <c r="K2" s="8"/>
      <c r="L2" s="8"/>
      <c r="M2" s="9"/>
      <c r="N2" s="9"/>
      <c r="O2" s="9"/>
      <c r="P2" s="9"/>
      <c r="Q2" s="9"/>
      <c r="R2" s="9"/>
      <c r="S2" s="9"/>
      <c r="T2" s="9"/>
      <c r="U2" s="9"/>
      <c r="V2" s="9"/>
      <c r="W2" s="6"/>
    </row>
    <row r="3" spans="1:23" ht="15.6">
      <c r="A3" s="10"/>
      <c r="B3" s="141" t="s">
        <v>125</v>
      </c>
      <c r="C3" s="9"/>
      <c r="D3" s="9"/>
      <c r="E3" s="9"/>
      <c r="F3" s="9"/>
      <c r="G3" s="9"/>
      <c r="H3" s="9"/>
      <c r="I3" s="9"/>
      <c r="J3" s="9"/>
      <c r="K3" s="9"/>
      <c r="L3" s="9"/>
      <c r="M3" s="9"/>
      <c r="N3" s="9"/>
      <c r="O3" s="9"/>
      <c r="P3" s="9"/>
      <c r="Q3" s="9"/>
      <c r="R3" s="9"/>
      <c r="S3" s="9"/>
      <c r="T3" s="9"/>
      <c r="U3" s="9"/>
      <c r="V3" s="9"/>
      <c r="W3" s="6"/>
    </row>
    <row r="4" spans="1:23" ht="15.6">
      <c r="A4" s="7"/>
      <c r="B4" s="8"/>
      <c r="C4" s="8"/>
      <c r="D4" s="8"/>
      <c r="E4" s="8"/>
      <c r="F4" s="8"/>
      <c r="G4" s="8"/>
      <c r="H4" s="8"/>
      <c r="I4" s="8"/>
      <c r="J4" s="8"/>
      <c r="K4" s="8"/>
      <c r="L4" s="8"/>
      <c r="M4" s="9"/>
      <c r="N4" s="9"/>
      <c r="O4" s="9"/>
      <c r="P4" s="9"/>
      <c r="Q4" s="9"/>
      <c r="R4" s="9"/>
      <c r="S4" s="9"/>
      <c r="T4" s="9"/>
      <c r="U4" s="9"/>
      <c r="V4" s="9"/>
      <c r="W4" s="6"/>
    </row>
    <row r="5" spans="1:23" ht="16.2">
      <c r="A5" s="7"/>
      <c r="B5" s="192" t="s">
        <v>0</v>
      </c>
      <c r="C5" s="11"/>
      <c r="D5" s="11"/>
      <c r="E5" s="11"/>
      <c r="F5" s="11"/>
      <c r="G5" s="11"/>
      <c r="H5" s="11"/>
      <c r="I5" s="11"/>
      <c r="J5" s="11"/>
      <c r="K5" s="11"/>
      <c r="L5" s="11"/>
      <c r="M5" s="9"/>
      <c r="N5" s="9"/>
      <c r="O5" s="9"/>
      <c r="P5" s="9"/>
      <c r="Q5" s="9"/>
      <c r="R5" s="9"/>
      <c r="S5" s="9"/>
      <c r="T5" s="9"/>
      <c r="U5" s="9"/>
      <c r="V5" s="9"/>
      <c r="W5" s="6"/>
    </row>
    <row r="6" spans="1:23" ht="16.2">
      <c r="A6" s="7"/>
      <c r="B6" s="192" t="s">
        <v>1</v>
      </c>
      <c r="C6" s="11"/>
      <c r="D6" s="11"/>
      <c r="E6" s="11"/>
      <c r="F6" s="11"/>
      <c r="G6" s="11"/>
      <c r="H6" s="11"/>
      <c r="I6" s="11"/>
      <c r="J6" s="11"/>
      <c r="K6" s="11"/>
      <c r="L6" s="11"/>
      <c r="M6" s="9"/>
      <c r="N6" s="9"/>
      <c r="O6" s="9"/>
      <c r="P6" s="9"/>
      <c r="Q6" s="9"/>
      <c r="R6" s="9"/>
      <c r="S6" s="9"/>
      <c r="T6" s="9"/>
      <c r="U6" s="9"/>
      <c r="V6" s="9"/>
      <c r="W6" s="6"/>
    </row>
    <row r="7" spans="1:23" ht="16.2">
      <c r="A7" s="7"/>
      <c r="B7" s="192" t="s">
        <v>2</v>
      </c>
      <c r="C7" s="11"/>
      <c r="D7" s="11"/>
      <c r="E7" s="11"/>
      <c r="F7" s="11"/>
      <c r="G7" s="11"/>
      <c r="H7" s="11"/>
      <c r="I7" s="11"/>
      <c r="J7" s="11"/>
      <c r="K7" s="11"/>
      <c r="L7" s="11"/>
      <c r="M7" s="9"/>
      <c r="N7" s="9"/>
      <c r="O7" s="9"/>
      <c r="P7" s="9"/>
      <c r="Q7" s="9"/>
      <c r="R7" s="9"/>
      <c r="S7" s="9"/>
      <c r="T7" s="9"/>
      <c r="U7" s="9"/>
      <c r="V7" s="9"/>
      <c r="W7" s="6"/>
    </row>
    <row r="8" spans="1:23" ht="16.2">
      <c r="A8" s="7"/>
      <c r="B8" s="12"/>
      <c r="C8" s="11"/>
      <c r="D8" s="11"/>
      <c r="E8" s="11"/>
      <c r="F8" s="11"/>
      <c r="G8" s="11"/>
      <c r="H8" s="11"/>
      <c r="I8" s="11"/>
      <c r="J8" s="11"/>
      <c r="K8" s="11"/>
      <c r="L8" s="11"/>
      <c r="M8" s="9"/>
      <c r="N8" s="9"/>
      <c r="O8" s="9"/>
      <c r="P8" s="9"/>
      <c r="Q8" s="9"/>
      <c r="R8" s="9"/>
      <c r="S8" s="9"/>
      <c r="T8" s="9"/>
      <c r="U8" s="9"/>
      <c r="V8" s="9"/>
      <c r="W8" s="6"/>
    </row>
    <row r="9" spans="1:23" ht="18">
      <c r="A9" s="7"/>
      <c r="B9" s="178" t="s">
        <v>194</v>
      </c>
      <c r="C9" s="11"/>
      <c r="D9" s="11"/>
      <c r="E9" s="11"/>
      <c r="F9" s="11"/>
      <c r="G9" s="11"/>
      <c r="H9" s="11"/>
      <c r="I9" s="179" t="s">
        <v>195</v>
      </c>
      <c r="J9" s="11"/>
      <c r="K9" s="11"/>
      <c r="L9" s="11"/>
      <c r="M9" s="9"/>
      <c r="N9" s="9"/>
      <c r="O9" s="9"/>
      <c r="P9" s="9"/>
      <c r="Q9" s="9"/>
      <c r="R9" s="9"/>
      <c r="S9" s="9"/>
      <c r="T9" s="9"/>
      <c r="U9" s="9"/>
      <c r="V9" s="9"/>
      <c r="W9" s="6"/>
    </row>
    <row r="10" spans="1:23" ht="16.2">
      <c r="A10" s="7"/>
      <c r="B10" s="11"/>
      <c r="C10" s="11"/>
      <c r="D10" s="11"/>
      <c r="E10" s="11"/>
      <c r="F10" s="11"/>
      <c r="G10" s="11"/>
      <c r="H10" s="11"/>
      <c r="I10" s="11"/>
      <c r="J10" s="11"/>
      <c r="K10" s="11"/>
      <c r="L10" s="11"/>
      <c r="M10" s="13"/>
      <c r="N10" s="13"/>
      <c r="O10" s="9"/>
      <c r="P10" s="9"/>
      <c r="Q10" s="9"/>
      <c r="R10" s="9"/>
      <c r="S10" s="9"/>
      <c r="T10" s="9"/>
      <c r="U10" s="9"/>
      <c r="V10" s="9"/>
      <c r="W10" s="6"/>
    </row>
    <row r="11" spans="1:23" ht="15.6">
      <c r="A11" s="7"/>
      <c r="B11" s="13" t="s">
        <v>3</v>
      </c>
      <c r="C11" s="13"/>
      <c r="D11" s="13"/>
      <c r="E11" s="13"/>
      <c r="F11" s="13"/>
      <c r="G11" s="13"/>
      <c r="H11" s="13"/>
      <c r="I11" s="13"/>
      <c r="J11" s="13"/>
      <c r="K11" s="13"/>
      <c r="L11" s="13"/>
      <c r="M11" s="9"/>
      <c r="N11" s="9"/>
      <c r="O11" s="9"/>
      <c r="P11" s="9"/>
      <c r="Q11" s="9"/>
      <c r="R11" s="9"/>
      <c r="S11" s="9"/>
      <c r="T11" s="9"/>
      <c r="U11" s="9"/>
      <c r="V11" s="9"/>
      <c r="W11" s="6"/>
    </row>
    <row r="12" spans="1:23" ht="16.2" thickBot="1">
      <c r="A12" s="7"/>
      <c r="B12" s="13"/>
      <c r="C12" s="13"/>
      <c r="D12" s="13"/>
      <c r="E12" s="13"/>
      <c r="F12" s="13"/>
      <c r="G12" s="13"/>
      <c r="H12" s="13"/>
      <c r="I12" s="13"/>
      <c r="J12" s="13"/>
      <c r="K12" s="13"/>
      <c r="L12" s="13"/>
      <c r="M12" s="9"/>
      <c r="N12" s="9"/>
      <c r="O12" s="9"/>
      <c r="P12" s="9"/>
      <c r="Q12" s="9"/>
      <c r="R12" s="9"/>
      <c r="S12" s="9"/>
      <c r="T12" s="9"/>
      <c r="U12" s="9"/>
      <c r="V12" s="9"/>
      <c r="W12" s="6"/>
    </row>
    <row r="13" spans="1:23" ht="15.6">
      <c r="A13" s="2"/>
      <c r="B13" s="5"/>
      <c r="C13" s="5"/>
      <c r="D13" s="5"/>
      <c r="E13" s="5"/>
      <c r="F13" s="5"/>
      <c r="G13" s="5"/>
      <c r="H13" s="5"/>
      <c r="I13" s="5"/>
      <c r="J13" s="5"/>
      <c r="K13" s="5"/>
      <c r="L13" s="5"/>
      <c r="M13" s="5"/>
      <c r="N13" s="5"/>
      <c r="O13" s="5"/>
      <c r="P13" s="5"/>
      <c r="Q13" s="5"/>
      <c r="R13" s="5"/>
      <c r="S13" s="5"/>
      <c r="T13" s="5"/>
      <c r="U13" s="5"/>
      <c r="V13" s="5"/>
      <c r="W13" s="6"/>
    </row>
    <row r="14" spans="1:23" ht="15.6">
      <c r="A14" s="7"/>
      <c r="B14" s="14" t="s">
        <v>4</v>
      </c>
      <c r="C14" s="14"/>
      <c r="D14" s="14"/>
      <c r="E14" s="14"/>
      <c r="F14" s="14"/>
      <c r="G14" s="14"/>
      <c r="H14" s="14"/>
      <c r="I14" s="14"/>
      <c r="J14" s="14"/>
      <c r="K14" s="14"/>
      <c r="L14" s="14"/>
      <c r="M14" s="15"/>
      <c r="N14" s="15"/>
      <c r="O14" s="15"/>
      <c r="P14" s="15"/>
      <c r="Q14" s="15"/>
      <c r="R14" s="15"/>
      <c r="S14" s="15"/>
      <c r="T14" s="15"/>
      <c r="U14" s="16" t="s">
        <v>126</v>
      </c>
      <c r="V14" s="9"/>
      <c r="W14" s="6"/>
    </row>
    <row r="15" spans="1:23" ht="15.6">
      <c r="A15" s="7"/>
      <c r="B15" s="14" t="s">
        <v>5</v>
      </c>
      <c r="C15" s="14"/>
      <c r="D15" s="14"/>
      <c r="E15" s="14"/>
      <c r="F15" s="14"/>
      <c r="G15" s="14"/>
      <c r="H15" s="14"/>
      <c r="I15" s="14"/>
      <c r="J15" s="14"/>
      <c r="K15" s="14"/>
      <c r="L15" s="14"/>
      <c r="M15" s="17" t="s">
        <v>93</v>
      </c>
      <c r="N15" s="18">
        <v>0.1492</v>
      </c>
      <c r="O15" s="17" t="s">
        <v>99</v>
      </c>
      <c r="P15" s="18">
        <v>5.4399999999999997E-2</v>
      </c>
      <c r="Q15" s="17" t="s">
        <v>102</v>
      </c>
      <c r="R15" s="18">
        <v>0.48899999999999999</v>
      </c>
      <c r="S15" s="17" t="s">
        <v>108</v>
      </c>
      <c r="T15" s="18">
        <v>0.30740000000000001</v>
      </c>
      <c r="U15" s="16"/>
      <c r="V15" s="15"/>
      <c r="W15" s="6"/>
    </row>
    <row r="16" spans="1:23" ht="15.6">
      <c r="A16" s="7"/>
      <c r="B16" s="14" t="s">
        <v>6</v>
      </c>
      <c r="C16" s="14"/>
      <c r="D16" s="14"/>
      <c r="E16" s="14"/>
      <c r="F16" s="14"/>
      <c r="G16" s="14"/>
      <c r="H16" s="14"/>
      <c r="I16" s="14"/>
      <c r="J16" s="14"/>
      <c r="K16" s="14"/>
      <c r="L16" s="14"/>
      <c r="M16" s="17" t="s">
        <v>93</v>
      </c>
      <c r="N16" s="18">
        <f>+N198/S221</f>
        <v>0.11255555555555556</v>
      </c>
      <c r="O16" s="17" t="s">
        <v>99</v>
      </c>
      <c r="P16" s="18">
        <f>+S198/S221</f>
        <v>6.1899999999999997E-2</v>
      </c>
      <c r="Q16" s="17" t="s">
        <v>102</v>
      </c>
      <c r="R16" s="18">
        <f>+N211/S221</f>
        <v>0.46009333333333335</v>
      </c>
      <c r="S16" s="17" t="s">
        <v>108</v>
      </c>
      <c r="T16" s="18">
        <f>+S211/S221</f>
        <v>0.28671777777777779</v>
      </c>
      <c r="U16" s="16"/>
      <c r="V16" s="15"/>
      <c r="W16" s="6"/>
    </row>
    <row r="17" spans="1:23" ht="15.6">
      <c r="A17" s="7"/>
      <c r="B17" s="14" t="s">
        <v>7</v>
      </c>
      <c r="C17" s="14"/>
      <c r="D17" s="14"/>
      <c r="E17" s="14"/>
      <c r="F17" s="14"/>
      <c r="G17" s="14"/>
      <c r="H17" s="14"/>
      <c r="I17" s="14"/>
      <c r="J17" s="14"/>
      <c r="K17" s="14"/>
      <c r="L17" s="14"/>
      <c r="M17" s="15"/>
      <c r="N17" s="15"/>
      <c r="O17" s="15"/>
      <c r="P17" s="15"/>
      <c r="Q17" s="15"/>
      <c r="R17" s="15"/>
      <c r="S17" s="15"/>
      <c r="T17" s="15"/>
      <c r="U17" s="19">
        <v>38491</v>
      </c>
      <c r="V17" s="9"/>
      <c r="W17" s="6"/>
    </row>
    <row r="18" spans="1:23" ht="15.6">
      <c r="A18" s="7"/>
      <c r="B18" s="14" t="s">
        <v>8</v>
      </c>
      <c r="C18" s="14"/>
      <c r="D18" s="14"/>
      <c r="E18" s="14"/>
      <c r="F18" s="14"/>
      <c r="G18" s="14"/>
      <c r="H18" s="14"/>
      <c r="I18" s="14"/>
      <c r="J18" s="14"/>
      <c r="K18" s="14"/>
      <c r="L18" s="14"/>
      <c r="M18" s="15"/>
      <c r="N18" s="15"/>
      <c r="O18" s="15"/>
      <c r="P18" s="15"/>
      <c r="Q18" s="15"/>
      <c r="R18" s="15"/>
      <c r="S18" s="15"/>
      <c r="T18" s="15"/>
      <c r="U18" s="19">
        <v>38735</v>
      </c>
      <c r="V18" s="9"/>
      <c r="W18" s="6"/>
    </row>
    <row r="19" spans="1:23" ht="15.6">
      <c r="A19" s="7"/>
      <c r="B19" s="9"/>
      <c r="C19" s="9"/>
      <c r="D19" s="9"/>
      <c r="E19" s="9"/>
      <c r="F19" s="9"/>
      <c r="G19" s="9"/>
      <c r="H19" s="9"/>
      <c r="I19" s="9"/>
      <c r="J19" s="9"/>
      <c r="K19" s="9"/>
      <c r="L19" s="9"/>
      <c r="M19" s="9"/>
      <c r="N19" s="9"/>
      <c r="O19" s="9"/>
      <c r="P19" s="9"/>
      <c r="Q19" s="9"/>
      <c r="R19" s="9"/>
      <c r="S19" s="9"/>
      <c r="T19" s="9"/>
      <c r="U19" s="20"/>
      <c r="V19" s="9"/>
      <c r="W19" s="6"/>
    </row>
    <row r="20" spans="1:23" ht="15.6">
      <c r="A20" s="7"/>
      <c r="B20" s="21" t="s">
        <v>9</v>
      </c>
      <c r="C20" s="9"/>
      <c r="D20" s="9"/>
      <c r="E20" s="9"/>
      <c r="F20" s="9"/>
      <c r="G20" s="9"/>
      <c r="H20" s="9"/>
      <c r="I20" s="9"/>
      <c r="J20" s="9"/>
      <c r="K20" s="9"/>
      <c r="L20" s="9"/>
      <c r="M20" s="9"/>
      <c r="N20" s="9"/>
      <c r="O20" s="9"/>
      <c r="P20" s="9"/>
      <c r="Q20" s="9"/>
      <c r="R20" s="9"/>
      <c r="S20" s="20"/>
      <c r="T20" s="9"/>
      <c r="U20" s="12"/>
      <c r="V20" s="9"/>
      <c r="W20" s="6"/>
    </row>
    <row r="21" spans="1:23" ht="15.6">
      <c r="A21" s="7"/>
      <c r="B21" s="9"/>
      <c r="C21" s="9"/>
      <c r="D21" s="9"/>
      <c r="E21" s="9"/>
      <c r="F21" s="9"/>
      <c r="G21" s="9"/>
      <c r="H21" s="9"/>
      <c r="I21" s="9"/>
      <c r="J21" s="9"/>
      <c r="K21" s="9"/>
      <c r="L21" s="9"/>
      <c r="M21" s="9"/>
      <c r="N21" s="9"/>
      <c r="O21" s="9"/>
      <c r="P21" s="9"/>
      <c r="Q21" s="9"/>
      <c r="R21" s="9"/>
      <c r="S21" s="9"/>
      <c r="T21" s="9"/>
      <c r="U21" s="22"/>
      <c r="V21" s="9"/>
      <c r="W21" s="6"/>
    </row>
    <row r="22" spans="1:23" ht="15.6">
      <c r="A22" s="7"/>
      <c r="B22" s="9"/>
      <c r="C22" s="142" t="s">
        <v>130</v>
      </c>
      <c r="D22" s="142"/>
      <c r="E22" s="142" t="s">
        <v>131</v>
      </c>
      <c r="F22" s="142"/>
      <c r="G22" s="142" t="s">
        <v>132</v>
      </c>
      <c r="H22" s="142"/>
      <c r="I22" s="142" t="s">
        <v>133</v>
      </c>
      <c r="J22" s="142"/>
      <c r="K22" s="142" t="s">
        <v>134</v>
      </c>
      <c r="L22" s="142"/>
      <c r="M22" s="144" t="s">
        <v>135</v>
      </c>
      <c r="N22" s="144"/>
      <c r="O22" s="144" t="s">
        <v>136</v>
      </c>
      <c r="P22" s="144"/>
      <c r="Q22" s="144" t="s">
        <v>137</v>
      </c>
      <c r="R22" s="23"/>
      <c r="S22" s="24"/>
      <c r="T22" s="12"/>
      <c r="U22" s="12"/>
      <c r="V22" s="9"/>
      <c r="W22" s="6"/>
    </row>
    <row r="23" spans="1:23" ht="15.6">
      <c r="A23" s="25"/>
      <c r="B23" s="26" t="s">
        <v>10</v>
      </c>
      <c r="C23" s="157" t="s">
        <v>96</v>
      </c>
      <c r="D23" s="157"/>
      <c r="E23" s="157" t="s">
        <v>96</v>
      </c>
      <c r="F23" s="157"/>
      <c r="G23" s="157" t="s">
        <v>138</v>
      </c>
      <c r="H23" s="157"/>
      <c r="I23" s="157" t="s">
        <v>138</v>
      </c>
      <c r="J23" s="157"/>
      <c r="K23" s="157" t="s">
        <v>104</v>
      </c>
      <c r="L23" s="143"/>
      <c r="M23" s="28" t="s">
        <v>104</v>
      </c>
      <c r="N23" s="28"/>
      <c r="O23" s="28" t="s">
        <v>109</v>
      </c>
      <c r="P23" s="28"/>
      <c r="Q23" s="28" t="s">
        <v>109</v>
      </c>
      <c r="R23" s="28"/>
      <c r="S23" s="28"/>
      <c r="T23" s="29"/>
      <c r="U23" s="29"/>
      <c r="V23" s="26"/>
      <c r="W23" s="6"/>
    </row>
    <row r="24" spans="1:23" ht="15.6">
      <c r="A24" s="25"/>
      <c r="B24" s="26" t="s">
        <v>11</v>
      </c>
      <c r="C24" s="157" t="s">
        <v>97</v>
      </c>
      <c r="D24" s="157"/>
      <c r="E24" s="157" t="s">
        <v>97</v>
      </c>
      <c r="F24" s="157"/>
      <c r="G24" s="157" t="s">
        <v>139</v>
      </c>
      <c r="H24" s="157"/>
      <c r="I24" s="157" t="s">
        <v>139</v>
      </c>
      <c r="J24" s="157"/>
      <c r="K24" s="157" t="s">
        <v>105</v>
      </c>
      <c r="L24" s="27"/>
      <c r="M24" s="28" t="s">
        <v>105</v>
      </c>
      <c r="N24" s="28"/>
      <c r="O24" s="28" t="s">
        <v>110</v>
      </c>
      <c r="P24" s="28"/>
      <c r="Q24" s="28" t="s">
        <v>110</v>
      </c>
      <c r="R24" s="28"/>
      <c r="S24" s="28"/>
      <c r="T24" s="29"/>
      <c r="U24" s="29"/>
      <c r="V24" s="26"/>
      <c r="W24" s="6"/>
    </row>
    <row r="25" spans="1:23" ht="15.6">
      <c r="A25" s="25"/>
      <c r="B25" s="30" t="s">
        <v>12</v>
      </c>
      <c r="C25" s="110" t="s">
        <v>96</v>
      </c>
      <c r="D25" s="110"/>
      <c r="E25" s="110" t="s">
        <v>96</v>
      </c>
      <c r="F25" s="110"/>
      <c r="G25" s="110" t="s">
        <v>138</v>
      </c>
      <c r="H25" s="110"/>
      <c r="I25" s="110" t="s">
        <v>138</v>
      </c>
      <c r="J25" s="30"/>
      <c r="K25" s="110" t="s">
        <v>104</v>
      </c>
      <c r="L25" s="30"/>
      <c r="M25" s="31" t="s">
        <v>104</v>
      </c>
      <c r="N25" s="28"/>
      <c r="O25" s="31" t="s">
        <v>109</v>
      </c>
      <c r="P25" s="28"/>
      <c r="Q25" s="31" t="s">
        <v>109</v>
      </c>
      <c r="R25" s="31"/>
      <c r="S25" s="31"/>
      <c r="T25" s="32"/>
      <c r="U25" s="29"/>
      <c r="V25" s="26"/>
      <c r="W25" s="6"/>
    </row>
    <row r="26" spans="1:23" ht="15.6">
      <c r="A26" s="25"/>
      <c r="B26" s="30" t="s">
        <v>13</v>
      </c>
      <c r="C26" s="110" t="s">
        <v>97</v>
      </c>
      <c r="D26" s="110"/>
      <c r="E26" s="110" t="s">
        <v>97</v>
      </c>
      <c r="F26" s="110"/>
      <c r="G26" s="110" t="s">
        <v>139</v>
      </c>
      <c r="H26" s="110"/>
      <c r="I26" s="110" t="s">
        <v>139</v>
      </c>
      <c r="J26" s="30"/>
      <c r="K26" s="110" t="s">
        <v>105</v>
      </c>
      <c r="L26" s="30"/>
      <c r="M26" s="31" t="s">
        <v>105</v>
      </c>
      <c r="N26" s="28"/>
      <c r="O26" s="31" t="s">
        <v>110</v>
      </c>
      <c r="P26" s="28"/>
      <c r="Q26" s="31" t="s">
        <v>110</v>
      </c>
      <c r="R26" s="31"/>
      <c r="S26" s="31"/>
      <c r="T26" s="32"/>
      <c r="U26" s="29"/>
      <c r="V26" s="26"/>
      <c r="W26" s="6"/>
    </row>
    <row r="27" spans="1:23" ht="15.6">
      <c r="A27" s="25"/>
      <c r="B27" s="26" t="s">
        <v>14</v>
      </c>
      <c r="C27" s="33" t="s">
        <v>140</v>
      </c>
      <c r="D27" s="26"/>
      <c r="E27" s="33" t="s">
        <v>141</v>
      </c>
      <c r="F27" s="26"/>
      <c r="G27" s="33" t="s">
        <v>142</v>
      </c>
      <c r="H27" s="26"/>
      <c r="I27" s="33" t="s">
        <v>258</v>
      </c>
      <c r="J27" s="26"/>
      <c r="K27" s="33" t="s">
        <v>143</v>
      </c>
      <c r="L27" s="26"/>
      <c r="M27" s="26" t="s">
        <v>144</v>
      </c>
      <c r="N27" s="28"/>
      <c r="O27" s="26" t="s">
        <v>145</v>
      </c>
      <c r="P27" s="28"/>
      <c r="Q27" s="26" t="s">
        <v>146</v>
      </c>
      <c r="R27" s="28"/>
      <c r="S27" s="33"/>
      <c r="T27" s="29"/>
      <c r="U27" s="29"/>
      <c r="V27" s="26"/>
      <c r="W27" s="6"/>
    </row>
    <row r="28" spans="1:23" ht="15.6">
      <c r="A28" s="25"/>
      <c r="B28" s="26" t="s">
        <v>147</v>
      </c>
      <c r="C28" s="168">
        <v>146000</v>
      </c>
      <c r="D28" s="33"/>
      <c r="E28" s="165">
        <v>259500</v>
      </c>
      <c r="F28" s="33"/>
      <c r="G28" s="168">
        <v>16000</v>
      </c>
      <c r="H28" s="33"/>
      <c r="I28" s="165">
        <v>35500</v>
      </c>
      <c r="J28" s="26"/>
      <c r="K28" s="168">
        <v>18000</v>
      </c>
      <c r="L28" s="26"/>
      <c r="M28" s="165">
        <v>33000</v>
      </c>
      <c r="N28" s="35"/>
      <c r="O28" s="34">
        <v>24500</v>
      </c>
      <c r="P28" s="34"/>
      <c r="Q28" s="165">
        <v>30000</v>
      </c>
      <c r="R28" s="34"/>
      <c r="S28" s="34"/>
      <c r="T28" s="36"/>
      <c r="U28" s="34"/>
      <c r="V28" s="37"/>
      <c r="W28" s="6"/>
    </row>
    <row r="29" spans="1:23" ht="15.6">
      <c r="A29" s="25"/>
      <c r="B29" s="26" t="s">
        <v>15</v>
      </c>
      <c r="C29" s="168">
        <v>146000</v>
      </c>
      <c r="D29" s="169"/>
      <c r="E29" s="165">
        <v>259500</v>
      </c>
      <c r="F29" s="169"/>
      <c r="G29" s="168">
        <v>16000</v>
      </c>
      <c r="H29" s="169"/>
      <c r="I29" s="165">
        <v>35500</v>
      </c>
      <c r="J29" s="38"/>
      <c r="K29" s="168">
        <v>18000</v>
      </c>
      <c r="L29" s="38"/>
      <c r="M29" s="165">
        <v>33000</v>
      </c>
      <c r="N29" s="35"/>
      <c r="O29" s="34">
        <v>24500</v>
      </c>
      <c r="P29" s="34"/>
      <c r="Q29" s="165">
        <v>30000</v>
      </c>
      <c r="R29" s="39"/>
      <c r="S29" s="34"/>
      <c r="T29" s="36"/>
      <c r="U29" s="34"/>
      <c r="V29" s="37"/>
      <c r="W29" s="6"/>
    </row>
    <row r="30" spans="1:23" ht="15.6">
      <c r="A30" s="40"/>
      <c r="B30" s="30" t="s">
        <v>148</v>
      </c>
      <c r="C30" s="162">
        <v>146000</v>
      </c>
      <c r="D30" s="170"/>
      <c r="E30" s="171">
        <v>259500</v>
      </c>
      <c r="F30" s="170"/>
      <c r="G30" s="162">
        <v>16000</v>
      </c>
      <c r="H30" s="170"/>
      <c r="I30" s="171">
        <v>35500</v>
      </c>
      <c r="J30" s="159"/>
      <c r="K30" s="162">
        <v>18000</v>
      </c>
      <c r="L30" s="41"/>
      <c r="M30" s="166">
        <v>33000</v>
      </c>
      <c r="N30" s="43"/>
      <c r="O30" s="42">
        <v>24500</v>
      </c>
      <c r="P30" s="42"/>
      <c r="Q30" s="166">
        <v>30000</v>
      </c>
      <c r="R30" s="42"/>
      <c r="S30" s="42"/>
      <c r="T30" s="44"/>
      <c r="U30" s="42"/>
      <c r="V30" s="26"/>
      <c r="W30" s="6"/>
    </row>
    <row r="31" spans="1:23" ht="15.6">
      <c r="A31" s="40"/>
      <c r="B31" s="158" t="s">
        <v>260</v>
      </c>
      <c r="C31" s="172">
        <v>146000</v>
      </c>
      <c r="D31" s="173"/>
      <c r="E31" s="172">
        <v>178000</v>
      </c>
      <c r="F31" s="172"/>
      <c r="G31" s="172">
        <v>16000</v>
      </c>
      <c r="H31" s="172"/>
      <c r="I31" s="172">
        <v>24500</v>
      </c>
      <c r="J31" s="161"/>
      <c r="K31" s="172">
        <v>18000</v>
      </c>
      <c r="L31" s="161"/>
      <c r="M31" s="167">
        <v>22500</v>
      </c>
      <c r="N31" s="164"/>
      <c r="O31" s="167">
        <v>24500</v>
      </c>
      <c r="P31" s="163"/>
      <c r="Q31" s="167">
        <v>20500</v>
      </c>
      <c r="R31" s="42"/>
      <c r="S31" s="42"/>
      <c r="T31" s="44"/>
      <c r="U31" s="34">
        <f>+Q31+O31+M31+K31+I31+G31+E31+C31</f>
        <v>450000</v>
      </c>
      <c r="V31" s="26"/>
      <c r="W31" s="6"/>
    </row>
    <row r="32" spans="1:23" ht="15.6">
      <c r="A32" s="40"/>
      <c r="B32" s="158" t="s">
        <v>261</v>
      </c>
      <c r="C32" s="172">
        <v>146000</v>
      </c>
      <c r="D32" s="173"/>
      <c r="E32" s="172">
        <v>178000</v>
      </c>
      <c r="F32" s="172"/>
      <c r="G32" s="172">
        <v>16000</v>
      </c>
      <c r="H32" s="172"/>
      <c r="I32" s="172">
        <v>24500</v>
      </c>
      <c r="J32" s="161"/>
      <c r="K32" s="172">
        <v>18000</v>
      </c>
      <c r="L32" s="161"/>
      <c r="M32" s="167">
        <v>22500</v>
      </c>
      <c r="N32" s="164"/>
      <c r="O32" s="167">
        <v>24500</v>
      </c>
      <c r="P32" s="163"/>
      <c r="Q32" s="167">
        <v>20500</v>
      </c>
      <c r="R32" s="42"/>
      <c r="S32" s="42"/>
      <c r="T32" s="44"/>
      <c r="U32" s="34">
        <f>+Q32+O32+M32+K32+I32+G32+E32+C32</f>
        <v>450000</v>
      </c>
      <c r="V32" s="26"/>
      <c r="W32" s="6"/>
    </row>
    <row r="33" spans="1:23" ht="15.6">
      <c r="A33" s="40"/>
      <c r="B33" s="30" t="s">
        <v>262</v>
      </c>
      <c r="C33" s="162">
        <v>146000</v>
      </c>
      <c r="D33" s="162"/>
      <c r="E33" s="162">
        <v>178000</v>
      </c>
      <c r="F33" s="162"/>
      <c r="G33" s="162">
        <v>16000</v>
      </c>
      <c r="H33" s="162"/>
      <c r="I33" s="162">
        <v>24500</v>
      </c>
      <c r="J33" s="160"/>
      <c r="K33" s="162">
        <v>18000</v>
      </c>
      <c r="L33" s="160"/>
      <c r="M33" s="162">
        <v>22500</v>
      </c>
      <c r="N33" s="160"/>
      <c r="O33" s="162">
        <v>24500</v>
      </c>
      <c r="P33" s="162"/>
      <c r="Q33" s="162">
        <v>20500</v>
      </c>
      <c r="R33" s="42"/>
      <c r="S33" s="42"/>
      <c r="T33" s="44"/>
      <c r="U33" s="42">
        <f>+Q33+O33+M33+K33+I33+G33+E33+C33</f>
        <v>450000</v>
      </c>
      <c r="V33" s="26"/>
      <c r="W33" s="6"/>
    </row>
    <row r="34" spans="1:23" ht="15.6">
      <c r="A34" s="40"/>
      <c r="B34" s="174" t="s">
        <v>149</v>
      </c>
      <c r="C34" s="175">
        <v>1</v>
      </c>
      <c r="D34" s="175"/>
      <c r="E34" s="175">
        <v>1</v>
      </c>
      <c r="F34" s="175"/>
      <c r="G34" s="175">
        <v>1</v>
      </c>
      <c r="H34" s="175"/>
      <c r="I34" s="175">
        <v>1</v>
      </c>
      <c r="J34" s="175"/>
      <c r="K34" s="175">
        <v>1</v>
      </c>
      <c r="L34" s="175"/>
      <c r="M34" s="175">
        <v>1</v>
      </c>
      <c r="N34" s="175"/>
      <c r="O34" s="175">
        <v>1</v>
      </c>
      <c r="P34" s="175"/>
      <c r="Q34" s="175">
        <v>1</v>
      </c>
      <c r="R34" s="176"/>
      <c r="S34" s="42"/>
      <c r="T34" s="44"/>
      <c r="U34" s="42"/>
      <c r="V34" s="26"/>
      <c r="W34" s="6"/>
    </row>
    <row r="35" spans="1:23" ht="15.6">
      <c r="A35" s="40"/>
      <c r="B35" s="174" t="s">
        <v>150</v>
      </c>
      <c r="C35" s="175">
        <v>1</v>
      </c>
      <c r="D35" s="175"/>
      <c r="E35" s="175">
        <v>1</v>
      </c>
      <c r="F35" s="175"/>
      <c r="G35" s="175">
        <v>1</v>
      </c>
      <c r="H35" s="175"/>
      <c r="I35" s="175">
        <v>1</v>
      </c>
      <c r="J35" s="175"/>
      <c r="K35" s="175">
        <v>1</v>
      </c>
      <c r="L35" s="175"/>
      <c r="M35" s="175">
        <v>1</v>
      </c>
      <c r="N35" s="175"/>
      <c r="O35" s="175">
        <v>1</v>
      </c>
      <c r="P35" s="175"/>
      <c r="Q35" s="175">
        <v>1</v>
      </c>
      <c r="R35" s="176"/>
      <c r="S35" s="42"/>
      <c r="T35" s="44"/>
      <c r="U35" s="42"/>
      <c r="V35" s="26"/>
      <c r="W35" s="6"/>
    </row>
    <row r="36" spans="1:23" ht="15.6">
      <c r="A36" s="25"/>
      <c r="B36" s="26" t="s">
        <v>153</v>
      </c>
      <c r="C36" s="157" t="s">
        <v>157</v>
      </c>
      <c r="D36" s="157"/>
      <c r="E36" s="157" t="s">
        <v>157</v>
      </c>
      <c r="F36" s="157"/>
      <c r="G36" s="157" t="s">
        <v>158</v>
      </c>
      <c r="H36" s="157"/>
      <c r="I36" s="157" t="s">
        <v>158</v>
      </c>
      <c r="J36" s="157"/>
      <c r="K36" s="157" t="s">
        <v>159</v>
      </c>
      <c r="L36" s="184"/>
      <c r="M36" s="157" t="s">
        <v>160</v>
      </c>
      <c r="N36" s="158"/>
      <c r="O36" s="157" t="s">
        <v>161</v>
      </c>
      <c r="P36" s="157"/>
      <c r="Q36" s="157" t="s">
        <v>162</v>
      </c>
      <c r="R36" s="157"/>
      <c r="S36" s="157"/>
      <c r="T36" s="158"/>
      <c r="U36" s="29"/>
      <c r="V36" s="26"/>
      <c r="W36" s="6"/>
    </row>
    <row r="37" spans="1:23" ht="15.6">
      <c r="A37" s="25"/>
      <c r="B37" s="26" t="s">
        <v>151</v>
      </c>
      <c r="C37" s="185">
        <v>4.8000000000000001E-2</v>
      </c>
      <c r="D37" s="185"/>
      <c r="E37" s="185">
        <v>2.4049999999999998E-2</v>
      </c>
      <c r="F37" s="185"/>
      <c r="G37" s="185">
        <v>4.9099999999999998E-2</v>
      </c>
      <c r="H37" s="185"/>
      <c r="I37" s="185">
        <v>2.5149999999999999E-2</v>
      </c>
      <c r="J37" s="185"/>
      <c r="K37" s="185">
        <v>5.1799999999999999E-2</v>
      </c>
      <c r="L37" s="185"/>
      <c r="M37" s="185">
        <v>2.7550000000000002E-2</v>
      </c>
      <c r="N37" s="185"/>
      <c r="O37" s="185">
        <v>5.5300000000000002E-2</v>
      </c>
      <c r="P37" s="185"/>
      <c r="Q37" s="185">
        <v>3.0849999999999999E-2</v>
      </c>
      <c r="R37" s="186"/>
      <c r="S37" s="185"/>
      <c r="T37" s="158"/>
      <c r="U37" s="33"/>
      <c r="V37" s="26"/>
      <c r="W37" s="6"/>
    </row>
    <row r="38" spans="1:23" ht="15.6">
      <c r="A38" s="25"/>
      <c r="B38" s="26" t="s">
        <v>152</v>
      </c>
      <c r="C38" s="185">
        <v>5.0895000000000003E-2</v>
      </c>
      <c r="D38" s="185"/>
      <c r="E38" s="185">
        <v>2.3630000000000002E-2</v>
      </c>
      <c r="F38" s="185"/>
      <c r="G38" s="185">
        <v>5.1995E-2</v>
      </c>
      <c r="H38" s="185"/>
      <c r="I38" s="185">
        <v>2.4729999999999999E-2</v>
      </c>
      <c r="J38" s="185"/>
      <c r="K38" s="185">
        <v>5.4695000000000001E-2</v>
      </c>
      <c r="L38" s="185"/>
      <c r="M38" s="185">
        <v>2.7130000000000001E-2</v>
      </c>
      <c r="N38" s="185"/>
      <c r="O38" s="185">
        <v>5.8194999999999997E-2</v>
      </c>
      <c r="P38" s="185"/>
      <c r="Q38" s="185">
        <v>3.0429999999999999E-2</v>
      </c>
      <c r="R38" s="186"/>
      <c r="S38" s="185"/>
      <c r="T38" s="158"/>
      <c r="U38" s="29"/>
      <c r="V38" s="26"/>
      <c r="W38" s="6"/>
    </row>
    <row r="39" spans="1:23" ht="15.6">
      <c r="A39" s="25"/>
      <c r="B39" s="26" t="s">
        <v>263</v>
      </c>
      <c r="C39" s="157" t="s">
        <v>157</v>
      </c>
      <c r="D39" s="185"/>
      <c r="E39" s="185" t="s">
        <v>198</v>
      </c>
      <c r="F39" s="185"/>
      <c r="G39" s="157" t="s">
        <v>158</v>
      </c>
      <c r="H39" s="185"/>
      <c r="I39" s="185" t="s">
        <v>225</v>
      </c>
      <c r="J39" s="185"/>
      <c r="K39" s="157" t="s">
        <v>159</v>
      </c>
      <c r="L39" s="185"/>
      <c r="M39" s="185" t="s">
        <v>199</v>
      </c>
      <c r="N39" s="185"/>
      <c r="O39" s="157" t="s">
        <v>161</v>
      </c>
      <c r="P39" s="185"/>
      <c r="Q39" s="185" t="s">
        <v>200</v>
      </c>
      <c r="R39" s="186"/>
      <c r="S39" s="185"/>
      <c r="T39" s="158"/>
      <c r="U39" s="29"/>
      <c r="V39" s="26"/>
      <c r="W39" s="6"/>
    </row>
    <row r="40" spans="1:23" ht="15.6">
      <c r="A40" s="25"/>
      <c r="B40" s="26" t="s">
        <v>264</v>
      </c>
      <c r="C40" s="185">
        <f>+C37</f>
        <v>4.8000000000000001E-2</v>
      </c>
      <c r="D40" s="185"/>
      <c r="E40" s="185">
        <v>4.8287999999999998E-2</v>
      </c>
      <c r="F40" s="185"/>
      <c r="G40" s="185">
        <f>+G37</f>
        <v>4.9099999999999998E-2</v>
      </c>
      <c r="H40" s="185"/>
      <c r="I40" s="185">
        <v>4.9466499999999997E-2</v>
      </c>
      <c r="J40" s="185"/>
      <c r="K40" s="185">
        <f>+K37</f>
        <v>5.1799999999999999E-2</v>
      </c>
      <c r="L40" s="184"/>
      <c r="M40" s="185">
        <v>5.20802E-2</v>
      </c>
      <c r="N40" s="184"/>
      <c r="O40" s="185">
        <f>+O37</f>
        <v>5.5300000000000002E-2</v>
      </c>
      <c r="P40" s="185"/>
      <c r="Q40" s="185">
        <v>5.5713199999999997E-2</v>
      </c>
      <c r="R40" s="186"/>
      <c r="S40" s="185"/>
      <c r="T40" s="158"/>
      <c r="U40" s="45">
        <f>SUMPRODUCT(C40:Q40,C31:Q31)/U31</f>
        <v>4.9337707444444434E-2</v>
      </c>
      <c r="V40" s="26"/>
      <c r="W40" s="6"/>
    </row>
    <row r="41" spans="1:23" ht="15.6">
      <c r="A41" s="25"/>
      <c r="B41" s="26" t="s">
        <v>265</v>
      </c>
      <c r="C41" s="185">
        <f>+C38</f>
        <v>5.0895000000000003E-2</v>
      </c>
      <c r="D41" s="185"/>
      <c r="E41" s="185">
        <v>5.1182999999999999E-2</v>
      </c>
      <c r="F41" s="185"/>
      <c r="G41" s="185">
        <f>+G38</f>
        <v>5.1995E-2</v>
      </c>
      <c r="H41" s="185"/>
      <c r="I41" s="185">
        <v>5.2361499999999998E-2</v>
      </c>
      <c r="J41" s="185"/>
      <c r="K41" s="185">
        <f>+K38</f>
        <v>5.4695000000000001E-2</v>
      </c>
      <c r="L41" s="184"/>
      <c r="M41" s="185">
        <v>5.4975200000000002E-2</v>
      </c>
      <c r="N41" s="184"/>
      <c r="O41" s="185">
        <f>+O38</f>
        <v>5.8194999999999997E-2</v>
      </c>
      <c r="P41" s="185"/>
      <c r="Q41" s="185">
        <v>5.8608199999999999E-2</v>
      </c>
      <c r="R41" s="186"/>
      <c r="S41" s="185"/>
      <c r="T41" s="158"/>
      <c r="U41" s="29"/>
      <c r="V41" s="26"/>
      <c r="W41" s="6"/>
    </row>
    <row r="42" spans="1:23" ht="15.6">
      <c r="A42" s="25"/>
      <c r="B42" s="26" t="s">
        <v>17</v>
      </c>
      <c r="C42" s="187">
        <v>39918</v>
      </c>
      <c r="D42" s="187"/>
      <c r="E42" s="187">
        <v>39918</v>
      </c>
      <c r="F42" s="187"/>
      <c r="G42" s="187">
        <v>39918</v>
      </c>
      <c r="H42" s="187"/>
      <c r="I42" s="187">
        <v>39918</v>
      </c>
      <c r="J42" s="187"/>
      <c r="K42" s="187">
        <v>39918</v>
      </c>
      <c r="L42" s="187"/>
      <c r="M42" s="187">
        <v>39918</v>
      </c>
      <c r="N42" s="187"/>
      <c r="O42" s="187">
        <v>39918</v>
      </c>
      <c r="P42" s="187"/>
      <c r="Q42" s="187">
        <v>39918</v>
      </c>
      <c r="R42" s="157"/>
      <c r="S42" s="157"/>
      <c r="T42" s="158"/>
      <c r="U42" s="29"/>
      <c r="V42" s="26"/>
      <c r="W42" s="6"/>
    </row>
    <row r="43" spans="1:23" ht="15.6">
      <c r="A43" s="25"/>
      <c r="B43" s="26" t="s">
        <v>18</v>
      </c>
      <c r="C43" s="46">
        <v>40283</v>
      </c>
      <c r="D43" s="51"/>
      <c r="E43" s="46">
        <v>40283</v>
      </c>
      <c r="F43" s="51"/>
      <c r="G43" s="46">
        <v>40283</v>
      </c>
      <c r="H43" s="51"/>
      <c r="I43" s="46">
        <v>40283</v>
      </c>
      <c r="J43" s="51"/>
      <c r="K43" s="46">
        <v>40283</v>
      </c>
      <c r="L43" s="51"/>
      <c r="M43" s="46">
        <v>40283</v>
      </c>
      <c r="N43" s="51"/>
      <c r="O43" s="46">
        <v>40283</v>
      </c>
      <c r="P43" s="46"/>
      <c r="Q43" s="46">
        <v>40283</v>
      </c>
      <c r="R43" s="33"/>
      <c r="S43" s="33"/>
      <c r="T43" s="29"/>
      <c r="U43" s="29"/>
      <c r="V43" s="26"/>
      <c r="W43" s="6"/>
    </row>
    <row r="44" spans="1:23" ht="15.6">
      <c r="A44" s="25"/>
      <c r="B44" s="26" t="s">
        <v>154</v>
      </c>
      <c r="C44" s="33" t="s">
        <v>163</v>
      </c>
      <c r="D44" s="33"/>
      <c r="E44" s="33" t="s">
        <v>163</v>
      </c>
      <c r="F44" s="33"/>
      <c r="G44" s="33" t="s">
        <v>164</v>
      </c>
      <c r="H44" s="33"/>
      <c r="I44" s="33" t="s">
        <v>164</v>
      </c>
      <c r="J44" s="33"/>
      <c r="K44" s="33" t="s">
        <v>106</v>
      </c>
      <c r="L44" s="33"/>
      <c r="M44" s="33" t="s">
        <v>165</v>
      </c>
      <c r="N44" s="33"/>
      <c r="O44" s="33" t="s">
        <v>166</v>
      </c>
      <c r="P44" s="33"/>
      <c r="Q44" s="33" t="s">
        <v>167</v>
      </c>
      <c r="R44" s="33"/>
      <c r="S44" s="33"/>
      <c r="T44" s="29"/>
      <c r="U44" s="29"/>
      <c r="V44" s="26"/>
      <c r="W44" s="6"/>
    </row>
    <row r="45" spans="1:23" ht="15.6">
      <c r="A45" s="25"/>
      <c r="B45" s="26" t="s">
        <v>266</v>
      </c>
      <c r="C45" s="33" t="s">
        <v>163</v>
      </c>
      <c r="D45" s="26"/>
      <c r="E45" s="33" t="s">
        <v>228</v>
      </c>
      <c r="F45" s="26"/>
      <c r="G45" s="33" t="s">
        <v>164</v>
      </c>
      <c r="H45" s="26"/>
      <c r="I45" s="33" t="s">
        <v>226</v>
      </c>
      <c r="J45" s="26"/>
      <c r="K45" s="33" t="s">
        <v>106</v>
      </c>
      <c r="L45" s="26"/>
      <c r="M45" s="33" t="s">
        <v>227</v>
      </c>
      <c r="N45" s="26"/>
      <c r="O45" s="33" t="s">
        <v>166</v>
      </c>
      <c r="P45" s="33"/>
      <c r="Q45" s="33" t="s">
        <v>229</v>
      </c>
      <c r="R45" s="33"/>
      <c r="S45" s="33"/>
      <c r="T45" s="29"/>
      <c r="U45" s="29"/>
      <c r="V45" s="26"/>
      <c r="W45" s="6"/>
    </row>
    <row r="46" spans="1:23" ht="15.6">
      <c r="A46" s="25"/>
      <c r="B46" s="26"/>
      <c r="C46" s="26"/>
      <c r="D46" s="26"/>
      <c r="E46" s="26"/>
      <c r="F46" s="26"/>
      <c r="G46" s="26"/>
      <c r="H46" s="26"/>
      <c r="I46" s="26"/>
      <c r="J46" s="26"/>
      <c r="K46" s="26"/>
      <c r="L46" s="26"/>
      <c r="M46" s="47"/>
      <c r="N46" s="47"/>
      <c r="O46" s="26"/>
      <c r="P46" s="47"/>
      <c r="Q46" s="47"/>
      <c r="R46" s="47"/>
      <c r="S46" s="47"/>
      <c r="T46" s="47"/>
      <c r="U46" s="47"/>
      <c r="V46" s="26"/>
      <c r="W46" s="6"/>
    </row>
    <row r="47" spans="1:23" ht="15.6">
      <c r="A47" s="25"/>
      <c r="B47" s="26" t="s">
        <v>201</v>
      </c>
      <c r="C47" s="26"/>
      <c r="D47" s="26"/>
      <c r="E47" s="26"/>
      <c r="F47" s="26"/>
      <c r="G47" s="26"/>
      <c r="H47" s="26"/>
      <c r="I47" s="26"/>
      <c r="J47" s="26"/>
      <c r="K47" s="26"/>
      <c r="L47" s="26"/>
      <c r="M47" s="26"/>
      <c r="N47" s="26"/>
      <c r="O47" s="26"/>
      <c r="P47" s="26"/>
      <c r="Q47" s="26"/>
      <c r="R47" s="26"/>
      <c r="S47" s="26"/>
      <c r="T47" s="26"/>
      <c r="U47" s="45">
        <f>SUM(G31:Q31)/(C31+E31)</f>
        <v>0.3888888888888889</v>
      </c>
      <c r="V47" s="26"/>
      <c r="W47" s="6"/>
    </row>
    <row r="48" spans="1:23" ht="15.6">
      <c r="A48" s="25"/>
      <c r="B48" s="26" t="s">
        <v>202</v>
      </c>
      <c r="C48" s="26"/>
      <c r="D48" s="26"/>
      <c r="E48" s="26"/>
      <c r="F48" s="26"/>
      <c r="G48" s="26"/>
      <c r="H48" s="26"/>
      <c r="I48" s="26"/>
      <c r="J48" s="26"/>
      <c r="K48" s="26"/>
      <c r="L48" s="26"/>
      <c r="M48" s="26"/>
      <c r="N48" s="26"/>
      <c r="O48" s="26"/>
      <c r="P48" s="26"/>
      <c r="Q48" s="26"/>
      <c r="R48" s="26"/>
      <c r="S48" s="26"/>
      <c r="T48" s="26"/>
      <c r="U48" s="45">
        <f>SUM(F33:Q33)/(C33+E33)</f>
        <v>0.3888888888888889</v>
      </c>
      <c r="V48" s="26"/>
      <c r="W48" s="6"/>
    </row>
    <row r="49" spans="1:23" ht="15.6">
      <c r="A49" s="25"/>
      <c r="B49" s="26" t="s">
        <v>203</v>
      </c>
      <c r="C49" s="26"/>
      <c r="D49" s="26"/>
      <c r="E49" s="26"/>
      <c r="F49" s="26"/>
      <c r="G49" s="26"/>
      <c r="H49" s="26"/>
      <c r="I49" s="26"/>
      <c r="J49" s="26"/>
      <c r="K49" s="26"/>
      <c r="L49" s="26"/>
      <c r="M49" s="26"/>
      <c r="N49" s="26"/>
      <c r="O49" s="26"/>
      <c r="P49" s="26"/>
      <c r="Q49" s="26"/>
      <c r="R49" s="26"/>
      <c r="S49" s="33" t="s">
        <v>95</v>
      </c>
      <c r="T49" s="33" t="s">
        <v>117</v>
      </c>
      <c r="U49" s="34">
        <v>99000</v>
      </c>
      <c r="V49" s="26"/>
      <c r="W49" s="6"/>
    </row>
    <row r="50" spans="1:23" ht="15.6">
      <c r="A50" s="25"/>
      <c r="B50" s="26"/>
      <c r="C50" s="26"/>
      <c r="D50" s="26"/>
      <c r="E50" s="26"/>
      <c r="F50" s="26"/>
      <c r="G50" s="26"/>
      <c r="H50" s="26"/>
      <c r="I50" s="26"/>
      <c r="J50" s="26"/>
      <c r="K50" s="26"/>
      <c r="L50" s="26"/>
      <c r="M50" s="26"/>
      <c r="N50" s="26"/>
      <c r="O50" s="26"/>
      <c r="P50" s="26"/>
      <c r="Q50" s="26"/>
      <c r="R50" s="26"/>
      <c r="S50" s="26" t="s">
        <v>213</v>
      </c>
      <c r="T50" s="26"/>
      <c r="U50" s="48"/>
      <c r="V50" s="26"/>
      <c r="W50" s="6"/>
    </row>
    <row r="51" spans="1:23" ht="15.6">
      <c r="A51" s="25"/>
      <c r="B51" s="26" t="s">
        <v>19</v>
      </c>
      <c r="C51" s="26"/>
      <c r="D51" s="26"/>
      <c r="E51" s="26"/>
      <c r="F51" s="26"/>
      <c r="G51" s="26"/>
      <c r="H51" s="26"/>
      <c r="I51" s="26"/>
      <c r="J51" s="26"/>
      <c r="K51" s="26"/>
      <c r="L51" s="26"/>
      <c r="M51" s="26"/>
      <c r="N51" s="26"/>
      <c r="O51" s="26"/>
      <c r="P51" s="26"/>
      <c r="Q51" s="26"/>
      <c r="R51" s="26"/>
      <c r="S51" s="33"/>
      <c r="T51" s="33"/>
      <c r="U51" s="33" t="s">
        <v>118</v>
      </c>
      <c r="V51" s="26"/>
      <c r="W51" s="6"/>
    </row>
    <row r="52" spans="1:23" ht="15.6">
      <c r="A52" s="40"/>
      <c r="B52" s="30" t="s">
        <v>20</v>
      </c>
      <c r="C52" s="30"/>
      <c r="D52" s="30"/>
      <c r="E52" s="30"/>
      <c r="F52" s="30"/>
      <c r="G52" s="30"/>
      <c r="H52" s="30"/>
      <c r="I52" s="30"/>
      <c r="J52" s="30"/>
      <c r="K52" s="30"/>
      <c r="L52" s="30"/>
      <c r="M52" s="30"/>
      <c r="N52" s="30"/>
      <c r="O52" s="30"/>
      <c r="P52" s="30"/>
      <c r="Q52" s="30"/>
      <c r="R52" s="30"/>
      <c r="S52" s="49"/>
      <c r="T52" s="49"/>
      <c r="U52" s="50">
        <v>38733</v>
      </c>
      <c r="V52" s="30"/>
      <c r="W52" s="6"/>
    </row>
    <row r="53" spans="1:23" ht="15.6">
      <c r="A53" s="25"/>
      <c r="B53" s="26" t="s">
        <v>155</v>
      </c>
      <c r="C53" s="26"/>
      <c r="D53" s="26"/>
      <c r="E53" s="26"/>
      <c r="F53" s="26"/>
      <c r="G53" s="26"/>
      <c r="H53" s="26"/>
      <c r="I53" s="26"/>
      <c r="J53" s="26"/>
      <c r="K53" s="26"/>
      <c r="L53" s="26"/>
      <c r="M53" s="26"/>
      <c r="N53" s="26"/>
      <c r="O53" s="26"/>
      <c r="P53" s="26"/>
      <c r="Q53" s="29"/>
      <c r="R53" s="26">
        <f>U53-S53+1</f>
        <v>151</v>
      </c>
      <c r="S53" s="52">
        <v>38491</v>
      </c>
      <c r="T53" s="53"/>
      <c r="U53" s="52">
        <v>38641</v>
      </c>
      <c r="V53" s="26"/>
      <c r="W53" s="6"/>
    </row>
    <row r="54" spans="1:23" ht="15.6">
      <c r="A54" s="25"/>
      <c r="B54" s="26" t="s">
        <v>156</v>
      </c>
      <c r="C54" s="26"/>
      <c r="D54" s="26"/>
      <c r="E54" s="26"/>
      <c r="F54" s="26"/>
      <c r="G54" s="26"/>
      <c r="H54" s="26"/>
      <c r="I54" s="26"/>
      <c r="J54" s="26"/>
      <c r="K54" s="26"/>
      <c r="L54" s="26"/>
      <c r="M54" s="26"/>
      <c r="N54" s="26"/>
      <c r="O54" s="26"/>
      <c r="P54" s="26"/>
      <c r="Q54" s="29"/>
      <c r="R54" s="26">
        <f>U54-S54+1</f>
        <v>91</v>
      </c>
      <c r="S54" s="52">
        <v>38642</v>
      </c>
      <c r="T54" s="53"/>
      <c r="U54" s="52">
        <v>38732</v>
      </c>
      <c r="V54" s="26"/>
      <c r="W54" s="6"/>
    </row>
    <row r="55" spans="1:23" ht="15.6">
      <c r="A55" s="25"/>
      <c r="B55" s="26" t="s">
        <v>21</v>
      </c>
      <c r="C55" s="26"/>
      <c r="D55" s="26"/>
      <c r="E55" s="26"/>
      <c r="F55" s="26"/>
      <c r="G55" s="26"/>
      <c r="H55" s="26"/>
      <c r="I55" s="26"/>
      <c r="J55" s="26"/>
      <c r="K55" s="26"/>
      <c r="L55" s="26"/>
      <c r="M55" s="26"/>
      <c r="N55" s="26"/>
      <c r="O55" s="26"/>
      <c r="P55" s="26"/>
      <c r="Q55" s="26"/>
      <c r="R55" s="26"/>
      <c r="S55" s="52"/>
      <c r="T55" s="53"/>
      <c r="U55" s="52" t="s">
        <v>119</v>
      </c>
      <c r="V55" s="26"/>
      <c r="W55" s="6"/>
    </row>
    <row r="56" spans="1:23" ht="15.6">
      <c r="A56" s="25"/>
      <c r="B56" s="26" t="s">
        <v>22</v>
      </c>
      <c r="C56" s="26"/>
      <c r="D56" s="26"/>
      <c r="E56" s="26"/>
      <c r="F56" s="26"/>
      <c r="G56" s="26"/>
      <c r="H56" s="26"/>
      <c r="I56" s="26"/>
      <c r="J56" s="26"/>
      <c r="K56" s="26"/>
      <c r="L56" s="26"/>
      <c r="M56" s="26"/>
      <c r="N56" s="26"/>
      <c r="O56" s="26"/>
      <c r="P56" s="26"/>
      <c r="Q56" s="26"/>
      <c r="R56" s="26"/>
      <c r="S56" s="52"/>
      <c r="T56" s="53"/>
      <c r="U56" s="52">
        <v>38720</v>
      </c>
      <c r="V56" s="26"/>
      <c r="W56" s="6"/>
    </row>
    <row r="57" spans="1:23" ht="15.6">
      <c r="A57" s="25"/>
      <c r="B57" s="26"/>
      <c r="C57" s="26"/>
      <c r="D57" s="26"/>
      <c r="E57" s="26"/>
      <c r="F57" s="26"/>
      <c r="G57" s="26"/>
      <c r="H57" s="26"/>
      <c r="I57" s="26"/>
      <c r="J57" s="26"/>
      <c r="K57" s="26"/>
      <c r="L57" s="26"/>
      <c r="M57" s="26"/>
      <c r="N57" s="26"/>
      <c r="O57" s="26"/>
      <c r="P57" s="26"/>
      <c r="Q57" s="26"/>
      <c r="R57" s="26"/>
      <c r="S57" s="26"/>
      <c r="T57" s="26"/>
      <c r="U57" s="54"/>
      <c r="V57" s="26"/>
      <c r="W57" s="6"/>
    </row>
    <row r="58" spans="1:23" ht="15.6">
      <c r="A58" s="7"/>
      <c r="B58" s="9"/>
      <c r="C58" s="9"/>
      <c r="D58" s="9"/>
      <c r="E58" s="9"/>
      <c r="F58" s="9"/>
      <c r="G58" s="9"/>
      <c r="H58" s="9"/>
      <c r="I58" s="9"/>
      <c r="J58" s="9"/>
      <c r="K58" s="9"/>
      <c r="L58" s="9"/>
      <c r="M58" s="9"/>
      <c r="N58" s="9"/>
      <c r="O58" s="9"/>
      <c r="P58" s="9"/>
      <c r="Q58" s="9"/>
      <c r="R58" s="9"/>
      <c r="S58" s="9"/>
      <c r="T58" s="9"/>
      <c r="U58" s="55"/>
      <c r="V58" s="9"/>
      <c r="W58" s="6"/>
    </row>
    <row r="59" spans="1:23" ht="16.2" thickBot="1">
      <c r="A59" s="130"/>
      <c r="B59" s="131" t="s">
        <v>232</v>
      </c>
      <c r="C59" s="132"/>
      <c r="D59" s="132"/>
      <c r="E59" s="132"/>
      <c r="F59" s="132"/>
      <c r="G59" s="132"/>
      <c r="H59" s="132"/>
      <c r="I59" s="132"/>
      <c r="J59" s="132"/>
      <c r="K59" s="132"/>
      <c r="L59" s="132"/>
      <c r="M59" s="132"/>
      <c r="N59" s="132"/>
      <c r="O59" s="132"/>
      <c r="P59" s="132"/>
      <c r="Q59" s="132"/>
      <c r="R59" s="132"/>
      <c r="S59" s="132"/>
      <c r="T59" s="132"/>
      <c r="U59" s="133"/>
      <c r="V59" s="134"/>
      <c r="W59" s="6"/>
    </row>
    <row r="60" spans="1:23" ht="15.6">
      <c r="A60" s="2"/>
      <c r="B60" s="5"/>
      <c r="C60" s="5"/>
      <c r="D60" s="5"/>
      <c r="E60" s="5"/>
      <c r="F60" s="5"/>
      <c r="G60" s="5"/>
      <c r="H60" s="5"/>
      <c r="I60" s="5"/>
      <c r="J60" s="5"/>
      <c r="K60" s="5"/>
      <c r="L60" s="5"/>
      <c r="M60" s="5"/>
      <c r="N60" s="5"/>
      <c r="O60" s="5"/>
      <c r="P60" s="5"/>
      <c r="Q60" s="5"/>
      <c r="R60" s="5"/>
      <c r="S60" s="5"/>
      <c r="T60" s="5"/>
      <c r="U60" s="56"/>
      <c r="V60" s="5"/>
      <c r="W60" s="6"/>
    </row>
    <row r="61" spans="1:23" ht="15.6">
      <c r="A61" s="7"/>
      <c r="B61" s="57" t="s">
        <v>23</v>
      </c>
      <c r="C61" s="13"/>
      <c r="D61" s="13"/>
      <c r="E61" s="13"/>
      <c r="F61" s="13"/>
      <c r="G61" s="13"/>
      <c r="H61" s="13"/>
      <c r="I61" s="13"/>
      <c r="J61" s="13"/>
      <c r="K61" s="13"/>
      <c r="L61" s="13"/>
      <c r="M61" s="9"/>
      <c r="N61" s="9"/>
      <c r="O61" s="9"/>
      <c r="P61" s="9"/>
      <c r="Q61" s="9"/>
      <c r="R61" s="9"/>
      <c r="S61" s="9"/>
      <c r="T61" s="9"/>
      <c r="U61" s="58"/>
      <c r="V61" s="9"/>
      <c r="W61" s="6"/>
    </row>
    <row r="62" spans="1:23" ht="15.6">
      <c r="A62" s="7"/>
      <c r="B62" s="13"/>
      <c r="C62" s="13"/>
      <c r="D62" s="13"/>
      <c r="E62" s="13"/>
      <c r="F62" s="13"/>
      <c r="G62" s="13"/>
      <c r="H62" s="13"/>
      <c r="I62" s="13"/>
      <c r="J62" s="13"/>
      <c r="K62" s="13"/>
      <c r="L62" s="13"/>
      <c r="M62" s="9"/>
      <c r="N62" s="9"/>
      <c r="O62" s="9"/>
      <c r="P62" s="9"/>
      <c r="Q62" s="9"/>
      <c r="R62" s="9"/>
      <c r="S62" s="9"/>
      <c r="T62" s="9"/>
      <c r="U62" s="58"/>
      <c r="V62" s="9"/>
      <c r="W62" s="6"/>
    </row>
    <row r="63" spans="1:23" s="151" customFormat="1" ht="46.8">
      <c r="A63" s="145"/>
      <c r="B63" s="146"/>
      <c r="C63" s="147"/>
      <c r="D63" s="147"/>
      <c r="E63" s="147"/>
      <c r="F63" s="147"/>
      <c r="G63" s="147"/>
      <c r="H63" s="147"/>
      <c r="I63" s="147"/>
      <c r="J63" s="147"/>
      <c r="K63" s="147" t="s">
        <v>197</v>
      </c>
      <c r="L63" s="147"/>
      <c r="M63" s="147" t="s">
        <v>98</v>
      </c>
      <c r="N63" s="147"/>
      <c r="O63" s="147" t="s">
        <v>107</v>
      </c>
      <c r="P63" s="147"/>
      <c r="Q63" s="147" t="s">
        <v>111</v>
      </c>
      <c r="R63" s="147"/>
      <c r="S63" s="147" t="s">
        <v>113</v>
      </c>
      <c r="T63" s="147"/>
      <c r="U63" s="148" t="s">
        <v>120</v>
      </c>
      <c r="V63" s="149"/>
      <c r="W63" s="150"/>
    </row>
    <row r="64" spans="1:23" ht="15.6">
      <c r="A64" s="25"/>
      <c r="B64" s="26" t="s">
        <v>24</v>
      </c>
      <c r="C64" s="59"/>
      <c r="D64" s="59"/>
      <c r="E64" s="59"/>
      <c r="F64" s="59"/>
      <c r="G64" s="59"/>
      <c r="H64" s="59"/>
      <c r="I64" s="59"/>
      <c r="J64" s="59"/>
      <c r="K64" s="59">
        <f>265+63566+3306</f>
        <v>67137</v>
      </c>
      <c r="L64" s="59"/>
      <c r="M64" s="59">
        <v>58945</v>
      </c>
      <c r="N64" s="59"/>
      <c r="O64" s="59">
        <f>21+4+3891+9+471+453+1</f>
        <v>4850</v>
      </c>
      <c r="P64" s="59"/>
      <c r="Q64" s="59">
        <v>0</v>
      </c>
      <c r="R64" s="59"/>
      <c r="S64" s="59">
        <v>0</v>
      </c>
      <c r="T64" s="59"/>
      <c r="U64" s="60">
        <f>+M64-O64+Q64-S64</f>
        <v>54095</v>
      </c>
      <c r="V64" s="26"/>
      <c r="W64" s="6"/>
    </row>
    <row r="65" spans="1:24" ht="15.6">
      <c r="A65" s="25"/>
      <c r="B65" s="26" t="s">
        <v>25</v>
      </c>
      <c r="C65" s="59"/>
      <c r="D65" s="59"/>
      <c r="E65" s="59"/>
      <c r="F65" s="59"/>
      <c r="G65" s="59"/>
      <c r="H65" s="59"/>
      <c r="I65" s="59"/>
      <c r="J65" s="59"/>
      <c r="K65" s="59"/>
      <c r="L65" s="59"/>
      <c r="M65" s="59"/>
      <c r="N65" s="59"/>
      <c r="O65" s="59"/>
      <c r="P65" s="59"/>
      <c r="Q65" s="59">
        <v>0</v>
      </c>
      <c r="R65" s="59"/>
      <c r="S65" s="59">
        <v>0</v>
      </c>
      <c r="T65" s="59"/>
      <c r="U65" s="60">
        <f>M65-O65</f>
        <v>0</v>
      </c>
      <c r="V65" s="26"/>
      <c r="W65" s="6"/>
    </row>
    <row r="66" spans="1:24" ht="15.6">
      <c r="A66" s="25"/>
      <c r="B66" s="26"/>
      <c r="C66" s="59"/>
      <c r="D66" s="59"/>
      <c r="E66" s="59"/>
      <c r="F66" s="59"/>
      <c r="G66" s="59"/>
      <c r="H66" s="59"/>
      <c r="I66" s="59"/>
      <c r="J66" s="59"/>
      <c r="K66" s="59"/>
      <c r="L66" s="59"/>
      <c r="M66" s="59"/>
      <c r="N66" s="59"/>
      <c r="O66" s="59"/>
      <c r="P66" s="59"/>
      <c r="Q66" s="59"/>
      <c r="R66" s="59"/>
      <c r="S66" s="59"/>
      <c r="T66" s="59"/>
      <c r="U66" s="60"/>
      <c r="V66" s="26"/>
      <c r="W66" s="6"/>
    </row>
    <row r="67" spans="1:24" ht="15.6">
      <c r="A67" s="25"/>
      <c r="B67" s="26" t="s">
        <v>26</v>
      </c>
      <c r="C67" s="59"/>
      <c r="D67" s="59"/>
      <c r="E67" s="59"/>
      <c r="F67" s="59"/>
      <c r="G67" s="59"/>
      <c r="H67" s="59"/>
      <c r="I67" s="59"/>
      <c r="J67" s="59"/>
      <c r="K67" s="59">
        <v>24470</v>
      </c>
      <c r="L67" s="59"/>
      <c r="M67" s="59">
        <v>26517</v>
      </c>
      <c r="N67" s="59"/>
      <c r="O67" s="59">
        <f>9807+20</f>
        <v>9827</v>
      </c>
      <c r="P67" s="59"/>
      <c r="Q67" s="59">
        <v>11254</v>
      </c>
      <c r="R67" s="59"/>
      <c r="S67" s="59">
        <f>SUM(S64:S66)</f>
        <v>0</v>
      </c>
      <c r="T67" s="59"/>
      <c r="U67" s="60">
        <f>+M67-O67+Q67-S67</f>
        <v>27944</v>
      </c>
      <c r="V67" s="26"/>
      <c r="W67" s="6"/>
    </row>
    <row r="68" spans="1:24" ht="15.6">
      <c r="A68" s="25"/>
      <c r="B68" s="26" t="s">
        <v>25</v>
      </c>
      <c r="C68" s="59"/>
      <c r="D68" s="59"/>
      <c r="E68" s="59"/>
      <c r="F68" s="59"/>
      <c r="G68" s="59"/>
      <c r="H68" s="59"/>
      <c r="I68" s="59"/>
      <c r="J68" s="59"/>
      <c r="K68" s="59"/>
      <c r="L68" s="59"/>
      <c r="M68" s="59"/>
      <c r="N68" s="59"/>
      <c r="O68" s="59"/>
      <c r="P68" s="59"/>
      <c r="Q68" s="59">
        <v>0</v>
      </c>
      <c r="R68" s="59"/>
      <c r="S68" s="59">
        <v>0</v>
      </c>
      <c r="T68" s="59"/>
      <c r="U68" s="61"/>
      <c r="V68" s="26"/>
      <c r="W68" s="6"/>
    </row>
    <row r="69" spans="1:24" ht="15.6">
      <c r="A69" s="25"/>
      <c r="B69" s="62"/>
      <c r="C69" s="59"/>
      <c r="D69" s="59"/>
      <c r="E69" s="59"/>
      <c r="F69" s="59"/>
      <c r="G69" s="59"/>
      <c r="H69" s="59"/>
      <c r="I69" s="59"/>
      <c r="J69" s="59"/>
      <c r="K69" s="59"/>
      <c r="L69" s="59"/>
      <c r="M69" s="59"/>
      <c r="N69" s="59"/>
      <c r="O69" s="63"/>
      <c r="P69" s="59"/>
      <c r="Q69" s="59"/>
      <c r="R69" s="59"/>
      <c r="S69" s="59"/>
      <c r="T69" s="59"/>
      <c r="U69" s="61"/>
      <c r="V69" s="26"/>
      <c r="W69" s="6"/>
    </row>
    <row r="70" spans="1:24" ht="15.6">
      <c r="A70" s="25"/>
      <c r="B70" s="26" t="s">
        <v>27</v>
      </c>
      <c r="C70" s="59"/>
      <c r="D70" s="59"/>
      <c r="E70" s="59"/>
      <c r="F70" s="59"/>
      <c r="G70" s="59"/>
      <c r="H70" s="59"/>
      <c r="I70" s="59"/>
      <c r="J70" s="59"/>
      <c r="K70" s="59">
        <v>220072</v>
      </c>
      <c r="L70" s="59"/>
      <c r="M70" s="59">
        <v>195462</v>
      </c>
      <c r="N70" s="59"/>
      <c r="O70" s="59">
        <f>23036+68+364</f>
        <v>23468</v>
      </c>
      <c r="P70" s="59"/>
      <c r="Q70" s="59">
        <f>35153+237</f>
        <v>35390</v>
      </c>
      <c r="R70" s="59"/>
      <c r="S70" s="59">
        <v>0</v>
      </c>
      <c r="T70" s="59"/>
      <c r="U70" s="60">
        <f>+M70-O70+Q70-S70</f>
        <v>207384</v>
      </c>
      <c r="V70" s="26"/>
      <c r="W70" s="6"/>
    </row>
    <row r="71" spans="1:24" ht="15.6">
      <c r="A71" s="25"/>
      <c r="B71" s="26" t="s">
        <v>25</v>
      </c>
      <c r="C71" s="59"/>
      <c r="D71" s="59"/>
      <c r="E71" s="59"/>
      <c r="F71" s="59"/>
      <c r="G71" s="59"/>
      <c r="H71" s="59"/>
      <c r="I71" s="59"/>
      <c r="J71" s="59"/>
      <c r="K71" s="59"/>
      <c r="L71" s="59"/>
      <c r="M71" s="59"/>
      <c r="N71" s="59"/>
      <c r="O71" s="59"/>
      <c r="P71" s="59"/>
      <c r="Q71" s="59">
        <v>0</v>
      </c>
      <c r="R71" s="59"/>
      <c r="S71" s="59">
        <v>0</v>
      </c>
      <c r="T71" s="59"/>
      <c r="U71" s="60">
        <f>M71-O71+Q71-S71</f>
        <v>0</v>
      </c>
      <c r="V71" s="26"/>
      <c r="W71" s="6"/>
    </row>
    <row r="72" spans="1:24" ht="15.6">
      <c r="A72" s="25"/>
      <c r="B72" s="26"/>
      <c r="C72" s="59"/>
      <c r="D72" s="59"/>
      <c r="E72" s="59"/>
      <c r="F72" s="59"/>
      <c r="G72" s="59"/>
      <c r="H72" s="59"/>
      <c r="I72" s="59"/>
      <c r="J72" s="59"/>
      <c r="K72" s="59"/>
      <c r="L72" s="59"/>
      <c r="M72" s="59"/>
      <c r="N72" s="59"/>
      <c r="O72" s="59"/>
      <c r="P72" s="59"/>
      <c r="Q72" s="59"/>
      <c r="R72" s="59"/>
      <c r="S72" s="59"/>
      <c r="T72" s="59"/>
      <c r="U72" s="60"/>
      <c r="V72" s="26"/>
      <c r="W72" s="6"/>
    </row>
    <row r="73" spans="1:24" ht="15.6">
      <c r="A73" s="25"/>
      <c r="B73" s="26" t="s">
        <v>28</v>
      </c>
      <c r="C73" s="59"/>
      <c r="D73" s="59"/>
      <c r="E73" s="59"/>
      <c r="F73" s="59"/>
      <c r="G73" s="59"/>
      <c r="H73" s="59"/>
      <c r="I73" s="59"/>
      <c r="J73" s="59"/>
      <c r="K73" s="59">
        <v>138321</v>
      </c>
      <c r="L73" s="59"/>
      <c r="M73" s="59">
        <v>128587</v>
      </c>
      <c r="N73" s="59"/>
      <c r="O73" s="59">
        <f>19322+1271+209</f>
        <v>20802</v>
      </c>
      <c r="P73" s="59"/>
      <c r="Q73" s="59">
        <v>21498</v>
      </c>
      <c r="R73" s="59"/>
      <c r="S73" s="59">
        <v>0</v>
      </c>
      <c r="T73" s="59"/>
      <c r="U73" s="60">
        <f>+M73-O73+Q73-S73</f>
        <v>129283</v>
      </c>
      <c r="V73" s="26"/>
      <c r="W73" s="6"/>
    </row>
    <row r="74" spans="1:24" ht="15.6">
      <c r="A74" s="25"/>
      <c r="B74" s="26" t="s">
        <v>25</v>
      </c>
      <c r="C74" s="59"/>
      <c r="D74" s="59"/>
      <c r="E74" s="59"/>
      <c r="F74" s="59"/>
      <c r="G74" s="59"/>
      <c r="H74" s="59"/>
      <c r="I74" s="59"/>
      <c r="J74" s="59"/>
      <c r="K74" s="59"/>
      <c r="L74" s="59"/>
      <c r="M74" s="59"/>
      <c r="N74" s="59"/>
      <c r="O74" s="59"/>
      <c r="P74" s="59"/>
      <c r="Q74" s="59">
        <v>0</v>
      </c>
      <c r="R74" s="59"/>
      <c r="S74" s="59">
        <v>0</v>
      </c>
      <c r="T74" s="59"/>
      <c r="U74" s="60"/>
      <c r="V74" s="26"/>
      <c r="W74" s="6"/>
    </row>
    <row r="75" spans="1:24" ht="15.6">
      <c r="A75" s="25"/>
      <c r="B75" s="59"/>
      <c r="C75" s="59"/>
      <c r="D75" s="59"/>
      <c r="E75" s="59"/>
      <c r="F75" s="59"/>
      <c r="G75" s="59"/>
      <c r="H75" s="59"/>
      <c r="I75" s="59"/>
      <c r="J75" s="59"/>
      <c r="K75" s="59"/>
      <c r="L75" s="59"/>
      <c r="M75" s="59"/>
      <c r="N75" s="59"/>
      <c r="O75" s="59"/>
      <c r="P75" s="59"/>
      <c r="Q75" s="59"/>
      <c r="R75" s="59"/>
      <c r="S75" s="59"/>
      <c r="T75" s="59"/>
      <c r="U75" s="60"/>
      <c r="V75" s="26"/>
      <c r="W75" s="6"/>
    </row>
    <row r="76" spans="1:24" ht="15.6">
      <c r="A76" s="25"/>
      <c r="B76" s="26" t="s">
        <v>29</v>
      </c>
      <c r="C76" s="59"/>
      <c r="D76" s="59"/>
      <c r="E76" s="59"/>
      <c r="F76" s="59"/>
      <c r="G76" s="59"/>
      <c r="H76" s="59"/>
      <c r="I76" s="59"/>
      <c r="J76" s="59"/>
      <c r="K76" s="59">
        <f>SUM(K64:K73)</f>
        <v>450000</v>
      </c>
      <c r="L76" s="59"/>
      <c r="M76" s="59">
        <f>SUM(M64:M73)</f>
        <v>409511</v>
      </c>
      <c r="N76" s="59"/>
      <c r="O76" s="59">
        <f>SUM(O64:O74)</f>
        <v>58947</v>
      </c>
      <c r="P76" s="59"/>
      <c r="Q76" s="59">
        <f>SUM(Q64:Q74)</f>
        <v>68142</v>
      </c>
      <c r="R76" s="59"/>
      <c r="S76" s="59">
        <f>SUM(S71:S75)</f>
        <v>0</v>
      </c>
      <c r="T76" s="59"/>
      <c r="U76" s="59">
        <f>SUM(U64:U74)</f>
        <v>418706</v>
      </c>
      <c r="V76" s="26"/>
      <c r="W76" s="6"/>
      <c r="X76" s="182"/>
    </row>
    <row r="77" spans="1:24" ht="15.6">
      <c r="A77" s="25"/>
      <c r="B77" s="26"/>
      <c r="C77" s="59"/>
      <c r="D77" s="59"/>
      <c r="E77" s="59"/>
      <c r="F77" s="59"/>
      <c r="G77" s="59"/>
      <c r="H77" s="59"/>
      <c r="I77" s="59"/>
      <c r="J77" s="59"/>
      <c r="K77" s="59"/>
      <c r="L77" s="59"/>
      <c r="M77" s="59"/>
      <c r="N77" s="59"/>
      <c r="O77" s="59"/>
      <c r="P77" s="59"/>
      <c r="Q77" s="59"/>
      <c r="R77" s="59"/>
      <c r="S77" s="59"/>
      <c r="T77" s="59"/>
      <c r="U77" s="61"/>
      <c r="V77" s="26"/>
      <c r="W77" s="6"/>
    </row>
    <row r="78" spans="1:24" ht="15.6">
      <c r="A78" s="25"/>
      <c r="B78" s="26" t="s">
        <v>214</v>
      </c>
      <c r="C78" s="59"/>
      <c r="D78" s="59"/>
      <c r="E78" s="59"/>
      <c r="F78" s="59"/>
      <c r="G78" s="59"/>
      <c r="H78" s="59"/>
      <c r="I78" s="59"/>
      <c r="J78" s="59"/>
      <c r="K78" s="59">
        <v>0</v>
      </c>
      <c r="L78" s="59"/>
      <c r="M78" s="59">
        <v>-2624</v>
      </c>
      <c r="N78" s="59"/>
      <c r="O78" s="59">
        <v>1512</v>
      </c>
      <c r="P78" s="59"/>
      <c r="Q78" s="59"/>
      <c r="R78" s="59"/>
      <c r="S78" s="59"/>
      <c r="T78" s="59"/>
      <c r="U78" s="60">
        <f>+M78-O78</f>
        <v>-4136</v>
      </c>
      <c r="V78" s="26"/>
      <c r="W78" s="6"/>
    </row>
    <row r="79" spans="1:24" ht="15.6">
      <c r="A79" s="25"/>
      <c r="B79" s="26" t="s">
        <v>30</v>
      </c>
      <c r="C79" s="59"/>
      <c r="D79" s="59"/>
      <c r="E79" s="59"/>
      <c r="F79" s="59"/>
      <c r="G79" s="59"/>
      <c r="H79" s="59"/>
      <c r="I79" s="59"/>
      <c r="J79" s="59"/>
      <c r="K79" s="59">
        <v>0</v>
      </c>
      <c r="L79" s="59"/>
      <c r="M79" s="59">
        <v>43113</v>
      </c>
      <c r="N79" s="59"/>
      <c r="O79" s="59">
        <f>SUM(O76:O78)</f>
        <v>60459</v>
      </c>
      <c r="P79" s="59"/>
      <c r="Q79" s="59">
        <f>-Q76</f>
        <v>-68142</v>
      </c>
      <c r="R79" s="59"/>
      <c r="S79" s="59"/>
      <c r="T79" s="59"/>
      <c r="U79" s="61">
        <f>+M79+O79+Q79</f>
        <v>35430</v>
      </c>
      <c r="V79" s="26"/>
      <c r="W79" s="6"/>
      <c r="X79" s="182"/>
    </row>
    <row r="80" spans="1:24" ht="15.6">
      <c r="A80" s="25"/>
      <c r="B80" s="26" t="s">
        <v>31</v>
      </c>
      <c r="C80" s="59"/>
      <c r="D80" s="59"/>
      <c r="E80" s="59"/>
      <c r="F80" s="59"/>
      <c r="G80" s="59"/>
      <c r="H80" s="59"/>
      <c r="I80" s="59"/>
      <c r="J80" s="59"/>
      <c r="K80" s="59">
        <v>0</v>
      </c>
      <c r="L80" s="59"/>
      <c r="M80" s="59">
        <v>0</v>
      </c>
      <c r="N80" s="59"/>
      <c r="O80" s="59"/>
      <c r="P80" s="59"/>
      <c r="Q80" s="59">
        <v>0</v>
      </c>
      <c r="R80" s="59"/>
      <c r="S80" s="59"/>
      <c r="T80" s="59"/>
      <c r="U80" s="61">
        <f>Q80+M80</f>
        <v>0</v>
      </c>
      <c r="V80" s="26"/>
      <c r="W80" s="6"/>
    </row>
    <row r="81" spans="1:24" ht="15.6">
      <c r="A81" s="25"/>
      <c r="B81" s="26" t="s">
        <v>16</v>
      </c>
      <c r="C81" s="61"/>
      <c r="D81" s="61"/>
      <c r="E81" s="61"/>
      <c r="F81" s="61"/>
      <c r="G81" s="61"/>
      <c r="H81" s="61"/>
      <c r="I81" s="61"/>
      <c r="J81" s="61"/>
      <c r="K81" s="61">
        <f>SUM(K76:K80)</f>
        <v>450000</v>
      </c>
      <c r="L81" s="61"/>
      <c r="M81" s="61">
        <f>SUM(M76:M80)</f>
        <v>450000</v>
      </c>
      <c r="N81" s="59"/>
      <c r="O81" s="59">
        <f>O79-O80</f>
        <v>60459</v>
      </c>
      <c r="P81" s="59"/>
      <c r="Q81" s="59"/>
      <c r="R81" s="59"/>
      <c r="S81" s="59"/>
      <c r="T81" s="59"/>
      <c r="U81" s="61">
        <f>SUM(U76:U80)</f>
        <v>450000</v>
      </c>
      <c r="V81" s="26"/>
      <c r="W81" s="6"/>
    </row>
    <row r="82" spans="1:24" ht="15.6">
      <c r="A82" s="25"/>
      <c r="B82" s="59"/>
      <c r="C82" s="26"/>
      <c r="D82" s="26"/>
      <c r="E82" s="26"/>
      <c r="F82" s="26"/>
      <c r="G82" s="26"/>
      <c r="H82" s="26"/>
      <c r="I82" s="26"/>
      <c r="J82" s="26"/>
      <c r="K82" s="26"/>
      <c r="L82" s="26"/>
      <c r="M82" s="26"/>
      <c r="N82" s="26"/>
      <c r="O82" s="26"/>
      <c r="P82" s="26"/>
      <c r="Q82" s="26"/>
      <c r="R82" s="26"/>
      <c r="S82" s="33"/>
      <c r="T82" s="26"/>
      <c r="U82" s="33"/>
      <c r="V82" s="26"/>
      <c r="W82" s="6"/>
    </row>
    <row r="83" spans="1:24" ht="15.6">
      <c r="A83" s="7"/>
      <c r="B83" s="57" t="s">
        <v>32</v>
      </c>
      <c r="C83" s="14"/>
      <c r="D83" s="14"/>
      <c r="E83" s="14"/>
      <c r="F83" s="14"/>
      <c r="G83" s="14"/>
      <c r="H83" s="14"/>
      <c r="I83" s="14"/>
      <c r="J83" s="14"/>
      <c r="K83" s="14"/>
      <c r="L83" s="14"/>
      <c r="M83" s="14"/>
      <c r="N83" s="14"/>
      <c r="O83" s="14"/>
      <c r="P83" s="14"/>
      <c r="Q83" s="14"/>
      <c r="R83" s="17"/>
      <c r="S83" s="17"/>
      <c r="T83" s="17"/>
      <c r="U83" s="17" t="s">
        <v>121</v>
      </c>
      <c r="V83" s="14"/>
      <c r="W83" s="6"/>
    </row>
    <row r="84" spans="1:24" ht="15.6">
      <c r="A84" s="25"/>
      <c r="B84" s="26" t="s">
        <v>33</v>
      </c>
      <c r="C84" s="26"/>
      <c r="D84" s="26"/>
      <c r="E84" s="26"/>
      <c r="F84" s="26"/>
      <c r="G84" s="26"/>
      <c r="H84" s="26"/>
      <c r="I84" s="26"/>
      <c r="J84" s="26"/>
      <c r="K84" s="26"/>
      <c r="L84" s="26"/>
      <c r="M84" s="26"/>
      <c r="N84" s="26"/>
      <c r="O84" s="59"/>
      <c r="P84" s="26"/>
      <c r="Q84" s="26"/>
      <c r="R84" s="26"/>
      <c r="S84" s="59"/>
      <c r="T84" s="26"/>
      <c r="U84" s="60">
        <v>85160</v>
      </c>
      <c r="V84" s="26"/>
      <c r="W84" s="6"/>
    </row>
    <row r="85" spans="1:24" ht="15.6">
      <c r="A85" s="25"/>
      <c r="B85" s="26" t="s">
        <v>34</v>
      </c>
      <c r="C85" s="47"/>
      <c r="D85" s="47"/>
      <c r="E85" s="47"/>
      <c r="F85" s="47"/>
      <c r="G85" s="47"/>
      <c r="H85" s="47"/>
      <c r="I85" s="47"/>
      <c r="J85" s="47"/>
      <c r="K85" s="47"/>
      <c r="L85" s="47"/>
      <c r="M85" s="51"/>
      <c r="N85" s="26"/>
      <c r="O85" s="26"/>
      <c r="P85" s="26"/>
      <c r="Q85" s="26"/>
      <c r="R85" s="26"/>
      <c r="S85" s="59"/>
      <c r="T85" s="26"/>
      <c r="U85" s="60">
        <f>969+310+105-85</f>
        <v>1299</v>
      </c>
      <c r="V85" s="26"/>
      <c r="W85" s="6"/>
    </row>
    <row r="86" spans="1:24" ht="15.6">
      <c r="A86" s="25"/>
      <c r="B86" s="26" t="s">
        <v>230</v>
      </c>
      <c r="C86" s="26"/>
      <c r="D86" s="26"/>
      <c r="E86" s="26"/>
      <c r="F86" s="26"/>
      <c r="G86" s="26"/>
      <c r="H86" s="26"/>
      <c r="I86" s="26"/>
      <c r="J86" s="26"/>
      <c r="K86" s="26"/>
      <c r="L86" s="26"/>
      <c r="M86" s="26"/>
      <c r="N86" s="26"/>
      <c r="O86" s="26"/>
      <c r="P86" s="26"/>
      <c r="Q86" s="26"/>
      <c r="R86" s="26"/>
      <c r="S86" s="59"/>
      <c r="T86" s="26"/>
      <c r="U86" s="60">
        <v>0</v>
      </c>
      <c r="V86" s="26"/>
      <c r="W86" s="6"/>
      <c r="X86" s="64"/>
    </row>
    <row r="87" spans="1:24" ht="15.6">
      <c r="A87" s="25"/>
      <c r="B87" s="26" t="s">
        <v>231</v>
      </c>
      <c r="C87" s="26"/>
      <c r="D87" s="26"/>
      <c r="E87" s="26"/>
      <c r="F87" s="26"/>
      <c r="G87" s="26"/>
      <c r="H87" s="26"/>
      <c r="I87" s="26"/>
      <c r="J87" s="26"/>
      <c r="K87" s="26"/>
      <c r="L87" s="26"/>
      <c r="M87" s="26"/>
      <c r="N87" s="26"/>
      <c r="O87" s="26"/>
      <c r="P87" s="26"/>
      <c r="Q87" s="26"/>
      <c r="R87" s="26"/>
      <c r="S87" s="59"/>
      <c r="T87" s="26"/>
      <c r="U87" s="60">
        <v>0</v>
      </c>
      <c r="V87" s="26"/>
      <c r="W87" s="6"/>
      <c r="X87" s="64"/>
    </row>
    <row r="88" spans="1:24" ht="15.6">
      <c r="A88" s="25"/>
      <c r="B88" s="26" t="s">
        <v>35</v>
      </c>
      <c r="C88" s="26"/>
      <c r="D88" s="26"/>
      <c r="E88" s="26"/>
      <c r="F88" s="26"/>
      <c r="G88" s="26"/>
      <c r="H88" s="26"/>
      <c r="I88" s="26"/>
      <c r="J88" s="26"/>
      <c r="K88" s="26"/>
      <c r="L88" s="26"/>
      <c r="M88" s="26"/>
      <c r="N88" s="26"/>
      <c r="O88" s="26"/>
      <c r="P88" s="26"/>
      <c r="Q88" s="26"/>
      <c r="R88" s="26"/>
      <c r="S88" s="59"/>
      <c r="T88" s="26"/>
      <c r="U88" s="60">
        <f>SUM(U84:U87)</f>
        <v>86459</v>
      </c>
      <c r="V88" s="26"/>
      <c r="W88" s="6"/>
      <c r="X88" s="64"/>
    </row>
    <row r="89" spans="1:24" ht="15.6">
      <c r="A89" s="25"/>
      <c r="B89" s="26"/>
      <c r="C89" s="26"/>
      <c r="D89" s="26"/>
      <c r="E89" s="26"/>
      <c r="F89" s="26"/>
      <c r="G89" s="26"/>
      <c r="H89" s="26"/>
      <c r="I89" s="26"/>
      <c r="J89" s="26"/>
      <c r="K89" s="26"/>
      <c r="L89" s="26"/>
      <c r="M89" s="26"/>
      <c r="N89" s="26"/>
      <c r="O89" s="26"/>
      <c r="P89" s="26"/>
      <c r="Q89" s="26"/>
      <c r="R89" s="26"/>
      <c r="S89" s="59"/>
      <c r="T89" s="26"/>
      <c r="U89" s="61"/>
      <c r="V89" s="26"/>
      <c r="W89" s="6"/>
    </row>
    <row r="90" spans="1:24" ht="15.6">
      <c r="A90" s="25"/>
      <c r="B90" s="152" t="s">
        <v>36</v>
      </c>
      <c r="C90" s="65"/>
      <c r="D90" s="65"/>
      <c r="E90" s="65"/>
      <c r="F90" s="65"/>
      <c r="G90" s="65"/>
      <c r="H90" s="65"/>
      <c r="I90" s="65"/>
      <c r="J90" s="65"/>
      <c r="K90" s="65"/>
      <c r="L90" s="65"/>
      <c r="M90" s="26"/>
      <c r="N90" s="26"/>
      <c r="O90" s="26"/>
      <c r="P90" s="26"/>
      <c r="Q90" s="26"/>
      <c r="R90" s="26"/>
      <c r="S90" s="59"/>
      <c r="T90" s="26"/>
      <c r="U90" s="60"/>
      <c r="V90" s="26"/>
      <c r="W90" s="6"/>
      <c r="X90" s="64"/>
    </row>
    <row r="91" spans="1:24" ht="15.6">
      <c r="A91" s="25">
        <v>1</v>
      </c>
      <c r="B91" s="26" t="s">
        <v>37</v>
      </c>
      <c r="C91" s="26"/>
      <c r="D91" s="26"/>
      <c r="E91" s="26"/>
      <c r="F91" s="26"/>
      <c r="G91" s="26"/>
      <c r="H91" s="26"/>
      <c r="I91" s="26"/>
      <c r="J91" s="26"/>
      <c r="K91" s="26"/>
      <c r="L91" s="26"/>
      <c r="M91" s="26"/>
      <c r="N91" s="26"/>
      <c r="O91" s="26"/>
      <c r="P91" s="26"/>
      <c r="Q91" s="26"/>
      <c r="R91" s="26"/>
      <c r="S91" s="26"/>
      <c r="T91" s="26"/>
      <c r="U91" s="60">
        <v>-3</v>
      </c>
      <c r="V91" s="26"/>
      <c r="W91" s="6"/>
    </row>
    <row r="92" spans="1:24" ht="15.6">
      <c r="A92" s="25">
        <f>A91+1</f>
        <v>2</v>
      </c>
      <c r="B92" s="26" t="s">
        <v>168</v>
      </c>
      <c r="C92" s="26"/>
      <c r="D92" s="26"/>
      <c r="E92" s="26"/>
      <c r="F92" s="26"/>
      <c r="G92" s="26"/>
      <c r="H92" s="26"/>
      <c r="I92" s="26"/>
      <c r="J92" s="26"/>
      <c r="K92" s="26"/>
      <c r="L92" s="26"/>
      <c r="M92" s="26"/>
      <c r="N92" s="26"/>
      <c r="O92" s="26"/>
      <c r="P92" s="26"/>
      <c r="Q92" s="26"/>
      <c r="R92" s="26"/>
      <c r="S92" s="26"/>
      <c r="T92" s="26"/>
      <c r="U92" s="60">
        <f>-410-138</f>
        <v>-548</v>
      </c>
      <c r="V92" s="26"/>
      <c r="W92" s="6"/>
      <c r="X92" s="64"/>
    </row>
    <row r="93" spans="1:24" ht="15.6">
      <c r="A93" s="25">
        <v>3</v>
      </c>
      <c r="B93" s="26" t="s">
        <v>38</v>
      </c>
      <c r="C93" s="26"/>
      <c r="D93" s="26"/>
      <c r="E93" s="26"/>
      <c r="F93" s="26"/>
      <c r="G93" s="26"/>
      <c r="H93" s="26"/>
      <c r="I93" s="26"/>
      <c r="J93" s="26"/>
      <c r="K93" s="26"/>
      <c r="L93" s="26"/>
      <c r="M93" s="26"/>
      <c r="N93" s="26"/>
      <c r="O93" s="26"/>
      <c r="P93" s="26"/>
      <c r="Q93" s="26"/>
      <c r="R93" s="26"/>
      <c r="S93" s="26"/>
      <c r="T93" s="26"/>
      <c r="U93" s="60">
        <v>-607</v>
      </c>
      <c r="V93" s="26"/>
      <c r="W93" s="6"/>
      <c r="X93" s="64"/>
    </row>
    <row r="94" spans="1:24" ht="15.6">
      <c r="A94" s="177" t="s">
        <v>190</v>
      </c>
      <c r="B94" s="26" t="s">
        <v>169</v>
      </c>
      <c r="C94" s="26"/>
      <c r="D94" s="26"/>
      <c r="E94" s="26"/>
      <c r="F94" s="26"/>
      <c r="G94" s="26"/>
      <c r="H94" s="26"/>
      <c r="I94" s="26"/>
      <c r="J94" s="26"/>
      <c r="K94" s="26"/>
      <c r="L94" s="26"/>
      <c r="M94" s="26"/>
      <c r="N94" s="26"/>
      <c r="O94" s="26"/>
      <c r="P94" s="26"/>
      <c r="Q94" s="26"/>
      <c r="R94" s="26"/>
      <c r="S94" s="26"/>
      <c r="T94" s="26"/>
      <c r="U94" s="60">
        <v>-1747</v>
      </c>
      <c r="V94" s="26"/>
      <c r="W94" s="6"/>
      <c r="X94" s="64"/>
    </row>
    <row r="95" spans="1:24" ht="15.6">
      <c r="A95" s="177" t="s">
        <v>191</v>
      </c>
      <c r="B95" s="26" t="s">
        <v>170</v>
      </c>
      <c r="C95" s="26"/>
      <c r="D95" s="26"/>
      <c r="E95" s="26"/>
      <c r="F95" s="26"/>
      <c r="G95" s="26"/>
      <c r="H95" s="26"/>
      <c r="I95" s="26"/>
      <c r="J95" s="26"/>
      <c r="K95" s="26"/>
      <c r="L95" s="26"/>
      <c r="M95" s="26"/>
      <c r="N95" s="26"/>
      <c r="O95" s="26"/>
      <c r="P95" s="26"/>
      <c r="Q95" s="26"/>
      <c r="R95" s="26"/>
      <c r="S95" s="26"/>
      <c r="T95" s="26"/>
      <c r="U95" s="60">
        <v>-2143</v>
      </c>
      <c r="V95" s="26"/>
      <c r="W95" s="6"/>
    </row>
    <row r="96" spans="1:24" ht="15.6">
      <c r="A96" s="25">
        <v>5</v>
      </c>
      <c r="B96" s="26" t="s">
        <v>171</v>
      </c>
      <c r="C96" s="26"/>
      <c r="D96" s="26"/>
      <c r="E96" s="26"/>
      <c r="F96" s="26"/>
      <c r="G96" s="26"/>
      <c r="H96" s="26"/>
      <c r="I96" s="26"/>
      <c r="J96" s="26"/>
      <c r="K96" s="26"/>
      <c r="L96" s="26"/>
      <c r="M96" s="26"/>
      <c r="N96" s="26"/>
      <c r="O96" s="26"/>
      <c r="P96" s="26"/>
      <c r="Q96" s="26"/>
      <c r="R96" s="26"/>
      <c r="S96" s="26"/>
      <c r="T96" s="26"/>
      <c r="U96" s="60">
        <v>-21</v>
      </c>
      <c r="V96" s="26"/>
      <c r="W96" s="6"/>
    </row>
    <row r="97" spans="1:24" ht="15.6">
      <c r="A97" s="177" t="s">
        <v>174</v>
      </c>
      <c r="B97" s="26" t="s">
        <v>172</v>
      </c>
      <c r="C97" s="26"/>
      <c r="D97" s="26"/>
      <c r="E97" s="26"/>
      <c r="F97" s="26"/>
      <c r="G97" s="26"/>
      <c r="H97" s="26"/>
      <c r="I97" s="26"/>
      <c r="J97" s="26"/>
      <c r="K97" s="26"/>
      <c r="L97" s="26"/>
      <c r="M97" s="26"/>
      <c r="N97" s="26"/>
      <c r="O97" s="26"/>
      <c r="P97" s="26"/>
      <c r="Q97" s="26"/>
      <c r="R97" s="26"/>
      <c r="S97" s="26"/>
      <c r="T97" s="26"/>
      <c r="U97" s="60">
        <v>-195</v>
      </c>
      <c r="V97" s="26"/>
      <c r="W97" s="6"/>
    </row>
    <row r="98" spans="1:24" ht="15.6">
      <c r="A98" s="177" t="s">
        <v>176</v>
      </c>
      <c r="B98" s="26" t="s">
        <v>173</v>
      </c>
      <c r="C98" s="26"/>
      <c r="D98" s="26"/>
      <c r="E98" s="26"/>
      <c r="F98" s="26"/>
      <c r="G98" s="26"/>
      <c r="H98" s="26"/>
      <c r="I98" s="26"/>
      <c r="J98" s="26"/>
      <c r="K98" s="26"/>
      <c r="L98" s="26"/>
      <c r="M98" s="26"/>
      <c r="N98" s="26"/>
      <c r="O98" s="26"/>
      <c r="P98" s="26"/>
      <c r="Q98" s="26"/>
      <c r="R98" s="26"/>
      <c r="S98" s="26"/>
      <c r="T98" s="26"/>
      <c r="U98" s="60">
        <v>-302</v>
      </c>
      <c r="V98" s="26"/>
      <c r="W98" s="6"/>
    </row>
    <row r="99" spans="1:24" ht="15.6">
      <c r="A99" s="177" t="s">
        <v>178</v>
      </c>
      <c r="B99" s="26" t="s">
        <v>175</v>
      </c>
      <c r="C99" s="26"/>
      <c r="D99" s="26"/>
      <c r="E99" s="26"/>
      <c r="F99" s="26"/>
      <c r="G99" s="26"/>
      <c r="H99" s="26"/>
      <c r="I99" s="26"/>
      <c r="J99" s="26"/>
      <c r="K99" s="26"/>
      <c r="L99" s="26"/>
      <c r="M99" s="26"/>
      <c r="N99" s="26"/>
      <c r="O99" s="26"/>
      <c r="P99" s="26"/>
      <c r="Q99" s="26"/>
      <c r="R99" s="26"/>
      <c r="S99" s="26"/>
      <c r="T99" s="26"/>
      <c r="U99" s="60">
        <v>-232</v>
      </c>
      <c r="V99" s="26"/>
      <c r="W99" s="6"/>
    </row>
    <row r="100" spans="1:24" ht="15.6">
      <c r="A100" s="177" t="s">
        <v>180</v>
      </c>
      <c r="B100" s="26" t="s">
        <v>177</v>
      </c>
      <c r="C100" s="26"/>
      <c r="D100" s="26"/>
      <c r="E100" s="26"/>
      <c r="F100" s="26"/>
      <c r="G100" s="26"/>
      <c r="H100" s="26"/>
      <c r="I100" s="26"/>
      <c r="J100" s="26"/>
      <c r="K100" s="26"/>
      <c r="L100" s="26"/>
      <c r="M100" s="26"/>
      <c r="N100" s="26"/>
      <c r="O100" s="26"/>
      <c r="P100" s="26"/>
      <c r="Q100" s="26"/>
      <c r="R100" s="26"/>
      <c r="S100" s="26"/>
      <c r="T100" s="26"/>
      <c r="U100" s="60">
        <v>-292</v>
      </c>
      <c r="V100" s="26"/>
      <c r="W100" s="6"/>
    </row>
    <row r="101" spans="1:24" ht="15.6">
      <c r="A101" s="177" t="s">
        <v>192</v>
      </c>
      <c r="B101" s="26" t="s">
        <v>179</v>
      </c>
      <c r="C101" s="26"/>
      <c r="D101" s="26"/>
      <c r="E101" s="26"/>
      <c r="F101" s="26"/>
      <c r="G101" s="26"/>
      <c r="H101" s="26"/>
      <c r="I101" s="26"/>
      <c r="J101" s="26"/>
      <c r="K101" s="26"/>
      <c r="L101" s="26"/>
      <c r="M101" s="26"/>
      <c r="N101" s="26"/>
      <c r="O101" s="26"/>
      <c r="P101" s="26"/>
      <c r="Q101" s="26"/>
      <c r="R101" s="26"/>
      <c r="S101" s="26"/>
      <c r="T101" s="26"/>
      <c r="U101" s="60">
        <v>-338</v>
      </c>
      <c r="V101" s="26"/>
      <c r="W101" s="6"/>
    </row>
    <row r="102" spans="1:24" ht="15.6">
      <c r="A102" s="177" t="s">
        <v>193</v>
      </c>
      <c r="B102" s="26" t="s">
        <v>181</v>
      </c>
      <c r="C102" s="26"/>
      <c r="D102" s="26"/>
      <c r="E102" s="26"/>
      <c r="F102" s="26"/>
      <c r="G102" s="26"/>
      <c r="H102" s="26"/>
      <c r="I102" s="26"/>
      <c r="J102" s="26"/>
      <c r="K102" s="26"/>
      <c r="L102" s="26"/>
      <c r="M102" s="26"/>
      <c r="N102" s="26"/>
      <c r="O102" s="26"/>
      <c r="P102" s="26"/>
      <c r="Q102" s="26"/>
      <c r="R102" s="26"/>
      <c r="S102" s="26"/>
      <c r="T102" s="26"/>
      <c r="U102" s="60">
        <v>-285</v>
      </c>
      <c r="V102" s="26"/>
      <c r="W102" s="6"/>
    </row>
    <row r="103" spans="1:24" ht="15.6">
      <c r="A103" s="25">
        <v>9</v>
      </c>
      <c r="B103" s="26" t="s">
        <v>182</v>
      </c>
      <c r="C103" s="26"/>
      <c r="D103" s="26"/>
      <c r="E103" s="26"/>
      <c r="F103" s="26"/>
      <c r="G103" s="26"/>
      <c r="H103" s="26"/>
      <c r="I103" s="26"/>
      <c r="J103" s="26"/>
      <c r="K103" s="26"/>
      <c r="L103" s="26"/>
      <c r="M103" s="26"/>
      <c r="N103" s="26"/>
      <c r="O103" s="26"/>
      <c r="P103" s="26"/>
      <c r="Q103" s="26"/>
      <c r="R103" s="26"/>
      <c r="S103" s="26"/>
      <c r="T103" s="26"/>
      <c r="U103" s="60">
        <f>+S219-U32</f>
        <v>-35430</v>
      </c>
      <c r="V103" s="26"/>
      <c r="W103" s="6"/>
      <c r="X103" s="182"/>
    </row>
    <row r="104" spans="1:24" ht="15.6">
      <c r="A104" s="25">
        <v>10</v>
      </c>
      <c r="B104" s="26" t="s">
        <v>234</v>
      </c>
      <c r="C104" s="26"/>
      <c r="D104" s="26"/>
      <c r="E104" s="26"/>
      <c r="F104" s="26"/>
      <c r="G104" s="26"/>
      <c r="H104" s="26"/>
      <c r="I104" s="26"/>
      <c r="J104" s="26"/>
      <c r="K104" s="26"/>
      <c r="L104" s="26"/>
      <c r="M104" s="26"/>
      <c r="N104" s="26"/>
      <c r="O104" s="26"/>
      <c r="P104" s="26"/>
      <c r="Q104" s="26"/>
      <c r="R104" s="26"/>
      <c r="S104" s="26"/>
      <c r="T104" s="26"/>
      <c r="U104" s="60">
        <v>-40500</v>
      </c>
      <c r="V104" s="26"/>
      <c r="W104" s="6"/>
      <c r="X104" s="64"/>
    </row>
    <row r="105" spans="1:24" ht="15.6">
      <c r="A105" s="25">
        <v>11</v>
      </c>
      <c r="B105" s="26" t="s">
        <v>183</v>
      </c>
      <c r="C105" s="26"/>
      <c r="D105" s="26"/>
      <c r="E105" s="26"/>
      <c r="F105" s="26"/>
      <c r="G105" s="26"/>
      <c r="H105" s="26"/>
      <c r="I105" s="26"/>
      <c r="J105" s="26"/>
      <c r="K105" s="26"/>
      <c r="L105" s="26"/>
      <c r="M105" s="26"/>
      <c r="N105" s="26"/>
      <c r="O105" s="26"/>
      <c r="P105" s="26"/>
      <c r="Q105" s="26"/>
      <c r="R105" s="26"/>
      <c r="S105" s="26"/>
      <c r="T105" s="26"/>
      <c r="U105" s="60">
        <v>0</v>
      </c>
      <c r="V105" s="26"/>
      <c r="W105" s="6"/>
      <c r="X105" s="64"/>
    </row>
    <row r="106" spans="1:24" ht="15.6">
      <c r="A106" s="25">
        <v>12</v>
      </c>
      <c r="B106" s="26" t="s">
        <v>184</v>
      </c>
      <c r="C106" s="26"/>
      <c r="D106" s="26"/>
      <c r="E106" s="26"/>
      <c r="F106" s="26"/>
      <c r="G106" s="26"/>
      <c r="H106" s="26"/>
      <c r="I106" s="26"/>
      <c r="J106" s="26"/>
      <c r="K106" s="26"/>
      <c r="L106" s="26"/>
      <c r="M106" s="26"/>
      <c r="N106" s="26"/>
      <c r="O106" s="26"/>
      <c r="P106" s="26"/>
      <c r="Q106" s="26"/>
      <c r="R106" s="26"/>
      <c r="S106" s="26"/>
      <c r="T106" s="26"/>
      <c r="U106" s="60">
        <v>-462</v>
      </c>
      <c r="V106" s="26"/>
      <c r="W106" s="6"/>
      <c r="X106" s="182"/>
    </row>
    <row r="107" spans="1:24" ht="15.6">
      <c r="A107" s="25">
        <v>13</v>
      </c>
      <c r="B107" s="26" t="s">
        <v>40</v>
      </c>
      <c r="C107" s="26"/>
      <c r="D107" s="26"/>
      <c r="E107" s="26"/>
      <c r="F107" s="26"/>
      <c r="G107" s="26"/>
      <c r="H107" s="26"/>
      <c r="I107" s="26"/>
      <c r="J107" s="26"/>
      <c r="K107" s="26"/>
      <c r="L107" s="26"/>
      <c r="M107" s="26"/>
      <c r="N107" s="26"/>
      <c r="O107" s="26"/>
      <c r="P107" s="26"/>
      <c r="Q107" s="26"/>
      <c r="R107" s="26"/>
      <c r="S107" s="26"/>
      <c r="T107" s="26"/>
      <c r="U107" s="60">
        <f>-SUM(U88:U106)</f>
        <v>-3354</v>
      </c>
      <c r="V107" s="26"/>
      <c r="W107" s="6"/>
      <c r="X107" s="182"/>
    </row>
    <row r="108" spans="1:24" ht="15.6">
      <c r="A108" s="25"/>
      <c r="B108" s="29"/>
      <c r="C108" s="26"/>
      <c r="D108" s="26"/>
      <c r="E108" s="26"/>
      <c r="F108" s="26"/>
      <c r="G108" s="26"/>
      <c r="H108" s="26"/>
      <c r="I108" s="26"/>
      <c r="J108" s="26"/>
      <c r="K108" s="26"/>
      <c r="L108" s="26"/>
      <c r="M108" s="26"/>
      <c r="N108" s="26"/>
      <c r="O108" s="26"/>
      <c r="P108" s="26"/>
      <c r="Q108" s="26"/>
      <c r="R108" s="26"/>
      <c r="S108" s="59"/>
      <c r="T108" s="59"/>
      <c r="U108" s="59"/>
      <c r="V108" s="26"/>
      <c r="W108" s="6"/>
    </row>
    <row r="109" spans="1:24" ht="15.6">
      <c r="A109" s="7"/>
      <c r="B109" s="12"/>
      <c r="C109" s="9"/>
      <c r="D109" s="9"/>
      <c r="E109" s="9"/>
      <c r="F109" s="9"/>
      <c r="G109" s="9"/>
      <c r="H109" s="9"/>
      <c r="I109" s="9"/>
      <c r="J109" s="9"/>
      <c r="K109" s="9"/>
      <c r="L109" s="9"/>
      <c r="M109" s="9"/>
      <c r="N109" s="9"/>
      <c r="O109" s="9"/>
      <c r="P109" s="9"/>
      <c r="Q109" s="9"/>
      <c r="R109" s="9"/>
      <c r="S109" s="66"/>
      <c r="T109" s="66"/>
      <c r="U109" s="66"/>
      <c r="V109" s="9"/>
      <c r="W109" s="6"/>
    </row>
    <row r="110" spans="1:24" ht="16.2" thickBot="1">
      <c r="A110" s="130"/>
      <c r="B110" s="131" t="str">
        <f>+B59</f>
        <v>PPAF3 INVESTOR REPORT QUARTER ENDING DECEMBER 2005</v>
      </c>
      <c r="C110" s="132"/>
      <c r="D110" s="132"/>
      <c r="E110" s="132"/>
      <c r="F110" s="132"/>
      <c r="G110" s="132"/>
      <c r="H110" s="132"/>
      <c r="I110" s="132"/>
      <c r="J110" s="132"/>
      <c r="K110" s="132"/>
      <c r="L110" s="132"/>
      <c r="M110" s="132"/>
      <c r="N110" s="132"/>
      <c r="O110" s="132"/>
      <c r="P110" s="132"/>
      <c r="Q110" s="132"/>
      <c r="R110" s="132"/>
      <c r="S110" s="135"/>
      <c r="T110" s="135"/>
      <c r="U110" s="135"/>
      <c r="V110" s="134"/>
      <c r="W110" s="6"/>
    </row>
    <row r="111" spans="1:24" ht="15.6">
      <c r="A111" s="2"/>
      <c r="B111" s="5"/>
      <c r="C111" s="5"/>
      <c r="D111" s="5"/>
      <c r="E111" s="5"/>
      <c r="F111" s="5"/>
      <c r="G111" s="5"/>
      <c r="H111" s="5"/>
      <c r="I111" s="5"/>
      <c r="J111" s="5"/>
      <c r="K111" s="5"/>
      <c r="L111" s="5"/>
      <c r="M111" s="5"/>
      <c r="N111" s="5"/>
      <c r="O111" s="5"/>
      <c r="P111" s="5"/>
      <c r="Q111" s="5"/>
      <c r="R111" s="5"/>
      <c r="S111" s="67"/>
      <c r="T111" s="67"/>
      <c r="U111" s="67"/>
      <c r="V111" s="5"/>
      <c r="W111" s="6"/>
    </row>
    <row r="112" spans="1:24" ht="15.6">
      <c r="A112" s="68"/>
      <c r="B112" s="69" t="s">
        <v>41</v>
      </c>
      <c r="C112" s="70"/>
      <c r="D112" s="70"/>
      <c r="E112" s="70"/>
      <c r="F112" s="70"/>
      <c r="G112" s="70"/>
      <c r="H112" s="70"/>
      <c r="I112" s="70"/>
      <c r="J112" s="70"/>
      <c r="K112" s="70"/>
      <c r="L112" s="70"/>
      <c r="M112" s="70"/>
      <c r="N112" s="70"/>
      <c r="O112" s="70"/>
      <c r="P112" s="70"/>
      <c r="Q112" s="70"/>
      <c r="R112" s="70"/>
      <c r="S112" s="70"/>
      <c r="T112" s="70"/>
      <c r="U112" s="71"/>
      <c r="V112" s="72"/>
      <c r="W112" s="6"/>
    </row>
    <row r="113" spans="1:23" ht="15.6">
      <c r="A113" s="68"/>
      <c r="B113" s="70"/>
      <c r="C113" s="70"/>
      <c r="D113" s="70"/>
      <c r="E113" s="70"/>
      <c r="F113" s="70"/>
      <c r="G113" s="70"/>
      <c r="H113" s="70"/>
      <c r="I113" s="70"/>
      <c r="J113" s="70"/>
      <c r="K113" s="70"/>
      <c r="L113" s="70"/>
      <c r="M113" s="70"/>
      <c r="N113" s="70"/>
      <c r="O113" s="70"/>
      <c r="P113" s="70"/>
      <c r="Q113" s="70"/>
      <c r="R113" s="70"/>
      <c r="S113" s="70"/>
      <c r="T113" s="70"/>
      <c r="U113" s="71"/>
      <c r="V113" s="70"/>
      <c r="W113" s="6"/>
    </row>
    <row r="114" spans="1:23" ht="15.6">
      <c r="A114" s="7"/>
      <c r="B114" s="153" t="s">
        <v>42</v>
      </c>
      <c r="C114" s="13"/>
      <c r="D114" s="13"/>
      <c r="E114" s="13"/>
      <c r="F114" s="13"/>
      <c r="G114" s="13"/>
      <c r="H114" s="13"/>
      <c r="I114" s="13"/>
      <c r="J114" s="13"/>
      <c r="K114" s="13"/>
      <c r="L114" s="13"/>
      <c r="M114" s="9"/>
      <c r="N114" s="9"/>
      <c r="O114" s="9"/>
      <c r="P114" s="9"/>
      <c r="Q114" s="9"/>
      <c r="R114" s="9"/>
      <c r="S114" s="9"/>
      <c r="T114" s="9"/>
      <c r="U114" s="58"/>
      <c r="V114" s="9"/>
      <c r="W114" s="6"/>
    </row>
    <row r="115" spans="1:23" ht="15.6">
      <c r="A115" s="25"/>
      <c r="B115" s="26" t="s">
        <v>43</v>
      </c>
      <c r="C115" s="26"/>
      <c r="D115" s="26"/>
      <c r="E115" s="26"/>
      <c r="F115" s="26"/>
      <c r="G115" s="26"/>
      <c r="H115" s="26"/>
      <c r="I115" s="26"/>
      <c r="J115" s="26"/>
      <c r="K115" s="26"/>
      <c r="L115" s="26"/>
      <c r="M115" s="26"/>
      <c r="N115" s="26"/>
      <c r="O115" s="26"/>
      <c r="P115" s="26"/>
      <c r="Q115" s="26"/>
      <c r="R115" s="26"/>
      <c r="S115" s="26"/>
      <c r="T115" s="26"/>
      <c r="U115" s="60">
        <v>40500</v>
      </c>
      <c r="V115" s="26"/>
      <c r="W115" s="6"/>
    </row>
    <row r="116" spans="1:23" ht="15.6">
      <c r="A116" s="25"/>
      <c r="B116" s="26" t="s">
        <v>208</v>
      </c>
      <c r="C116" s="26"/>
      <c r="D116" s="26"/>
      <c r="E116" s="26"/>
      <c r="F116" s="26"/>
      <c r="G116" s="26"/>
      <c r="H116" s="26"/>
      <c r="I116" s="26"/>
      <c r="J116" s="26"/>
      <c r="K116" s="26"/>
      <c r="L116" s="26"/>
      <c r="M116" s="26"/>
      <c r="N116" s="26"/>
      <c r="O116" s="26"/>
      <c r="P116" s="26"/>
      <c r="Q116" s="26"/>
      <c r="R116" s="26"/>
      <c r="S116" s="26"/>
      <c r="T116" s="26"/>
      <c r="U116" s="60">
        <v>0</v>
      </c>
      <c r="V116" s="26"/>
      <c r="W116" s="6"/>
    </row>
    <row r="117" spans="1:23" ht="15.6">
      <c r="A117" s="25"/>
      <c r="B117" s="26" t="s">
        <v>44</v>
      </c>
      <c r="C117" s="26"/>
      <c r="D117" s="26"/>
      <c r="E117" s="26"/>
      <c r="F117" s="26"/>
      <c r="G117" s="26"/>
      <c r="H117" s="26"/>
      <c r="I117" s="26"/>
      <c r="J117" s="26"/>
      <c r="K117" s="26"/>
      <c r="L117" s="26"/>
      <c r="M117" s="26"/>
      <c r="N117" s="26"/>
      <c r="O117" s="26"/>
      <c r="P117" s="26"/>
      <c r="Q117" s="26"/>
      <c r="R117" s="26"/>
      <c r="S117" s="26"/>
      <c r="T117" s="26"/>
      <c r="U117" s="60">
        <v>0</v>
      </c>
      <c r="V117" s="26"/>
      <c r="W117" s="6"/>
    </row>
    <row r="118" spans="1:23" ht="15.6">
      <c r="A118" s="25"/>
      <c r="B118" s="26" t="s">
        <v>209</v>
      </c>
      <c r="C118" s="26"/>
      <c r="D118" s="26"/>
      <c r="E118" s="26"/>
      <c r="F118" s="26"/>
      <c r="G118" s="26"/>
      <c r="H118" s="26"/>
      <c r="I118" s="26"/>
      <c r="J118" s="26"/>
      <c r="K118" s="26"/>
      <c r="L118" s="26"/>
      <c r="M118" s="26"/>
      <c r="N118" s="26"/>
      <c r="O118" s="26"/>
      <c r="P118" s="26"/>
      <c r="Q118" s="26"/>
      <c r="R118" s="26"/>
      <c r="S118" s="26"/>
      <c r="T118" s="26"/>
      <c r="U118" s="60">
        <v>0</v>
      </c>
      <c r="V118" s="26"/>
      <c r="W118" s="6"/>
    </row>
    <row r="119" spans="1:23" ht="15.6">
      <c r="A119" s="25"/>
      <c r="B119" s="26" t="s">
        <v>210</v>
      </c>
      <c r="C119" s="26"/>
      <c r="D119" s="26"/>
      <c r="E119" s="26"/>
      <c r="F119" s="26"/>
      <c r="G119" s="26"/>
      <c r="H119" s="26"/>
      <c r="I119" s="26"/>
      <c r="J119" s="26"/>
      <c r="K119" s="26"/>
      <c r="L119" s="26"/>
      <c r="M119" s="26"/>
      <c r="N119" s="26"/>
      <c r="O119" s="26"/>
      <c r="P119" s="26"/>
      <c r="Q119" s="26"/>
      <c r="R119" s="26"/>
      <c r="S119" s="26"/>
      <c r="T119" s="26"/>
      <c r="U119" s="60">
        <v>0</v>
      </c>
      <c r="V119" s="26"/>
      <c r="W119" s="6"/>
    </row>
    <row r="120" spans="1:23" ht="15.6">
      <c r="A120" s="25"/>
      <c r="B120" s="26" t="s">
        <v>211</v>
      </c>
      <c r="C120" s="26"/>
      <c r="D120" s="26"/>
      <c r="E120" s="26"/>
      <c r="F120" s="26"/>
      <c r="G120" s="26"/>
      <c r="H120" s="26"/>
      <c r="I120" s="26"/>
      <c r="J120" s="26"/>
      <c r="K120" s="26"/>
      <c r="L120" s="26"/>
      <c r="M120" s="26"/>
      <c r="N120" s="26"/>
      <c r="O120" s="26"/>
      <c r="P120" s="26"/>
      <c r="Q120" s="26"/>
      <c r="R120" s="26"/>
      <c r="S120" s="26"/>
      <c r="T120" s="26"/>
      <c r="U120" s="60">
        <v>0</v>
      </c>
      <c r="V120" s="26"/>
      <c r="W120" s="6"/>
    </row>
    <row r="121" spans="1:23" ht="15.6">
      <c r="A121" s="25"/>
      <c r="B121" s="26" t="s">
        <v>212</v>
      </c>
      <c r="C121" s="26"/>
      <c r="D121" s="26"/>
      <c r="E121" s="26"/>
      <c r="F121" s="26"/>
      <c r="G121" s="26"/>
      <c r="H121" s="26"/>
      <c r="I121" s="26"/>
      <c r="J121" s="26"/>
      <c r="K121" s="26"/>
      <c r="L121" s="26"/>
      <c r="M121" s="26"/>
      <c r="N121" s="26"/>
      <c r="O121" s="26"/>
      <c r="P121" s="26"/>
      <c r="Q121" s="26"/>
      <c r="R121" s="26"/>
      <c r="S121" s="26"/>
      <c r="T121" s="26"/>
      <c r="U121" s="60">
        <v>0</v>
      </c>
      <c r="V121" s="26"/>
      <c r="W121" s="6"/>
    </row>
    <row r="122" spans="1:23" ht="15.6">
      <c r="A122" s="25"/>
      <c r="B122" s="26" t="s">
        <v>45</v>
      </c>
      <c r="C122" s="26"/>
      <c r="D122" s="26"/>
      <c r="E122" s="26"/>
      <c r="F122" s="26"/>
      <c r="G122" s="26"/>
      <c r="H122" s="26"/>
      <c r="I122" s="26"/>
      <c r="J122" s="26"/>
      <c r="K122" s="26"/>
      <c r="L122" s="26"/>
      <c r="M122" s="26"/>
      <c r="N122" s="26"/>
      <c r="O122" s="26"/>
      <c r="P122" s="26"/>
      <c r="Q122" s="26"/>
      <c r="R122" s="26"/>
      <c r="S122" s="26"/>
      <c r="T122" s="26"/>
      <c r="U122" s="60">
        <f>+U115-U116-U117-U118-U119-U120-U121</f>
        <v>40500</v>
      </c>
      <c r="V122" s="26"/>
      <c r="W122" s="6"/>
    </row>
    <row r="123" spans="1:23" ht="15.6">
      <c r="A123" s="25"/>
      <c r="B123" s="26"/>
      <c r="C123" s="26"/>
      <c r="D123" s="26"/>
      <c r="E123" s="26"/>
      <c r="F123" s="26"/>
      <c r="G123" s="26"/>
      <c r="H123" s="26"/>
      <c r="I123" s="26"/>
      <c r="J123" s="26"/>
      <c r="K123" s="26"/>
      <c r="L123" s="26"/>
      <c r="M123" s="26"/>
      <c r="N123" s="26"/>
      <c r="O123" s="26"/>
      <c r="P123" s="26"/>
      <c r="Q123" s="26"/>
      <c r="R123" s="26"/>
      <c r="S123" s="26"/>
      <c r="T123" s="26"/>
      <c r="U123" s="73"/>
      <c r="V123" s="26"/>
      <c r="W123" s="6"/>
    </row>
    <row r="124" spans="1:23" ht="15.6">
      <c r="A124" s="7"/>
      <c r="B124" s="153" t="s">
        <v>46</v>
      </c>
      <c r="C124" s="13"/>
      <c r="D124" s="13"/>
      <c r="E124" s="13"/>
      <c r="F124" s="13"/>
      <c r="G124" s="13"/>
      <c r="H124" s="13"/>
      <c r="I124" s="13"/>
      <c r="J124" s="13"/>
      <c r="K124" s="13"/>
      <c r="L124" s="13"/>
      <c r="M124" s="9"/>
      <c r="N124" s="9"/>
      <c r="O124" s="9"/>
      <c r="P124" s="188"/>
      <c r="Q124" s="9"/>
      <c r="R124" s="9"/>
      <c r="S124" s="9"/>
      <c r="T124" s="9"/>
      <c r="U124" s="75"/>
      <c r="V124" s="9"/>
      <c r="W124" s="6"/>
    </row>
    <row r="125" spans="1:23" ht="15.6">
      <c r="A125" s="7"/>
      <c r="B125" s="13"/>
      <c r="C125" s="17" t="s">
        <v>185</v>
      </c>
      <c r="D125" s="17"/>
      <c r="E125" s="17" t="s">
        <v>99</v>
      </c>
      <c r="F125" s="17"/>
      <c r="G125" s="17" t="s">
        <v>102</v>
      </c>
      <c r="H125" s="17"/>
      <c r="I125" s="17" t="s">
        <v>108</v>
      </c>
      <c r="J125" s="17"/>
      <c r="K125" s="17"/>
      <c r="L125" s="17"/>
      <c r="M125" s="17"/>
      <c r="N125" s="17"/>
      <c r="O125" s="17"/>
      <c r="P125" s="188"/>
      <c r="Q125" s="188"/>
      <c r="R125" s="9"/>
      <c r="S125" s="9"/>
      <c r="T125" s="9"/>
      <c r="U125" s="75"/>
      <c r="V125" s="9"/>
      <c r="W125" s="6"/>
    </row>
    <row r="126" spans="1:23" ht="15.6">
      <c r="A126" s="25"/>
      <c r="B126" s="26" t="s">
        <v>122</v>
      </c>
      <c r="C126" s="59">
        <f>+N199-'Sept 05'!N199</f>
        <v>1355</v>
      </c>
      <c r="D126" s="26"/>
      <c r="E126" s="59">
        <f>+S199-'Sept 05'!S199</f>
        <v>1</v>
      </c>
      <c r="F126" s="26"/>
      <c r="G126" s="59">
        <f>+N212-'Sept 05'!N212</f>
        <v>156</v>
      </c>
      <c r="H126" s="26"/>
      <c r="I126" s="59">
        <f>+S212-'Sept 05'!S212</f>
        <v>0</v>
      </c>
      <c r="J126" s="26"/>
      <c r="K126" s="26"/>
      <c r="L126" s="26"/>
      <c r="M126" s="26"/>
      <c r="N126" s="26"/>
      <c r="O126" s="26"/>
      <c r="P126" s="189"/>
      <c r="Q126" s="189"/>
      <c r="R126" s="26"/>
      <c r="S126" s="26"/>
      <c r="T126" s="26"/>
      <c r="U126" s="60">
        <f>SUM(C126:I126)</f>
        <v>1512</v>
      </c>
      <c r="V126" s="26"/>
      <c r="W126" s="6"/>
    </row>
    <row r="127" spans="1:23" ht="15.6">
      <c r="A127" s="25"/>
      <c r="B127" s="26" t="s">
        <v>47</v>
      </c>
      <c r="C127" s="26">
        <f>3+9+471-1+2</f>
        <v>484</v>
      </c>
      <c r="D127" s="26"/>
      <c r="E127" s="26">
        <v>20</v>
      </c>
      <c r="F127" s="26"/>
      <c r="G127" s="26">
        <f>68+364</f>
        <v>432</v>
      </c>
      <c r="H127" s="26"/>
      <c r="I127" s="59">
        <f>1271+210</f>
        <v>1481</v>
      </c>
      <c r="J127" s="26"/>
      <c r="K127" s="26"/>
      <c r="L127" s="26"/>
      <c r="M127" s="26"/>
      <c r="N127" s="26"/>
      <c r="O127" s="26"/>
      <c r="P127" s="189"/>
      <c r="Q127" s="189"/>
      <c r="R127" s="26"/>
      <c r="S127" s="26"/>
      <c r="T127" s="26"/>
      <c r="U127" s="60">
        <f>SUM(C127:I127)</f>
        <v>2417</v>
      </c>
      <c r="V127" s="26"/>
      <c r="W127" s="6"/>
    </row>
    <row r="128" spans="1:23" ht="15.6">
      <c r="A128" s="25"/>
      <c r="B128" s="26" t="s">
        <v>48</v>
      </c>
      <c r="C128" s="26"/>
      <c r="D128" s="26"/>
      <c r="E128" s="26"/>
      <c r="F128" s="26"/>
      <c r="G128" s="26"/>
      <c r="H128" s="26"/>
      <c r="I128" s="26"/>
      <c r="J128" s="26"/>
      <c r="K128" s="26"/>
      <c r="L128" s="26"/>
      <c r="M128" s="26"/>
      <c r="N128" s="26"/>
      <c r="O128" s="26"/>
      <c r="P128" s="26"/>
      <c r="Q128" s="26"/>
      <c r="R128" s="26"/>
      <c r="S128" s="26"/>
      <c r="T128" s="26"/>
      <c r="U128" s="60">
        <f>SUM(U126:U127)</f>
        <v>3929</v>
      </c>
      <c r="V128" s="26"/>
      <c r="W128" s="6"/>
    </row>
    <row r="129" spans="1:25" ht="15.6">
      <c r="A129" s="7"/>
      <c r="B129" s="153" t="s">
        <v>49</v>
      </c>
      <c r="C129" s="13"/>
      <c r="D129" s="13"/>
      <c r="E129" s="13"/>
      <c r="F129" s="13"/>
      <c r="G129" s="13"/>
      <c r="H129" s="13"/>
      <c r="I129" s="13"/>
      <c r="J129" s="13"/>
      <c r="K129" s="13"/>
      <c r="L129" s="13"/>
      <c r="M129" s="9"/>
      <c r="N129" s="9"/>
      <c r="O129" s="9"/>
      <c r="P129" s="9"/>
      <c r="Q129" s="9"/>
      <c r="R129" s="9"/>
      <c r="S129" s="9"/>
      <c r="T129" s="9"/>
      <c r="U129" s="58"/>
      <c r="V129" s="9"/>
      <c r="W129" s="6"/>
    </row>
    <row r="130" spans="1:25" ht="15.6">
      <c r="A130" s="25"/>
      <c r="B130" s="26" t="s">
        <v>50</v>
      </c>
      <c r="C130" s="77"/>
      <c r="D130" s="77"/>
      <c r="E130" s="77"/>
      <c r="F130" s="77"/>
      <c r="G130" s="77"/>
      <c r="H130" s="77"/>
      <c r="I130" s="77"/>
      <c r="J130" s="77"/>
      <c r="K130" s="77"/>
      <c r="L130" s="77"/>
      <c r="M130" s="26"/>
      <c r="N130" s="26"/>
      <c r="O130" s="26"/>
      <c r="P130" s="26"/>
      <c r="Q130" s="26"/>
      <c r="R130" s="26"/>
      <c r="S130" s="26"/>
      <c r="T130" s="26"/>
      <c r="U130" s="60">
        <f>U76+U78</f>
        <v>414570</v>
      </c>
      <c r="V130" s="26"/>
      <c r="W130" s="6"/>
      <c r="X130" s="182"/>
    </row>
    <row r="131" spans="1:25" ht="15.6">
      <c r="A131" s="25"/>
      <c r="B131" s="26" t="s">
        <v>51</v>
      </c>
      <c r="C131" s="77"/>
      <c r="D131" s="77"/>
      <c r="E131" s="77"/>
      <c r="F131" s="77"/>
      <c r="G131" s="77"/>
      <c r="H131" s="77"/>
      <c r="I131" s="77"/>
      <c r="J131" s="77"/>
      <c r="K131" s="77"/>
      <c r="L131" s="77"/>
      <c r="M131" s="26"/>
      <c r="N131" s="26"/>
      <c r="O131" s="26"/>
      <c r="P131" s="26"/>
      <c r="Q131" s="26"/>
      <c r="R131" s="26"/>
      <c r="S131" s="26"/>
      <c r="T131" s="26"/>
      <c r="U131" s="60">
        <f>U79</f>
        <v>35430</v>
      </c>
      <c r="V131" s="26"/>
      <c r="W131" s="6"/>
      <c r="Y131" s="182"/>
    </row>
    <row r="132" spans="1:25" ht="15.6">
      <c r="A132" s="25"/>
      <c r="B132" s="26" t="s">
        <v>52</v>
      </c>
      <c r="C132" s="77"/>
      <c r="D132" s="77"/>
      <c r="E132" s="77"/>
      <c r="F132" s="77"/>
      <c r="G132" s="77"/>
      <c r="H132" s="77"/>
      <c r="I132" s="77"/>
      <c r="J132" s="77"/>
      <c r="K132" s="77"/>
      <c r="L132" s="77"/>
      <c r="M132" s="26"/>
      <c r="N132" s="26"/>
      <c r="O132" s="26"/>
      <c r="P132" s="26"/>
      <c r="Q132" s="26"/>
      <c r="R132" s="26"/>
      <c r="S132" s="26"/>
      <c r="T132" s="26"/>
      <c r="U132" s="60">
        <f>+U130+U131</f>
        <v>450000</v>
      </c>
      <c r="V132" s="26"/>
      <c r="W132" s="6"/>
    </row>
    <row r="133" spans="1:25" ht="15.6">
      <c r="A133" s="25"/>
      <c r="B133" s="26" t="s">
        <v>53</v>
      </c>
      <c r="C133" s="77"/>
      <c r="D133" s="77"/>
      <c r="E133" s="77"/>
      <c r="F133" s="77"/>
      <c r="G133" s="77"/>
      <c r="H133" s="77"/>
      <c r="I133" s="77"/>
      <c r="J133" s="77"/>
      <c r="K133" s="77"/>
      <c r="L133" s="77"/>
      <c r="M133" s="26"/>
      <c r="N133" s="26"/>
      <c r="O133" s="26"/>
      <c r="P133" s="26"/>
      <c r="Q133" s="26"/>
      <c r="R133" s="26"/>
      <c r="S133" s="26"/>
      <c r="T133" s="26"/>
      <c r="U133" s="60">
        <f>U81</f>
        <v>450000</v>
      </c>
      <c r="V133" s="26"/>
      <c r="W133" s="6"/>
      <c r="X133" s="64"/>
    </row>
    <row r="134" spans="1:25" ht="15.6">
      <c r="A134" s="25"/>
      <c r="B134" s="26"/>
      <c r="C134" s="26"/>
      <c r="D134" s="26"/>
      <c r="E134" s="26"/>
      <c r="F134" s="26"/>
      <c r="G134" s="26"/>
      <c r="H134" s="26"/>
      <c r="I134" s="26"/>
      <c r="J134" s="26"/>
      <c r="K134" s="26"/>
      <c r="L134" s="26"/>
      <c r="M134" s="26"/>
      <c r="N134" s="26"/>
      <c r="O134" s="26"/>
      <c r="P134" s="26"/>
      <c r="Q134" s="26"/>
      <c r="R134" s="26"/>
      <c r="S134" s="26"/>
      <c r="T134" s="26"/>
      <c r="U134" s="78"/>
      <c r="V134" s="26"/>
      <c r="W134" s="6"/>
    </row>
    <row r="135" spans="1:25" ht="15.6">
      <c r="A135" s="7"/>
      <c r="B135" s="153" t="s">
        <v>54</v>
      </c>
      <c r="C135" s="141"/>
      <c r="D135" s="141"/>
      <c r="E135" s="141"/>
      <c r="F135" s="141"/>
      <c r="G135" s="141"/>
      <c r="H135" s="141"/>
      <c r="I135" s="141"/>
      <c r="J135" s="141"/>
      <c r="K135" s="141"/>
      <c r="L135" s="141"/>
      <c r="M135" s="141"/>
      <c r="N135" s="141"/>
      <c r="O135" s="141"/>
      <c r="P135" s="141"/>
      <c r="Q135" s="142" t="s">
        <v>112</v>
      </c>
      <c r="R135" s="154"/>
      <c r="S135" s="142" t="s">
        <v>114</v>
      </c>
      <c r="T135" s="141"/>
      <c r="U135" s="155" t="s">
        <v>90</v>
      </c>
      <c r="V135" s="9"/>
      <c r="W135" s="6"/>
    </row>
    <row r="136" spans="1:25" ht="15.6">
      <c r="A136" s="25"/>
      <c r="B136" s="26" t="s">
        <v>55</v>
      </c>
      <c r="C136" s="26"/>
      <c r="D136" s="26"/>
      <c r="E136" s="26"/>
      <c r="F136" s="26"/>
      <c r="G136" s="26"/>
      <c r="H136" s="26"/>
      <c r="I136" s="26"/>
      <c r="J136" s="26"/>
      <c r="K136" s="26"/>
      <c r="L136" s="26"/>
      <c r="M136" s="26"/>
      <c r="N136" s="26"/>
      <c r="O136" s="26"/>
      <c r="P136" s="26"/>
      <c r="Q136" s="60">
        <v>0</v>
      </c>
      <c r="R136" s="26"/>
      <c r="S136" s="79" t="s">
        <v>115</v>
      </c>
      <c r="T136" s="26"/>
      <c r="U136" s="60">
        <f>Q136</f>
        <v>0</v>
      </c>
      <c r="V136" s="26"/>
      <c r="W136" s="6"/>
    </row>
    <row r="137" spans="1:25" ht="15.6">
      <c r="A137" s="25"/>
      <c r="B137" s="26" t="s">
        <v>56</v>
      </c>
      <c r="C137" s="26"/>
      <c r="D137" s="26"/>
      <c r="E137" s="26"/>
      <c r="F137" s="26"/>
      <c r="G137" s="26"/>
      <c r="H137" s="26"/>
      <c r="I137" s="26"/>
      <c r="J137" s="26"/>
      <c r="K137" s="26"/>
      <c r="L137" s="26"/>
      <c r="M137" s="26"/>
      <c r="N137" s="26"/>
      <c r="O137" s="26"/>
      <c r="P137" s="26"/>
      <c r="Q137" s="60">
        <f>+'Sept 05'!Q139</f>
        <v>366</v>
      </c>
      <c r="R137" s="26"/>
      <c r="S137" s="79" t="s">
        <v>115</v>
      </c>
      <c r="T137" s="26"/>
      <c r="U137" s="60">
        <f>Q137</f>
        <v>366</v>
      </c>
      <c r="V137" s="26"/>
      <c r="W137" s="6"/>
    </row>
    <row r="138" spans="1:25" ht="15.6">
      <c r="A138" s="25"/>
      <c r="B138" s="26" t="s">
        <v>57</v>
      </c>
      <c r="C138" s="26"/>
      <c r="D138" s="26"/>
      <c r="E138" s="26"/>
      <c r="F138" s="26"/>
      <c r="G138" s="26"/>
      <c r="H138" s="26"/>
      <c r="I138" s="26"/>
      <c r="J138" s="26"/>
      <c r="K138" s="26"/>
      <c r="L138" s="26"/>
      <c r="M138" s="26"/>
      <c r="N138" s="26"/>
      <c r="O138" s="26"/>
      <c r="P138" s="26"/>
      <c r="Q138" s="60">
        <v>237</v>
      </c>
      <c r="R138" s="26"/>
      <c r="S138" s="79" t="s">
        <v>115</v>
      </c>
      <c r="T138" s="26"/>
      <c r="U138" s="60">
        <f>Q138</f>
        <v>237</v>
      </c>
      <c r="V138" s="26"/>
      <c r="W138" s="6"/>
    </row>
    <row r="139" spans="1:25" ht="15.6">
      <c r="A139" s="25"/>
      <c r="B139" s="26" t="s">
        <v>58</v>
      </c>
      <c r="C139" s="26"/>
      <c r="D139" s="26"/>
      <c r="E139" s="26"/>
      <c r="F139" s="26"/>
      <c r="G139" s="26"/>
      <c r="H139" s="26"/>
      <c r="I139" s="26"/>
      <c r="J139" s="26"/>
      <c r="K139" s="26"/>
      <c r="L139" s="26"/>
      <c r="M139" s="26"/>
      <c r="N139" s="26"/>
      <c r="O139" s="26"/>
      <c r="P139" s="26"/>
      <c r="Q139" s="60">
        <f>SUM(Q137:Q138)</f>
        <v>603</v>
      </c>
      <c r="R139" s="26"/>
      <c r="S139" s="79" t="s">
        <v>115</v>
      </c>
      <c r="T139" s="26"/>
      <c r="U139" s="60">
        <f>Q139</f>
        <v>603</v>
      </c>
      <c r="V139" s="26"/>
      <c r="W139" s="6"/>
    </row>
    <row r="140" spans="1:25" ht="15.6">
      <c r="A140" s="25"/>
      <c r="B140" s="26" t="s">
        <v>215</v>
      </c>
      <c r="C140" s="26"/>
      <c r="D140" s="26"/>
      <c r="E140" s="26"/>
      <c r="F140" s="26"/>
      <c r="G140" s="26"/>
      <c r="H140" s="26"/>
      <c r="I140" s="26"/>
      <c r="J140" s="26"/>
      <c r="K140" s="26"/>
      <c r="L140" s="26"/>
      <c r="M140" s="26"/>
      <c r="N140" s="26"/>
      <c r="O140" s="26"/>
      <c r="P140" s="26"/>
      <c r="Q140" s="60"/>
      <c r="R140" s="26"/>
      <c r="S140" s="79"/>
      <c r="T140" s="26"/>
      <c r="U140" s="60"/>
      <c r="V140" s="26"/>
      <c r="W140" s="6"/>
    </row>
    <row r="141" spans="1:25" ht="15.6">
      <c r="A141" s="25"/>
      <c r="B141" s="26"/>
      <c r="C141" s="26"/>
      <c r="D141" s="26"/>
      <c r="E141" s="26"/>
      <c r="F141" s="26"/>
      <c r="G141" s="26"/>
      <c r="H141" s="26"/>
      <c r="I141" s="26"/>
      <c r="J141" s="26"/>
      <c r="K141" s="26"/>
      <c r="L141" s="26"/>
      <c r="M141" s="26"/>
      <c r="N141" s="26"/>
      <c r="O141" s="26"/>
      <c r="P141" s="26"/>
      <c r="Q141" s="26"/>
      <c r="R141" s="26"/>
      <c r="S141" s="26"/>
      <c r="T141" s="26"/>
      <c r="U141" s="26"/>
      <c r="V141" s="26"/>
      <c r="W141" s="6"/>
    </row>
    <row r="142" spans="1:25" ht="15.6">
      <c r="A142" s="25"/>
      <c r="B142" s="29"/>
      <c r="C142" s="29"/>
      <c r="D142" s="29"/>
      <c r="E142" s="29"/>
      <c r="F142" s="29"/>
      <c r="G142" s="29"/>
      <c r="H142" s="29"/>
      <c r="I142" s="29"/>
      <c r="J142" s="29"/>
      <c r="K142" s="29"/>
      <c r="L142" s="29"/>
      <c r="M142" s="29"/>
      <c r="N142" s="29"/>
      <c r="O142" s="29"/>
      <c r="P142" s="29"/>
      <c r="Q142" s="29"/>
      <c r="R142" s="29"/>
      <c r="S142" s="29"/>
      <c r="T142" s="29"/>
      <c r="U142" s="29"/>
      <c r="V142" s="29"/>
      <c r="W142" s="6"/>
    </row>
    <row r="143" spans="1:25" ht="15.6">
      <c r="A143" s="80"/>
      <c r="B143" s="57" t="s">
        <v>59</v>
      </c>
      <c r="C143" s="81"/>
      <c r="D143" s="81"/>
      <c r="E143" s="81"/>
      <c r="F143" s="81"/>
      <c r="G143" s="81"/>
      <c r="H143" s="81"/>
      <c r="I143" s="81"/>
      <c r="J143" s="81"/>
      <c r="K143" s="81"/>
      <c r="L143" s="81"/>
      <c r="M143" s="81"/>
      <c r="N143" s="81"/>
      <c r="O143" s="81"/>
      <c r="P143" s="19"/>
      <c r="Q143" s="19"/>
      <c r="R143" s="19"/>
      <c r="S143" s="19">
        <v>38716</v>
      </c>
      <c r="T143" s="15"/>
      <c r="U143" s="15"/>
      <c r="V143" s="9"/>
      <c r="W143" s="6"/>
    </row>
    <row r="144" spans="1:25" ht="15.6">
      <c r="A144" s="82"/>
      <c r="B144" s="83" t="s">
        <v>60</v>
      </c>
      <c r="C144" s="84"/>
      <c r="D144" s="84"/>
      <c r="E144" s="84"/>
      <c r="F144" s="84"/>
      <c r="G144" s="84"/>
      <c r="H144" s="84"/>
      <c r="I144" s="84"/>
      <c r="J144" s="84"/>
      <c r="K144" s="84"/>
      <c r="L144" s="84"/>
      <c r="M144" s="84"/>
      <c r="N144" s="84"/>
      <c r="O144" s="84"/>
      <c r="P144" s="85"/>
      <c r="Q144" s="85"/>
      <c r="R144" s="85"/>
      <c r="S144" s="86">
        <v>0.10630000000000001</v>
      </c>
      <c r="T144" s="26"/>
      <c r="U144" s="26"/>
      <c r="V144" s="26"/>
      <c r="W144" s="6"/>
    </row>
    <row r="145" spans="1:23" ht="15.6">
      <c r="A145" s="82"/>
      <c r="B145" s="83" t="s">
        <v>61</v>
      </c>
      <c r="C145" s="84"/>
      <c r="D145" s="84"/>
      <c r="E145" s="84"/>
      <c r="F145" s="84"/>
      <c r="G145" s="84"/>
      <c r="H145" s="84"/>
      <c r="I145" s="84"/>
      <c r="J145" s="84"/>
      <c r="K145" s="84"/>
      <c r="L145" s="84"/>
      <c r="M145" s="84"/>
      <c r="N145" s="84"/>
      <c r="O145" s="84"/>
      <c r="P145" s="85"/>
      <c r="Q145" s="85"/>
      <c r="R145" s="85"/>
      <c r="S145" s="86">
        <v>5.2200000000000003E-2</v>
      </c>
      <c r="T145" s="86"/>
      <c r="U145" s="26"/>
      <c r="V145" s="26"/>
      <c r="W145" s="6"/>
    </row>
    <row r="146" spans="1:23" ht="15.6">
      <c r="A146" s="82"/>
      <c r="B146" s="83" t="s">
        <v>62</v>
      </c>
      <c r="C146" s="84"/>
      <c r="D146" s="84"/>
      <c r="E146" s="84"/>
      <c r="F146" s="84"/>
      <c r="G146" s="84"/>
      <c r="H146" s="84"/>
      <c r="I146" s="84"/>
      <c r="J146" s="84"/>
      <c r="K146" s="84"/>
      <c r="L146" s="84"/>
      <c r="M146" s="84"/>
      <c r="N146" s="84"/>
      <c r="O146" s="84"/>
      <c r="P146" s="85"/>
      <c r="Q146" s="85"/>
      <c r="R146" s="85"/>
      <c r="S146" s="86">
        <f>S144-S145</f>
        <v>5.4100000000000002E-2</v>
      </c>
      <c r="T146" s="26"/>
      <c r="U146" s="26"/>
      <c r="V146" s="26"/>
      <c r="W146" s="6"/>
    </row>
    <row r="147" spans="1:23" ht="15.6">
      <c r="A147" s="82"/>
      <c r="B147" s="83" t="s">
        <v>63</v>
      </c>
      <c r="C147" s="84"/>
      <c r="D147" s="84"/>
      <c r="E147" s="84"/>
      <c r="F147" s="84"/>
      <c r="G147" s="84"/>
      <c r="H147" s="84"/>
      <c r="I147" s="84"/>
      <c r="J147" s="84"/>
      <c r="K147" s="84"/>
      <c r="L147" s="84"/>
      <c r="M147" s="84"/>
      <c r="N147" s="84"/>
      <c r="O147" s="84"/>
      <c r="P147" s="85"/>
      <c r="Q147" s="85"/>
      <c r="R147" s="85"/>
      <c r="S147" s="86">
        <v>0.10152</v>
      </c>
      <c r="T147" s="26"/>
      <c r="U147" s="26"/>
      <c r="V147" s="26"/>
      <c r="W147" s="6"/>
    </row>
    <row r="148" spans="1:23" ht="15.6">
      <c r="A148" s="82"/>
      <c r="B148" s="83" t="s">
        <v>64</v>
      </c>
      <c r="C148" s="84"/>
      <c r="D148" s="84"/>
      <c r="E148" s="84"/>
      <c r="F148" s="84"/>
      <c r="G148" s="84"/>
      <c r="H148" s="84"/>
      <c r="I148" s="84"/>
      <c r="J148" s="84"/>
      <c r="K148" s="84"/>
      <c r="L148" s="84"/>
      <c r="M148" s="84"/>
      <c r="N148" s="84"/>
      <c r="O148" s="84"/>
      <c r="P148" s="85"/>
      <c r="Q148" s="85"/>
      <c r="R148" s="85"/>
      <c r="S148" s="86">
        <f>+U40</f>
        <v>4.9337707444444434E-2</v>
      </c>
      <c r="T148" s="26"/>
      <c r="U148" s="26"/>
      <c r="V148" s="26"/>
      <c r="W148" s="6"/>
    </row>
    <row r="149" spans="1:23" ht="15.6">
      <c r="A149" s="82"/>
      <c r="B149" s="83" t="s">
        <v>65</v>
      </c>
      <c r="C149" s="84"/>
      <c r="D149" s="84"/>
      <c r="E149" s="84"/>
      <c r="F149" s="84"/>
      <c r="G149" s="84"/>
      <c r="H149" s="84"/>
      <c r="I149" s="84"/>
      <c r="J149" s="84"/>
      <c r="K149" s="84"/>
      <c r="L149" s="84"/>
      <c r="M149" s="84"/>
      <c r="N149" s="84"/>
      <c r="O149" s="84"/>
      <c r="P149" s="85"/>
      <c r="Q149" s="85"/>
      <c r="R149" s="85"/>
      <c r="S149" s="86">
        <f>S147-S148</f>
        <v>5.2182292555555565E-2</v>
      </c>
      <c r="T149" s="26"/>
      <c r="U149" s="26"/>
      <c r="V149" s="26"/>
      <c r="W149" s="6"/>
    </row>
    <row r="150" spans="1:23" ht="15.6">
      <c r="A150" s="82"/>
      <c r="B150" s="83" t="s">
        <v>204</v>
      </c>
      <c r="C150" s="84"/>
      <c r="D150" s="84"/>
      <c r="E150" s="84"/>
      <c r="F150" s="84"/>
      <c r="G150" s="84"/>
      <c r="H150" s="84"/>
      <c r="I150" s="84"/>
      <c r="J150" s="84"/>
      <c r="K150" s="84"/>
      <c r="L150" s="84"/>
      <c r="M150" s="84"/>
      <c r="N150" s="84"/>
      <c r="O150" s="84"/>
      <c r="P150" s="85"/>
      <c r="Q150" s="85"/>
      <c r="R150" s="85"/>
      <c r="S150" s="183">
        <v>49780</v>
      </c>
      <c r="T150" s="26"/>
      <c r="U150" s="26"/>
      <c r="V150" s="26"/>
      <c r="W150" s="6"/>
    </row>
    <row r="151" spans="1:23" ht="15.6">
      <c r="A151" s="82"/>
      <c r="B151" s="83" t="s">
        <v>205</v>
      </c>
      <c r="C151" s="84"/>
      <c r="D151" s="84"/>
      <c r="E151" s="84"/>
      <c r="F151" s="84"/>
      <c r="G151" s="84"/>
      <c r="H151" s="84"/>
      <c r="I151" s="84"/>
      <c r="J151" s="84"/>
      <c r="K151" s="84"/>
      <c r="L151" s="84"/>
      <c r="M151" s="84"/>
      <c r="N151" s="84"/>
      <c r="O151" s="84"/>
      <c r="P151" s="85"/>
      <c r="Q151" s="85"/>
      <c r="R151" s="85"/>
      <c r="S151" s="183">
        <v>49780</v>
      </c>
      <c r="T151" s="26"/>
      <c r="U151" s="26"/>
      <c r="V151" s="26"/>
      <c r="W151" s="6"/>
    </row>
    <row r="152" spans="1:23" ht="15.6">
      <c r="A152" s="82"/>
      <c r="B152" s="83" t="s">
        <v>206</v>
      </c>
      <c r="C152" s="84"/>
      <c r="D152" s="84"/>
      <c r="E152" s="84"/>
      <c r="F152" s="84"/>
      <c r="G152" s="84"/>
      <c r="H152" s="84"/>
      <c r="I152" s="84"/>
      <c r="J152" s="84"/>
      <c r="K152" s="84"/>
      <c r="L152" s="84"/>
      <c r="M152" s="84"/>
      <c r="N152" s="84"/>
      <c r="O152" s="84"/>
      <c r="P152" s="85"/>
      <c r="Q152" s="85"/>
      <c r="R152" s="85"/>
      <c r="S152" s="183">
        <v>49780</v>
      </c>
      <c r="T152" s="26"/>
      <c r="U152" s="26"/>
      <c r="V152" s="26"/>
      <c r="W152" s="6"/>
    </row>
    <row r="153" spans="1:23" ht="15.6">
      <c r="A153" s="82"/>
      <c r="B153" s="83" t="s">
        <v>207</v>
      </c>
      <c r="C153" s="84"/>
      <c r="D153" s="84"/>
      <c r="E153" s="84"/>
      <c r="F153" s="84"/>
      <c r="G153" s="84"/>
      <c r="H153" s="84"/>
      <c r="I153" s="84"/>
      <c r="J153" s="84"/>
      <c r="K153" s="84"/>
      <c r="L153" s="84"/>
      <c r="M153" s="84"/>
      <c r="N153" s="84"/>
      <c r="O153" s="84"/>
      <c r="P153" s="85"/>
      <c r="Q153" s="85"/>
      <c r="R153" s="85"/>
      <c r="S153" s="183">
        <v>49780</v>
      </c>
      <c r="T153" s="26"/>
      <c r="U153" s="26"/>
      <c r="V153" s="26"/>
      <c r="W153" s="6"/>
    </row>
    <row r="154" spans="1:23" ht="15.6">
      <c r="A154" s="82"/>
      <c r="B154" s="83" t="s">
        <v>221</v>
      </c>
      <c r="C154" s="84"/>
      <c r="D154" s="84"/>
      <c r="E154" s="84"/>
      <c r="F154" s="84"/>
      <c r="G154" s="84"/>
      <c r="H154" s="84"/>
      <c r="I154" s="84"/>
      <c r="J154" s="84"/>
      <c r="K154" s="84"/>
      <c r="L154" s="84"/>
      <c r="M154" s="84"/>
      <c r="N154" s="84"/>
      <c r="O154" s="84"/>
      <c r="P154" s="85"/>
      <c r="Q154" s="85"/>
      <c r="R154" s="85"/>
      <c r="S154" s="87">
        <v>111.34</v>
      </c>
      <c r="T154" s="26"/>
      <c r="U154" s="26"/>
      <c r="V154" s="26"/>
      <c r="W154" s="6"/>
    </row>
    <row r="155" spans="1:23" ht="15.6">
      <c r="A155" s="82"/>
      <c r="B155" s="83" t="s">
        <v>222</v>
      </c>
      <c r="C155" s="84"/>
      <c r="D155" s="84"/>
      <c r="E155" s="84"/>
      <c r="F155" s="84"/>
      <c r="G155" s="84"/>
      <c r="H155" s="84"/>
      <c r="I155" s="84"/>
      <c r="J155" s="84"/>
      <c r="K155" s="84"/>
      <c r="L155" s="84"/>
      <c r="M155" s="84"/>
      <c r="N155" s="84"/>
      <c r="O155" s="84"/>
      <c r="P155" s="85"/>
      <c r="Q155" s="85"/>
      <c r="R155" s="85"/>
      <c r="S155" s="87">
        <v>113.45</v>
      </c>
      <c r="T155" s="26"/>
      <c r="U155" s="26"/>
      <c r="V155" s="26"/>
      <c r="W155" s="6"/>
    </row>
    <row r="156" spans="1:23" ht="15.6">
      <c r="A156" s="82" t="s">
        <v>223</v>
      </c>
      <c r="B156" s="83" t="s">
        <v>66</v>
      </c>
      <c r="C156" s="84"/>
      <c r="D156" s="84"/>
      <c r="E156" s="84"/>
      <c r="F156" s="84"/>
      <c r="G156" s="84"/>
      <c r="H156" s="84"/>
      <c r="I156" s="84"/>
      <c r="J156" s="84"/>
      <c r="K156" s="84"/>
      <c r="L156" s="84"/>
      <c r="M156" s="84"/>
      <c r="N156" s="84"/>
      <c r="O156" s="84"/>
      <c r="P156" s="85"/>
      <c r="Q156" s="85"/>
      <c r="R156" s="85"/>
      <c r="S156" s="86">
        <v>0.11840000000000001</v>
      </c>
      <c r="T156" s="26"/>
      <c r="U156" s="26"/>
      <c r="V156" s="26"/>
      <c r="W156" s="6"/>
    </row>
    <row r="157" spans="1:23" ht="15.6">
      <c r="A157" s="82"/>
      <c r="B157" s="83" t="s">
        <v>67</v>
      </c>
      <c r="C157" s="84"/>
      <c r="D157" s="84"/>
      <c r="E157" s="84"/>
      <c r="F157" s="84"/>
      <c r="G157" s="84"/>
      <c r="H157" s="84"/>
      <c r="I157" s="84"/>
      <c r="J157" s="84"/>
      <c r="K157" s="84"/>
      <c r="L157" s="84"/>
      <c r="M157" s="84"/>
      <c r="N157" s="84"/>
      <c r="O157" s="84"/>
      <c r="P157" s="85"/>
      <c r="Q157" s="85"/>
      <c r="R157" s="85"/>
      <c r="S157" s="86">
        <v>0.41710000000000003</v>
      </c>
      <c r="T157" s="26"/>
      <c r="U157" s="26"/>
      <c r="V157" s="26"/>
      <c r="W157" s="6"/>
    </row>
    <row r="158" spans="1:23" ht="15.6">
      <c r="A158" s="82"/>
      <c r="B158" s="83"/>
      <c r="C158" s="83"/>
      <c r="D158" s="83"/>
      <c r="E158" s="83"/>
      <c r="F158" s="83"/>
      <c r="G158" s="83"/>
      <c r="H158" s="83"/>
      <c r="I158" s="83"/>
      <c r="J158" s="83"/>
      <c r="K158" s="83"/>
      <c r="L158" s="83"/>
      <c r="M158" s="83"/>
      <c r="N158" s="83"/>
      <c r="O158" s="83"/>
      <c r="P158" s="26"/>
      <c r="Q158" s="26"/>
      <c r="R158" s="33"/>
      <c r="S158" s="88"/>
      <c r="T158" s="26"/>
      <c r="U158" s="89"/>
      <c r="V158" s="26"/>
      <c r="W158" s="6"/>
    </row>
    <row r="159" spans="1:23" ht="15.6">
      <c r="A159" s="80"/>
      <c r="B159" s="90"/>
      <c r="C159" s="90"/>
      <c r="D159" s="90"/>
      <c r="E159" s="90"/>
      <c r="F159" s="90"/>
      <c r="G159" s="90"/>
      <c r="H159" s="90"/>
      <c r="I159" s="90"/>
      <c r="J159" s="90"/>
      <c r="K159" s="90"/>
      <c r="L159" s="90"/>
      <c r="M159" s="90"/>
      <c r="N159" s="90"/>
      <c r="O159" s="90"/>
      <c r="P159" s="9"/>
      <c r="Q159" s="9"/>
      <c r="R159" s="20"/>
      <c r="S159" s="91"/>
      <c r="T159" s="9"/>
      <c r="U159" s="92"/>
      <c r="V159" s="9"/>
      <c r="W159" s="6"/>
    </row>
    <row r="160" spans="1:23" ht="16.2" thickBot="1">
      <c r="A160" s="136"/>
      <c r="B160" s="131" t="str">
        <f>+B110</f>
        <v>PPAF3 INVESTOR REPORT QUARTER ENDING DECEMBER 2005</v>
      </c>
      <c r="C160" s="137"/>
      <c r="D160" s="137"/>
      <c r="E160" s="137"/>
      <c r="F160" s="137"/>
      <c r="G160" s="137"/>
      <c r="H160" s="137"/>
      <c r="I160" s="137"/>
      <c r="J160" s="137"/>
      <c r="K160" s="137"/>
      <c r="L160" s="137"/>
      <c r="M160" s="137"/>
      <c r="N160" s="137"/>
      <c r="O160" s="137"/>
      <c r="P160" s="132"/>
      <c r="Q160" s="132"/>
      <c r="R160" s="138"/>
      <c r="S160" s="139"/>
      <c r="T160" s="132"/>
      <c r="U160" s="140"/>
      <c r="V160" s="134"/>
      <c r="W160" s="6"/>
    </row>
    <row r="161" spans="1:23" ht="15.6">
      <c r="A161" s="93"/>
      <c r="B161" s="94" t="s">
        <v>68</v>
      </c>
      <c r="C161" s="95"/>
      <c r="D161" s="95"/>
      <c r="E161" s="95"/>
      <c r="F161" s="95"/>
      <c r="G161" s="95"/>
      <c r="H161" s="95"/>
      <c r="I161" s="95"/>
      <c r="J161" s="95"/>
      <c r="K161" s="95"/>
      <c r="L161" s="95"/>
      <c r="M161" s="96"/>
      <c r="N161" s="95"/>
      <c r="O161" s="96"/>
      <c r="P161" s="95"/>
      <c r="Q161" s="96"/>
      <c r="R161" s="95" t="s">
        <v>94</v>
      </c>
      <c r="S161" s="96" t="s">
        <v>116</v>
      </c>
      <c r="T161" s="97"/>
      <c r="U161" s="97"/>
      <c r="V161" s="5"/>
      <c r="W161" s="6"/>
    </row>
    <row r="162" spans="1:23" ht="15.6">
      <c r="A162" s="98"/>
      <c r="B162" s="83" t="s">
        <v>216</v>
      </c>
      <c r="C162" s="61"/>
      <c r="D162" s="61"/>
      <c r="E162" s="61"/>
      <c r="F162" s="61"/>
      <c r="G162" s="61"/>
      <c r="H162" s="61"/>
      <c r="I162" s="61"/>
      <c r="J162" s="61"/>
      <c r="K162" s="61"/>
      <c r="L162" s="61"/>
      <c r="M162" s="61"/>
      <c r="N162" s="61"/>
      <c r="O162" s="26"/>
      <c r="P162" s="26"/>
      <c r="Q162" s="26"/>
      <c r="R162" s="59">
        <v>522</v>
      </c>
      <c r="S162" s="60">
        <v>15470</v>
      </c>
      <c r="T162" s="60"/>
      <c r="U162" s="89"/>
      <c r="V162" s="99"/>
      <c r="W162" s="6"/>
    </row>
    <row r="163" spans="1:23" ht="15.6">
      <c r="A163" s="98"/>
      <c r="B163" s="83" t="s">
        <v>217</v>
      </c>
      <c r="C163" s="61"/>
      <c r="D163" s="61"/>
      <c r="E163" s="61"/>
      <c r="F163" s="61"/>
      <c r="G163" s="61"/>
      <c r="H163" s="61"/>
      <c r="I163" s="61"/>
      <c r="J163" s="61"/>
      <c r="K163" s="61"/>
      <c r="L163" s="61"/>
      <c r="M163" s="61"/>
      <c r="N163" s="61"/>
      <c r="O163" s="26"/>
      <c r="P163" s="26"/>
      <c r="Q163" s="26"/>
      <c r="R163" s="26">
        <v>136</v>
      </c>
      <c r="S163" s="60">
        <v>1102</v>
      </c>
      <c r="T163" s="60"/>
      <c r="U163" s="89"/>
      <c r="V163" s="99"/>
      <c r="W163" s="6"/>
    </row>
    <row r="164" spans="1:23" ht="15.6">
      <c r="A164" s="98"/>
      <c r="B164" s="83" t="s">
        <v>218</v>
      </c>
      <c r="C164" s="61"/>
      <c r="D164" s="61"/>
      <c r="E164" s="61"/>
      <c r="F164" s="61"/>
      <c r="G164" s="61"/>
      <c r="H164" s="61"/>
      <c r="I164" s="61"/>
      <c r="J164" s="61"/>
      <c r="K164" s="61"/>
      <c r="L164" s="61"/>
      <c r="M164" s="61"/>
      <c r="N164" s="61"/>
      <c r="O164" s="26"/>
      <c r="P164" s="26"/>
      <c r="Q164" s="26"/>
      <c r="R164" s="26">
        <v>520</v>
      </c>
      <c r="S164" s="60">
        <v>483</v>
      </c>
      <c r="T164" s="60"/>
      <c r="U164" s="89"/>
      <c r="V164" s="99"/>
      <c r="W164" s="6"/>
    </row>
    <row r="165" spans="1:23" ht="15.6">
      <c r="A165" s="98"/>
      <c r="B165" s="83" t="s">
        <v>219</v>
      </c>
      <c r="C165" s="61"/>
      <c r="D165" s="61"/>
      <c r="E165" s="61"/>
      <c r="F165" s="61"/>
      <c r="G165" s="61"/>
      <c r="H165" s="61"/>
      <c r="I165" s="61"/>
      <c r="J165" s="61"/>
      <c r="K165" s="61"/>
      <c r="L165" s="61"/>
      <c r="M165" s="61"/>
      <c r="N165" s="61"/>
      <c r="O165" s="26"/>
      <c r="P165" s="26"/>
      <c r="Q165" s="26"/>
      <c r="R165" s="26">
        <v>974</v>
      </c>
      <c r="S165" s="60">
        <v>6202</v>
      </c>
      <c r="T165" s="60"/>
      <c r="U165" s="89"/>
      <c r="V165" s="99"/>
      <c r="W165" s="6"/>
    </row>
    <row r="166" spans="1:23" ht="15.6">
      <c r="A166" s="98"/>
      <c r="B166" s="83" t="s">
        <v>90</v>
      </c>
      <c r="C166" s="61"/>
      <c r="D166" s="61"/>
      <c r="E166" s="61"/>
      <c r="F166" s="61"/>
      <c r="G166" s="61"/>
      <c r="H166" s="61"/>
      <c r="I166" s="61"/>
      <c r="J166" s="61"/>
      <c r="K166" s="61"/>
      <c r="L166" s="61"/>
      <c r="M166" s="61"/>
      <c r="N166" s="61"/>
      <c r="O166" s="26"/>
      <c r="P166" s="26"/>
      <c r="Q166" s="26"/>
      <c r="R166" s="59">
        <f>SUM(R162:R165)</f>
        <v>2152</v>
      </c>
      <c r="S166" s="60">
        <f>SUM(S162:S165)</f>
        <v>23257</v>
      </c>
      <c r="T166" s="60"/>
      <c r="U166" s="89"/>
      <c r="V166" s="99"/>
      <c r="W166" s="6"/>
    </row>
    <row r="167" spans="1:23" ht="15.6">
      <c r="A167" s="98"/>
      <c r="B167" s="83"/>
      <c r="C167" s="61"/>
      <c r="D167" s="61"/>
      <c r="E167" s="61"/>
      <c r="F167" s="61"/>
      <c r="G167" s="61"/>
      <c r="H167" s="61"/>
      <c r="I167" s="61"/>
      <c r="J167" s="61"/>
      <c r="K167" s="61"/>
      <c r="L167" s="61"/>
      <c r="M167" s="61"/>
      <c r="N167" s="61"/>
      <c r="O167" s="26"/>
      <c r="P167" s="26"/>
      <c r="Q167" s="26"/>
      <c r="R167" s="26"/>
      <c r="S167" s="60"/>
      <c r="T167" s="60"/>
      <c r="U167" s="89"/>
      <c r="V167" s="99"/>
      <c r="W167" s="6"/>
    </row>
    <row r="168" spans="1:23" ht="15.6">
      <c r="A168" s="98"/>
      <c r="B168" s="83" t="s">
        <v>220</v>
      </c>
      <c r="C168" s="61"/>
      <c r="D168" s="61"/>
      <c r="E168" s="61"/>
      <c r="F168" s="61"/>
      <c r="G168" s="61"/>
      <c r="H168" s="61"/>
      <c r="I168" s="61"/>
      <c r="J168" s="61"/>
      <c r="K168" s="61"/>
      <c r="L168" s="61"/>
      <c r="M168" s="61"/>
      <c r="N168" s="61"/>
      <c r="O168" s="26"/>
      <c r="P168" s="26"/>
      <c r="Q168" s="26"/>
      <c r="R168" s="26">
        <v>26</v>
      </c>
      <c r="S168" s="60">
        <v>313</v>
      </c>
      <c r="T168" s="60"/>
      <c r="U168" s="89"/>
      <c r="V168" s="99"/>
      <c r="W168" s="6"/>
    </row>
    <row r="169" spans="1:23" ht="15.6">
      <c r="A169" s="98"/>
      <c r="B169" s="83" t="s">
        <v>224</v>
      </c>
      <c r="C169" s="61"/>
      <c r="D169" s="61"/>
      <c r="E169" s="61"/>
      <c r="F169" s="61"/>
      <c r="G169" s="61"/>
      <c r="H169" s="61"/>
      <c r="I169" s="61"/>
      <c r="J169" s="61"/>
      <c r="K169" s="61"/>
      <c r="L169" s="61"/>
      <c r="M169" s="61"/>
      <c r="N169" s="61"/>
      <c r="O169" s="26"/>
      <c r="P169" s="26"/>
      <c r="Q169" s="26"/>
      <c r="R169" s="26">
        <v>25</v>
      </c>
      <c r="S169" s="60">
        <v>880</v>
      </c>
      <c r="T169" s="60"/>
      <c r="U169" s="89"/>
      <c r="V169" s="99"/>
      <c r="W169" s="6"/>
    </row>
    <row r="170" spans="1:23" ht="15.6">
      <c r="A170" s="98"/>
      <c r="B170" s="156" t="s">
        <v>69</v>
      </c>
      <c r="C170" s="61"/>
      <c r="D170" s="61"/>
      <c r="E170" s="61"/>
      <c r="F170" s="61"/>
      <c r="G170" s="61"/>
      <c r="H170" s="61"/>
      <c r="I170" s="61"/>
      <c r="J170" s="61"/>
      <c r="K170" s="61"/>
      <c r="L170" s="61"/>
      <c r="M170" s="61"/>
      <c r="N170" s="61"/>
      <c r="O170" s="26"/>
      <c r="P170" s="26"/>
      <c r="Q170" s="26"/>
      <c r="R170" s="26"/>
      <c r="S170" s="60">
        <v>0</v>
      </c>
      <c r="T170" s="26"/>
      <c r="U170" s="89"/>
      <c r="V170" s="99"/>
      <c r="W170" s="6"/>
    </row>
    <row r="171" spans="1:23" ht="15.6">
      <c r="A171" s="98"/>
      <c r="B171" s="156" t="s">
        <v>70</v>
      </c>
      <c r="C171" s="61"/>
      <c r="D171" s="61"/>
      <c r="E171" s="61"/>
      <c r="F171" s="61"/>
      <c r="G171" s="61"/>
      <c r="H171" s="61"/>
      <c r="I171" s="61"/>
      <c r="J171" s="61"/>
      <c r="K171" s="61"/>
      <c r="L171" s="61"/>
      <c r="M171" s="61"/>
      <c r="N171" s="61"/>
      <c r="O171" s="26"/>
      <c r="P171" s="26"/>
      <c r="Q171" s="26"/>
      <c r="R171" s="26"/>
      <c r="S171" s="60">
        <f>Q76</f>
        <v>68142</v>
      </c>
      <c r="T171" s="26"/>
      <c r="U171" s="89"/>
      <c r="V171" s="99"/>
      <c r="W171" s="6"/>
    </row>
    <row r="172" spans="1:23" ht="15.6">
      <c r="A172" s="101"/>
      <c r="B172" s="156" t="s">
        <v>71</v>
      </c>
      <c r="C172" s="61"/>
      <c r="D172" s="61"/>
      <c r="E172" s="61"/>
      <c r="F172" s="61"/>
      <c r="G172" s="61"/>
      <c r="H172" s="61"/>
      <c r="I172" s="61"/>
      <c r="J172" s="61"/>
      <c r="K172" s="61"/>
      <c r="L172" s="61"/>
      <c r="M172" s="83"/>
      <c r="N172" s="83"/>
      <c r="O172" s="83"/>
      <c r="P172" s="26"/>
      <c r="Q172" s="26"/>
      <c r="R172" s="26"/>
      <c r="S172" s="102"/>
      <c r="T172" s="26"/>
      <c r="U172" s="89"/>
      <c r="V172" s="103"/>
      <c r="W172" s="6"/>
    </row>
    <row r="173" spans="1:23" ht="15.6">
      <c r="A173" s="98"/>
      <c r="B173" s="83" t="s">
        <v>72</v>
      </c>
      <c r="C173" s="61"/>
      <c r="D173" s="61"/>
      <c r="E173" s="61"/>
      <c r="F173" s="61"/>
      <c r="G173" s="61"/>
      <c r="H173" s="61"/>
      <c r="I173" s="61"/>
      <c r="J173" s="61"/>
      <c r="K173" s="61"/>
      <c r="L173" s="61"/>
      <c r="M173" s="61"/>
      <c r="N173" s="61"/>
      <c r="O173" s="61"/>
      <c r="P173" s="26"/>
      <c r="Q173" s="26"/>
      <c r="R173" s="26"/>
      <c r="S173" s="60">
        <f>U128</f>
        <v>3929</v>
      </c>
      <c r="T173" s="26"/>
      <c r="U173" s="89"/>
      <c r="V173" s="103"/>
      <c r="W173" s="6"/>
    </row>
    <row r="174" spans="1:23" ht="15.6">
      <c r="A174" s="98"/>
      <c r="B174" s="83" t="s">
        <v>73</v>
      </c>
      <c r="C174" s="61"/>
      <c r="D174" s="61"/>
      <c r="E174" s="61"/>
      <c r="F174" s="61"/>
      <c r="G174" s="61"/>
      <c r="H174" s="61"/>
      <c r="I174" s="61"/>
      <c r="J174" s="61"/>
      <c r="K174" s="61"/>
      <c r="L174" s="61"/>
      <c r="M174" s="61"/>
      <c r="N174" s="61"/>
      <c r="O174" s="61"/>
      <c r="P174" s="26"/>
      <c r="Q174" s="26"/>
      <c r="R174" s="26"/>
      <c r="S174" s="60">
        <f>+'Sept 05'!S174+S173</f>
        <v>9840</v>
      </c>
      <c r="T174" s="26"/>
      <c r="U174" s="89"/>
      <c r="V174" s="103"/>
      <c r="W174" s="6"/>
    </row>
    <row r="175" spans="1:23" ht="15.6">
      <c r="A175" s="98"/>
      <c r="B175" s="83" t="s">
        <v>74</v>
      </c>
      <c r="C175" s="61"/>
      <c r="D175" s="61"/>
      <c r="E175" s="61"/>
      <c r="F175" s="61"/>
      <c r="G175" s="61"/>
      <c r="H175" s="61"/>
      <c r="I175" s="61"/>
      <c r="J175" s="61"/>
      <c r="K175" s="61"/>
      <c r="L175" s="61"/>
      <c r="M175" s="61"/>
      <c r="N175" s="61"/>
      <c r="O175" s="61"/>
      <c r="P175" s="26"/>
      <c r="Q175" s="26"/>
      <c r="R175" s="26"/>
      <c r="S175" s="60">
        <v>603</v>
      </c>
      <c r="T175" s="26"/>
      <c r="U175" s="89"/>
      <c r="V175" s="103"/>
      <c r="W175" s="6"/>
    </row>
    <row r="176" spans="1:23" ht="15.6">
      <c r="A176" s="98"/>
      <c r="B176" s="83"/>
      <c r="C176" s="61"/>
      <c r="D176" s="61"/>
      <c r="E176" s="61"/>
      <c r="F176" s="61"/>
      <c r="G176" s="61"/>
      <c r="H176" s="61"/>
      <c r="I176" s="61"/>
      <c r="J176" s="61"/>
      <c r="K176" s="61"/>
      <c r="L176" s="61"/>
      <c r="M176" s="61"/>
      <c r="N176" s="61"/>
      <c r="O176" s="61"/>
      <c r="P176" s="26"/>
      <c r="Q176" s="26"/>
      <c r="R176" s="26"/>
      <c r="S176" s="60"/>
      <c r="T176" s="26"/>
      <c r="U176" s="89"/>
      <c r="V176" s="103"/>
      <c r="W176" s="6"/>
    </row>
    <row r="177" spans="1:23" ht="15.6">
      <c r="A177" s="101"/>
      <c r="B177" s="156" t="s">
        <v>259</v>
      </c>
      <c r="C177" s="61"/>
      <c r="D177" s="61"/>
      <c r="E177" s="61"/>
      <c r="F177" s="61"/>
      <c r="G177" s="61"/>
      <c r="H177" s="61"/>
      <c r="I177" s="61"/>
      <c r="J177" s="61"/>
      <c r="K177" s="61"/>
      <c r="L177" s="61"/>
      <c r="M177" s="83"/>
      <c r="N177" s="83"/>
      <c r="O177" s="83"/>
      <c r="P177" s="26"/>
      <c r="Q177" s="26"/>
      <c r="R177" s="26"/>
      <c r="S177" s="79"/>
      <c r="T177" s="26"/>
      <c r="U177" s="89"/>
      <c r="V177" s="103"/>
      <c r="W177" s="6"/>
    </row>
    <row r="178" spans="1:23" ht="15.6">
      <c r="A178" s="101"/>
      <c r="B178" s="83" t="s">
        <v>254</v>
      </c>
      <c r="C178" s="61"/>
      <c r="D178" s="61"/>
      <c r="E178" s="61"/>
      <c r="F178" s="61"/>
      <c r="G178" s="61"/>
      <c r="H178" s="61"/>
      <c r="I178" s="61"/>
      <c r="J178" s="61"/>
      <c r="K178" s="61"/>
      <c r="L178" s="61"/>
      <c r="M178" s="83"/>
      <c r="N178" s="83"/>
      <c r="O178" s="83"/>
      <c r="P178" s="26"/>
      <c r="Q178" s="26"/>
      <c r="R178" s="26"/>
      <c r="S178" s="79">
        <v>10</v>
      </c>
      <c r="T178" s="26"/>
      <c r="U178" s="89"/>
      <c r="V178" s="103"/>
      <c r="W178" s="6"/>
    </row>
    <row r="179" spans="1:23" ht="15.6">
      <c r="A179" s="98"/>
      <c r="B179" s="83" t="s">
        <v>75</v>
      </c>
      <c r="C179" s="61"/>
      <c r="D179" s="61"/>
      <c r="E179" s="61"/>
      <c r="F179" s="61"/>
      <c r="G179" s="61"/>
      <c r="H179" s="61"/>
      <c r="I179" s="61"/>
      <c r="J179" s="61"/>
      <c r="K179" s="61"/>
      <c r="L179" s="61"/>
      <c r="M179" s="104"/>
      <c r="N179" s="104"/>
      <c r="O179" s="105"/>
      <c r="P179" s="26"/>
      <c r="Q179" s="26"/>
      <c r="R179" s="26"/>
      <c r="S179" s="191">
        <v>12.68</v>
      </c>
      <c r="T179" s="26"/>
      <c r="U179" s="89"/>
      <c r="V179" s="103"/>
      <c r="W179" s="6"/>
    </row>
    <row r="180" spans="1:23" ht="15.6">
      <c r="A180" s="98"/>
      <c r="B180" s="83" t="s">
        <v>76</v>
      </c>
      <c r="C180" s="61"/>
      <c r="D180" s="61"/>
      <c r="E180" s="61"/>
      <c r="F180" s="61"/>
      <c r="G180" s="61"/>
      <c r="H180" s="61"/>
      <c r="I180" s="61"/>
      <c r="J180" s="61"/>
      <c r="K180" s="61"/>
      <c r="L180" s="61"/>
      <c r="M180" s="104"/>
      <c r="N180" s="104"/>
      <c r="O180" s="105"/>
      <c r="P180" s="26"/>
      <c r="Q180" s="26"/>
      <c r="R180" s="26"/>
      <c r="S180" s="191">
        <v>173.9</v>
      </c>
      <c r="T180" s="26"/>
      <c r="U180" s="89"/>
      <c r="V180" s="103"/>
      <c r="W180" s="6"/>
    </row>
    <row r="181" spans="1:23" ht="15.6">
      <c r="A181" s="98"/>
      <c r="B181" s="83"/>
      <c r="C181" s="61"/>
      <c r="D181" s="61"/>
      <c r="E181" s="61"/>
      <c r="F181" s="61"/>
      <c r="G181" s="61"/>
      <c r="H181" s="61"/>
      <c r="I181" s="61"/>
      <c r="J181" s="61"/>
      <c r="K181" s="61"/>
      <c r="L181" s="61"/>
      <c r="M181" s="106"/>
      <c r="N181" s="104"/>
      <c r="O181" s="105"/>
      <c r="P181" s="26"/>
      <c r="Q181" s="26"/>
      <c r="R181" s="26"/>
      <c r="S181" s="79"/>
      <c r="T181" s="26"/>
      <c r="U181" s="89"/>
      <c r="V181" s="103"/>
      <c r="W181" s="6"/>
    </row>
    <row r="182" spans="1:23" ht="15.6">
      <c r="A182" s="98"/>
      <c r="B182" s="156" t="s">
        <v>77</v>
      </c>
      <c r="C182" s="61"/>
      <c r="D182" s="61"/>
      <c r="E182" s="61"/>
      <c r="F182" s="61"/>
      <c r="G182" s="61"/>
      <c r="H182" s="61"/>
      <c r="I182" s="61"/>
      <c r="J182" s="61"/>
      <c r="K182" s="61"/>
      <c r="L182" s="61"/>
      <c r="M182" s="61"/>
      <c r="N182" s="106"/>
      <c r="O182" s="104"/>
      <c r="P182" s="105"/>
      <c r="Q182" s="26"/>
      <c r="R182" s="33"/>
      <c r="S182" s="33"/>
      <c r="T182" s="107"/>
      <c r="U182" s="33"/>
      <c r="V182" s="89"/>
      <c r="W182" s="6"/>
    </row>
    <row r="183" spans="1:23" ht="15.6">
      <c r="A183" s="98"/>
      <c r="B183" s="83" t="s">
        <v>78</v>
      </c>
      <c r="C183" s="61"/>
      <c r="D183" s="61"/>
      <c r="E183" s="61"/>
      <c r="F183" s="61"/>
      <c r="G183" s="61"/>
      <c r="H183" s="61"/>
      <c r="I183" s="61"/>
      <c r="J183" s="61"/>
      <c r="K183" s="61"/>
      <c r="L183" s="61"/>
      <c r="M183" s="61"/>
      <c r="N183" s="106"/>
      <c r="O183" s="104"/>
      <c r="P183" s="105"/>
      <c r="Q183" s="26"/>
      <c r="R183" s="33"/>
      <c r="S183" s="108">
        <v>214</v>
      </c>
      <c r="T183" s="108"/>
      <c r="U183" s="33"/>
      <c r="V183" s="89"/>
      <c r="W183" s="6"/>
    </row>
    <row r="184" spans="1:23" ht="15.6">
      <c r="A184" s="98"/>
      <c r="B184" s="83" t="s">
        <v>75</v>
      </c>
      <c r="C184" s="61"/>
      <c r="D184" s="61"/>
      <c r="E184" s="61"/>
      <c r="F184" s="61"/>
      <c r="G184" s="61"/>
      <c r="H184" s="61"/>
      <c r="I184" s="61"/>
      <c r="J184" s="61"/>
      <c r="K184" s="61"/>
      <c r="L184" s="61"/>
      <c r="M184" s="61"/>
      <c r="N184" s="106"/>
      <c r="O184" s="104"/>
      <c r="P184" s="105"/>
      <c r="Q184" s="26"/>
      <c r="R184" s="33"/>
      <c r="S184" s="108">
        <v>2.33</v>
      </c>
      <c r="T184" s="108"/>
      <c r="U184" s="33"/>
      <c r="V184" s="89"/>
      <c r="W184" s="6"/>
    </row>
    <row r="185" spans="1:23" ht="15.6">
      <c r="A185" s="98"/>
      <c r="B185" s="83" t="s">
        <v>79</v>
      </c>
      <c r="C185" s="61"/>
      <c r="D185" s="61"/>
      <c r="E185" s="61"/>
      <c r="F185" s="61"/>
      <c r="G185" s="61"/>
      <c r="H185" s="61"/>
      <c r="I185" s="61"/>
      <c r="J185" s="61"/>
      <c r="K185" s="61"/>
      <c r="L185" s="61"/>
      <c r="M185" s="61"/>
      <c r="N185" s="106"/>
      <c r="O185" s="104"/>
      <c r="P185" s="105"/>
      <c r="Q185" s="26"/>
      <c r="R185" s="33"/>
      <c r="S185" s="108">
        <v>35.96</v>
      </c>
      <c r="T185" s="108"/>
      <c r="U185" s="33"/>
      <c r="V185" s="89"/>
      <c r="W185" s="6"/>
    </row>
    <row r="186" spans="1:23" ht="15.6">
      <c r="A186" s="98"/>
      <c r="B186" s="83"/>
      <c r="C186" s="61"/>
      <c r="D186" s="61"/>
      <c r="E186" s="61"/>
      <c r="F186" s="61"/>
      <c r="G186" s="61"/>
      <c r="H186" s="61"/>
      <c r="I186" s="61"/>
      <c r="J186" s="61"/>
      <c r="K186" s="61"/>
      <c r="L186" s="61"/>
      <c r="M186" s="106"/>
      <c r="N186" s="104"/>
      <c r="O186" s="105"/>
      <c r="P186" s="26"/>
      <c r="Q186" s="26"/>
      <c r="R186" s="26"/>
      <c r="S186" s="79"/>
      <c r="T186" s="26"/>
      <c r="U186" s="89"/>
      <c r="V186" s="103"/>
      <c r="W186" s="6"/>
    </row>
    <row r="187" spans="1:23" ht="17.399999999999999">
      <c r="A187" s="98"/>
      <c r="B187" s="180" t="s">
        <v>196</v>
      </c>
      <c r="C187" s="61"/>
      <c r="D187" s="61"/>
      <c r="E187" s="61"/>
      <c r="F187" s="61"/>
      <c r="G187" s="61"/>
      <c r="H187" s="61"/>
      <c r="I187" s="61"/>
      <c r="J187" s="61"/>
      <c r="K187" s="181" t="s">
        <v>195</v>
      </c>
      <c r="L187" s="61"/>
      <c r="M187" s="106"/>
      <c r="N187" s="104"/>
      <c r="O187" s="105"/>
      <c r="P187" s="26"/>
      <c r="Q187" s="26"/>
      <c r="R187" s="26"/>
      <c r="S187" s="79"/>
      <c r="T187" s="26"/>
      <c r="U187" s="89"/>
      <c r="V187" s="103"/>
      <c r="W187" s="6"/>
    </row>
    <row r="188" spans="1:23" ht="15.6">
      <c r="A188" s="25"/>
      <c r="B188" s="109" t="s">
        <v>80</v>
      </c>
      <c r="C188" s="110"/>
      <c r="D188" s="110"/>
      <c r="E188" s="110"/>
      <c r="F188" s="110"/>
      <c r="G188" s="110"/>
      <c r="H188" s="110"/>
      <c r="I188" s="110"/>
      <c r="J188" s="110"/>
      <c r="K188" s="110"/>
      <c r="L188" s="110"/>
      <c r="M188" s="111"/>
      <c r="N188" s="110"/>
      <c r="O188" s="111"/>
      <c r="P188" s="110"/>
      <c r="Q188" s="111"/>
      <c r="R188" s="110"/>
      <c r="S188" s="111"/>
      <c r="T188" s="110"/>
      <c r="U188" s="112"/>
      <c r="V188" s="103"/>
      <c r="W188" s="6"/>
    </row>
    <row r="189" spans="1:23" ht="15.6">
      <c r="A189" s="25"/>
      <c r="B189" s="30"/>
      <c r="C189" s="189"/>
      <c r="D189" s="189"/>
      <c r="E189" s="189"/>
      <c r="F189" s="189"/>
      <c r="G189" s="189"/>
      <c r="H189" s="189"/>
      <c r="I189" s="189"/>
      <c r="J189" s="189"/>
      <c r="K189" s="189"/>
      <c r="L189" s="189"/>
      <c r="M189" s="109" t="s">
        <v>100</v>
      </c>
      <c r="N189" s="110"/>
      <c r="O189" s="111"/>
      <c r="P189" s="110"/>
      <c r="Q189" s="109" t="s">
        <v>26</v>
      </c>
      <c r="R189" s="110"/>
      <c r="S189" s="111"/>
      <c r="T189" s="110"/>
      <c r="U189" s="112"/>
      <c r="V189" s="103"/>
      <c r="W189" s="6"/>
    </row>
    <row r="190" spans="1:23" ht="15.6">
      <c r="A190" s="25"/>
      <c r="B190" s="189"/>
      <c r="C190" s="111"/>
      <c r="D190" s="111"/>
      <c r="E190" s="111"/>
      <c r="F190" s="111"/>
      <c r="G190" s="111"/>
      <c r="H190" s="111"/>
      <c r="I190" s="111"/>
      <c r="J190" s="111"/>
      <c r="K190" s="111"/>
      <c r="L190" s="111" t="s">
        <v>94</v>
      </c>
      <c r="M190" s="110" t="s">
        <v>101</v>
      </c>
      <c r="N190" s="111" t="s">
        <v>103</v>
      </c>
      <c r="O190" s="110" t="s">
        <v>101</v>
      </c>
      <c r="P190" s="110"/>
      <c r="Q190" s="111" t="s">
        <v>94</v>
      </c>
      <c r="R190" s="110" t="s">
        <v>101</v>
      </c>
      <c r="S190" s="111" t="s">
        <v>103</v>
      </c>
      <c r="T190" s="110" t="s">
        <v>101</v>
      </c>
      <c r="U190" s="112"/>
      <c r="V190" s="103"/>
      <c r="W190" s="6"/>
    </row>
    <row r="191" spans="1:23" ht="15.6">
      <c r="A191" s="25"/>
      <c r="B191" s="61" t="s">
        <v>81</v>
      </c>
      <c r="C191" s="113"/>
      <c r="D191" s="113"/>
      <c r="E191" s="113"/>
      <c r="F191" s="113"/>
      <c r="G191" s="113"/>
      <c r="H191" s="113"/>
      <c r="I191" s="113"/>
      <c r="J191" s="113"/>
      <c r="K191" s="113"/>
      <c r="L191" s="113">
        <v>9028</v>
      </c>
      <c r="M191" s="86">
        <f t="shared" ref="M191:M197" si="0">+L191/$L$198</f>
        <v>0.85097558676595342</v>
      </c>
      <c r="N191" s="113">
        <v>40995</v>
      </c>
      <c r="O191" s="86">
        <f t="shared" ref="O191:O197" si="1">N191/$N$198</f>
        <v>0.80937808489634744</v>
      </c>
      <c r="P191" s="110"/>
      <c r="Q191" s="113">
        <v>28461</v>
      </c>
      <c r="R191" s="86">
        <f t="shared" ref="R191:R197" si="2">+Q191/$Q$198</f>
        <v>0.94999833105243836</v>
      </c>
      <c r="S191" s="113">
        <v>26729</v>
      </c>
      <c r="T191" s="86">
        <f t="shared" ref="T191:T197" si="3">+S191/$S$198</f>
        <v>0.9595763776700772</v>
      </c>
      <c r="U191" s="112"/>
      <c r="V191" s="103"/>
      <c r="W191" s="6"/>
    </row>
    <row r="192" spans="1:23" ht="15.6">
      <c r="A192" s="25"/>
      <c r="B192" s="61" t="s">
        <v>82</v>
      </c>
      <c r="C192" s="113"/>
      <c r="D192" s="113"/>
      <c r="E192" s="113"/>
      <c r="F192" s="113"/>
      <c r="G192" s="113"/>
      <c r="H192" s="113"/>
      <c r="I192" s="113"/>
      <c r="J192" s="113"/>
      <c r="K192" s="113"/>
      <c r="L192" s="113">
        <v>196</v>
      </c>
      <c r="M192" s="86">
        <f t="shared" si="0"/>
        <v>1.8474879819021586E-2</v>
      </c>
      <c r="N192" s="113">
        <v>1104</v>
      </c>
      <c r="O192" s="86">
        <f t="shared" si="1"/>
        <v>2.1796643632773938E-2</v>
      </c>
      <c r="P192" s="110"/>
      <c r="Q192" s="113">
        <v>200</v>
      </c>
      <c r="R192" s="86">
        <f t="shared" si="2"/>
        <v>6.6757902466704497E-3</v>
      </c>
      <c r="S192" s="113">
        <v>121</v>
      </c>
      <c r="T192" s="86">
        <f t="shared" si="3"/>
        <v>4.3439238915814037E-3</v>
      </c>
      <c r="U192" s="112"/>
      <c r="V192" s="103"/>
      <c r="W192" s="6"/>
    </row>
    <row r="193" spans="1:24" ht="15.6">
      <c r="A193" s="25"/>
      <c r="B193" s="61" t="s">
        <v>83</v>
      </c>
      <c r="C193" s="113"/>
      <c r="D193" s="113"/>
      <c r="E193" s="113"/>
      <c r="F193" s="113"/>
      <c r="G193" s="113"/>
      <c r="H193" s="113"/>
      <c r="I193" s="113"/>
      <c r="J193" s="113"/>
      <c r="K193" s="113"/>
      <c r="L193" s="113">
        <v>166</v>
      </c>
      <c r="M193" s="86">
        <f t="shared" si="0"/>
        <v>1.5647092091620324E-2</v>
      </c>
      <c r="N193" s="113">
        <v>995</v>
      </c>
      <c r="O193" s="86">
        <f t="shared" si="1"/>
        <v>1.9644619940769992E-2</v>
      </c>
      <c r="P193" s="110"/>
      <c r="Q193" s="113">
        <v>196</v>
      </c>
      <c r="R193" s="86">
        <f t="shared" si="2"/>
        <v>6.5422744417370409E-3</v>
      </c>
      <c r="S193" s="113">
        <v>133</v>
      </c>
      <c r="T193" s="86">
        <f t="shared" si="3"/>
        <v>4.7747262609944352E-3</v>
      </c>
      <c r="U193" s="112"/>
      <c r="V193" s="103"/>
      <c r="W193" s="6"/>
    </row>
    <row r="194" spans="1:24" ht="15.6">
      <c r="A194" s="25"/>
      <c r="B194" s="61" t="s">
        <v>186</v>
      </c>
      <c r="C194" s="113"/>
      <c r="D194" s="113"/>
      <c r="E194" s="113"/>
      <c r="F194" s="113"/>
      <c r="G194" s="113"/>
      <c r="H194" s="113"/>
      <c r="I194" s="113"/>
      <c r="J194" s="113"/>
      <c r="K194" s="113"/>
      <c r="L194" s="113">
        <v>145</v>
      </c>
      <c r="M194" s="86">
        <f t="shared" si="0"/>
        <v>1.3667640682439438E-2</v>
      </c>
      <c r="N194" s="113">
        <v>888</v>
      </c>
      <c r="O194" s="86">
        <f t="shared" si="1"/>
        <v>1.753208292201382E-2</v>
      </c>
      <c r="P194" s="110"/>
      <c r="Q194" s="113">
        <v>183</v>
      </c>
      <c r="R194" s="86">
        <f t="shared" si="2"/>
        <v>6.1083480757034613E-3</v>
      </c>
      <c r="S194" s="113">
        <v>96</v>
      </c>
      <c r="T194" s="86">
        <f t="shared" si="3"/>
        <v>3.4464189553042542E-3</v>
      </c>
      <c r="U194" s="112"/>
      <c r="V194" s="103"/>
      <c r="W194" s="6"/>
    </row>
    <row r="195" spans="1:24" ht="15.6">
      <c r="A195" s="25"/>
      <c r="B195" s="61" t="s">
        <v>187</v>
      </c>
      <c r="C195" s="113"/>
      <c r="D195" s="113"/>
      <c r="E195" s="113"/>
      <c r="F195" s="113"/>
      <c r="G195" s="113"/>
      <c r="H195" s="113"/>
      <c r="I195" s="113"/>
      <c r="J195" s="113"/>
      <c r="K195" s="113"/>
      <c r="L195" s="113">
        <v>147</v>
      </c>
      <c r="M195" s="86">
        <f t="shared" si="0"/>
        <v>1.385615986426619E-2</v>
      </c>
      <c r="N195" s="113">
        <v>884</v>
      </c>
      <c r="O195" s="86">
        <f t="shared" si="1"/>
        <v>1.7453109575518263E-2</v>
      </c>
      <c r="P195" s="110"/>
      <c r="Q195" s="113">
        <v>198</v>
      </c>
      <c r="R195" s="86">
        <f t="shared" si="2"/>
        <v>6.6090323442037453E-3</v>
      </c>
      <c r="S195" s="113">
        <v>123</v>
      </c>
      <c r="T195" s="86">
        <f t="shared" si="3"/>
        <v>4.4157242864835758E-3</v>
      </c>
      <c r="U195" s="112"/>
      <c r="V195" s="103"/>
      <c r="W195" s="6"/>
    </row>
    <row r="196" spans="1:24" ht="15.6">
      <c r="A196" s="25"/>
      <c r="B196" s="61" t="s">
        <v>188</v>
      </c>
      <c r="C196" s="113"/>
      <c r="D196" s="113"/>
      <c r="E196" s="113"/>
      <c r="F196" s="113"/>
      <c r="G196" s="113"/>
      <c r="H196" s="113"/>
      <c r="I196" s="113"/>
      <c r="J196" s="113"/>
      <c r="K196" s="113"/>
      <c r="L196" s="113">
        <v>142</v>
      </c>
      <c r="M196" s="86">
        <f t="shared" si="0"/>
        <v>1.3384861909699312E-2</v>
      </c>
      <c r="N196" s="113">
        <v>741</v>
      </c>
      <c r="O196" s="86">
        <f t="shared" si="1"/>
        <v>1.4629812438302072E-2</v>
      </c>
      <c r="P196" s="110"/>
      <c r="Q196" s="113">
        <v>223</v>
      </c>
      <c r="R196" s="86">
        <f t="shared" si="2"/>
        <v>7.4435061250375514E-3</v>
      </c>
      <c r="S196" s="113">
        <v>184</v>
      </c>
      <c r="T196" s="86">
        <f t="shared" si="3"/>
        <v>6.6056363309998202E-3</v>
      </c>
      <c r="U196" s="112"/>
      <c r="V196" s="103"/>
      <c r="W196" s="6"/>
    </row>
    <row r="197" spans="1:24" ht="15.6">
      <c r="A197" s="25"/>
      <c r="B197" s="61" t="s">
        <v>189</v>
      </c>
      <c r="C197" s="113"/>
      <c r="D197" s="113"/>
      <c r="E197" s="113"/>
      <c r="F197" s="113"/>
      <c r="G197" s="113"/>
      <c r="H197" s="113"/>
      <c r="I197" s="113"/>
      <c r="J197" s="113"/>
      <c r="K197" s="113"/>
      <c r="L197" s="113">
        <f>137+134+140+131+122+121</f>
        <v>785</v>
      </c>
      <c r="M197" s="86">
        <f t="shared" si="0"/>
        <v>7.3993778866999718E-2</v>
      </c>
      <c r="N197" s="113">
        <v>5043</v>
      </c>
      <c r="O197" s="86">
        <f t="shared" si="1"/>
        <v>9.9565646594274429E-2</v>
      </c>
      <c r="P197" s="110"/>
      <c r="Q197" s="113">
        <f>171+146+101+34+29+17</f>
        <v>498</v>
      </c>
      <c r="R197" s="86">
        <f t="shared" si="2"/>
        <v>1.6622717714209419E-2</v>
      </c>
      <c r="S197" s="113">
        <v>469</v>
      </c>
      <c r="T197" s="86">
        <f t="shared" si="3"/>
        <v>1.6837192604559324E-2</v>
      </c>
      <c r="U197" s="112"/>
      <c r="V197" s="103"/>
      <c r="W197" s="6"/>
    </row>
    <row r="198" spans="1:24" ht="15.6">
      <c r="A198" s="25"/>
      <c r="B198" s="61" t="s">
        <v>84</v>
      </c>
      <c r="C198" s="113"/>
      <c r="D198" s="113"/>
      <c r="E198" s="113"/>
      <c r="F198" s="113"/>
      <c r="G198" s="113"/>
      <c r="H198" s="113"/>
      <c r="I198" s="113"/>
      <c r="J198" s="113"/>
      <c r="K198" s="113"/>
      <c r="L198" s="113">
        <f>SUM(L191:L197)</f>
        <v>10609</v>
      </c>
      <c r="M198" s="86">
        <f>SUM(M191:M197)</f>
        <v>1</v>
      </c>
      <c r="N198" s="113">
        <f>SUM(N191:N197)</f>
        <v>50650</v>
      </c>
      <c r="O198" s="86">
        <f>SUM(O191:O197)</f>
        <v>1</v>
      </c>
      <c r="P198" s="110"/>
      <c r="Q198" s="113">
        <f>SUM(Q191:Q197)</f>
        <v>29959</v>
      </c>
      <c r="R198" s="86">
        <f>SUM(R191:R197)</f>
        <v>1</v>
      </c>
      <c r="S198" s="113">
        <f>SUM(S191:S197)</f>
        <v>27855</v>
      </c>
      <c r="T198" s="86">
        <f>SUM(T191:T197)</f>
        <v>1.0000000000000002</v>
      </c>
      <c r="U198" s="112"/>
      <c r="V198" s="103"/>
      <c r="W198" s="6"/>
      <c r="X198" s="64"/>
    </row>
    <row r="199" spans="1:24" ht="15.6">
      <c r="A199" s="25"/>
      <c r="B199" s="61" t="s">
        <v>85</v>
      </c>
      <c r="C199" s="113"/>
      <c r="D199" s="113"/>
      <c r="E199" s="113"/>
      <c r="F199" s="113"/>
      <c r="G199" s="113"/>
      <c r="H199" s="113"/>
      <c r="I199" s="113"/>
      <c r="J199" s="113"/>
      <c r="K199" s="113"/>
      <c r="L199" s="113">
        <v>483</v>
      </c>
      <c r="M199" s="114"/>
      <c r="N199" s="113">
        <v>3444</v>
      </c>
      <c r="O199" s="114"/>
      <c r="P199" s="110"/>
      <c r="Q199" s="113">
        <v>58</v>
      </c>
      <c r="R199" s="114"/>
      <c r="S199" s="113">
        <v>89</v>
      </c>
      <c r="T199" s="114"/>
      <c r="U199" s="112"/>
      <c r="V199" s="103"/>
      <c r="W199" s="6"/>
      <c r="X199" s="64"/>
    </row>
    <row r="200" spans="1:24" ht="15.6">
      <c r="A200" s="25"/>
      <c r="B200" s="61" t="s">
        <v>86</v>
      </c>
      <c r="C200" s="113"/>
      <c r="D200" s="113"/>
      <c r="E200" s="113"/>
      <c r="F200" s="113"/>
      <c r="G200" s="113"/>
      <c r="H200" s="113"/>
      <c r="I200" s="113"/>
      <c r="J200" s="113"/>
      <c r="K200" s="113"/>
      <c r="L200" s="113">
        <f>SUM(L198:L199)</f>
        <v>11092</v>
      </c>
      <c r="M200" s="189"/>
      <c r="N200" s="113">
        <f>SUM(N198:N199)</f>
        <v>54094</v>
      </c>
      <c r="O200" s="115"/>
      <c r="P200" s="189"/>
      <c r="Q200" s="113">
        <f>SUM(Q198:Q199)</f>
        <v>30017</v>
      </c>
      <c r="R200" s="189"/>
      <c r="S200" s="113">
        <f>SUM(S198:S199)</f>
        <v>27944</v>
      </c>
      <c r="T200" s="189"/>
      <c r="U200" s="189"/>
      <c r="V200" s="103"/>
      <c r="W200" s="6"/>
      <c r="X200" s="64"/>
    </row>
    <row r="201" spans="1:24" ht="15.6">
      <c r="A201" s="25"/>
      <c r="B201" s="61"/>
      <c r="C201" s="113"/>
      <c r="D201" s="113"/>
      <c r="E201" s="113"/>
      <c r="F201" s="113"/>
      <c r="G201" s="113"/>
      <c r="H201" s="113"/>
      <c r="I201" s="113"/>
      <c r="J201" s="113"/>
      <c r="K201" s="113"/>
      <c r="L201" s="113"/>
      <c r="M201" s="115"/>
      <c r="N201" s="113"/>
      <c r="O201" s="115"/>
      <c r="P201" s="110"/>
      <c r="Q201" s="113"/>
      <c r="R201" s="115"/>
      <c r="S201" s="113"/>
      <c r="T201" s="115"/>
      <c r="U201" s="112"/>
      <c r="V201" s="103"/>
      <c r="W201" s="6"/>
    </row>
    <row r="202" spans="1:24" ht="15.6">
      <c r="A202" s="25"/>
      <c r="B202" s="61"/>
      <c r="C202" s="110"/>
      <c r="D202" s="110"/>
      <c r="E202" s="110"/>
      <c r="F202" s="110"/>
      <c r="G202" s="110"/>
      <c r="H202" s="110"/>
      <c r="I202" s="110"/>
      <c r="J202" s="110"/>
      <c r="K202" s="110"/>
      <c r="L202" s="110"/>
      <c r="M202" s="109" t="s">
        <v>27</v>
      </c>
      <c r="N202" s="110"/>
      <c r="O202" s="111"/>
      <c r="P202" s="110"/>
      <c r="Q202" s="109" t="s">
        <v>28</v>
      </c>
      <c r="R202" s="110"/>
      <c r="S202" s="111"/>
      <c r="T202" s="110"/>
      <c r="U202" s="112"/>
      <c r="V202" s="103"/>
      <c r="W202" s="6"/>
    </row>
    <row r="203" spans="1:24" ht="15.6">
      <c r="A203" s="25"/>
      <c r="B203" s="189"/>
      <c r="C203" s="111"/>
      <c r="D203" s="111"/>
      <c r="E203" s="111"/>
      <c r="F203" s="111"/>
      <c r="G203" s="111"/>
      <c r="H203" s="111"/>
      <c r="I203" s="111"/>
      <c r="J203" s="111"/>
      <c r="K203" s="111"/>
      <c r="L203" s="111" t="s">
        <v>94</v>
      </c>
      <c r="M203" s="110" t="s">
        <v>101</v>
      </c>
      <c r="N203" s="111" t="s">
        <v>103</v>
      </c>
      <c r="O203" s="110" t="s">
        <v>101</v>
      </c>
      <c r="P203" s="110"/>
      <c r="Q203" s="111" t="s">
        <v>94</v>
      </c>
      <c r="R203" s="110" t="s">
        <v>101</v>
      </c>
      <c r="S203" s="111" t="s">
        <v>103</v>
      </c>
      <c r="T203" s="110" t="s">
        <v>101</v>
      </c>
      <c r="U203" s="112"/>
      <c r="V203" s="103"/>
      <c r="W203" s="6"/>
    </row>
    <row r="204" spans="1:24" ht="15.6">
      <c r="A204" s="25"/>
      <c r="B204" s="61" t="s">
        <v>81</v>
      </c>
      <c r="C204" s="113"/>
      <c r="D204" s="113"/>
      <c r="E204" s="113"/>
      <c r="F204" s="113"/>
      <c r="G204" s="113"/>
      <c r="H204" s="113"/>
      <c r="I204" s="113"/>
      <c r="J204" s="113"/>
      <c r="K204" s="113"/>
      <c r="L204" s="113">
        <v>7656</v>
      </c>
      <c r="M204" s="86">
        <f t="shared" ref="M204:M210" si="4">+L204/$L$211</f>
        <v>0.93617021276595747</v>
      </c>
      <c r="N204" s="113">
        <v>191572</v>
      </c>
      <c r="O204" s="86">
        <f t="shared" ref="O204:O210" si="5">+N204/$N$211</f>
        <v>0.925280860888129</v>
      </c>
      <c r="P204" s="110"/>
      <c r="Q204" s="113">
        <v>17623</v>
      </c>
      <c r="R204" s="86">
        <f t="shared" ref="R204:R210" si="6">Q204/$Q$211</f>
        <v>0.98194684348359063</v>
      </c>
      <c r="S204" s="113">
        <v>126178</v>
      </c>
      <c r="T204" s="86">
        <f t="shared" ref="T204:T210" si="7">+S204/$S$211</f>
        <v>0.97794966788867099</v>
      </c>
      <c r="U204" s="112"/>
      <c r="V204" s="103"/>
      <c r="W204" s="6"/>
    </row>
    <row r="205" spans="1:24" ht="15.6">
      <c r="A205" s="25"/>
      <c r="B205" s="61" t="s">
        <v>82</v>
      </c>
      <c r="C205" s="113"/>
      <c r="D205" s="113"/>
      <c r="E205" s="113"/>
      <c r="F205" s="113"/>
      <c r="G205" s="113"/>
      <c r="H205" s="113"/>
      <c r="I205" s="113"/>
      <c r="J205" s="113"/>
      <c r="K205" s="113"/>
      <c r="L205" s="113">
        <v>174</v>
      </c>
      <c r="M205" s="86">
        <f t="shared" si="4"/>
        <v>2.1276595744680851E-2</v>
      </c>
      <c r="N205" s="113">
        <v>5294</v>
      </c>
      <c r="O205" s="86">
        <f t="shared" si="5"/>
        <v>2.5569691173771506E-2</v>
      </c>
      <c r="P205" s="110"/>
      <c r="Q205" s="113">
        <v>136</v>
      </c>
      <c r="R205" s="86">
        <f t="shared" si="6"/>
        <v>7.577868167381735E-3</v>
      </c>
      <c r="S205" s="113">
        <v>1095</v>
      </c>
      <c r="T205" s="86">
        <f t="shared" si="7"/>
        <v>8.4868589321283796E-3</v>
      </c>
      <c r="U205" s="112"/>
      <c r="V205" s="103"/>
      <c r="W205" s="6"/>
    </row>
    <row r="206" spans="1:24" ht="15.6">
      <c r="A206" s="25"/>
      <c r="B206" s="61" t="s">
        <v>83</v>
      </c>
      <c r="C206" s="113"/>
      <c r="D206" s="113"/>
      <c r="E206" s="113"/>
      <c r="F206" s="113"/>
      <c r="G206" s="113"/>
      <c r="H206" s="113"/>
      <c r="I206" s="113"/>
      <c r="J206" s="113"/>
      <c r="K206" s="113"/>
      <c r="L206" s="113">
        <v>93</v>
      </c>
      <c r="M206" s="86">
        <f t="shared" si="4"/>
        <v>1.1371973587674248E-2</v>
      </c>
      <c r="N206" s="113">
        <v>2884</v>
      </c>
      <c r="O206" s="86">
        <f t="shared" si="5"/>
        <v>1.3929540866104461E-2</v>
      </c>
      <c r="P206" s="110"/>
      <c r="Q206" s="113">
        <v>66</v>
      </c>
      <c r="R206" s="86">
        <f t="shared" si="6"/>
        <v>3.6774948459352536E-3</v>
      </c>
      <c r="S206" s="113">
        <v>627</v>
      </c>
      <c r="T206" s="86">
        <f t="shared" si="7"/>
        <v>4.8595986762050179E-3</v>
      </c>
      <c r="U206" s="112"/>
      <c r="V206" s="103"/>
      <c r="W206" s="6"/>
    </row>
    <row r="207" spans="1:24" ht="15.6">
      <c r="A207" s="25"/>
      <c r="B207" s="61" t="s">
        <v>186</v>
      </c>
      <c r="C207" s="113"/>
      <c r="D207" s="113"/>
      <c r="E207" s="113"/>
      <c r="F207" s="113"/>
      <c r="G207" s="113"/>
      <c r="H207" s="113"/>
      <c r="I207" s="113"/>
      <c r="J207" s="113"/>
      <c r="K207" s="113"/>
      <c r="L207" s="113">
        <v>60</v>
      </c>
      <c r="M207" s="86">
        <f t="shared" si="4"/>
        <v>7.3367571533382242E-3</v>
      </c>
      <c r="N207" s="113">
        <v>1526</v>
      </c>
      <c r="O207" s="86">
        <f t="shared" si="5"/>
        <v>7.3704852155601283E-3</v>
      </c>
      <c r="P207" s="110"/>
      <c r="Q207" s="113">
        <v>31</v>
      </c>
      <c r="R207" s="86">
        <f t="shared" si="6"/>
        <v>1.7273081852120131E-3</v>
      </c>
      <c r="S207" s="113">
        <v>252</v>
      </c>
      <c r="T207" s="86">
        <f t="shared" si="7"/>
        <v>1.9531401378048876E-3</v>
      </c>
      <c r="U207" s="112"/>
      <c r="V207" s="103"/>
      <c r="W207" s="6"/>
    </row>
    <row r="208" spans="1:24" ht="15.6">
      <c r="A208" s="25"/>
      <c r="B208" s="61" t="s">
        <v>187</v>
      </c>
      <c r="C208" s="113"/>
      <c r="D208" s="113"/>
      <c r="E208" s="113"/>
      <c r="F208" s="113"/>
      <c r="G208" s="113"/>
      <c r="H208" s="113"/>
      <c r="I208" s="113"/>
      <c r="J208" s="113"/>
      <c r="K208" s="113"/>
      <c r="L208" s="113">
        <v>50</v>
      </c>
      <c r="M208" s="86">
        <f t="shared" si="4"/>
        <v>6.1139642944485206E-3</v>
      </c>
      <c r="N208" s="113">
        <v>1454</v>
      </c>
      <c r="O208" s="86">
        <f t="shared" si="5"/>
        <v>7.0227296876962161E-3</v>
      </c>
      <c r="P208" s="110"/>
      <c r="Q208" s="113">
        <v>18</v>
      </c>
      <c r="R208" s="86">
        <f t="shared" si="6"/>
        <v>1.0029531398005238E-3</v>
      </c>
      <c r="S208" s="113">
        <v>199</v>
      </c>
      <c r="T208" s="86">
        <f t="shared" si="7"/>
        <v>1.5423606643776692E-3</v>
      </c>
      <c r="U208" s="112"/>
      <c r="V208" s="103"/>
      <c r="W208" s="6"/>
    </row>
    <row r="209" spans="1:24" ht="15.6">
      <c r="A209" s="25"/>
      <c r="B209" s="61" t="s">
        <v>188</v>
      </c>
      <c r="C209" s="113"/>
      <c r="D209" s="113"/>
      <c r="E209" s="113"/>
      <c r="F209" s="113"/>
      <c r="G209" s="113"/>
      <c r="H209" s="113"/>
      <c r="I209" s="113"/>
      <c r="J209" s="113"/>
      <c r="K209" s="113"/>
      <c r="L209" s="113">
        <v>37</v>
      </c>
      <c r="M209" s="86">
        <f t="shared" si="4"/>
        <v>4.5243335778919055E-3</v>
      </c>
      <c r="N209" s="113">
        <v>1008</v>
      </c>
      <c r="O209" s="86">
        <f t="shared" si="5"/>
        <v>4.8685773900947636E-3</v>
      </c>
      <c r="P209" s="110"/>
      <c r="Q209" s="113">
        <v>16</v>
      </c>
      <c r="R209" s="86">
        <f t="shared" si="6"/>
        <v>8.9151390204491004E-4</v>
      </c>
      <c r="S209" s="113">
        <v>125</v>
      </c>
      <c r="T209" s="86">
        <f t="shared" si="7"/>
        <v>9.6881951280004342E-4</v>
      </c>
      <c r="U209" s="112"/>
      <c r="V209" s="103"/>
      <c r="W209" s="6"/>
    </row>
    <row r="210" spans="1:24" ht="15.6">
      <c r="A210" s="25"/>
      <c r="B210" s="61" t="s">
        <v>189</v>
      </c>
      <c r="C210" s="113"/>
      <c r="D210" s="113"/>
      <c r="E210" s="113"/>
      <c r="F210" s="113"/>
      <c r="G210" s="113"/>
      <c r="H210" s="113"/>
      <c r="I210" s="113"/>
      <c r="J210" s="113"/>
      <c r="K210" s="113"/>
      <c r="L210" s="113">
        <f>22+25+18+23+11+9</f>
        <v>108</v>
      </c>
      <c r="M210" s="86">
        <f t="shared" si="4"/>
        <v>1.3206162876008804E-2</v>
      </c>
      <c r="N210" s="113">
        <v>3304</v>
      </c>
      <c r="O210" s="86">
        <f t="shared" si="5"/>
        <v>1.5958114778643947E-2</v>
      </c>
      <c r="P210" s="110"/>
      <c r="Q210" s="113">
        <f>12+10+13+3+8+11</f>
        <v>57</v>
      </c>
      <c r="R210" s="86">
        <f t="shared" si="6"/>
        <v>3.1760182760349918E-3</v>
      </c>
      <c r="S210" s="113">
        <v>547</v>
      </c>
      <c r="T210" s="86">
        <f t="shared" si="7"/>
        <v>4.2395541880129901E-3</v>
      </c>
      <c r="U210" s="112"/>
      <c r="V210" s="103"/>
      <c r="W210" s="6"/>
    </row>
    <row r="211" spans="1:24" ht="15.6">
      <c r="A211" s="25"/>
      <c r="B211" s="61" t="str">
        <f>B198</f>
        <v>Total Performing  Assets</v>
      </c>
      <c r="C211" s="113"/>
      <c r="D211" s="113"/>
      <c r="E211" s="113"/>
      <c r="F211" s="113"/>
      <c r="G211" s="113"/>
      <c r="H211" s="113"/>
      <c r="I211" s="113"/>
      <c r="J211" s="113"/>
      <c r="K211" s="113"/>
      <c r="L211" s="113">
        <f>SUM(L204:L210)</f>
        <v>8178</v>
      </c>
      <c r="M211" s="86">
        <f>SUM(M204:M210)</f>
        <v>1.0000000000000002</v>
      </c>
      <c r="N211" s="113">
        <f>SUM(N204:N210)</f>
        <v>207042</v>
      </c>
      <c r="O211" s="86">
        <f>SUM(O204:O210)</f>
        <v>1</v>
      </c>
      <c r="P211" s="110"/>
      <c r="Q211" s="113">
        <f>SUM(Q204:Q210)</f>
        <v>17947</v>
      </c>
      <c r="R211" s="86">
        <f>SUM(R204:R210)</f>
        <v>1</v>
      </c>
      <c r="S211" s="113">
        <f>SUM(S204:S210)</f>
        <v>129023</v>
      </c>
      <c r="T211" s="86">
        <f>SUM(T204:T210)</f>
        <v>1</v>
      </c>
      <c r="U211" s="112"/>
      <c r="V211" s="103"/>
      <c r="W211" s="6"/>
    </row>
    <row r="212" spans="1:24" ht="15.6">
      <c r="A212" s="25"/>
      <c r="B212" s="61" t="s">
        <v>85</v>
      </c>
      <c r="C212" s="113"/>
      <c r="D212" s="113"/>
      <c r="E212" s="113"/>
      <c r="F212" s="113"/>
      <c r="G212" s="113"/>
      <c r="H212" s="113"/>
      <c r="I212" s="113"/>
      <c r="J212" s="113"/>
      <c r="K212" s="113"/>
      <c r="L212" s="113">
        <v>11</v>
      </c>
      <c r="M212" s="116"/>
      <c r="N212" s="113">
        <v>342</v>
      </c>
      <c r="O212" s="114"/>
      <c r="P212" s="110"/>
      <c r="Q212" s="113">
        <v>34</v>
      </c>
      <c r="R212" s="116"/>
      <c r="S212" s="113">
        <v>260</v>
      </c>
      <c r="T212" s="116"/>
      <c r="U212" s="112"/>
      <c r="V212" s="103"/>
      <c r="W212" s="6"/>
    </row>
    <row r="213" spans="1:24" ht="15.6">
      <c r="A213" s="25"/>
      <c r="B213" s="61" t="s">
        <v>86</v>
      </c>
      <c r="C213" s="113"/>
      <c r="D213" s="113"/>
      <c r="E213" s="113"/>
      <c r="F213" s="113"/>
      <c r="G213" s="113"/>
      <c r="H213" s="113"/>
      <c r="I213" s="113"/>
      <c r="J213" s="113"/>
      <c r="K213" s="113"/>
      <c r="L213" s="113">
        <f>SUM(L211:L212)</f>
        <v>8189</v>
      </c>
      <c r="M213" s="189"/>
      <c r="N213" s="113">
        <f>SUM(N211:N212)</f>
        <v>207384</v>
      </c>
      <c r="O213" s="86"/>
      <c r="P213" s="189"/>
      <c r="Q213" s="113">
        <f>SUM(Q211:Q212)</f>
        <v>17981</v>
      </c>
      <c r="R213" s="189"/>
      <c r="S213" s="113">
        <f>SUM(S211:S212)</f>
        <v>129283</v>
      </c>
      <c r="T213" s="189"/>
      <c r="U213" s="189"/>
      <c r="V213" s="190"/>
    </row>
    <row r="214" spans="1:24" ht="15.6">
      <c r="A214" s="25"/>
      <c r="B214" s="61"/>
      <c r="C214" s="110"/>
      <c r="D214" s="110"/>
      <c r="E214" s="110"/>
      <c r="F214" s="110"/>
      <c r="G214" s="110"/>
      <c r="H214" s="110"/>
      <c r="I214" s="110"/>
      <c r="J214" s="110"/>
      <c r="K214" s="110"/>
      <c r="L214" s="110"/>
      <c r="M214" s="111"/>
      <c r="N214" s="110"/>
      <c r="O214" s="111"/>
      <c r="P214" s="110"/>
      <c r="Q214" s="117"/>
      <c r="R214" s="110"/>
      <c r="S214" s="113"/>
      <c r="T214" s="110"/>
      <c r="U214" s="112"/>
      <c r="V214" s="103"/>
      <c r="W214" s="6"/>
    </row>
    <row r="215" spans="1:24" ht="15.6">
      <c r="A215" s="25"/>
      <c r="B215" s="61" t="s">
        <v>86</v>
      </c>
      <c r="C215" s="110"/>
      <c r="D215" s="110"/>
      <c r="E215" s="110"/>
      <c r="F215" s="110"/>
      <c r="G215" s="110"/>
      <c r="H215" s="110"/>
      <c r="I215" s="110"/>
      <c r="J215" s="110"/>
      <c r="K215" s="110"/>
      <c r="L215" s="110"/>
      <c r="M215" s="111"/>
      <c r="N215" s="110"/>
      <c r="O215" s="111"/>
      <c r="P215" s="110"/>
      <c r="Q215" s="117"/>
      <c r="R215" s="116"/>
      <c r="S215" s="113">
        <f>N200+S200+N213+S213</f>
        <v>418705</v>
      </c>
      <c r="T215" s="115"/>
      <c r="U215" s="112"/>
      <c r="V215" s="103"/>
      <c r="W215" s="6"/>
    </row>
    <row r="216" spans="1:24" ht="15.6">
      <c r="A216" s="25"/>
      <c r="B216" s="61"/>
      <c r="C216" s="110"/>
      <c r="D216" s="110"/>
      <c r="E216" s="110"/>
      <c r="F216" s="110"/>
      <c r="G216" s="110"/>
      <c r="H216" s="110"/>
      <c r="I216" s="110"/>
      <c r="J216" s="110"/>
      <c r="K216" s="110"/>
      <c r="L216" s="110"/>
      <c r="M216" s="111"/>
      <c r="N216" s="110"/>
      <c r="O216" s="111"/>
      <c r="P216" s="110"/>
      <c r="Q216" s="111"/>
      <c r="R216" s="110"/>
      <c r="S216" s="113"/>
      <c r="T216" s="116"/>
      <c r="U216" s="112"/>
      <c r="V216" s="103"/>
      <c r="W216" s="6"/>
    </row>
    <row r="217" spans="1:24" ht="15.6">
      <c r="A217" s="25"/>
      <c r="B217" s="118" t="s">
        <v>87</v>
      </c>
      <c r="C217" s="110"/>
      <c r="D217" s="110"/>
      <c r="E217" s="110"/>
      <c r="F217" s="110"/>
      <c r="G217" s="110"/>
      <c r="H217" s="110"/>
      <c r="I217" s="110"/>
      <c r="J217" s="110"/>
      <c r="K217" s="110"/>
      <c r="L217" s="110"/>
      <c r="M217" s="111"/>
      <c r="N217" s="110"/>
      <c r="O217" s="111"/>
      <c r="P217" s="110"/>
      <c r="Q217" s="111"/>
      <c r="R217" s="110"/>
      <c r="S217" s="113"/>
      <c r="T217" s="110"/>
      <c r="U217" s="112"/>
      <c r="V217" s="103"/>
      <c r="W217" s="6"/>
    </row>
    <row r="218" spans="1:24" ht="15.6">
      <c r="A218" s="25"/>
      <c r="B218" s="61"/>
      <c r="C218" s="110"/>
      <c r="D218" s="110"/>
      <c r="E218" s="110"/>
      <c r="F218" s="110"/>
      <c r="G218" s="110"/>
      <c r="H218" s="110"/>
      <c r="I218" s="110"/>
      <c r="J218" s="110"/>
      <c r="K218" s="110"/>
      <c r="L218" s="110"/>
      <c r="M218" s="111"/>
      <c r="N218" s="110"/>
      <c r="O218" s="111"/>
      <c r="P218" s="110"/>
      <c r="Q218" s="111"/>
      <c r="R218" s="110"/>
      <c r="S218" s="113"/>
      <c r="T218" s="110"/>
      <c r="U218" s="112"/>
      <c r="V218" s="103"/>
      <c r="W218" s="6"/>
    </row>
    <row r="219" spans="1:24" ht="15.6">
      <c r="A219" s="25"/>
      <c r="B219" s="61" t="s">
        <v>88</v>
      </c>
      <c r="C219" s="110"/>
      <c r="D219" s="110"/>
      <c r="E219" s="110"/>
      <c r="F219" s="110"/>
      <c r="G219" s="110"/>
      <c r="H219" s="110"/>
      <c r="I219" s="110"/>
      <c r="J219" s="110"/>
      <c r="K219" s="110"/>
      <c r="L219" s="110"/>
      <c r="M219" s="111"/>
      <c r="N219" s="110"/>
      <c r="O219" s="111"/>
      <c r="P219" s="110"/>
      <c r="Q219" s="111"/>
      <c r="R219" s="110"/>
      <c r="S219" s="113">
        <f>+N198+S198+N211+S211</f>
        <v>414570</v>
      </c>
      <c r="T219" s="110"/>
      <c r="U219" s="112"/>
      <c r="V219" s="103"/>
      <c r="W219" s="6"/>
      <c r="X219" s="182"/>
    </row>
    <row r="220" spans="1:24" ht="15.6">
      <c r="A220" s="25"/>
      <c r="B220" s="61" t="s">
        <v>89</v>
      </c>
      <c r="C220" s="110"/>
      <c r="D220" s="110"/>
      <c r="E220" s="110"/>
      <c r="F220" s="110"/>
      <c r="G220" s="110"/>
      <c r="H220" s="110"/>
      <c r="I220" s="110"/>
      <c r="J220" s="110"/>
      <c r="K220" s="110"/>
      <c r="L220" s="110"/>
      <c r="M220" s="111"/>
      <c r="N220" s="110"/>
      <c r="O220" s="111"/>
      <c r="P220" s="110"/>
      <c r="Q220" s="111"/>
      <c r="R220" s="110"/>
      <c r="S220" s="113">
        <f>-U103</f>
        <v>35430</v>
      </c>
      <c r="T220" s="110"/>
      <c r="U220" s="112"/>
      <c r="V220" s="103"/>
      <c r="W220" s="119"/>
    </row>
    <row r="221" spans="1:24" ht="15.6">
      <c r="A221" s="25"/>
      <c r="B221" s="61" t="s">
        <v>90</v>
      </c>
      <c r="C221" s="110"/>
      <c r="D221" s="110"/>
      <c r="E221" s="110"/>
      <c r="F221" s="110"/>
      <c r="G221" s="110"/>
      <c r="H221" s="110"/>
      <c r="I221" s="110"/>
      <c r="J221" s="110"/>
      <c r="K221" s="110"/>
      <c r="L221" s="110"/>
      <c r="M221" s="111"/>
      <c r="N221" s="110"/>
      <c r="O221" s="111"/>
      <c r="P221" s="110"/>
      <c r="Q221" s="111"/>
      <c r="R221" s="110"/>
      <c r="S221" s="113">
        <f>SUM(S219:S220)</f>
        <v>450000</v>
      </c>
      <c r="T221" s="110"/>
      <c r="U221" s="112"/>
      <c r="V221" s="103"/>
      <c r="W221" s="6"/>
    </row>
    <row r="222" spans="1:24" ht="15.6">
      <c r="A222" s="25"/>
      <c r="B222" s="61"/>
      <c r="C222" s="110"/>
      <c r="D222" s="110"/>
      <c r="E222" s="110"/>
      <c r="F222" s="110"/>
      <c r="G222" s="110"/>
      <c r="H222" s="110"/>
      <c r="I222" s="110"/>
      <c r="J222" s="110"/>
      <c r="K222" s="110"/>
      <c r="L222" s="110"/>
      <c r="M222" s="111"/>
      <c r="N222" s="110"/>
      <c r="O222" s="111"/>
      <c r="P222" s="110"/>
      <c r="Q222" s="111"/>
      <c r="R222" s="110"/>
      <c r="S222" s="113"/>
      <c r="T222" s="110"/>
      <c r="U222" s="112"/>
      <c r="V222" s="103"/>
      <c r="W222" s="6"/>
    </row>
    <row r="223" spans="1:24" ht="15.6">
      <c r="A223" s="25"/>
      <c r="B223" s="61" t="s">
        <v>91</v>
      </c>
      <c r="C223" s="110"/>
      <c r="D223" s="110"/>
      <c r="E223" s="110"/>
      <c r="F223" s="110"/>
      <c r="G223" s="110"/>
      <c r="H223" s="110"/>
      <c r="I223" s="110"/>
      <c r="J223" s="110"/>
      <c r="K223" s="110"/>
      <c r="L223" s="110"/>
      <c r="M223" s="111"/>
      <c r="N223" s="110"/>
      <c r="O223" s="111"/>
      <c r="P223" s="110"/>
      <c r="Q223" s="111"/>
      <c r="R223" s="110"/>
      <c r="S223" s="113">
        <f>U33</f>
        <v>450000</v>
      </c>
      <c r="T223" s="110"/>
      <c r="U223" s="112"/>
      <c r="V223" s="103"/>
      <c r="W223" s="6"/>
    </row>
    <row r="224" spans="1:24" ht="15.6">
      <c r="A224" s="25"/>
      <c r="B224" s="61"/>
      <c r="C224" s="110"/>
      <c r="D224" s="110"/>
      <c r="E224" s="110"/>
      <c r="F224" s="110"/>
      <c r="G224" s="110"/>
      <c r="H224" s="110"/>
      <c r="I224" s="110"/>
      <c r="J224" s="110"/>
      <c r="K224" s="110"/>
      <c r="L224" s="110"/>
      <c r="M224" s="111"/>
      <c r="N224" s="110"/>
      <c r="O224" s="111"/>
      <c r="P224" s="110"/>
      <c r="Q224" s="111"/>
      <c r="R224" s="110"/>
      <c r="S224" s="113"/>
      <c r="T224" s="110"/>
      <c r="U224" s="112"/>
      <c r="V224" s="103"/>
      <c r="W224" s="6"/>
    </row>
    <row r="225" spans="1:23" ht="15.6">
      <c r="A225" s="25"/>
      <c r="B225" s="61" t="s">
        <v>92</v>
      </c>
      <c r="C225" s="110"/>
      <c r="D225" s="110"/>
      <c r="E225" s="110"/>
      <c r="F225" s="110"/>
      <c r="G225" s="110"/>
      <c r="H225" s="110"/>
      <c r="I225" s="110"/>
      <c r="J225" s="110"/>
      <c r="K225" s="110"/>
      <c r="L225" s="110"/>
      <c r="M225" s="111"/>
      <c r="N225" s="110"/>
      <c r="O225" s="111"/>
      <c r="P225" s="110"/>
      <c r="Q225" s="111"/>
      <c r="R225" s="110"/>
      <c r="S225" s="113">
        <f>S221/S223</f>
        <v>1</v>
      </c>
      <c r="T225" s="110"/>
      <c r="U225" s="112"/>
      <c r="V225" s="103"/>
      <c r="W225" s="6"/>
    </row>
    <row r="226" spans="1:23" ht="15.6">
      <c r="A226" s="25"/>
      <c r="B226" s="26"/>
      <c r="C226" s="26"/>
      <c r="D226" s="26"/>
      <c r="E226" s="26"/>
      <c r="F226" s="26"/>
      <c r="G226" s="26"/>
      <c r="H226" s="26"/>
      <c r="I226" s="26"/>
      <c r="J226" s="26"/>
      <c r="K226" s="26"/>
      <c r="L226" s="26"/>
      <c r="M226" s="33"/>
      <c r="N226" s="26"/>
      <c r="O226" s="26"/>
      <c r="P226" s="26"/>
      <c r="Q226" s="59"/>
      <c r="R226" s="120"/>
      <c r="S226" s="60"/>
      <c r="T226" s="120"/>
      <c r="U226" s="89"/>
      <c r="V226" s="26"/>
      <c r="W226" s="6"/>
    </row>
    <row r="227" spans="1:23" ht="15.6">
      <c r="A227" s="121"/>
      <c r="B227" s="30" t="s">
        <v>127</v>
      </c>
      <c r="C227" s="122"/>
      <c r="D227" s="122"/>
      <c r="E227" s="122"/>
      <c r="F227" s="122"/>
      <c r="G227" s="122"/>
      <c r="H227" s="122"/>
      <c r="I227" s="122"/>
      <c r="J227" s="122"/>
      <c r="K227" s="122"/>
      <c r="L227" s="122"/>
      <c r="M227" s="110"/>
      <c r="N227" s="112"/>
      <c r="O227" s="30"/>
      <c r="P227" s="123"/>
      <c r="Q227" s="123"/>
      <c r="R227" s="123"/>
      <c r="S227" s="124"/>
      <c r="T227" s="29"/>
      <c r="U227" s="29"/>
      <c r="V227" s="29"/>
      <c r="W227" s="6"/>
    </row>
    <row r="228" spans="1:23" ht="15.6">
      <c r="A228" s="125"/>
      <c r="B228" s="13" t="s">
        <v>128</v>
      </c>
      <c r="C228" s="126"/>
      <c r="D228" s="126"/>
      <c r="E228" s="126"/>
      <c r="F228" s="126"/>
      <c r="G228" s="126"/>
      <c r="H228" s="126"/>
      <c r="I228" s="126"/>
      <c r="J228" s="126"/>
      <c r="K228" s="126"/>
      <c r="L228" s="126"/>
      <c r="M228" s="127"/>
      <c r="N228" s="13"/>
      <c r="O228" s="13"/>
      <c r="P228" s="126"/>
      <c r="Q228" s="126"/>
      <c r="R228" s="12"/>
      <c r="S228" s="12"/>
      <c r="T228" s="12"/>
      <c r="U228" s="12"/>
      <c r="V228" s="12"/>
      <c r="W228" s="6"/>
    </row>
    <row r="229" spans="1:23" ht="15.6">
      <c r="A229" s="125"/>
      <c r="B229" s="13" t="s">
        <v>246</v>
      </c>
      <c r="C229" s="126"/>
      <c r="D229" s="126"/>
      <c r="E229" s="126"/>
      <c r="F229" s="126"/>
      <c r="G229" s="126"/>
      <c r="H229" s="126"/>
      <c r="I229" s="126"/>
      <c r="J229" s="126"/>
      <c r="K229" s="126"/>
      <c r="L229" s="126"/>
      <c r="M229" s="127"/>
      <c r="N229" s="13"/>
      <c r="O229" s="13"/>
      <c r="P229" s="126"/>
      <c r="Q229" s="126"/>
      <c r="R229" s="12"/>
      <c r="S229" s="12"/>
      <c r="T229" s="12"/>
      <c r="U229" s="12"/>
      <c r="V229" s="12"/>
      <c r="W229" s="6"/>
    </row>
    <row r="230" spans="1:23" ht="15.6">
      <c r="A230" s="125"/>
      <c r="B230" s="13" t="s">
        <v>129</v>
      </c>
      <c r="C230" s="126"/>
      <c r="D230" s="126"/>
      <c r="E230" s="126"/>
      <c r="F230" s="126"/>
      <c r="G230" s="126"/>
      <c r="H230" s="126"/>
      <c r="I230" s="126"/>
      <c r="J230" s="126"/>
      <c r="K230" s="126"/>
      <c r="L230" s="126"/>
      <c r="M230" s="127"/>
      <c r="N230" s="13"/>
      <c r="O230" s="13"/>
      <c r="P230" s="126"/>
      <c r="Q230" s="126"/>
      <c r="R230" s="12"/>
      <c r="S230" s="12"/>
      <c r="T230" s="12"/>
      <c r="U230" s="12"/>
      <c r="V230" s="12"/>
      <c r="W230" s="6"/>
    </row>
    <row r="231" spans="1:23" ht="15.6">
      <c r="A231" s="125"/>
      <c r="B231" s="13"/>
      <c r="C231" s="126"/>
      <c r="D231" s="126"/>
      <c r="E231" s="126"/>
      <c r="F231" s="126"/>
      <c r="G231" s="126"/>
      <c r="H231" s="126"/>
      <c r="I231" s="126"/>
      <c r="J231" s="126"/>
      <c r="K231" s="126"/>
      <c r="L231" s="126"/>
      <c r="M231" s="127"/>
      <c r="N231" s="13"/>
      <c r="O231" s="13"/>
      <c r="P231" s="126"/>
      <c r="Q231" s="126"/>
      <c r="R231" s="12"/>
      <c r="S231" s="12"/>
      <c r="T231" s="12"/>
      <c r="U231" s="12"/>
      <c r="V231" s="12"/>
      <c r="W231" s="6"/>
    </row>
    <row r="232" spans="1:23" ht="15.6">
      <c r="A232" s="125"/>
      <c r="B232" s="13"/>
      <c r="C232" s="126"/>
      <c r="D232" s="126"/>
      <c r="E232" s="126"/>
      <c r="F232" s="126"/>
      <c r="G232" s="126"/>
      <c r="H232" s="126"/>
      <c r="I232" s="126"/>
      <c r="J232" s="126"/>
      <c r="K232" s="126"/>
      <c r="L232" s="126"/>
      <c r="M232" s="127"/>
      <c r="N232" s="13"/>
      <c r="O232" s="13"/>
      <c r="P232" s="126"/>
      <c r="Q232" s="126"/>
      <c r="R232" s="12"/>
      <c r="S232" s="12"/>
      <c r="T232" s="12"/>
      <c r="U232" s="12"/>
      <c r="V232" s="12"/>
      <c r="W232" s="6"/>
    </row>
    <row r="233" spans="1:23" ht="16.2" thickBot="1">
      <c r="A233" s="125"/>
      <c r="B233" s="13" t="str">
        <f>+B160</f>
        <v>PPAF3 INVESTOR REPORT QUARTER ENDING DECEMBER 2005</v>
      </c>
      <c r="C233" s="126"/>
      <c r="D233" s="126"/>
      <c r="E233" s="126"/>
      <c r="F233" s="126"/>
      <c r="G233" s="126"/>
      <c r="H233" s="126"/>
      <c r="I233" s="126"/>
      <c r="J233" s="126"/>
      <c r="K233" s="126"/>
      <c r="L233" s="126"/>
      <c r="M233" s="127"/>
      <c r="N233" s="13"/>
      <c r="O233" s="13"/>
      <c r="P233" s="126"/>
      <c r="Q233" s="126"/>
      <c r="R233" s="12"/>
      <c r="S233" s="12"/>
      <c r="T233" s="12"/>
      <c r="U233" s="12"/>
      <c r="V233" s="12"/>
      <c r="W233" s="6"/>
    </row>
    <row r="234" spans="1:2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row>
  </sheetData>
  <phoneticPr fontId="0" type="noConversion"/>
  <hyperlinks>
    <hyperlink ref="I9" r:id="rId1"/>
    <hyperlink ref="K187" r:id="rId2"/>
  </hyperlinks>
  <printOptions horizontalCentered="1" verticalCentered="1"/>
  <pageMargins left="0.23622047244094491" right="0.43307086614173229" top="0.23622047244094491" bottom="0.74803149606299213" header="0" footer="0"/>
  <pageSetup scale="34" orientation="landscape" r:id="rId3"/>
  <headerFooter alignWithMargins="0"/>
  <rowBreaks count="4" manualBreakCount="4">
    <brk id="59" max="16383" man="1"/>
    <brk id="110" max="16383" man="1"/>
    <brk id="160" max="13" man="1"/>
    <brk id="239" man="1"/>
  </rowBreaks>
  <colBreaks count="1" manualBreakCount="1">
    <brk id="23" max="1048575" man="1"/>
  </colBreak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8"/>
  </sheetPr>
  <dimension ref="A1:Y234"/>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38" t="s">
        <v>223</v>
      </c>
      <c r="B1" s="285" t="s">
        <v>123</v>
      </c>
      <c r="C1" s="239"/>
      <c r="D1" s="239"/>
      <c r="E1" s="239"/>
      <c r="F1" s="239"/>
      <c r="G1" s="239"/>
      <c r="H1" s="239"/>
      <c r="I1" s="239"/>
      <c r="J1" s="239"/>
      <c r="K1" s="239"/>
      <c r="L1" s="239"/>
      <c r="M1" s="240"/>
      <c r="N1" s="240"/>
      <c r="O1" s="240"/>
      <c r="P1" s="240"/>
      <c r="Q1" s="240"/>
      <c r="R1" s="240"/>
      <c r="S1" s="240"/>
      <c r="T1" s="240"/>
      <c r="U1" s="240"/>
      <c r="V1" s="241"/>
      <c r="W1" s="6"/>
    </row>
    <row r="2" spans="1:23" ht="15.6">
      <c r="A2" s="242"/>
      <c r="B2" s="243"/>
      <c r="C2" s="243"/>
      <c r="D2" s="243"/>
      <c r="E2" s="243"/>
      <c r="F2" s="243"/>
      <c r="G2" s="243"/>
      <c r="H2" s="243"/>
      <c r="I2" s="243"/>
      <c r="J2" s="243"/>
      <c r="K2" s="243"/>
      <c r="L2" s="243"/>
      <c r="M2" s="244"/>
      <c r="N2" s="244"/>
      <c r="O2" s="244"/>
      <c r="P2" s="244"/>
      <c r="Q2" s="244"/>
      <c r="R2" s="244"/>
      <c r="S2" s="244"/>
      <c r="T2" s="244"/>
      <c r="U2" s="244"/>
      <c r="V2" s="245"/>
      <c r="W2" s="6"/>
    </row>
    <row r="3" spans="1:23" ht="15.6">
      <c r="A3" s="246"/>
      <c r="B3" s="247" t="s">
        <v>125</v>
      </c>
      <c r="C3" s="244"/>
      <c r="D3" s="244"/>
      <c r="E3" s="244"/>
      <c r="F3" s="244"/>
      <c r="G3" s="244"/>
      <c r="H3" s="244"/>
      <c r="I3" s="244"/>
      <c r="J3" s="244"/>
      <c r="K3" s="244"/>
      <c r="L3" s="244"/>
      <c r="M3" s="244"/>
      <c r="N3" s="244"/>
      <c r="O3" s="244"/>
      <c r="P3" s="244"/>
      <c r="Q3" s="244"/>
      <c r="R3" s="244"/>
      <c r="S3" s="244"/>
      <c r="T3" s="244"/>
      <c r="U3" s="244"/>
      <c r="V3" s="245"/>
      <c r="W3" s="6"/>
    </row>
    <row r="4" spans="1:23" ht="15.6">
      <c r="A4" s="242"/>
      <c r="B4" s="243"/>
      <c r="C4" s="243"/>
      <c r="D4" s="243"/>
      <c r="E4" s="243"/>
      <c r="F4" s="243"/>
      <c r="G4" s="243"/>
      <c r="H4" s="243"/>
      <c r="I4" s="243"/>
      <c r="J4" s="243"/>
      <c r="K4" s="243"/>
      <c r="L4" s="243"/>
      <c r="M4" s="244"/>
      <c r="N4" s="244"/>
      <c r="O4" s="244"/>
      <c r="P4" s="244"/>
      <c r="Q4" s="244"/>
      <c r="R4" s="244"/>
      <c r="S4" s="244"/>
      <c r="T4" s="244"/>
      <c r="U4" s="244"/>
      <c r="V4" s="245"/>
      <c r="W4" s="6"/>
    </row>
    <row r="5" spans="1:23" ht="16.2">
      <c r="A5" s="242"/>
      <c r="B5" s="286" t="s">
        <v>0</v>
      </c>
      <c r="C5" s="248"/>
      <c r="D5" s="248"/>
      <c r="E5" s="248"/>
      <c r="F5" s="248"/>
      <c r="G5" s="248"/>
      <c r="H5" s="248"/>
      <c r="I5" s="248"/>
      <c r="J5" s="248"/>
      <c r="K5" s="248"/>
      <c r="L5" s="248"/>
      <c r="M5" s="244"/>
      <c r="N5" s="244"/>
      <c r="O5" s="244"/>
      <c r="P5" s="244"/>
      <c r="Q5" s="244"/>
      <c r="R5" s="244"/>
      <c r="S5" s="244"/>
      <c r="T5" s="244"/>
      <c r="U5" s="244"/>
      <c r="V5" s="245"/>
      <c r="W5" s="6"/>
    </row>
    <row r="6" spans="1:23" ht="16.2">
      <c r="A6" s="242"/>
      <c r="B6" s="286" t="s">
        <v>1</v>
      </c>
      <c r="C6" s="248"/>
      <c r="D6" s="248"/>
      <c r="E6" s="248"/>
      <c r="F6" s="248"/>
      <c r="G6" s="248"/>
      <c r="H6" s="248"/>
      <c r="I6" s="248"/>
      <c r="J6" s="248"/>
      <c r="K6" s="248"/>
      <c r="L6" s="248"/>
      <c r="M6" s="244"/>
      <c r="N6" s="244"/>
      <c r="O6" s="244"/>
      <c r="P6" s="244"/>
      <c r="Q6" s="244"/>
      <c r="R6" s="244"/>
      <c r="S6" s="244"/>
      <c r="T6" s="244"/>
      <c r="U6" s="244"/>
      <c r="V6" s="245"/>
      <c r="W6" s="6"/>
    </row>
    <row r="7" spans="1:23" ht="16.2">
      <c r="A7" s="242"/>
      <c r="B7" s="286" t="s">
        <v>2</v>
      </c>
      <c r="C7" s="248"/>
      <c r="D7" s="248"/>
      <c r="E7" s="248"/>
      <c r="F7" s="248"/>
      <c r="G7" s="248"/>
      <c r="H7" s="248"/>
      <c r="I7" s="248"/>
      <c r="J7" s="248"/>
      <c r="K7" s="248"/>
      <c r="L7" s="248"/>
      <c r="M7" s="244"/>
      <c r="N7" s="244"/>
      <c r="O7" s="244"/>
      <c r="P7" s="244"/>
      <c r="Q7" s="244"/>
      <c r="R7" s="244"/>
      <c r="S7" s="244"/>
      <c r="T7" s="244"/>
      <c r="U7" s="244"/>
      <c r="V7" s="245"/>
      <c r="W7" s="6"/>
    </row>
    <row r="8" spans="1:23" ht="16.2">
      <c r="A8" s="242"/>
      <c r="B8" s="249"/>
      <c r="C8" s="248"/>
      <c r="D8" s="248"/>
      <c r="E8" s="248"/>
      <c r="F8" s="248"/>
      <c r="G8" s="248"/>
      <c r="H8" s="248"/>
      <c r="I8" s="248"/>
      <c r="J8" s="248"/>
      <c r="K8" s="248"/>
      <c r="L8" s="248"/>
      <c r="M8" s="244"/>
      <c r="N8" s="244"/>
      <c r="O8" s="244"/>
      <c r="P8" s="244"/>
      <c r="Q8" s="244"/>
      <c r="R8" s="244"/>
      <c r="S8" s="244"/>
      <c r="T8" s="244"/>
      <c r="U8" s="244"/>
      <c r="V8" s="245"/>
      <c r="W8" s="6"/>
    </row>
    <row r="9" spans="1:23" ht="18">
      <c r="A9" s="242"/>
      <c r="B9" s="250" t="s">
        <v>194</v>
      </c>
      <c r="C9" s="248"/>
      <c r="D9" s="248"/>
      <c r="E9" s="248"/>
      <c r="F9" s="248"/>
      <c r="G9" s="248"/>
      <c r="H9" s="248"/>
      <c r="I9" s="251" t="s">
        <v>195</v>
      </c>
      <c r="J9" s="248"/>
      <c r="K9" s="248"/>
      <c r="L9" s="248"/>
      <c r="M9" s="244"/>
      <c r="N9" s="244"/>
      <c r="O9" s="244"/>
      <c r="P9" s="244"/>
      <c r="Q9" s="244"/>
      <c r="R9" s="244"/>
      <c r="S9" s="244"/>
      <c r="T9" s="244"/>
      <c r="U9" s="244"/>
      <c r="V9" s="245"/>
      <c r="W9" s="6"/>
    </row>
    <row r="10" spans="1:23" ht="16.2">
      <c r="A10" s="242"/>
      <c r="B10" s="248"/>
      <c r="C10" s="248"/>
      <c r="D10" s="248"/>
      <c r="E10" s="248"/>
      <c r="F10" s="248"/>
      <c r="G10" s="248"/>
      <c r="H10" s="248"/>
      <c r="I10" s="248"/>
      <c r="J10" s="248"/>
      <c r="K10" s="248"/>
      <c r="L10" s="248"/>
      <c r="M10" s="252"/>
      <c r="N10" s="252"/>
      <c r="O10" s="244"/>
      <c r="P10" s="244"/>
      <c r="Q10" s="244"/>
      <c r="R10" s="244"/>
      <c r="S10" s="244"/>
      <c r="T10" s="244"/>
      <c r="U10" s="244"/>
      <c r="V10" s="245"/>
      <c r="W10" s="6"/>
    </row>
    <row r="11" spans="1:23" ht="15.6">
      <c r="A11" s="242"/>
      <c r="B11" s="287" t="s">
        <v>3</v>
      </c>
      <c r="C11" s="252"/>
      <c r="D11" s="252"/>
      <c r="E11" s="252"/>
      <c r="F11" s="252"/>
      <c r="G11" s="252"/>
      <c r="H11" s="252"/>
      <c r="I11" s="252"/>
      <c r="J11" s="252"/>
      <c r="K11" s="252"/>
      <c r="L11" s="252"/>
      <c r="M11" s="244"/>
      <c r="N11" s="244"/>
      <c r="O11" s="244"/>
      <c r="P11" s="244"/>
      <c r="Q11" s="244"/>
      <c r="R11" s="244"/>
      <c r="S11" s="244"/>
      <c r="T11" s="244"/>
      <c r="U11" s="244"/>
      <c r="V11" s="245"/>
      <c r="W11" s="6"/>
    </row>
    <row r="12" spans="1:23" ht="16.2" thickBot="1">
      <c r="A12" s="242"/>
      <c r="B12" s="252"/>
      <c r="C12" s="252"/>
      <c r="D12" s="252"/>
      <c r="E12" s="252"/>
      <c r="F12" s="252"/>
      <c r="G12" s="252"/>
      <c r="H12" s="252"/>
      <c r="I12" s="252"/>
      <c r="J12" s="252"/>
      <c r="K12" s="252"/>
      <c r="L12" s="252"/>
      <c r="M12" s="244"/>
      <c r="N12" s="244"/>
      <c r="O12" s="244"/>
      <c r="P12" s="244"/>
      <c r="Q12" s="244"/>
      <c r="R12" s="244"/>
      <c r="S12" s="244"/>
      <c r="T12" s="244"/>
      <c r="U12" s="244"/>
      <c r="V12" s="245"/>
      <c r="W12" s="6"/>
    </row>
    <row r="13" spans="1:23" ht="15.6">
      <c r="A13" s="238"/>
      <c r="B13" s="240"/>
      <c r="C13" s="240"/>
      <c r="D13" s="240"/>
      <c r="E13" s="240"/>
      <c r="F13" s="240"/>
      <c r="G13" s="240"/>
      <c r="H13" s="240"/>
      <c r="I13" s="240"/>
      <c r="J13" s="240"/>
      <c r="K13" s="240"/>
      <c r="L13" s="240"/>
      <c r="M13" s="240"/>
      <c r="N13" s="240"/>
      <c r="O13" s="240"/>
      <c r="P13" s="240"/>
      <c r="Q13" s="240"/>
      <c r="R13" s="240"/>
      <c r="S13" s="240"/>
      <c r="T13" s="240"/>
      <c r="U13" s="240"/>
      <c r="V13" s="241"/>
      <c r="W13" s="6"/>
    </row>
    <row r="14" spans="1:23" ht="15.6">
      <c r="A14" s="242"/>
      <c r="B14" s="287" t="s">
        <v>4</v>
      </c>
      <c r="C14" s="253"/>
      <c r="D14" s="253"/>
      <c r="E14" s="253"/>
      <c r="F14" s="253"/>
      <c r="G14" s="253"/>
      <c r="H14" s="253"/>
      <c r="I14" s="253"/>
      <c r="J14" s="253"/>
      <c r="K14" s="253"/>
      <c r="L14" s="253"/>
      <c r="M14" s="288"/>
      <c r="N14" s="288"/>
      <c r="O14" s="288"/>
      <c r="P14" s="288"/>
      <c r="Q14" s="288"/>
      <c r="R14" s="288"/>
      <c r="S14" s="288"/>
      <c r="T14" s="288"/>
      <c r="U14" s="289" t="s">
        <v>126</v>
      </c>
      <c r="V14" s="245"/>
      <c r="W14" s="6"/>
    </row>
    <row r="15" spans="1:23" ht="15.6">
      <c r="A15" s="242"/>
      <c r="B15" s="287" t="s">
        <v>5</v>
      </c>
      <c r="C15" s="253"/>
      <c r="D15" s="253"/>
      <c r="E15" s="253"/>
      <c r="F15" s="253"/>
      <c r="G15" s="253"/>
      <c r="H15" s="253"/>
      <c r="I15" s="253"/>
      <c r="J15" s="253"/>
      <c r="K15" s="253"/>
      <c r="L15" s="253"/>
      <c r="M15" s="290" t="s">
        <v>93</v>
      </c>
      <c r="N15" s="291">
        <v>0.1492</v>
      </c>
      <c r="O15" s="290" t="s">
        <v>99</v>
      </c>
      <c r="P15" s="291">
        <v>5.4399999999999997E-2</v>
      </c>
      <c r="Q15" s="290" t="s">
        <v>102</v>
      </c>
      <c r="R15" s="291">
        <v>0.48899999999999999</v>
      </c>
      <c r="S15" s="290" t="s">
        <v>108</v>
      </c>
      <c r="T15" s="291">
        <v>0.30740000000000001</v>
      </c>
      <c r="U15" s="289"/>
      <c r="V15" s="254"/>
      <c r="W15" s="6"/>
    </row>
    <row r="16" spans="1:23" ht="15.6">
      <c r="A16" s="242"/>
      <c r="B16" s="287" t="s">
        <v>6</v>
      </c>
      <c r="C16" s="253"/>
      <c r="D16" s="253"/>
      <c r="E16" s="253"/>
      <c r="F16" s="253"/>
      <c r="G16" s="253"/>
      <c r="H16" s="253"/>
      <c r="I16" s="253"/>
      <c r="J16" s="253"/>
      <c r="K16" s="253"/>
      <c r="L16" s="253"/>
      <c r="M16" s="290" t="s">
        <v>93</v>
      </c>
      <c r="N16" s="291">
        <f>+N198/S221</f>
        <v>2.5029586708267371E-2</v>
      </c>
      <c r="O16" s="290" t="s">
        <v>99</v>
      </c>
      <c r="P16" s="291">
        <f>+S198/S221</f>
        <v>1.0874075895670351E-2</v>
      </c>
      <c r="Q16" s="290" t="s">
        <v>102</v>
      </c>
      <c r="R16" s="291">
        <f>+N211/S221</f>
        <v>0.87098658223567926</v>
      </c>
      <c r="S16" s="290" t="s">
        <v>108</v>
      </c>
      <c r="T16" s="291">
        <f>+S211/S221</f>
        <v>9.3109755160383015E-2</v>
      </c>
      <c r="U16" s="289"/>
      <c r="V16" s="254"/>
      <c r="W16" s="6"/>
    </row>
    <row r="17" spans="1:23" ht="15.6">
      <c r="A17" s="242"/>
      <c r="B17" s="287" t="s">
        <v>7</v>
      </c>
      <c r="C17" s="253"/>
      <c r="D17" s="253"/>
      <c r="E17" s="253"/>
      <c r="F17" s="253"/>
      <c r="G17" s="253"/>
      <c r="H17" s="253"/>
      <c r="I17" s="253"/>
      <c r="J17" s="253"/>
      <c r="K17" s="253"/>
      <c r="L17" s="253"/>
      <c r="M17" s="288"/>
      <c r="N17" s="288"/>
      <c r="O17" s="288"/>
      <c r="P17" s="288"/>
      <c r="Q17" s="288"/>
      <c r="R17" s="288"/>
      <c r="S17" s="288"/>
      <c r="T17" s="288"/>
      <c r="U17" s="292">
        <v>38491</v>
      </c>
      <c r="V17" s="245"/>
      <c r="W17" s="6"/>
    </row>
    <row r="18" spans="1:23" ht="15.6">
      <c r="A18" s="242"/>
      <c r="B18" s="287" t="s">
        <v>8</v>
      </c>
      <c r="C18" s="253"/>
      <c r="D18" s="253"/>
      <c r="E18" s="253"/>
      <c r="F18" s="253"/>
      <c r="G18" s="253"/>
      <c r="H18" s="253"/>
      <c r="I18" s="253"/>
      <c r="J18" s="253"/>
      <c r="K18" s="253"/>
      <c r="L18" s="253"/>
      <c r="M18" s="288"/>
      <c r="N18" s="288"/>
      <c r="O18" s="288"/>
      <c r="P18" s="288"/>
      <c r="Q18" s="288"/>
      <c r="R18" s="288"/>
      <c r="S18" s="288"/>
      <c r="T18" s="288"/>
      <c r="U18" s="292">
        <v>40381</v>
      </c>
      <c r="V18" s="245"/>
      <c r="W18" s="6"/>
    </row>
    <row r="19" spans="1:23" ht="15.6">
      <c r="A19" s="242"/>
      <c r="B19" s="288"/>
      <c r="C19" s="244"/>
      <c r="D19" s="244"/>
      <c r="E19" s="244"/>
      <c r="F19" s="244"/>
      <c r="G19" s="244"/>
      <c r="H19" s="244"/>
      <c r="I19" s="244"/>
      <c r="J19" s="244"/>
      <c r="K19" s="244"/>
      <c r="L19" s="244"/>
      <c r="M19" s="244"/>
      <c r="N19" s="244"/>
      <c r="O19" s="244"/>
      <c r="P19" s="244"/>
      <c r="Q19" s="244"/>
      <c r="R19" s="244"/>
      <c r="S19" s="244"/>
      <c r="T19" s="244"/>
      <c r="U19" s="255"/>
      <c r="V19" s="245"/>
      <c r="W19" s="6"/>
    </row>
    <row r="20" spans="1:23" ht="15.6">
      <c r="A20" s="242"/>
      <c r="B20" s="293" t="s">
        <v>9</v>
      </c>
      <c r="C20" s="244"/>
      <c r="D20" s="244"/>
      <c r="E20" s="244"/>
      <c r="F20" s="244"/>
      <c r="G20" s="244"/>
      <c r="H20" s="244"/>
      <c r="I20" s="244"/>
      <c r="J20" s="244"/>
      <c r="K20" s="244"/>
      <c r="L20" s="244"/>
      <c r="M20" s="244"/>
      <c r="N20" s="244"/>
      <c r="O20" s="244"/>
      <c r="P20" s="244"/>
      <c r="Q20" s="244"/>
      <c r="R20" s="244"/>
      <c r="S20" s="255"/>
      <c r="T20" s="244"/>
      <c r="U20" s="249"/>
      <c r="V20" s="245"/>
      <c r="W20" s="6"/>
    </row>
    <row r="21" spans="1:23" ht="15.6">
      <c r="A21" s="242"/>
      <c r="B21" s="244"/>
      <c r="C21" s="244"/>
      <c r="D21" s="244"/>
      <c r="E21" s="244"/>
      <c r="F21" s="244"/>
      <c r="G21" s="244"/>
      <c r="H21" s="244"/>
      <c r="I21" s="244"/>
      <c r="J21" s="244"/>
      <c r="K21" s="244"/>
      <c r="L21" s="244"/>
      <c r="M21" s="244"/>
      <c r="N21" s="244"/>
      <c r="O21" s="244"/>
      <c r="P21" s="244"/>
      <c r="Q21" s="244"/>
      <c r="R21" s="244"/>
      <c r="S21" s="244"/>
      <c r="T21" s="244"/>
      <c r="U21" s="256"/>
      <c r="V21" s="245"/>
      <c r="W21" s="6"/>
    </row>
    <row r="22" spans="1:23" ht="15.6">
      <c r="A22" s="230"/>
      <c r="B22" s="231"/>
      <c r="C22" s="232" t="s">
        <v>130</v>
      </c>
      <c r="D22" s="232"/>
      <c r="E22" s="232" t="s">
        <v>131</v>
      </c>
      <c r="F22" s="232"/>
      <c r="G22" s="232" t="s">
        <v>132</v>
      </c>
      <c r="H22" s="232"/>
      <c r="I22" s="232" t="s">
        <v>133</v>
      </c>
      <c r="J22" s="232"/>
      <c r="K22" s="232" t="s">
        <v>134</v>
      </c>
      <c r="L22" s="232"/>
      <c r="M22" s="233" t="s">
        <v>135</v>
      </c>
      <c r="N22" s="233"/>
      <c r="O22" s="233" t="s">
        <v>136</v>
      </c>
      <c r="P22" s="233"/>
      <c r="Q22" s="233" t="s">
        <v>137</v>
      </c>
      <c r="R22" s="234"/>
      <c r="S22" s="235"/>
      <c r="T22" s="236"/>
      <c r="U22" s="236"/>
      <c r="V22" s="237"/>
      <c r="W22" s="6"/>
    </row>
    <row r="23" spans="1:23" ht="15.6">
      <c r="A23" s="257"/>
      <c r="B23" s="294" t="s">
        <v>10</v>
      </c>
      <c r="C23" s="295" t="s">
        <v>96</v>
      </c>
      <c r="D23" s="295"/>
      <c r="E23" s="295" t="s">
        <v>96</v>
      </c>
      <c r="F23" s="295"/>
      <c r="G23" s="295" t="s">
        <v>138</v>
      </c>
      <c r="H23" s="295"/>
      <c r="I23" s="295" t="s">
        <v>138</v>
      </c>
      <c r="J23" s="295"/>
      <c r="K23" s="295" t="s">
        <v>104</v>
      </c>
      <c r="L23" s="296"/>
      <c r="M23" s="297" t="s">
        <v>104</v>
      </c>
      <c r="N23" s="297"/>
      <c r="O23" s="297" t="s">
        <v>109</v>
      </c>
      <c r="P23" s="297"/>
      <c r="Q23" s="297" t="s">
        <v>109</v>
      </c>
      <c r="R23" s="258"/>
      <c r="S23" s="258"/>
      <c r="T23" s="259"/>
      <c r="U23" s="259"/>
      <c r="V23" s="260"/>
      <c r="W23" s="6"/>
    </row>
    <row r="24" spans="1:23" ht="15.6">
      <c r="A24" s="378"/>
      <c r="B24" s="379" t="s">
        <v>11</v>
      </c>
      <c r="C24" s="380" t="s">
        <v>97</v>
      </c>
      <c r="D24" s="380"/>
      <c r="E24" s="380" t="s">
        <v>97</v>
      </c>
      <c r="F24" s="380"/>
      <c r="G24" s="380" t="s">
        <v>139</v>
      </c>
      <c r="H24" s="380"/>
      <c r="I24" s="380" t="s">
        <v>139</v>
      </c>
      <c r="J24" s="380"/>
      <c r="K24" s="380" t="s">
        <v>105</v>
      </c>
      <c r="L24" s="381"/>
      <c r="M24" s="382" t="s">
        <v>105</v>
      </c>
      <c r="N24" s="382"/>
      <c r="O24" s="382" t="s">
        <v>110</v>
      </c>
      <c r="P24" s="382"/>
      <c r="Q24" s="382" t="s">
        <v>110</v>
      </c>
      <c r="R24" s="383"/>
      <c r="S24" s="383"/>
      <c r="T24" s="384"/>
      <c r="U24" s="384"/>
      <c r="V24" s="385"/>
      <c r="W24" s="6"/>
    </row>
    <row r="25" spans="1:23" ht="15.6">
      <c r="A25" s="378"/>
      <c r="B25" s="386" t="s">
        <v>12</v>
      </c>
      <c r="C25" s="381" t="s">
        <v>96</v>
      </c>
      <c r="D25" s="381"/>
      <c r="E25" s="381" t="s">
        <v>96</v>
      </c>
      <c r="F25" s="381"/>
      <c r="G25" s="381" t="s">
        <v>138</v>
      </c>
      <c r="H25" s="381"/>
      <c r="I25" s="381" t="s">
        <v>138</v>
      </c>
      <c r="J25" s="386"/>
      <c r="K25" s="381" t="s">
        <v>104</v>
      </c>
      <c r="L25" s="386"/>
      <c r="M25" s="387" t="s">
        <v>104</v>
      </c>
      <c r="N25" s="382"/>
      <c r="O25" s="387" t="s">
        <v>109</v>
      </c>
      <c r="P25" s="382"/>
      <c r="Q25" s="387" t="s">
        <v>109</v>
      </c>
      <c r="R25" s="388"/>
      <c r="S25" s="388"/>
      <c r="T25" s="389"/>
      <c r="U25" s="384"/>
      <c r="V25" s="385"/>
      <c r="W25" s="6"/>
    </row>
    <row r="26" spans="1:23" ht="15.6">
      <c r="A26" s="378"/>
      <c r="B26" s="386" t="s">
        <v>13</v>
      </c>
      <c r="C26" s="381" t="s">
        <v>97</v>
      </c>
      <c r="D26" s="381"/>
      <c r="E26" s="381" t="s">
        <v>97</v>
      </c>
      <c r="F26" s="381"/>
      <c r="G26" s="381" t="s">
        <v>139</v>
      </c>
      <c r="H26" s="381"/>
      <c r="I26" s="381" t="s">
        <v>139</v>
      </c>
      <c r="J26" s="386"/>
      <c r="K26" s="381" t="s">
        <v>105</v>
      </c>
      <c r="L26" s="386"/>
      <c r="M26" s="387" t="s">
        <v>105</v>
      </c>
      <c r="N26" s="382"/>
      <c r="O26" s="387" t="s">
        <v>110</v>
      </c>
      <c r="P26" s="382"/>
      <c r="Q26" s="387" t="s">
        <v>110</v>
      </c>
      <c r="R26" s="388"/>
      <c r="S26" s="388"/>
      <c r="T26" s="389"/>
      <c r="U26" s="384"/>
      <c r="V26" s="385"/>
      <c r="W26" s="6"/>
    </row>
    <row r="27" spans="1:23" ht="15.6">
      <c r="A27" s="378"/>
      <c r="B27" s="379" t="s">
        <v>14</v>
      </c>
      <c r="C27" s="380" t="s">
        <v>140</v>
      </c>
      <c r="D27" s="379"/>
      <c r="E27" s="380" t="s">
        <v>141</v>
      </c>
      <c r="F27" s="379"/>
      <c r="G27" s="380" t="s">
        <v>142</v>
      </c>
      <c r="H27" s="379"/>
      <c r="I27" s="380" t="s">
        <v>258</v>
      </c>
      <c r="J27" s="379"/>
      <c r="K27" s="380" t="s">
        <v>143</v>
      </c>
      <c r="L27" s="379"/>
      <c r="M27" s="379" t="s">
        <v>144</v>
      </c>
      <c r="N27" s="382"/>
      <c r="O27" s="379" t="s">
        <v>145</v>
      </c>
      <c r="P27" s="382"/>
      <c r="Q27" s="379" t="s">
        <v>146</v>
      </c>
      <c r="R27" s="383"/>
      <c r="S27" s="390"/>
      <c r="T27" s="384"/>
      <c r="U27" s="384"/>
      <c r="V27" s="385"/>
      <c r="W27" s="6"/>
    </row>
    <row r="28" spans="1:23" ht="15.6">
      <c r="A28" s="378"/>
      <c r="B28" s="379" t="s">
        <v>147</v>
      </c>
      <c r="C28" s="391">
        <v>146000</v>
      </c>
      <c r="D28" s="380"/>
      <c r="E28" s="392">
        <v>259500</v>
      </c>
      <c r="F28" s="380"/>
      <c r="G28" s="391">
        <v>16000</v>
      </c>
      <c r="H28" s="380"/>
      <c r="I28" s="392">
        <v>35500</v>
      </c>
      <c r="J28" s="379"/>
      <c r="K28" s="391">
        <v>18000</v>
      </c>
      <c r="L28" s="379"/>
      <c r="M28" s="392">
        <v>33000</v>
      </c>
      <c r="N28" s="393"/>
      <c r="O28" s="394">
        <v>24500</v>
      </c>
      <c r="P28" s="394"/>
      <c r="Q28" s="392">
        <v>30000</v>
      </c>
      <c r="R28" s="395"/>
      <c r="S28" s="395"/>
      <c r="T28" s="396"/>
      <c r="U28" s="395"/>
      <c r="V28" s="397"/>
      <c r="W28" s="6"/>
    </row>
    <row r="29" spans="1:23" ht="15.6">
      <c r="A29" s="378"/>
      <c r="B29" s="379" t="s">
        <v>15</v>
      </c>
      <c r="C29" s="391">
        <f>C28*C35</f>
        <v>68911.211599999995</v>
      </c>
      <c r="D29" s="398"/>
      <c r="E29" s="392">
        <f>E28*E35</f>
        <v>122482.5987</v>
      </c>
      <c r="F29" s="398"/>
      <c r="G29" s="391">
        <v>16000</v>
      </c>
      <c r="H29" s="398"/>
      <c r="I29" s="392">
        <v>35500</v>
      </c>
      <c r="J29" s="399"/>
      <c r="K29" s="391">
        <v>18000</v>
      </c>
      <c r="L29" s="399"/>
      <c r="M29" s="392">
        <v>33000</v>
      </c>
      <c r="N29" s="393"/>
      <c r="O29" s="394">
        <v>24500</v>
      </c>
      <c r="P29" s="394"/>
      <c r="Q29" s="392">
        <v>30000</v>
      </c>
      <c r="R29" s="400"/>
      <c r="S29" s="395"/>
      <c r="T29" s="396"/>
      <c r="U29" s="395"/>
      <c r="V29" s="397"/>
      <c r="W29" s="6"/>
    </row>
    <row r="30" spans="1:23" ht="15.6">
      <c r="A30" s="401"/>
      <c r="B30" s="386" t="s">
        <v>148</v>
      </c>
      <c r="C30" s="402">
        <f>C34*C28</f>
        <v>60496.297200000001</v>
      </c>
      <c r="D30" s="403"/>
      <c r="E30" s="404">
        <f>E34*E28</f>
        <v>107525.9529</v>
      </c>
      <c r="F30" s="403"/>
      <c r="G30" s="402">
        <v>16000</v>
      </c>
      <c r="H30" s="403"/>
      <c r="I30" s="404">
        <v>35500</v>
      </c>
      <c r="J30" s="405"/>
      <c r="K30" s="402">
        <v>18000</v>
      </c>
      <c r="L30" s="399"/>
      <c r="M30" s="406">
        <v>33000</v>
      </c>
      <c r="N30" s="407"/>
      <c r="O30" s="408">
        <v>24500</v>
      </c>
      <c r="P30" s="408"/>
      <c r="Q30" s="406">
        <v>30000</v>
      </c>
      <c r="R30" s="408"/>
      <c r="S30" s="408"/>
      <c r="T30" s="409"/>
      <c r="U30" s="408"/>
      <c r="V30" s="410"/>
      <c r="W30" s="6"/>
    </row>
    <row r="31" spans="1:23" ht="15.6">
      <c r="A31" s="401"/>
      <c r="B31" s="411" t="s">
        <v>260</v>
      </c>
      <c r="C31" s="391">
        <v>146000</v>
      </c>
      <c r="D31" s="398"/>
      <c r="E31" s="391">
        <v>178000</v>
      </c>
      <c r="F31" s="391"/>
      <c r="G31" s="391">
        <v>16000</v>
      </c>
      <c r="H31" s="391"/>
      <c r="I31" s="391">
        <v>24500</v>
      </c>
      <c r="J31" s="412"/>
      <c r="K31" s="391">
        <v>18000</v>
      </c>
      <c r="L31" s="412"/>
      <c r="M31" s="413">
        <v>22500</v>
      </c>
      <c r="N31" s="414"/>
      <c r="O31" s="413">
        <v>24500</v>
      </c>
      <c r="P31" s="415"/>
      <c r="Q31" s="413">
        <v>20500</v>
      </c>
      <c r="R31" s="408"/>
      <c r="S31" s="408"/>
      <c r="T31" s="409"/>
      <c r="U31" s="394">
        <f>+Q31+O31+M31+K31+I31+G31+E31+C31</f>
        <v>450000</v>
      </c>
      <c r="V31" s="410"/>
      <c r="W31" s="6"/>
    </row>
    <row r="32" spans="1:23" ht="15.6">
      <c r="A32" s="401"/>
      <c r="B32" s="411" t="s">
        <v>261</v>
      </c>
      <c r="C32" s="391">
        <f>C28*C35</f>
        <v>68911.211599999995</v>
      </c>
      <c r="D32" s="398"/>
      <c r="E32" s="391">
        <f>E31*E35</f>
        <v>84015.038799999995</v>
      </c>
      <c r="F32" s="391"/>
      <c r="G32" s="391">
        <v>16000</v>
      </c>
      <c r="H32" s="391"/>
      <c r="I32" s="391">
        <v>24500</v>
      </c>
      <c r="J32" s="412"/>
      <c r="K32" s="391">
        <v>18000</v>
      </c>
      <c r="L32" s="412"/>
      <c r="M32" s="413">
        <v>22500</v>
      </c>
      <c r="N32" s="414"/>
      <c r="O32" s="413">
        <v>24500</v>
      </c>
      <c r="P32" s="415"/>
      <c r="Q32" s="413">
        <v>20500</v>
      </c>
      <c r="R32" s="408"/>
      <c r="S32" s="408"/>
      <c r="T32" s="409"/>
      <c r="U32" s="394">
        <f>+Q32+O32+M32+K32+I32+G32+E32+C32</f>
        <v>278926.25039999996</v>
      </c>
      <c r="V32" s="410"/>
      <c r="W32" s="6"/>
    </row>
    <row r="33" spans="1:23" ht="15.6">
      <c r="A33" s="401"/>
      <c r="B33" s="386" t="s">
        <v>262</v>
      </c>
      <c r="C33" s="402">
        <f>C34*C28</f>
        <v>60496.297200000001</v>
      </c>
      <c r="D33" s="402"/>
      <c r="E33" s="402">
        <f>E34*E31</f>
        <v>73755.759600000005</v>
      </c>
      <c r="F33" s="402"/>
      <c r="G33" s="402">
        <v>16000</v>
      </c>
      <c r="H33" s="402"/>
      <c r="I33" s="402">
        <v>24500</v>
      </c>
      <c r="J33" s="416"/>
      <c r="K33" s="402">
        <v>18000</v>
      </c>
      <c r="L33" s="416"/>
      <c r="M33" s="402">
        <v>22500</v>
      </c>
      <c r="N33" s="416"/>
      <c r="O33" s="402">
        <v>24500</v>
      </c>
      <c r="P33" s="402"/>
      <c r="Q33" s="402">
        <v>20500</v>
      </c>
      <c r="R33" s="408"/>
      <c r="S33" s="408"/>
      <c r="T33" s="409"/>
      <c r="U33" s="408">
        <f>+Q33+O33+M33+K33+I33+G33+E33+C33</f>
        <v>260252.05679999999</v>
      </c>
      <c r="V33" s="410"/>
      <c r="W33" s="6"/>
    </row>
    <row r="34" spans="1:23" ht="15.6">
      <c r="A34" s="401"/>
      <c r="B34" s="417" t="s">
        <v>149</v>
      </c>
      <c r="C34" s="418">
        <v>0.41435820000000001</v>
      </c>
      <c r="D34" s="418"/>
      <c r="E34" s="418">
        <v>0.41435820000000001</v>
      </c>
      <c r="F34" s="418"/>
      <c r="G34" s="418">
        <v>1</v>
      </c>
      <c r="H34" s="418"/>
      <c r="I34" s="418">
        <v>1</v>
      </c>
      <c r="J34" s="418"/>
      <c r="K34" s="418">
        <v>1</v>
      </c>
      <c r="L34" s="418"/>
      <c r="M34" s="418">
        <v>1</v>
      </c>
      <c r="N34" s="418"/>
      <c r="O34" s="418">
        <v>1</v>
      </c>
      <c r="P34" s="418"/>
      <c r="Q34" s="418">
        <v>1</v>
      </c>
      <c r="R34" s="419"/>
      <c r="S34" s="420"/>
      <c r="T34" s="421"/>
      <c r="U34" s="420"/>
      <c r="V34" s="385"/>
      <c r="W34" s="6"/>
    </row>
    <row r="35" spans="1:23" ht="15.6">
      <c r="A35" s="401"/>
      <c r="B35" s="417" t="s">
        <v>150</v>
      </c>
      <c r="C35" s="418">
        <v>0.47199459999999999</v>
      </c>
      <c r="D35" s="418"/>
      <c r="E35" s="418">
        <v>0.47199459999999999</v>
      </c>
      <c r="F35" s="418"/>
      <c r="G35" s="418">
        <v>1</v>
      </c>
      <c r="H35" s="418"/>
      <c r="I35" s="418">
        <v>1</v>
      </c>
      <c r="J35" s="418"/>
      <c r="K35" s="418">
        <v>1</v>
      </c>
      <c r="L35" s="418"/>
      <c r="M35" s="418">
        <v>1</v>
      </c>
      <c r="N35" s="418"/>
      <c r="O35" s="418">
        <v>1</v>
      </c>
      <c r="P35" s="418"/>
      <c r="Q35" s="418">
        <v>1</v>
      </c>
      <c r="R35" s="419"/>
      <c r="S35" s="420"/>
      <c r="T35" s="421"/>
      <c r="U35" s="420"/>
      <c r="V35" s="385"/>
      <c r="W35" s="6"/>
    </row>
    <row r="36" spans="1:23" ht="15.6">
      <c r="A36" s="378"/>
      <c r="B36" s="379" t="s">
        <v>153</v>
      </c>
      <c r="C36" s="380" t="s">
        <v>163</v>
      </c>
      <c r="D36" s="380"/>
      <c r="E36" s="380" t="s">
        <v>163</v>
      </c>
      <c r="F36" s="380"/>
      <c r="G36" s="380" t="s">
        <v>164</v>
      </c>
      <c r="H36" s="380"/>
      <c r="I36" s="380" t="s">
        <v>164</v>
      </c>
      <c r="J36" s="380"/>
      <c r="K36" s="380" t="s">
        <v>106</v>
      </c>
      <c r="L36" s="380"/>
      <c r="M36" s="380" t="s">
        <v>165</v>
      </c>
      <c r="N36" s="380"/>
      <c r="O36" s="380" t="s">
        <v>166</v>
      </c>
      <c r="P36" s="380"/>
      <c r="Q36" s="380" t="s">
        <v>167</v>
      </c>
      <c r="R36" s="422"/>
      <c r="S36" s="422"/>
      <c r="T36" s="411"/>
      <c r="U36" s="424"/>
      <c r="V36" s="410"/>
      <c r="W36" s="6"/>
    </row>
    <row r="37" spans="1:23" ht="15.6">
      <c r="A37" s="378"/>
      <c r="B37" s="379" t="s">
        <v>151</v>
      </c>
      <c r="C37" s="425">
        <v>1.09094E-2</v>
      </c>
      <c r="D37" s="425"/>
      <c r="E37" s="425">
        <v>1.0840000000000001E-2</v>
      </c>
      <c r="F37" s="425"/>
      <c r="G37" s="425">
        <v>1.31094E-2</v>
      </c>
      <c r="H37" s="425"/>
      <c r="I37" s="425">
        <v>1.304E-2</v>
      </c>
      <c r="J37" s="425"/>
      <c r="K37" s="425">
        <v>1.8509399999999999E-2</v>
      </c>
      <c r="L37" s="425"/>
      <c r="M37" s="425">
        <v>1.7840000000000002E-2</v>
      </c>
      <c r="N37" s="425"/>
      <c r="O37" s="425">
        <v>2.5509400000000002E-2</v>
      </c>
      <c r="P37" s="425"/>
      <c r="Q37" s="425">
        <v>2.444E-2</v>
      </c>
      <c r="R37" s="426"/>
      <c r="S37" s="425"/>
      <c r="T37" s="411"/>
      <c r="U37" s="380"/>
      <c r="V37" s="410"/>
      <c r="W37" s="6"/>
    </row>
    <row r="38" spans="1:23" ht="15.6">
      <c r="A38" s="378"/>
      <c r="B38" s="379" t="s">
        <v>152</v>
      </c>
      <c r="C38" s="425">
        <v>8.3000000000000001E-3</v>
      </c>
      <c r="D38" s="425"/>
      <c r="E38" s="425">
        <v>9.0399999999999994E-3</v>
      </c>
      <c r="F38" s="425"/>
      <c r="G38" s="425">
        <v>9.4000000000000004E-3</v>
      </c>
      <c r="H38" s="425"/>
      <c r="I38" s="425">
        <v>1.014E-2</v>
      </c>
      <c r="J38" s="425"/>
      <c r="K38" s="425">
        <v>1.21E-2</v>
      </c>
      <c r="L38" s="425"/>
      <c r="M38" s="425">
        <v>1.2540000000000001E-2</v>
      </c>
      <c r="N38" s="425"/>
      <c r="O38" s="425">
        <v>1.5599999999999999E-2</v>
      </c>
      <c r="P38" s="425"/>
      <c r="Q38" s="425">
        <v>1.584E-2</v>
      </c>
      <c r="R38" s="426"/>
      <c r="S38" s="425"/>
      <c r="T38" s="411"/>
      <c r="U38" s="424"/>
      <c r="V38" s="410"/>
      <c r="W38" s="6"/>
    </row>
    <row r="39" spans="1:23" ht="15.6">
      <c r="A39" s="378"/>
      <c r="B39" s="379" t="s">
        <v>263</v>
      </c>
      <c r="C39" s="380" t="s">
        <v>163</v>
      </c>
      <c r="D39" s="379"/>
      <c r="E39" s="380" t="s">
        <v>228</v>
      </c>
      <c r="F39" s="379"/>
      <c r="G39" s="380" t="s">
        <v>164</v>
      </c>
      <c r="H39" s="379"/>
      <c r="I39" s="380" t="s">
        <v>226</v>
      </c>
      <c r="J39" s="379"/>
      <c r="K39" s="380" t="s">
        <v>106</v>
      </c>
      <c r="L39" s="379"/>
      <c r="M39" s="380" t="s">
        <v>227</v>
      </c>
      <c r="N39" s="379"/>
      <c r="O39" s="380" t="s">
        <v>166</v>
      </c>
      <c r="P39" s="380"/>
      <c r="Q39" s="380" t="s">
        <v>229</v>
      </c>
      <c r="R39" s="426"/>
      <c r="S39" s="425"/>
      <c r="T39" s="411"/>
      <c r="U39" s="424"/>
      <c r="V39" s="410"/>
      <c r="W39" s="6"/>
    </row>
    <row r="40" spans="1:23" ht="15.6">
      <c r="A40" s="378"/>
      <c r="B40" s="379" t="s">
        <v>264</v>
      </c>
      <c r="C40" s="425">
        <f>+C37</f>
        <v>1.09094E-2</v>
      </c>
      <c r="D40" s="425"/>
      <c r="E40" s="425">
        <v>1.14854E-2</v>
      </c>
      <c r="F40" s="425"/>
      <c r="G40" s="425">
        <f>+G37</f>
        <v>1.31094E-2</v>
      </c>
      <c r="H40" s="425"/>
      <c r="I40" s="425">
        <v>1.3842399999999999E-2</v>
      </c>
      <c r="J40" s="425"/>
      <c r="K40" s="425">
        <f>+K37</f>
        <v>1.8509399999999999E-2</v>
      </c>
      <c r="L40" s="423"/>
      <c r="M40" s="425">
        <v>1.9069800000000001E-2</v>
      </c>
      <c r="N40" s="423"/>
      <c r="O40" s="425">
        <f>+O37</f>
        <v>2.5509400000000002E-2</v>
      </c>
      <c r="P40" s="425"/>
      <c r="Q40" s="425">
        <v>2.6335799999999999E-2</v>
      </c>
      <c r="R40" s="426"/>
      <c r="S40" s="425"/>
      <c r="T40" s="411"/>
      <c r="U40" s="427">
        <f>SUMPRODUCT(C40:Q40,C32:Q32)/U32</f>
        <v>1.5031641491074806E-2</v>
      </c>
      <c r="V40" s="410"/>
      <c r="W40" s="6"/>
    </row>
    <row r="41" spans="1:23" ht="15.6">
      <c r="A41" s="378"/>
      <c r="B41" s="379" t="s">
        <v>265</v>
      </c>
      <c r="C41" s="425">
        <f>+C38</f>
        <v>8.3000000000000001E-3</v>
      </c>
      <c r="D41" s="425"/>
      <c r="E41" s="425">
        <v>8.5880000000000001E-3</v>
      </c>
      <c r="F41" s="425"/>
      <c r="G41" s="425">
        <f>+G38</f>
        <v>9.4000000000000004E-3</v>
      </c>
      <c r="H41" s="425"/>
      <c r="I41" s="425">
        <v>9.7664999999999991E-3</v>
      </c>
      <c r="J41" s="425"/>
      <c r="K41" s="425">
        <f>+K38</f>
        <v>1.21E-2</v>
      </c>
      <c r="L41" s="423"/>
      <c r="M41" s="425">
        <v>1.2380199999999999E-2</v>
      </c>
      <c r="N41" s="423"/>
      <c r="O41" s="425">
        <f>+O38</f>
        <v>1.5599999999999999E-2</v>
      </c>
      <c r="P41" s="425"/>
      <c r="Q41" s="425">
        <v>1.6013199999999998E-2</v>
      </c>
      <c r="R41" s="426"/>
      <c r="S41" s="425"/>
      <c r="T41" s="411"/>
      <c r="U41" s="424"/>
      <c r="V41" s="410"/>
      <c r="W41" s="6"/>
    </row>
    <row r="42" spans="1:23" ht="15.6">
      <c r="A42" s="378"/>
      <c r="B42" s="379" t="s">
        <v>17</v>
      </c>
      <c r="C42" s="428">
        <v>39918</v>
      </c>
      <c r="D42" s="428"/>
      <c r="E42" s="428">
        <v>39918</v>
      </c>
      <c r="F42" s="428"/>
      <c r="G42" s="428">
        <v>39918</v>
      </c>
      <c r="H42" s="428"/>
      <c r="I42" s="428">
        <v>39918</v>
      </c>
      <c r="J42" s="428"/>
      <c r="K42" s="428">
        <v>39918</v>
      </c>
      <c r="L42" s="428"/>
      <c r="M42" s="428">
        <v>39918</v>
      </c>
      <c r="N42" s="428"/>
      <c r="O42" s="428">
        <v>39918</v>
      </c>
      <c r="P42" s="428"/>
      <c r="Q42" s="428">
        <v>39918</v>
      </c>
      <c r="R42" s="422"/>
      <c r="S42" s="422"/>
      <c r="T42" s="411"/>
      <c r="U42" s="424"/>
      <c r="V42" s="410"/>
      <c r="W42" s="6"/>
    </row>
    <row r="43" spans="1:23" ht="15.6">
      <c r="A43" s="378"/>
      <c r="B43" s="379" t="s">
        <v>18</v>
      </c>
      <c r="C43" s="429">
        <v>40283</v>
      </c>
      <c r="D43" s="430"/>
      <c r="E43" s="429">
        <v>40283</v>
      </c>
      <c r="F43" s="430"/>
      <c r="G43" s="429">
        <v>40283</v>
      </c>
      <c r="H43" s="430"/>
      <c r="I43" s="429">
        <v>40283</v>
      </c>
      <c r="J43" s="430"/>
      <c r="K43" s="429">
        <v>40283</v>
      </c>
      <c r="L43" s="430"/>
      <c r="M43" s="429">
        <v>40283</v>
      </c>
      <c r="N43" s="430"/>
      <c r="O43" s="429">
        <v>40283</v>
      </c>
      <c r="P43" s="429"/>
      <c r="Q43" s="429">
        <v>40283</v>
      </c>
      <c r="R43" s="380"/>
      <c r="S43" s="380"/>
      <c r="T43" s="424"/>
      <c r="U43" s="424"/>
      <c r="V43" s="410"/>
      <c r="W43" s="6"/>
    </row>
    <row r="44" spans="1:23" ht="15.6">
      <c r="A44" s="378"/>
      <c r="B44" s="379" t="s">
        <v>154</v>
      </c>
      <c r="C44" s="380" t="s">
        <v>163</v>
      </c>
      <c r="D44" s="380"/>
      <c r="E44" s="380" t="s">
        <v>163</v>
      </c>
      <c r="F44" s="380"/>
      <c r="G44" s="380" t="s">
        <v>164</v>
      </c>
      <c r="H44" s="380"/>
      <c r="I44" s="380" t="s">
        <v>164</v>
      </c>
      <c r="J44" s="380"/>
      <c r="K44" s="380" t="s">
        <v>106</v>
      </c>
      <c r="L44" s="380"/>
      <c r="M44" s="380" t="s">
        <v>165</v>
      </c>
      <c r="N44" s="380"/>
      <c r="O44" s="380" t="s">
        <v>166</v>
      </c>
      <c r="P44" s="380"/>
      <c r="Q44" s="380" t="s">
        <v>167</v>
      </c>
      <c r="R44" s="380"/>
      <c r="S44" s="380"/>
      <c r="T44" s="424"/>
      <c r="U44" s="424"/>
      <c r="V44" s="410"/>
      <c r="W44" s="6"/>
    </row>
    <row r="45" spans="1:23" ht="15.6">
      <c r="A45" s="378"/>
      <c r="B45" s="379" t="s">
        <v>266</v>
      </c>
      <c r="C45" s="380" t="s">
        <v>163</v>
      </c>
      <c r="D45" s="379"/>
      <c r="E45" s="380" t="s">
        <v>228</v>
      </c>
      <c r="F45" s="379"/>
      <c r="G45" s="380" t="s">
        <v>164</v>
      </c>
      <c r="H45" s="379"/>
      <c r="I45" s="380" t="s">
        <v>226</v>
      </c>
      <c r="J45" s="379"/>
      <c r="K45" s="380" t="s">
        <v>106</v>
      </c>
      <c r="L45" s="379"/>
      <c r="M45" s="380" t="s">
        <v>227</v>
      </c>
      <c r="N45" s="379"/>
      <c r="O45" s="380" t="s">
        <v>166</v>
      </c>
      <c r="P45" s="380"/>
      <c r="Q45" s="380" t="s">
        <v>229</v>
      </c>
      <c r="R45" s="380"/>
      <c r="S45" s="380"/>
      <c r="T45" s="424"/>
      <c r="U45" s="424"/>
      <c r="V45" s="410"/>
      <c r="W45" s="6"/>
    </row>
    <row r="46" spans="1:23" ht="15.6">
      <c r="A46" s="378"/>
      <c r="B46" s="379"/>
      <c r="C46" s="379"/>
      <c r="D46" s="379"/>
      <c r="E46" s="379"/>
      <c r="F46" s="379"/>
      <c r="G46" s="379"/>
      <c r="H46" s="379"/>
      <c r="I46" s="379"/>
      <c r="J46" s="379"/>
      <c r="K46" s="379"/>
      <c r="L46" s="379"/>
      <c r="M46" s="431"/>
      <c r="N46" s="431"/>
      <c r="O46" s="379"/>
      <c r="P46" s="431"/>
      <c r="Q46" s="431"/>
      <c r="R46" s="431"/>
      <c r="S46" s="431"/>
      <c r="T46" s="431"/>
      <c r="U46" s="431"/>
      <c r="V46" s="410"/>
      <c r="W46" s="6"/>
    </row>
    <row r="47" spans="1:23" ht="15.6">
      <c r="A47" s="378"/>
      <c r="B47" s="379" t="s">
        <v>201</v>
      </c>
      <c r="C47" s="379"/>
      <c r="D47" s="379"/>
      <c r="E47" s="379"/>
      <c r="F47" s="379"/>
      <c r="G47" s="379"/>
      <c r="H47" s="379"/>
      <c r="I47" s="379"/>
      <c r="J47" s="379"/>
      <c r="K47" s="379"/>
      <c r="L47" s="379"/>
      <c r="M47" s="379"/>
      <c r="N47" s="379"/>
      <c r="O47" s="379"/>
      <c r="P47" s="379"/>
      <c r="Q47" s="379"/>
      <c r="R47" s="379"/>
      <c r="S47" s="379"/>
      <c r="T47" s="379"/>
      <c r="U47" s="427">
        <f>SUM(G31:Q31)/(C31+E31)</f>
        <v>0.3888888888888889</v>
      </c>
      <c r="V47" s="410"/>
      <c r="W47" s="6"/>
    </row>
    <row r="48" spans="1:23" ht="15.6">
      <c r="A48" s="378"/>
      <c r="B48" s="379" t="s">
        <v>202</v>
      </c>
      <c r="C48" s="379"/>
      <c r="D48" s="379"/>
      <c r="E48" s="379"/>
      <c r="F48" s="379"/>
      <c r="G48" s="379"/>
      <c r="H48" s="379"/>
      <c r="I48" s="379"/>
      <c r="J48" s="379"/>
      <c r="K48" s="379"/>
      <c r="L48" s="379"/>
      <c r="M48" s="379"/>
      <c r="N48" s="379"/>
      <c r="O48" s="379"/>
      <c r="P48" s="379"/>
      <c r="Q48" s="379"/>
      <c r="R48" s="379"/>
      <c r="S48" s="379"/>
      <c r="T48" s="379"/>
      <c r="U48" s="427">
        <f>SUM(F33:Q33)/(C33+E33)</f>
        <v>0.93853310707713478</v>
      </c>
      <c r="V48" s="410"/>
      <c r="W48" s="6"/>
    </row>
    <row r="49" spans="1:23" ht="15.6">
      <c r="A49" s="378"/>
      <c r="B49" s="379" t="s">
        <v>203</v>
      </c>
      <c r="C49" s="379"/>
      <c r="D49" s="379"/>
      <c r="E49" s="379"/>
      <c r="F49" s="379"/>
      <c r="G49" s="379"/>
      <c r="H49" s="379"/>
      <c r="I49" s="379"/>
      <c r="J49" s="379"/>
      <c r="K49" s="379"/>
      <c r="L49" s="379"/>
      <c r="M49" s="379"/>
      <c r="N49" s="379"/>
      <c r="O49" s="379"/>
      <c r="P49" s="379"/>
      <c r="Q49" s="379"/>
      <c r="R49" s="379"/>
      <c r="S49" s="380" t="s">
        <v>95</v>
      </c>
      <c r="T49" s="380" t="s">
        <v>117</v>
      </c>
      <c r="U49" s="394">
        <v>99000</v>
      </c>
      <c r="V49" s="410"/>
      <c r="W49" s="6"/>
    </row>
    <row r="50" spans="1:23" ht="15.6">
      <c r="A50" s="378"/>
      <c r="B50" s="379"/>
      <c r="C50" s="379"/>
      <c r="D50" s="379"/>
      <c r="E50" s="379"/>
      <c r="F50" s="379"/>
      <c r="G50" s="379"/>
      <c r="H50" s="379"/>
      <c r="I50" s="379"/>
      <c r="J50" s="379"/>
      <c r="K50" s="379"/>
      <c r="L50" s="379"/>
      <c r="M50" s="379"/>
      <c r="N50" s="379"/>
      <c r="O50" s="379"/>
      <c r="P50" s="379"/>
      <c r="Q50" s="379"/>
      <c r="R50" s="379"/>
      <c r="S50" s="379" t="s">
        <v>213</v>
      </c>
      <c r="T50" s="379"/>
      <c r="U50" s="432"/>
      <c r="V50" s="410"/>
      <c r="W50" s="6"/>
    </row>
    <row r="51" spans="1:23" ht="15.6">
      <c r="A51" s="378"/>
      <c r="B51" s="379" t="s">
        <v>19</v>
      </c>
      <c r="C51" s="379"/>
      <c r="D51" s="379"/>
      <c r="E51" s="379"/>
      <c r="F51" s="379"/>
      <c r="G51" s="379"/>
      <c r="H51" s="379"/>
      <c r="I51" s="379"/>
      <c r="J51" s="379"/>
      <c r="K51" s="379"/>
      <c r="L51" s="379"/>
      <c r="M51" s="379"/>
      <c r="N51" s="379"/>
      <c r="O51" s="379"/>
      <c r="P51" s="379"/>
      <c r="Q51" s="379"/>
      <c r="R51" s="379"/>
      <c r="S51" s="380"/>
      <c r="T51" s="380"/>
      <c r="U51" s="380" t="s">
        <v>118</v>
      </c>
      <c r="V51" s="410"/>
      <c r="W51" s="6"/>
    </row>
    <row r="52" spans="1:23" ht="15.6">
      <c r="A52" s="401"/>
      <c r="B52" s="386" t="s">
        <v>20</v>
      </c>
      <c r="C52" s="386"/>
      <c r="D52" s="386"/>
      <c r="E52" s="386"/>
      <c r="F52" s="386"/>
      <c r="G52" s="386"/>
      <c r="H52" s="386"/>
      <c r="I52" s="386"/>
      <c r="J52" s="386"/>
      <c r="K52" s="386"/>
      <c r="L52" s="386"/>
      <c r="M52" s="386"/>
      <c r="N52" s="386"/>
      <c r="O52" s="386"/>
      <c r="P52" s="386"/>
      <c r="Q52" s="386"/>
      <c r="R52" s="386"/>
      <c r="S52" s="433"/>
      <c r="T52" s="433"/>
      <c r="U52" s="434">
        <v>40374</v>
      </c>
      <c r="V52" s="435"/>
      <c r="W52" s="6"/>
    </row>
    <row r="53" spans="1:23" ht="15.6">
      <c r="A53" s="378"/>
      <c r="B53" s="379" t="s">
        <v>155</v>
      </c>
      <c r="C53" s="379"/>
      <c r="D53" s="379"/>
      <c r="E53" s="379"/>
      <c r="F53" s="379"/>
      <c r="G53" s="379"/>
      <c r="H53" s="379"/>
      <c r="I53" s="379"/>
      <c r="J53" s="379"/>
      <c r="K53" s="379"/>
      <c r="L53" s="379"/>
      <c r="M53" s="379"/>
      <c r="N53" s="379"/>
      <c r="O53" s="379"/>
      <c r="P53" s="379"/>
      <c r="Q53" s="424"/>
      <c r="R53" s="379">
        <f>U53-S53+1</f>
        <v>90</v>
      </c>
      <c r="S53" s="436">
        <v>40193</v>
      </c>
      <c r="T53" s="429"/>
      <c r="U53" s="436">
        <v>40282</v>
      </c>
      <c r="V53" s="410"/>
      <c r="W53" s="6"/>
    </row>
    <row r="54" spans="1:23" ht="15.6">
      <c r="A54" s="378"/>
      <c r="B54" s="379" t="s">
        <v>156</v>
      </c>
      <c r="C54" s="379"/>
      <c r="D54" s="379"/>
      <c r="E54" s="379"/>
      <c r="F54" s="379"/>
      <c r="G54" s="379"/>
      <c r="H54" s="379"/>
      <c r="I54" s="379"/>
      <c r="J54" s="379"/>
      <c r="K54" s="379"/>
      <c r="L54" s="379"/>
      <c r="M54" s="379"/>
      <c r="N54" s="379"/>
      <c r="O54" s="379"/>
      <c r="P54" s="379"/>
      <c r="Q54" s="424"/>
      <c r="R54" s="379">
        <f>U54-S54+1</f>
        <v>91</v>
      </c>
      <c r="S54" s="436">
        <v>40283</v>
      </c>
      <c r="T54" s="429"/>
      <c r="U54" s="436">
        <v>40373</v>
      </c>
      <c r="V54" s="410"/>
      <c r="W54" s="6"/>
    </row>
    <row r="55" spans="1:23" ht="15.6">
      <c r="A55" s="378"/>
      <c r="B55" s="379" t="s">
        <v>21</v>
      </c>
      <c r="C55" s="379"/>
      <c r="D55" s="379"/>
      <c r="E55" s="379"/>
      <c r="F55" s="379"/>
      <c r="G55" s="379"/>
      <c r="H55" s="379"/>
      <c r="I55" s="379"/>
      <c r="J55" s="379"/>
      <c r="K55" s="379"/>
      <c r="L55" s="379"/>
      <c r="M55" s="379"/>
      <c r="N55" s="379"/>
      <c r="O55" s="379"/>
      <c r="P55" s="379"/>
      <c r="Q55" s="379"/>
      <c r="R55" s="379"/>
      <c r="S55" s="436"/>
      <c r="T55" s="429"/>
      <c r="U55" s="436" t="s">
        <v>119</v>
      </c>
      <c r="V55" s="410"/>
      <c r="W55" s="6"/>
    </row>
    <row r="56" spans="1:23" ht="15.6">
      <c r="A56" s="378"/>
      <c r="B56" s="379" t="s">
        <v>22</v>
      </c>
      <c r="C56" s="379"/>
      <c r="D56" s="379"/>
      <c r="E56" s="379"/>
      <c r="F56" s="379"/>
      <c r="G56" s="379"/>
      <c r="H56" s="379"/>
      <c r="I56" s="379"/>
      <c r="J56" s="379"/>
      <c r="K56" s="379"/>
      <c r="L56" s="379"/>
      <c r="M56" s="379"/>
      <c r="N56" s="379"/>
      <c r="O56" s="379"/>
      <c r="P56" s="379"/>
      <c r="Q56" s="379"/>
      <c r="R56" s="379"/>
      <c r="S56" s="436"/>
      <c r="T56" s="429"/>
      <c r="U56" s="436">
        <v>40360</v>
      </c>
      <c r="V56" s="410"/>
      <c r="W56" s="6"/>
    </row>
    <row r="57" spans="1:23" ht="15.6">
      <c r="A57" s="242"/>
      <c r="B57" s="364"/>
      <c r="C57" s="364"/>
      <c r="D57" s="364"/>
      <c r="E57" s="364"/>
      <c r="F57" s="364"/>
      <c r="G57" s="364"/>
      <c r="H57" s="364"/>
      <c r="I57" s="364"/>
      <c r="J57" s="364"/>
      <c r="K57" s="364"/>
      <c r="L57" s="364"/>
      <c r="M57" s="364"/>
      <c r="N57" s="364"/>
      <c r="O57" s="364"/>
      <c r="P57" s="364"/>
      <c r="Q57" s="364"/>
      <c r="R57" s="364"/>
      <c r="S57" s="364"/>
      <c r="T57" s="364"/>
      <c r="U57" s="377"/>
      <c r="V57" s="303"/>
      <c r="W57" s="6"/>
    </row>
    <row r="58" spans="1:23" ht="15.6">
      <c r="A58" s="242"/>
      <c r="B58" s="288"/>
      <c r="C58" s="288"/>
      <c r="D58" s="288"/>
      <c r="E58" s="288"/>
      <c r="F58" s="288"/>
      <c r="G58" s="288"/>
      <c r="H58" s="288"/>
      <c r="I58" s="288"/>
      <c r="J58" s="288"/>
      <c r="K58" s="288"/>
      <c r="L58" s="288"/>
      <c r="M58" s="288"/>
      <c r="N58" s="288"/>
      <c r="O58" s="288"/>
      <c r="P58" s="288"/>
      <c r="Q58" s="288"/>
      <c r="R58" s="288"/>
      <c r="S58" s="288"/>
      <c r="T58" s="288"/>
      <c r="U58" s="302"/>
      <c r="V58" s="303"/>
      <c r="W58" s="6"/>
    </row>
    <row r="59" spans="1:23" ht="16.2" thickBot="1">
      <c r="A59" s="261"/>
      <c r="B59" s="304" t="s">
        <v>270</v>
      </c>
      <c r="C59" s="305"/>
      <c r="D59" s="305"/>
      <c r="E59" s="305"/>
      <c r="F59" s="305"/>
      <c r="G59" s="305"/>
      <c r="H59" s="305"/>
      <c r="I59" s="305"/>
      <c r="J59" s="305"/>
      <c r="K59" s="305"/>
      <c r="L59" s="305"/>
      <c r="M59" s="305"/>
      <c r="N59" s="305"/>
      <c r="O59" s="305"/>
      <c r="P59" s="305"/>
      <c r="Q59" s="305"/>
      <c r="R59" s="305"/>
      <c r="S59" s="305"/>
      <c r="T59" s="305"/>
      <c r="U59" s="306"/>
      <c r="V59" s="307"/>
      <c r="W59" s="6"/>
    </row>
    <row r="60" spans="1:23" ht="15.6">
      <c r="A60" s="230"/>
      <c r="B60" s="308" t="s">
        <v>23</v>
      </c>
      <c r="C60" s="308"/>
      <c r="D60" s="308"/>
      <c r="E60" s="308"/>
      <c r="F60" s="308"/>
      <c r="G60" s="308"/>
      <c r="H60" s="308"/>
      <c r="I60" s="308"/>
      <c r="J60" s="308"/>
      <c r="K60" s="308"/>
      <c r="L60" s="308"/>
      <c r="M60" s="231"/>
      <c r="N60" s="231"/>
      <c r="O60" s="231"/>
      <c r="P60" s="231"/>
      <c r="Q60" s="231"/>
      <c r="R60" s="231"/>
      <c r="S60" s="231"/>
      <c r="T60" s="231"/>
      <c r="U60" s="309"/>
      <c r="V60" s="237"/>
      <c r="W60" s="6"/>
    </row>
    <row r="61" spans="1:23" ht="15.6">
      <c r="A61" s="242"/>
      <c r="B61" s="252"/>
      <c r="C61" s="252"/>
      <c r="D61" s="252"/>
      <c r="E61" s="252"/>
      <c r="F61" s="252"/>
      <c r="G61" s="252"/>
      <c r="H61" s="252"/>
      <c r="I61" s="252"/>
      <c r="J61" s="252"/>
      <c r="K61" s="252"/>
      <c r="L61" s="252"/>
      <c r="M61" s="244"/>
      <c r="N61" s="244"/>
      <c r="O61" s="244"/>
      <c r="P61" s="244"/>
      <c r="Q61" s="244"/>
      <c r="R61" s="244"/>
      <c r="S61" s="244"/>
      <c r="T61" s="244"/>
      <c r="U61" s="263"/>
      <c r="V61" s="245"/>
      <c r="W61" s="6"/>
    </row>
    <row r="62" spans="1:23" s="151" customFormat="1" ht="46.8">
      <c r="A62" s="264"/>
      <c r="B62" s="265"/>
      <c r="C62" s="266"/>
      <c r="D62" s="266"/>
      <c r="E62" s="266"/>
      <c r="F62" s="266"/>
      <c r="G62" s="266"/>
      <c r="H62" s="266"/>
      <c r="I62" s="266"/>
      <c r="J62" s="266"/>
      <c r="K62" s="266" t="s">
        <v>197</v>
      </c>
      <c r="L62" s="266"/>
      <c r="M62" s="266" t="s">
        <v>98</v>
      </c>
      <c r="N62" s="266"/>
      <c r="O62" s="266" t="s">
        <v>107</v>
      </c>
      <c r="P62" s="266"/>
      <c r="Q62" s="266" t="s">
        <v>111</v>
      </c>
      <c r="R62" s="266"/>
      <c r="S62" s="266" t="s">
        <v>113</v>
      </c>
      <c r="T62" s="266"/>
      <c r="U62" s="267" t="s">
        <v>120</v>
      </c>
      <c r="V62" s="268"/>
      <c r="W62" s="150"/>
    </row>
    <row r="63" spans="1:23" ht="15.6">
      <c r="A63" s="378"/>
      <c r="B63" s="379" t="s">
        <v>24</v>
      </c>
      <c r="C63" s="440"/>
      <c r="D63" s="440"/>
      <c r="E63" s="440"/>
      <c r="F63" s="440"/>
      <c r="G63" s="440"/>
      <c r="H63" s="440"/>
      <c r="I63" s="440"/>
      <c r="J63" s="440"/>
      <c r="K63" s="440">
        <f>265+63566+3306</f>
        <v>67137</v>
      </c>
      <c r="L63" s="440"/>
      <c r="M63" s="440">
        <v>13380</v>
      </c>
      <c r="N63" s="440"/>
      <c r="O63" s="440">
        <f>710+4+90</f>
        <v>804</v>
      </c>
      <c r="P63" s="440"/>
      <c r="Q63" s="440">
        <v>0</v>
      </c>
      <c r="R63" s="440"/>
      <c r="S63" s="440">
        <v>0</v>
      </c>
      <c r="T63" s="440"/>
      <c r="U63" s="441">
        <f>+M63-O63+Q63-S63</f>
        <v>12576</v>
      </c>
      <c r="V63" s="410"/>
      <c r="W63" s="6"/>
    </row>
    <row r="64" spans="1:23" ht="15.6">
      <c r="A64" s="378"/>
      <c r="B64" s="379" t="s">
        <v>25</v>
      </c>
      <c r="C64" s="440"/>
      <c r="D64" s="440"/>
      <c r="E64" s="440"/>
      <c r="F64" s="440"/>
      <c r="G64" s="440"/>
      <c r="H64" s="440"/>
      <c r="I64" s="440"/>
      <c r="J64" s="440"/>
      <c r="K64" s="440"/>
      <c r="L64" s="440"/>
      <c r="M64" s="440"/>
      <c r="N64" s="440"/>
      <c r="O64" s="440"/>
      <c r="P64" s="440"/>
      <c r="Q64" s="440">
        <v>0</v>
      </c>
      <c r="R64" s="440"/>
      <c r="S64" s="440">
        <v>0</v>
      </c>
      <c r="T64" s="440"/>
      <c r="U64" s="441">
        <f>M64-O64</f>
        <v>0</v>
      </c>
      <c r="V64" s="410"/>
      <c r="W64" s="6"/>
    </row>
    <row r="65" spans="1:24" ht="15.6">
      <c r="A65" s="378"/>
      <c r="B65" s="379"/>
      <c r="C65" s="440"/>
      <c r="D65" s="440"/>
      <c r="E65" s="440"/>
      <c r="F65" s="440"/>
      <c r="G65" s="440"/>
      <c r="H65" s="440"/>
      <c r="I65" s="440"/>
      <c r="J65" s="440"/>
      <c r="K65" s="440"/>
      <c r="L65" s="440"/>
      <c r="M65" s="440"/>
      <c r="N65" s="440"/>
      <c r="O65" s="440"/>
      <c r="P65" s="440"/>
      <c r="Q65" s="440"/>
      <c r="R65" s="440"/>
      <c r="S65" s="440"/>
      <c r="T65" s="440"/>
      <c r="U65" s="441"/>
      <c r="V65" s="410"/>
      <c r="W65" s="6"/>
    </row>
    <row r="66" spans="1:24" ht="15.6">
      <c r="A66" s="378"/>
      <c r="B66" s="379" t="s">
        <v>26</v>
      </c>
      <c r="C66" s="440"/>
      <c r="D66" s="440"/>
      <c r="E66" s="440"/>
      <c r="F66" s="440"/>
      <c r="G66" s="440"/>
      <c r="H66" s="440"/>
      <c r="I66" s="440"/>
      <c r="J66" s="440"/>
      <c r="K66" s="440">
        <v>24470</v>
      </c>
      <c r="L66" s="440"/>
      <c r="M66" s="440">
        <v>4670</v>
      </c>
      <c r="N66" s="440"/>
      <c r="O66" s="440">
        <v>496</v>
      </c>
      <c r="P66" s="440"/>
      <c r="Q66" s="440">
        <v>0</v>
      </c>
      <c r="R66" s="440"/>
      <c r="S66" s="440">
        <f>SUM(S63:S65)</f>
        <v>0</v>
      </c>
      <c r="T66" s="440"/>
      <c r="U66" s="441">
        <f>+M66-O66+Q66-S66</f>
        <v>4174</v>
      </c>
      <c r="V66" s="410"/>
      <c r="W66" s="6"/>
    </row>
    <row r="67" spans="1:24" ht="15.6">
      <c r="A67" s="378"/>
      <c r="B67" s="379" t="s">
        <v>25</v>
      </c>
      <c r="C67" s="440"/>
      <c r="D67" s="440"/>
      <c r="E67" s="440"/>
      <c r="F67" s="440"/>
      <c r="G67" s="440"/>
      <c r="H67" s="440"/>
      <c r="I67" s="440"/>
      <c r="J67" s="440"/>
      <c r="K67" s="440"/>
      <c r="L67" s="440"/>
      <c r="M67" s="440"/>
      <c r="N67" s="440"/>
      <c r="O67" s="440"/>
      <c r="P67" s="440"/>
      <c r="Q67" s="440">
        <v>0</v>
      </c>
      <c r="R67" s="440"/>
      <c r="S67" s="440">
        <v>0</v>
      </c>
      <c r="T67" s="440"/>
      <c r="U67" s="440"/>
      <c r="V67" s="410"/>
      <c r="W67" s="6"/>
    </row>
    <row r="68" spans="1:24" ht="15.6">
      <c r="A68" s="378"/>
      <c r="B68" s="386"/>
      <c r="C68" s="440"/>
      <c r="D68" s="440"/>
      <c r="E68" s="440"/>
      <c r="F68" s="440"/>
      <c r="G68" s="440"/>
      <c r="H68" s="440"/>
      <c r="I68" s="440"/>
      <c r="J68" s="440"/>
      <c r="K68" s="440"/>
      <c r="L68" s="440"/>
      <c r="M68" s="440"/>
      <c r="N68" s="440"/>
      <c r="O68" s="442"/>
      <c r="P68" s="440"/>
      <c r="Q68" s="440"/>
      <c r="R68" s="440"/>
      <c r="S68" s="440"/>
      <c r="T68" s="440"/>
      <c r="U68" s="440"/>
      <c r="V68" s="410"/>
      <c r="W68" s="6"/>
    </row>
    <row r="69" spans="1:24" ht="15.6">
      <c r="A69" s="378"/>
      <c r="B69" s="379" t="s">
        <v>27</v>
      </c>
      <c r="C69" s="440"/>
      <c r="D69" s="440"/>
      <c r="E69" s="440"/>
      <c r="F69" s="440"/>
      <c r="G69" s="440"/>
      <c r="H69" s="440"/>
      <c r="I69" s="440"/>
      <c r="J69" s="440"/>
      <c r="K69" s="440">
        <v>220072</v>
      </c>
      <c r="L69" s="440"/>
      <c r="M69" s="440">
        <v>240065</v>
      </c>
      <c r="N69" s="440"/>
      <c r="O69" s="440">
        <f>9389+1072</f>
        <v>10461</v>
      </c>
      <c r="P69" s="440"/>
      <c r="Q69" s="440">
        <v>0</v>
      </c>
      <c r="R69" s="440"/>
      <c r="S69" s="440">
        <v>0</v>
      </c>
      <c r="T69" s="440"/>
      <c r="U69" s="441">
        <f>+M69-O69+Q69-S69</f>
        <v>229604</v>
      </c>
      <c r="V69" s="410"/>
      <c r="W69" s="6"/>
    </row>
    <row r="70" spans="1:24" ht="15.6">
      <c r="A70" s="378"/>
      <c r="B70" s="379" t="s">
        <v>25</v>
      </c>
      <c r="C70" s="440"/>
      <c r="D70" s="440"/>
      <c r="E70" s="440"/>
      <c r="F70" s="440"/>
      <c r="G70" s="440"/>
      <c r="H70" s="440"/>
      <c r="I70" s="440"/>
      <c r="J70" s="440"/>
      <c r="K70" s="440"/>
      <c r="L70" s="440"/>
      <c r="M70" s="440"/>
      <c r="N70" s="440"/>
      <c r="O70" s="440"/>
      <c r="P70" s="440"/>
      <c r="Q70" s="440">
        <v>0</v>
      </c>
      <c r="R70" s="440"/>
      <c r="S70" s="440">
        <v>0</v>
      </c>
      <c r="T70" s="440"/>
      <c r="U70" s="441">
        <f>M70-O70+Q70-S70</f>
        <v>0</v>
      </c>
      <c r="V70" s="410"/>
      <c r="W70" s="6"/>
    </row>
    <row r="71" spans="1:24" ht="15.6">
      <c r="A71" s="378"/>
      <c r="B71" s="379"/>
      <c r="C71" s="440"/>
      <c r="D71" s="440"/>
      <c r="E71" s="440"/>
      <c r="F71" s="440"/>
      <c r="G71" s="440"/>
      <c r="H71" s="440"/>
      <c r="I71" s="440"/>
      <c r="J71" s="440"/>
      <c r="K71" s="440"/>
      <c r="L71" s="440"/>
      <c r="M71" s="440"/>
      <c r="N71" s="440"/>
      <c r="O71" s="440"/>
      <c r="P71" s="440"/>
      <c r="Q71" s="440"/>
      <c r="R71" s="440"/>
      <c r="S71" s="440"/>
      <c r="T71" s="440"/>
      <c r="U71" s="441"/>
      <c r="V71" s="410"/>
      <c r="W71" s="6"/>
    </row>
    <row r="72" spans="1:24" ht="15.6">
      <c r="A72" s="378"/>
      <c r="B72" s="379" t="s">
        <v>28</v>
      </c>
      <c r="C72" s="440"/>
      <c r="D72" s="440"/>
      <c r="E72" s="440"/>
      <c r="F72" s="440"/>
      <c r="G72" s="440"/>
      <c r="H72" s="440"/>
      <c r="I72" s="440"/>
      <c r="J72" s="440"/>
      <c r="K72" s="440">
        <v>138321</v>
      </c>
      <c r="L72" s="440"/>
      <c r="M72" s="440">
        <v>31289</v>
      </c>
      <c r="N72" s="440"/>
      <c r="O72" s="440">
        <f>5530+730</f>
        <v>6260</v>
      </c>
      <c r="P72" s="440"/>
      <c r="Q72" s="440">
        <v>0</v>
      </c>
      <c r="R72" s="440"/>
      <c r="S72" s="440">
        <v>0</v>
      </c>
      <c r="T72" s="440"/>
      <c r="U72" s="441">
        <f>+M72-O72+Q72-S72</f>
        <v>25029</v>
      </c>
      <c r="V72" s="410"/>
      <c r="W72" s="6"/>
    </row>
    <row r="73" spans="1:24" ht="15.6">
      <c r="A73" s="378"/>
      <c r="B73" s="379" t="s">
        <v>25</v>
      </c>
      <c r="C73" s="440"/>
      <c r="D73" s="440"/>
      <c r="E73" s="440"/>
      <c r="F73" s="440"/>
      <c r="G73" s="440"/>
      <c r="H73" s="440"/>
      <c r="I73" s="440"/>
      <c r="J73" s="440"/>
      <c r="K73" s="440"/>
      <c r="L73" s="440"/>
      <c r="M73" s="440"/>
      <c r="N73" s="440"/>
      <c r="O73" s="440"/>
      <c r="P73" s="440"/>
      <c r="Q73" s="440">
        <v>0</v>
      </c>
      <c r="R73" s="440"/>
      <c r="S73" s="440">
        <v>0</v>
      </c>
      <c r="T73" s="440"/>
      <c r="U73" s="441"/>
      <c r="V73" s="410"/>
      <c r="W73" s="6"/>
    </row>
    <row r="74" spans="1:24" ht="15.6">
      <c r="A74" s="378"/>
      <c r="B74" s="440"/>
      <c r="C74" s="440"/>
      <c r="D74" s="440"/>
      <c r="E74" s="440"/>
      <c r="F74" s="440"/>
      <c r="G74" s="440"/>
      <c r="H74" s="440"/>
      <c r="I74" s="440"/>
      <c r="J74" s="440"/>
      <c r="K74" s="440"/>
      <c r="L74" s="440"/>
      <c r="M74" s="440"/>
      <c r="N74" s="440"/>
      <c r="O74" s="440"/>
      <c r="P74" s="440"/>
      <c r="Q74" s="440"/>
      <c r="R74" s="440"/>
      <c r="S74" s="440"/>
      <c r="T74" s="440"/>
      <c r="U74" s="441"/>
      <c r="V74" s="410"/>
      <c r="W74" s="6"/>
    </row>
    <row r="75" spans="1:24" ht="15.6">
      <c r="A75" s="378"/>
      <c r="B75" s="379" t="s">
        <v>29</v>
      </c>
      <c r="C75" s="440"/>
      <c r="D75" s="440"/>
      <c r="E75" s="440"/>
      <c r="F75" s="440"/>
      <c r="G75" s="440"/>
      <c r="H75" s="440"/>
      <c r="I75" s="440"/>
      <c r="J75" s="440"/>
      <c r="K75" s="440">
        <f>SUM(K63:K72)</f>
        <v>450000</v>
      </c>
      <c r="L75" s="440"/>
      <c r="M75" s="440">
        <f>SUM(M63:M72)</f>
        <v>289404</v>
      </c>
      <c r="N75" s="440"/>
      <c r="O75" s="440">
        <f>SUM(O63:O73)</f>
        <v>18021</v>
      </c>
      <c r="P75" s="440"/>
      <c r="Q75" s="440">
        <f>SUM(Q63:Q73)</f>
        <v>0</v>
      </c>
      <c r="R75" s="440"/>
      <c r="S75" s="440">
        <f>SUM(S70:S74)</f>
        <v>0</v>
      </c>
      <c r="T75" s="440"/>
      <c r="U75" s="440">
        <f>SUM(U63:U73)</f>
        <v>271383</v>
      </c>
      <c r="V75" s="410"/>
      <c r="W75" s="6"/>
      <c r="X75" s="182"/>
    </row>
    <row r="76" spans="1:24" ht="15.6">
      <c r="A76" s="378"/>
      <c r="B76" s="379"/>
      <c r="C76" s="440"/>
      <c r="D76" s="440"/>
      <c r="E76" s="440"/>
      <c r="F76" s="440"/>
      <c r="G76" s="440"/>
      <c r="H76" s="440"/>
      <c r="I76" s="440"/>
      <c r="J76" s="440"/>
      <c r="K76" s="440"/>
      <c r="L76" s="440"/>
      <c r="M76" s="440"/>
      <c r="N76" s="440"/>
      <c r="O76" s="440"/>
      <c r="P76" s="440"/>
      <c r="Q76" s="440"/>
      <c r="R76" s="440"/>
      <c r="S76" s="440"/>
      <c r="T76" s="440"/>
      <c r="U76" s="440"/>
      <c r="V76" s="410"/>
      <c r="W76" s="6"/>
    </row>
    <row r="77" spans="1:24" ht="15.6">
      <c r="A77" s="378"/>
      <c r="B77" s="379" t="s">
        <v>214</v>
      </c>
      <c r="C77" s="440"/>
      <c r="D77" s="440"/>
      <c r="E77" s="440"/>
      <c r="F77" s="440"/>
      <c r="G77" s="440"/>
      <c r="H77" s="440"/>
      <c r="I77" s="440"/>
      <c r="J77" s="440"/>
      <c r="K77" s="440">
        <v>0</v>
      </c>
      <c r="L77" s="440"/>
      <c r="M77" s="440">
        <v>-10478</v>
      </c>
      <c r="N77" s="440"/>
      <c r="O77" s="440">
        <v>653</v>
      </c>
      <c r="P77" s="440"/>
      <c r="Q77" s="440"/>
      <c r="R77" s="440"/>
      <c r="S77" s="440"/>
      <c r="T77" s="440"/>
      <c r="U77" s="441">
        <f>+M77-O77</f>
        <v>-11131</v>
      </c>
      <c r="V77" s="410"/>
      <c r="W77" s="6"/>
    </row>
    <row r="78" spans="1:24" ht="15.6">
      <c r="A78" s="378"/>
      <c r="B78" s="379" t="s">
        <v>30</v>
      </c>
      <c r="C78" s="440"/>
      <c r="D78" s="440"/>
      <c r="E78" s="440"/>
      <c r="F78" s="440"/>
      <c r="G78" s="440"/>
      <c r="H78" s="440"/>
      <c r="I78" s="440"/>
      <c r="J78" s="440"/>
      <c r="K78" s="440">
        <v>0</v>
      </c>
      <c r="L78" s="440"/>
      <c r="M78" s="440">
        <v>0</v>
      </c>
      <c r="N78" s="440"/>
      <c r="O78" s="440">
        <v>0</v>
      </c>
      <c r="P78" s="440"/>
      <c r="Q78" s="440">
        <v>0</v>
      </c>
      <c r="R78" s="440"/>
      <c r="S78" s="440"/>
      <c r="T78" s="440"/>
      <c r="U78" s="440">
        <v>0</v>
      </c>
      <c r="V78" s="410"/>
      <c r="W78" s="6"/>
      <c r="X78" s="182"/>
    </row>
    <row r="79" spans="1:24" ht="15.6">
      <c r="A79" s="378"/>
      <c r="B79" s="379" t="s">
        <v>31</v>
      </c>
      <c r="C79" s="440"/>
      <c r="D79" s="440"/>
      <c r="E79" s="440"/>
      <c r="F79" s="440"/>
      <c r="G79" s="440"/>
      <c r="H79" s="440"/>
      <c r="I79" s="440"/>
      <c r="J79" s="440"/>
      <c r="K79" s="440">
        <v>0</v>
      </c>
      <c r="L79" s="440"/>
      <c r="M79" s="440">
        <v>0</v>
      </c>
      <c r="N79" s="440"/>
      <c r="O79" s="440"/>
      <c r="P79" s="440"/>
      <c r="Q79" s="440">
        <v>0</v>
      </c>
      <c r="R79" s="440"/>
      <c r="S79" s="440"/>
      <c r="T79" s="440"/>
      <c r="U79" s="440">
        <f>Q79+M79</f>
        <v>0</v>
      </c>
      <c r="V79" s="410"/>
      <c r="W79" s="6"/>
    </row>
    <row r="80" spans="1:24" ht="15.6">
      <c r="A80" s="378"/>
      <c r="B80" s="379" t="s">
        <v>16</v>
      </c>
      <c r="C80" s="440"/>
      <c r="D80" s="440"/>
      <c r="E80" s="440"/>
      <c r="F80" s="440"/>
      <c r="G80" s="440"/>
      <c r="H80" s="440"/>
      <c r="I80" s="440"/>
      <c r="J80" s="440"/>
      <c r="K80" s="440">
        <f>SUM(K75:K79)</f>
        <v>450000</v>
      </c>
      <c r="L80" s="440"/>
      <c r="M80" s="440">
        <f>SUM(M75:M79)</f>
        <v>278926</v>
      </c>
      <c r="N80" s="440"/>
      <c r="O80" s="440">
        <f>O78-O79</f>
        <v>0</v>
      </c>
      <c r="P80" s="440"/>
      <c r="Q80" s="440"/>
      <c r="R80" s="440"/>
      <c r="S80" s="440"/>
      <c r="T80" s="440"/>
      <c r="U80" s="440">
        <f>SUM(U75:U79)</f>
        <v>260252</v>
      </c>
      <c r="V80" s="410"/>
      <c r="W80" s="6"/>
    </row>
    <row r="81" spans="1:24" ht="15.6">
      <c r="A81" s="242"/>
      <c r="B81" s="437"/>
      <c r="C81" s="438"/>
      <c r="D81" s="438"/>
      <c r="E81" s="438"/>
      <c r="F81" s="438"/>
      <c r="G81" s="438"/>
      <c r="H81" s="438"/>
      <c r="I81" s="438"/>
      <c r="J81" s="438"/>
      <c r="K81" s="438"/>
      <c r="L81" s="438"/>
      <c r="M81" s="438"/>
      <c r="N81" s="438"/>
      <c r="O81" s="438"/>
      <c r="P81" s="438"/>
      <c r="Q81" s="438"/>
      <c r="R81" s="438"/>
      <c r="S81" s="439"/>
      <c r="T81" s="438"/>
      <c r="U81" s="439"/>
      <c r="V81" s="245"/>
      <c r="W81" s="6"/>
    </row>
    <row r="82" spans="1:24" ht="15.6">
      <c r="A82" s="230"/>
      <c r="B82" s="308" t="s">
        <v>32</v>
      </c>
      <c r="C82" s="308"/>
      <c r="D82" s="308"/>
      <c r="E82" s="308"/>
      <c r="F82" s="308"/>
      <c r="G82" s="308"/>
      <c r="H82" s="308"/>
      <c r="I82" s="308"/>
      <c r="J82" s="308"/>
      <c r="K82" s="308"/>
      <c r="L82" s="308"/>
      <c r="M82" s="308"/>
      <c r="N82" s="308"/>
      <c r="O82" s="308"/>
      <c r="P82" s="308"/>
      <c r="Q82" s="308"/>
      <c r="R82" s="313"/>
      <c r="S82" s="313"/>
      <c r="T82" s="313"/>
      <c r="U82" s="313" t="s">
        <v>121</v>
      </c>
      <c r="V82" s="314"/>
      <c r="W82" s="6"/>
    </row>
    <row r="83" spans="1:24" ht="15.6">
      <c r="A83" s="315"/>
      <c r="B83" s="294" t="s">
        <v>33</v>
      </c>
      <c r="C83" s="294"/>
      <c r="D83" s="294"/>
      <c r="E83" s="294"/>
      <c r="F83" s="294"/>
      <c r="G83" s="294"/>
      <c r="H83" s="294"/>
      <c r="I83" s="294"/>
      <c r="J83" s="294"/>
      <c r="K83" s="294"/>
      <c r="L83" s="294"/>
      <c r="M83" s="294"/>
      <c r="N83" s="294"/>
      <c r="O83" s="310"/>
      <c r="P83" s="294"/>
      <c r="Q83" s="294"/>
      <c r="R83" s="294"/>
      <c r="S83" s="310"/>
      <c r="T83" s="294"/>
      <c r="U83" s="311">
        <v>63506</v>
      </c>
      <c r="V83" s="298"/>
      <c r="W83" s="6"/>
    </row>
    <row r="84" spans="1:24" ht="15.6">
      <c r="A84" s="444"/>
      <c r="B84" s="379" t="s">
        <v>34</v>
      </c>
      <c r="C84" s="431"/>
      <c r="D84" s="431"/>
      <c r="E84" s="431"/>
      <c r="F84" s="431"/>
      <c r="G84" s="431"/>
      <c r="H84" s="431"/>
      <c r="I84" s="431"/>
      <c r="J84" s="431"/>
      <c r="K84" s="431"/>
      <c r="L84" s="431"/>
      <c r="M84" s="430"/>
      <c r="N84" s="379"/>
      <c r="O84" s="379"/>
      <c r="P84" s="379"/>
      <c r="Q84" s="379"/>
      <c r="R84" s="379"/>
      <c r="S84" s="440"/>
      <c r="T84" s="379"/>
      <c r="U84" s="441">
        <f>402+64+12</f>
        <v>478</v>
      </c>
      <c r="V84" s="410"/>
      <c r="W84" s="6"/>
    </row>
    <row r="85" spans="1:24" ht="15.6">
      <c r="A85" s="444"/>
      <c r="B85" s="379" t="s">
        <v>230</v>
      </c>
      <c r="C85" s="379"/>
      <c r="D85" s="379"/>
      <c r="E85" s="379"/>
      <c r="F85" s="379"/>
      <c r="G85" s="379"/>
      <c r="H85" s="379"/>
      <c r="I85" s="379"/>
      <c r="J85" s="379"/>
      <c r="K85" s="379"/>
      <c r="L85" s="379"/>
      <c r="M85" s="379"/>
      <c r="N85" s="379"/>
      <c r="O85" s="379"/>
      <c r="P85" s="379"/>
      <c r="Q85" s="379"/>
      <c r="R85" s="379"/>
      <c r="S85" s="440"/>
      <c r="T85" s="379"/>
      <c r="U85" s="441">
        <v>0</v>
      </c>
      <c r="V85" s="410"/>
      <c r="W85" s="6"/>
      <c r="X85" s="64"/>
    </row>
    <row r="86" spans="1:24" ht="15.6">
      <c r="A86" s="444"/>
      <c r="B86" s="379" t="s">
        <v>231</v>
      </c>
      <c r="C86" s="379"/>
      <c r="D86" s="379"/>
      <c r="E86" s="379"/>
      <c r="F86" s="379"/>
      <c r="G86" s="379"/>
      <c r="H86" s="379"/>
      <c r="I86" s="379"/>
      <c r="J86" s="379"/>
      <c r="K86" s="379"/>
      <c r="L86" s="379"/>
      <c r="M86" s="379"/>
      <c r="N86" s="379"/>
      <c r="O86" s="379"/>
      <c r="P86" s="379"/>
      <c r="Q86" s="379"/>
      <c r="R86" s="379"/>
      <c r="S86" s="440"/>
      <c r="T86" s="379"/>
      <c r="U86" s="441">
        <v>0</v>
      </c>
      <c r="V86" s="410"/>
      <c r="W86" s="6"/>
      <c r="X86" s="64"/>
    </row>
    <row r="87" spans="1:24" ht="15.6">
      <c r="A87" s="444"/>
      <c r="B87" s="379" t="s">
        <v>35</v>
      </c>
      <c r="C87" s="379"/>
      <c r="D87" s="379"/>
      <c r="E87" s="379"/>
      <c r="F87" s="379"/>
      <c r="G87" s="379"/>
      <c r="H87" s="379"/>
      <c r="I87" s="379"/>
      <c r="J87" s="379"/>
      <c r="K87" s="379"/>
      <c r="L87" s="379"/>
      <c r="M87" s="379"/>
      <c r="N87" s="379"/>
      <c r="O87" s="379"/>
      <c r="P87" s="379"/>
      <c r="Q87" s="379"/>
      <c r="R87" s="379"/>
      <c r="S87" s="440"/>
      <c r="T87" s="379"/>
      <c r="U87" s="441">
        <f>SUM(U83:U86)</f>
        <v>63984</v>
      </c>
      <c r="V87" s="410"/>
      <c r="W87" s="6"/>
      <c r="X87" s="64"/>
    </row>
    <row r="88" spans="1:24" ht="15.6">
      <c r="A88" s="444"/>
      <c r="B88" s="379"/>
      <c r="C88" s="379"/>
      <c r="D88" s="379"/>
      <c r="E88" s="379"/>
      <c r="F88" s="379"/>
      <c r="G88" s="379"/>
      <c r="H88" s="379"/>
      <c r="I88" s="379"/>
      <c r="J88" s="379"/>
      <c r="K88" s="379"/>
      <c r="L88" s="379"/>
      <c r="M88" s="379"/>
      <c r="N88" s="379"/>
      <c r="O88" s="379"/>
      <c r="P88" s="379"/>
      <c r="Q88" s="379"/>
      <c r="R88" s="379"/>
      <c r="S88" s="440"/>
      <c r="T88" s="379"/>
      <c r="U88" s="440"/>
      <c r="V88" s="410"/>
      <c r="W88" s="6"/>
    </row>
    <row r="89" spans="1:24" ht="15.6">
      <c r="A89" s="444"/>
      <c r="B89" s="445" t="s">
        <v>36</v>
      </c>
      <c r="C89" s="446"/>
      <c r="D89" s="446"/>
      <c r="E89" s="446"/>
      <c r="F89" s="446"/>
      <c r="G89" s="446"/>
      <c r="H89" s="446"/>
      <c r="I89" s="446"/>
      <c r="J89" s="446"/>
      <c r="K89" s="446"/>
      <c r="L89" s="446"/>
      <c r="M89" s="379"/>
      <c r="N89" s="379"/>
      <c r="O89" s="379"/>
      <c r="P89" s="379"/>
      <c r="Q89" s="379"/>
      <c r="R89" s="379"/>
      <c r="S89" s="440"/>
      <c r="T89" s="379"/>
      <c r="U89" s="441"/>
      <c r="V89" s="410"/>
      <c r="W89" s="6"/>
      <c r="X89" s="64"/>
    </row>
    <row r="90" spans="1:24" ht="15.6">
      <c r="A90" s="444">
        <v>1</v>
      </c>
      <c r="B90" s="379" t="s">
        <v>37</v>
      </c>
      <c r="C90" s="379"/>
      <c r="D90" s="379"/>
      <c r="E90" s="379"/>
      <c r="F90" s="379"/>
      <c r="G90" s="379"/>
      <c r="H90" s="379"/>
      <c r="I90" s="379"/>
      <c r="J90" s="379"/>
      <c r="K90" s="379"/>
      <c r="L90" s="379"/>
      <c r="M90" s="379"/>
      <c r="N90" s="379"/>
      <c r="O90" s="379"/>
      <c r="P90" s="379"/>
      <c r="Q90" s="379"/>
      <c r="R90" s="379"/>
      <c r="S90" s="379"/>
      <c r="T90" s="379"/>
      <c r="U90" s="441">
        <v>-2</v>
      </c>
      <c r="V90" s="410"/>
      <c r="W90" s="6"/>
    </row>
    <row r="91" spans="1:24" ht="15.6">
      <c r="A91" s="444">
        <f>A90+1</f>
        <v>2</v>
      </c>
      <c r="B91" s="379" t="s">
        <v>168</v>
      </c>
      <c r="C91" s="379"/>
      <c r="D91" s="379"/>
      <c r="E91" s="379"/>
      <c r="F91" s="379"/>
      <c r="G91" s="379"/>
      <c r="H91" s="379"/>
      <c r="I91" s="379"/>
      <c r="J91" s="379"/>
      <c r="K91" s="379"/>
      <c r="L91" s="379"/>
      <c r="M91" s="379"/>
      <c r="N91" s="379"/>
      <c r="O91" s="379"/>
      <c r="P91" s="379"/>
      <c r="Q91" s="379"/>
      <c r="R91" s="379"/>
      <c r="S91" s="379"/>
      <c r="T91" s="379"/>
      <c r="U91" s="441">
        <f>-278-178-4</f>
        <v>-460</v>
      </c>
      <c r="V91" s="410"/>
      <c r="W91" s="6"/>
      <c r="X91" s="64"/>
    </row>
    <row r="92" spans="1:24" ht="15.6">
      <c r="A92" s="444">
        <v>3</v>
      </c>
      <c r="B92" s="379" t="s">
        <v>38</v>
      </c>
      <c r="C92" s="379"/>
      <c r="D92" s="379"/>
      <c r="E92" s="379"/>
      <c r="F92" s="379"/>
      <c r="G92" s="379"/>
      <c r="H92" s="379"/>
      <c r="I92" s="379"/>
      <c r="J92" s="379"/>
      <c r="K92" s="379"/>
      <c r="L92" s="379"/>
      <c r="M92" s="379"/>
      <c r="N92" s="379"/>
      <c r="O92" s="379"/>
      <c r="P92" s="379"/>
      <c r="Q92" s="379"/>
      <c r="R92" s="379"/>
      <c r="S92" s="379"/>
      <c r="T92" s="379"/>
      <c r="U92" s="441">
        <v>-592</v>
      </c>
      <c r="V92" s="410"/>
      <c r="W92" s="6"/>
      <c r="X92" s="64"/>
    </row>
    <row r="93" spans="1:24" ht="15.6">
      <c r="A93" s="447" t="s">
        <v>190</v>
      </c>
      <c r="B93" s="379" t="s">
        <v>169</v>
      </c>
      <c r="C93" s="379"/>
      <c r="D93" s="379"/>
      <c r="E93" s="379"/>
      <c r="F93" s="379"/>
      <c r="G93" s="379"/>
      <c r="H93" s="379"/>
      <c r="I93" s="379"/>
      <c r="J93" s="379"/>
      <c r="K93" s="379"/>
      <c r="L93" s="379"/>
      <c r="M93" s="379"/>
      <c r="N93" s="379"/>
      <c r="O93" s="379"/>
      <c r="P93" s="379"/>
      <c r="Q93" s="379"/>
      <c r="R93" s="379"/>
      <c r="S93" s="379"/>
      <c r="T93" s="379"/>
      <c r="U93" s="441">
        <v>-187</v>
      </c>
      <c r="V93" s="410"/>
      <c r="W93" s="6"/>
      <c r="X93" s="64"/>
    </row>
    <row r="94" spans="1:24" ht="15.6">
      <c r="A94" s="447" t="s">
        <v>191</v>
      </c>
      <c r="B94" s="379" t="s">
        <v>170</v>
      </c>
      <c r="C94" s="379"/>
      <c r="D94" s="379"/>
      <c r="E94" s="379"/>
      <c r="F94" s="379"/>
      <c r="G94" s="379"/>
      <c r="H94" s="379"/>
      <c r="I94" s="379"/>
      <c r="J94" s="379"/>
      <c r="K94" s="379"/>
      <c r="L94" s="379"/>
      <c r="M94" s="379"/>
      <c r="N94" s="379"/>
      <c r="O94" s="379"/>
      <c r="P94" s="379"/>
      <c r="Q94" s="379"/>
      <c r="R94" s="379"/>
      <c r="S94" s="379"/>
      <c r="T94" s="379"/>
      <c r="U94" s="441">
        <v>-241</v>
      </c>
      <c r="V94" s="410"/>
      <c r="W94" s="6"/>
      <c r="X94" s="182"/>
    </row>
    <row r="95" spans="1:24" ht="15.6">
      <c r="A95" s="444">
        <v>5</v>
      </c>
      <c r="B95" s="379" t="s">
        <v>171</v>
      </c>
      <c r="C95" s="379"/>
      <c r="D95" s="379"/>
      <c r="E95" s="379"/>
      <c r="F95" s="379"/>
      <c r="G95" s="379"/>
      <c r="H95" s="379"/>
      <c r="I95" s="379"/>
      <c r="J95" s="379"/>
      <c r="K95" s="379"/>
      <c r="L95" s="379"/>
      <c r="M95" s="379"/>
      <c r="N95" s="379"/>
      <c r="O95" s="379"/>
      <c r="P95" s="379"/>
      <c r="Q95" s="379"/>
      <c r="R95" s="379"/>
      <c r="S95" s="379"/>
      <c r="T95" s="379"/>
      <c r="U95" s="441">
        <v>-7</v>
      </c>
      <c r="V95" s="410"/>
      <c r="W95" s="6"/>
    </row>
    <row r="96" spans="1:24" ht="15.6">
      <c r="A96" s="447" t="s">
        <v>174</v>
      </c>
      <c r="B96" s="379" t="s">
        <v>172</v>
      </c>
      <c r="C96" s="379"/>
      <c r="D96" s="379"/>
      <c r="E96" s="379"/>
      <c r="F96" s="379"/>
      <c r="G96" s="379"/>
      <c r="H96" s="379"/>
      <c r="I96" s="379"/>
      <c r="J96" s="379"/>
      <c r="K96" s="379"/>
      <c r="L96" s="379"/>
      <c r="M96" s="379"/>
      <c r="N96" s="379"/>
      <c r="O96" s="379"/>
      <c r="P96" s="379"/>
      <c r="Q96" s="379"/>
      <c r="R96" s="379"/>
      <c r="S96" s="379"/>
      <c r="T96" s="379"/>
      <c r="U96" s="441">
        <v>-52</v>
      </c>
      <c r="V96" s="410"/>
      <c r="W96" s="6"/>
      <c r="X96" s="182"/>
    </row>
    <row r="97" spans="1:24" ht="15.6">
      <c r="A97" s="447" t="s">
        <v>176</v>
      </c>
      <c r="B97" s="379" t="s">
        <v>173</v>
      </c>
      <c r="C97" s="379"/>
      <c r="D97" s="379"/>
      <c r="E97" s="379"/>
      <c r="F97" s="379"/>
      <c r="G97" s="379"/>
      <c r="H97" s="379"/>
      <c r="I97" s="379"/>
      <c r="J97" s="379"/>
      <c r="K97" s="379"/>
      <c r="L97" s="379"/>
      <c r="M97" s="379"/>
      <c r="N97" s="379"/>
      <c r="O97" s="379"/>
      <c r="P97" s="379"/>
      <c r="Q97" s="379"/>
      <c r="R97" s="379"/>
      <c r="S97" s="379"/>
      <c r="T97" s="379"/>
      <c r="U97" s="441">
        <v>-85</v>
      </c>
      <c r="V97" s="410"/>
      <c r="W97" s="119"/>
      <c r="X97" s="182"/>
    </row>
    <row r="98" spans="1:24" ht="15.6">
      <c r="A98" s="447" t="s">
        <v>178</v>
      </c>
      <c r="B98" s="379" t="s">
        <v>175</v>
      </c>
      <c r="C98" s="379"/>
      <c r="D98" s="379"/>
      <c r="E98" s="379"/>
      <c r="F98" s="379"/>
      <c r="G98" s="379"/>
      <c r="H98" s="379"/>
      <c r="I98" s="379"/>
      <c r="J98" s="379"/>
      <c r="K98" s="379"/>
      <c r="L98" s="379"/>
      <c r="M98" s="379"/>
      <c r="N98" s="379"/>
      <c r="O98" s="379"/>
      <c r="P98" s="379"/>
      <c r="Q98" s="379"/>
      <c r="R98" s="379"/>
      <c r="S98" s="379"/>
      <c r="T98" s="379"/>
      <c r="U98" s="441">
        <v>-83</v>
      </c>
      <c r="V98" s="410"/>
      <c r="W98" s="6"/>
      <c r="X98" s="182"/>
    </row>
    <row r="99" spans="1:24" ht="15.6">
      <c r="A99" s="447" t="s">
        <v>180</v>
      </c>
      <c r="B99" s="379" t="s">
        <v>177</v>
      </c>
      <c r="C99" s="379"/>
      <c r="D99" s="379"/>
      <c r="E99" s="379"/>
      <c r="F99" s="379"/>
      <c r="G99" s="379"/>
      <c r="H99" s="379"/>
      <c r="I99" s="379"/>
      <c r="J99" s="379"/>
      <c r="K99" s="379"/>
      <c r="L99" s="379"/>
      <c r="M99" s="379"/>
      <c r="N99" s="379"/>
      <c r="O99" s="379"/>
      <c r="P99" s="379"/>
      <c r="Q99" s="379"/>
      <c r="R99" s="379"/>
      <c r="S99" s="379"/>
      <c r="T99" s="379"/>
      <c r="U99" s="441">
        <v>-107</v>
      </c>
      <c r="V99" s="410"/>
      <c r="W99" s="119"/>
      <c r="X99" s="182"/>
    </row>
    <row r="100" spans="1:24" ht="15.6">
      <c r="A100" s="447" t="s">
        <v>192</v>
      </c>
      <c r="B100" s="379" t="s">
        <v>179</v>
      </c>
      <c r="C100" s="379"/>
      <c r="D100" s="379"/>
      <c r="E100" s="379"/>
      <c r="F100" s="379"/>
      <c r="G100" s="379"/>
      <c r="H100" s="379"/>
      <c r="I100" s="379"/>
      <c r="J100" s="379"/>
      <c r="K100" s="379"/>
      <c r="L100" s="379"/>
      <c r="M100" s="379"/>
      <c r="N100" s="379"/>
      <c r="O100" s="379"/>
      <c r="P100" s="379"/>
      <c r="Q100" s="379"/>
      <c r="R100" s="379"/>
      <c r="S100" s="379"/>
      <c r="T100" s="379"/>
      <c r="U100" s="441">
        <v>-156</v>
      </c>
      <c r="V100" s="410"/>
      <c r="W100" s="6"/>
      <c r="X100" s="182"/>
    </row>
    <row r="101" spans="1:24" ht="15.6">
      <c r="A101" s="447" t="s">
        <v>193</v>
      </c>
      <c r="B101" s="379" t="s">
        <v>181</v>
      </c>
      <c r="C101" s="379"/>
      <c r="D101" s="379"/>
      <c r="E101" s="379"/>
      <c r="F101" s="379"/>
      <c r="G101" s="379"/>
      <c r="H101" s="379"/>
      <c r="I101" s="379"/>
      <c r="J101" s="379"/>
      <c r="K101" s="379"/>
      <c r="L101" s="379"/>
      <c r="M101" s="379"/>
      <c r="N101" s="379"/>
      <c r="O101" s="379"/>
      <c r="P101" s="379"/>
      <c r="Q101" s="379"/>
      <c r="R101" s="379"/>
      <c r="S101" s="379"/>
      <c r="T101" s="379"/>
      <c r="U101" s="441">
        <v>-134</v>
      </c>
      <c r="V101" s="410"/>
      <c r="W101" s="119"/>
      <c r="X101" s="182"/>
    </row>
    <row r="102" spans="1:24" ht="15.6">
      <c r="A102" s="444">
        <v>9</v>
      </c>
      <c r="B102" s="379" t="s">
        <v>257</v>
      </c>
      <c r="C102" s="379"/>
      <c r="D102" s="379"/>
      <c r="E102" s="379"/>
      <c r="F102" s="379"/>
      <c r="G102" s="379"/>
      <c r="H102" s="379"/>
      <c r="I102" s="379"/>
      <c r="J102" s="379"/>
      <c r="K102" s="379"/>
      <c r="L102" s="379"/>
      <c r="M102" s="379"/>
      <c r="N102" s="379"/>
      <c r="O102" s="379"/>
      <c r="P102" s="379"/>
      <c r="Q102" s="379"/>
      <c r="R102" s="379"/>
      <c r="S102" s="379"/>
      <c r="T102" s="379"/>
      <c r="U102" s="441">
        <f>+S219-U32</f>
        <v>-18674.250399999961</v>
      </c>
      <c r="V102" s="410"/>
      <c r="W102" s="6"/>
      <c r="X102" s="182"/>
    </row>
    <row r="103" spans="1:24" ht="15.6">
      <c r="A103" s="444">
        <v>10</v>
      </c>
      <c r="B103" s="379" t="s">
        <v>234</v>
      </c>
      <c r="C103" s="379"/>
      <c r="D103" s="379"/>
      <c r="E103" s="379"/>
      <c r="F103" s="379"/>
      <c r="G103" s="379"/>
      <c r="H103" s="379"/>
      <c r="I103" s="379"/>
      <c r="J103" s="379"/>
      <c r="K103" s="379"/>
      <c r="L103" s="379"/>
      <c r="M103" s="379"/>
      <c r="N103" s="379"/>
      <c r="O103" s="379"/>
      <c r="P103" s="379"/>
      <c r="Q103" s="379"/>
      <c r="R103" s="379"/>
      <c r="S103" s="379"/>
      <c r="T103" s="379"/>
      <c r="U103" s="441">
        <v>-40500</v>
      </c>
      <c r="V103" s="410"/>
      <c r="W103" s="6"/>
      <c r="X103" s="64"/>
    </row>
    <row r="104" spans="1:24" ht="15.6">
      <c r="A104" s="444">
        <v>11</v>
      </c>
      <c r="B104" s="379" t="s">
        <v>183</v>
      </c>
      <c r="C104" s="379"/>
      <c r="D104" s="379"/>
      <c r="E104" s="379"/>
      <c r="F104" s="379"/>
      <c r="G104" s="379"/>
      <c r="H104" s="379"/>
      <c r="I104" s="379"/>
      <c r="J104" s="379"/>
      <c r="K104" s="379"/>
      <c r="L104" s="379"/>
      <c r="M104" s="379"/>
      <c r="N104" s="379"/>
      <c r="O104" s="379"/>
      <c r="P104" s="379"/>
      <c r="Q104" s="379"/>
      <c r="R104" s="379"/>
      <c r="S104" s="379"/>
      <c r="T104" s="379"/>
      <c r="U104" s="441">
        <v>0</v>
      </c>
      <c r="V104" s="410"/>
      <c r="W104" s="6"/>
      <c r="X104" s="64"/>
    </row>
    <row r="105" spans="1:24" ht="15.6">
      <c r="A105" s="444">
        <v>12</v>
      </c>
      <c r="B105" s="379" t="s">
        <v>184</v>
      </c>
      <c r="C105" s="379"/>
      <c r="D105" s="379"/>
      <c r="E105" s="379"/>
      <c r="F105" s="379"/>
      <c r="G105" s="379"/>
      <c r="H105" s="379"/>
      <c r="I105" s="379"/>
      <c r="J105" s="379"/>
      <c r="K105" s="379"/>
      <c r="L105" s="379"/>
      <c r="M105" s="379"/>
      <c r="N105" s="379"/>
      <c r="O105" s="379"/>
      <c r="P105" s="379"/>
      <c r="Q105" s="379"/>
      <c r="R105" s="379"/>
      <c r="S105" s="379"/>
      <c r="T105" s="379"/>
      <c r="U105" s="441">
        <v>-313</v>
      </c>
      <c r="V105" s="410"/>
      <c r="W105" s="6"/>
      <c r="X105" s="182"/>
    </row>
    <row r="106" spans="1:24" ht="15.6">
      <c r="A106" s="444">
        <v>13</v>
      </c>
      <c r="B106" s="379" t="s">
        <v>40</v>
      </c>
      <c r="C106" s="379"/>
      <c r="D106" s="379"/>
      <c r="E106" s="379"/>
      <c r="F106" s="379"/>
      <c r="G106" s="379"/>
      <c r="H106" s="379"/>
      <c r="I106" s="379"/>
      <c r="J106" s="379"/>
      <c r="K106" s="379"/>
      <c r="L106" s="379"/>
      <c r="M106" s="379"/>
      <c r="N106" s="379"/>
      <c r="O106" s="379"/>
      <c r="P106" s="379"/>
      <c r="Q106" s="379"/>
      <c r="R106" s="379"/>
      <c r="S106" s="379"/>
      <c r="T106" s="379"/>
      <c r="U106" s="441">
        <f>-SUM(U87:V105)</f>
        <v>-2390.7496000000392</v>
      </c>
      <c r="V106" s="410"/>
      <c r="W106" s="6"/>
      <c r="X106" s="182"/>
    </row>
    <row r="107" spans="1:24" ht="15.6">
      <c r="A107" s="316"/>
      <c r="B107" s="443"/>
      <c r="C107" s="364"/>
      <c r="D107" s="364"/>
      <c r="E107" s="364"/>
      <c r="F107" s="364"/>
      <c r="G107" s="364"/>
      <c r="H107" s="364"/>
      <c r="I107" s="364"/>
      <c r="J107" s="364"/>
      <c r="K107" s="364"/>
      <c r="L107" s="364"/>
      <c r="M107" s="364"/>
      <c r="N107" s="364"/>
      <c r="O107" s="364"/>
      <c r="P107" s="364"/>
      <c r="Q107" s="364"/>
      <c r="R107" s="364"/>
      <c r="S107" s="360"/>
      <c r="T107" s="360"/>
      <c r="U107" s="360"/>
      <c r="V107" s="303"/>
      <c r="W107" s="6"/>
      <c r="X107" s="182"/>
    </row>
    <row r="108" spans="1:24" ht="15.6">
      <c r="A108" s="316"/>
      <c r="B108" s="317"/>
      <c r="C108" s="288"/>
      <c r="D108" s="288"/>
      <c r="E108" s="288"/>
      <c r="F108" s="288"/>
      <c r="G108" s="288"/>
      <c r="H108" s="288"/>
      <c r="I108" s="288"/>
      <c r="J108" s="288"/>
      <c r="K108" s="288"/>
      <c r="L108" s="288"/>
      <c r="M108" s="288"/>
      <c r="N108" s="288"/>
      <c r="O108" s="288"/>
      <c r="P108" s="288"/>
      <c r="Q108" s="288"/>
      <c r="R108" s="288"/>
      <c r="S108" s="318"/>
      <c r="T108" s="318"/>
      <c r="U108" s="318"/>
      <c r="V108" s="303"/>
      <c r="W108" s="6"/>
    </row>
    <row r="109" spans="1:24" ht="16.2" thickBot="1">
      <c r="A109" s="319"/>
      <c r="B109" s="304" t="str">
        <f>+B59</f>
        <v>PPAF3 INVESTOR REPORT QUARTER ENDING JUNE 2010</v>
      </c>
      <c r="C109" s="305"/>
      <c r="D109" s="305"/>
      <c r="E109" s="305"/>
      <c r="F109" s="305"/>
      <c r="G109" s="305"/>
      <c r="H109" s="305"/>
      <c r="I109" s="305"/>
      <c r="J109" s="305"/>
      <c r="K109" s="305"/>
      <c r="L109" s="305"/>
      <c r="M109" s="305"/>
      <c r="N109" s="305"/>
      <c r="O109" s="305"/>
      <c r="P109" s="305"/>
      <c r="Q109" s="305"/>
      <c r="R109" s="305"/>
      <c r="S109" s="320"/>
      <c r="T109" s="320"/>
      <c r="U109" s="320"/>
      <c r="V109" s="307"/>
      <c r="W109" s="6"/>
    </row>
    <row r="110" spans="1:24" ht="15.6">
      <c r="A110" s="238"/>
      <c r="B110" s="240"/>
      <c r="C110" s="240"/>
      <c r="D110" s="240"/>
      <c r="E110" s="240"/>
      <c r="F110" s="240"/>
      <c r="G110" s="240"/>
      <c r="H110" s="240"/>
      <c r="I110" s="240"/>
      <c r="J110" s="240"/>
      <c r="K110" s="240"/>
      <c r="L110" s="240"/>
      <c r="M110" s="240"/>
      <c r="N110" s="240"/>
      <c r="O110" s="240"/>
      <c r="P110" s="240"/>
      <c r="Q110" s="240"/>
      <c r="R110" s="240"/>
      <c r="S110" s="269"/>
      <c r="T110" s="269"/>
      <c r="U110" s="269"/>
      <c r="V110" s="241"/>
      <c r="W110" s="6"/>
    </row>
    <row r="111" spans="1:24" ht="15.6">
      <c r="A111" s="321"/>
      <c r="B111" s="499" t="s">
        <v>41</v>
      </c>
      <c r="C111" s="322"/>
      <c r="D111" s="322"/>
      <c r="E111" s="322"/>
      <c r="F111" s="322"/>
      <c r="G111" s="322"/>
      <c r="H111" s="322"/>
      <c r="I111" s="322"/>
      <c r="J111" s="322"/>
      <c r="K111" s="322"/>
      <c r="L111" s="322"/>
      <c r="M111" s="322"/>
      <c r="N111" s="322"/>
      <c r="O111" s="322"/>
      <c r="P111" s="322"/>
      <c r="Q111" s="322"/>
      <c r="R111" s="322"/>
      <c r="S111" s="322"/>
      <c r="T111" s="322"/>
      <c r="U111" s="323"/>
      <c r="V111" s="324"/>
      <c r="W111" s="6"/>
    </row>
    <row r="112" spans="1:24" ht="15.6">
      <c r="A112" s="270"/>
      <c r="B112" s="271"/>
      <c r="C112" s="271"/>
      <c r="D112" s="271"/>
      <c r="E112" s="271"/>
      <c r="F112" s="271"/>
      <c r="G112" s="271"/>
      <c r="H112" s="271"/>
      <c r="I112" s="271"/>
      <c r="J112" s="271"/>
      <c r="K112" s="271"/>
      <c r="L112" s="271"/>
      <c r="M112" s="271"/>
      <c r="N112" s="271"/>
      <c r="O112" s="271"/>
      <c r="P112" s="271"/>
      <c r="Q112" s="271"/>
      <c r="R112" s="271"/>
      <c r="S112" s="271"/>
      <c r="T112" s="271"/>
      <c r="U112" s="272"/>
      <c r="V112" s="273"/>
      <c r="W112" s="6"/>
    </row>
    <row r="113" spans="1:23" ht="15.6">
      <c r="A113" s="242"/>
      <c r="B113" s="274" t="s">
        <v>42</v>
      </c>
      <c r="C113" s="252"/>
      <c r="D113" s="252"/>
      <c r="E113" s="252"/>
      <c r="F113" s="252"/>
      <c r="G113" s="252"/>
      <c r="H113" s="252"/>
      <c r="I113" s="252"/>
      <c r="J113" s="252"/>
      <c r="K113" s="252"/>
      <c r="L113" s="252"/>
      <c r="M113" s="244"/>
      <c r="N113" s="244"/>
      <c r="O113" s="244"/>
      <c r="P113" s="244"/>
      <c r="Q113" s="244"/>
      <c r="R113" s="244"/>
      <c r="S113" s="244"/>
      <c r="T113" s="244"/>
      <c r="U113" s="263"/>
      <c r="V113" s="245"/>
      <c r="W113" s="6"/>
    </row>
    <row r="114" spans="1:23" ht="15.6">
      <c r="A114" s="378"/>
      <c r="B114" s="379" t="s">
        <v>43</v>
      </c>
      <c r="C114" s="379"/>
      <c r="D114" s="379"/>
      <c r="E114" s="379"/>
      <c r="F114" s="379"/>
      <c r="G114" s="379"/>
      <c r="H114" s="379"/>
      <c r="I114" s="379"/>
      <c r="J114" s="379"/>
      <c r="K114" s="379"/>
      <c r="L114" s="379"/>
      <c r="M114" s="379"/>
      <c r="N114" s="379"/>
      <c r="O114" s="379"/>
      <c r="P114" s="379"/>
      <c r="Q114" s="379"/>
      <c r="R114" s="379"/>
      <c r="S114" s="379"/>
      <c r="T114" s="379"/>
      <c r="U114" s="441">
        <v>40500</v>
      </c>
      <c r="V114" s="410"/>
      <c r="W114" s="6"/>
    </row>
    <row r="115" spans="1:23" ht="15.6">
      <c r="A115" s="378"/>
      <c r="B115" s="379" t="s">
        <v>240</v>
      </c>
      <c r="C115" s="379"/>
      <c r="D115" s="379"/>
      <c r="E115" s="379"/>
      <c r="F115" s="379"/>
      <c r="G115" s="379"/>
      <c r="H115" s="379"/>
      <c r="I115" s="379"/>
      <c r="J115" s="379"/>
      <c r="K115" s="379"/>
      <c r="L115" s="379"/>
      <c r="M115" s="379"/>
      <c r="N115" s="379"/>
      <c r="O115" s="379"/>
      <c r="P115" s="379"/>
      <c r="Q115" s="379"/>
      <c r="R115" s="379"/>
      <c r="S115" s="379"/>
      <c r="T115" s="379"/>
      <c r="U115" s="441">
        <v>40500</v>
      </c>
      <c r="V115" s="410"/>
      <c r="W115" s="6"/>
    </row>
    <row r="116" spans="1:23" ht="15.6">
      <c r="A116" s="378"/>
      <c r="B116" s="379" t="s">
        <v>241</v>
      </c>
      <c r="C116" s="379"/>
      <c r="D116" s="379"/>
      <c r="E116" s="379"/>
      <c r="F116" s="379"/>
      <c r="G116" s="379"/>
      <c r="H116" s="379"/>
      <c r="I116" s="379"/>
      <c r="J116" s="379"/>
      <c r="K116" s="379"/>
      <c r="L116" s="379"/>
      <c r="M116" s="379"/>
      <c r="N116" s="379"/>
      <c r="O116" s="379"/>
      <c r="P116" s="379"/>
      <c r="Q116" s="379"/>
      <c r="R116" s="379"/>
      <c r="S116" s="379"/>
      <c r="T116" s="379"/>
      <c r="U116" s="441">
        <v>0</v>
      </c>
      <c r="V116" s="410"/>
      <c r="W116" s="6"/>
    </row>
    <row r="117" spans="1:23" ht="15.6">
      <c r="A117" s="378"/>
      <c r="B117" s="379" t="s">
        <v>209</v>
      </c>
      <c r="C117" s="379"/>
      <c r="D117" s="379"/>
      <c r="E117" s="379"/>
      <c r="F117" s="379"/>
      <c r="G117" s="379"/>
      <c r="H117" s="379"/>
      <c r="I117" s="379"/>
      <c r="J117" s="379"/>
      <c r="K117" s="379"/>
      <c r="L117" s="379"/>
      <c r="M117" s="379"/>
      <c r="N117" s="379"/>
      <c r="O117" s="379"/>
      <c r="P117" s="379"/>
      <c r="Q117" s="379"/>
      <c r="R117" s="379"/>
      <c r="S117" s="379"/>
      <c r="T117" s="379"/>
      <c r="U117" s="441">
        <v>0</v>
      </c>
      <c r="V117" s="410"/>
      <c r="W117" s="6"/>
    </row>
    <row r="118" spans="1:23" ht="15.6">
      <c r="A118" s="378"/>
      <c r="B118" s="379" t="s">
        <v>210</v>
      </c>
      <c r="C118" s="379"/>
      <c r="D118" s="379"/>
      <c r="E118" s="379"/>
      <c r="F118" s="379"/>
      <c r="G118" s="379"/>
      <c r="H118" s="379"/>
      <c r="I118" s="379"/>
      <c r="J118" s="379"/>
      <c r="K118" s="379"/>
      <c r="L118" s="379"/>
      <c r="M118" s="379"/>
      <c r="N118" s="379"/>
      <c r="O118" s="379"/>
      <c r="P118" s="379"/>
      <c r="Q118" s="379"/>
      <c r="R118" s="379"/>
      <c r="S118" s="379"/>
      <c r="T118" s="379"/>
      <c r="U118" s="441">
        <v>0</v>
      </c>
      <c r="V118" s="410"/>
      <c r="W118" s="6"/>
    </row>
    <row r="119" spans="1:23" ht="15.6">
      <c r="A119" s="378"/>
      <c r="B119" s="379" t="s">
        <v>211</v>
      </c>
      <c r="C119" s="379"/>
      <c r="D119" s="379"/>
      <c r="E119" s="379"/>
      <c r="F119" s="379"/>
      <c r="G119" s="379"/>
      <c r="H119" s="379"/>
      <c r="I119" s="379"/>
      <c r="J119" s="379"/>
      <c r="K119" s="379"/>
      <c r="L119" s="379"/>
      <c r="M119" s="379"/>
      <c r="N119" s="379"/>
      <c r="O119" s="379"/>
      <c r="P119" s="379"/>
      <c r="Q119" s="379"/>
      <c r="R119" s="379"/>
      <c r="S119" s="379"/>
      <c r="T119" s="379"/>
      <c r="U119" s="441">
        <v>0</v>
      </c>
      <c r="V119" s="410"/>
      <c r="W119" s="6"/>
    </row>
    <row r="120" spans="1:23" ht="15.6">
      <c r="A120" s="378"/>
      <c r="B120" s="379" t="s">
        <v>212</v>
      </c>
      <c r="C120" s="379"/>
      <c r="D120" s="379"/>
      <c r="E120" s="379"/>
      <c r="F120" s="379"/>
      <c r="G120" s="379"/>
      <c r="H120" s="379"/>
      <c r="I120" s="379"/>
      <c r="J120" s="379"/>
      <c r="K120" s="379"/>
      <c r="L120" s="379"/>
      <c r="M120" s="379"/>
      <c r="N120" s="379"/>
      <c r="O120" s="379"/>
      <c r="P120" s="379"/>
      <c r="Q120" s="379"/>
      <c r="R120" s="379"/>
      <c r="S120" s="379"/>
      <c r="T120" s="379"/>
      <c r="U120" s="441">
        <v>0</v>
      </c>
      <c r="V120" s="410"/>
      <c r="W120" s="6"/>
    </row>
    <row r="121" spans="1:23" ht="15.6">
      <c r="A121" s="378"/>
      <c r="B121" s="379" t="s">
        <v>242</v>
      </c>
      <c r="C121" s="379"/>
      <c r="D121" s="379"/>
      <c r="E121" s="379"/>
      <c r="F121" s="379"/>
      <c r="G121" s="379"/>
      <c r="H121" s="379"/>
      <c r="I121" s="379"/>
      <c r="J121" s="379"/>
      <c r="K121" s="379"/>
      <c r="L121" s="379"/>
      <c r="M121" s="379"/>
      <c r="N121" s="379"/>
      <c r="O121" s="379"/>
      <c r="P121" s="379"/>
      <c r="Q121" s="379"/>
      <c r="R121" s="379"/>
      <c r="S121" s="379"/>
      <c r="T121" s="379"/>
      <c r="U121" s="441">
        <v>0</v>
      </c>
      <c r="V121" s="410"/>
      <c r="W121" s="6"/>
    </row>
    <row r="122" spans="1:23" ht="15.6">
      <c r="A122" s="378"/>
      <c r="B122" s="379" t="s">
        <v>45</v>
      </c>
      <c r="C122" s="379"/>
      <c r="D122" s="379"/>
      <c r="E122" s="379"/>
      <c r="F122" s="379"/>
      <c r="G122" s="379"/>
      <c r="H122" s="379"/>
      <c r="I122" s="379"/>
      <c r="J122" s="379"/>
      <c r="K122" s="379"/>
      <c r="L122" s="379"/>
      <c r="M122" s="379"/>
      <c r="N122" s="379"/>
      <c r="O122" s="379"/>
      <c r="P122" s="379"/>
      <c r="Q122" s="379"/>
      <c r="R122" s="379"/>
      <c r="S122" s="379"/>
      <c r="T122" s="379"/>
      <c r="U122" s="441">
        <f>SUM(U115:U121)</f>
        <v>40500</v>
      </c>
      <c r="V122" s="410"/>
      <c r="W122" s="6"/>
    </row>
    <row r="123" spans="1:23" ht="15.6">
      <c r="A123" s="242"/>
      <c r="B123" s="438"/>
      <c r="C123" s="438"/>
      <c r="D123" s="438"/>
      <c r="E123" s="438"/>
      <c r="F123" s="438"/>
      <c r="G123" s="438"/>
      <c r="H123" s="438"/>
      <c r="I123" s="438"/>
      <c r="J123" s="438"/>
      <c r="K123" s="438"/>
      <c r="L123" s="438"/>
      <c r="M123" s="438"/>
      <c r="N123" s="438"/>
      <c r="O123" s="438"/>
      <c r="P123" s="438"/>
      <c r="Q123" s="438"/>
      <c r="R123" s="438"/>
      <c r="S123" s="438"/>
      <c r="T123" s="438"/>
      <c r="U123" s="448"/>
      <c r="V123" s="245"/>
      <c r="W123" s="6"/>
    </row>
    <row r="124" spans="1:23" ht="15.6">
      <c r="A124" s="242"/>
      <c r="B124" s="274" t="s">
        <v>46</v>
      </c>
      <c r="C124" s="252"/>
      <c r="D124" s="252"/>
      <c r="E124" s="252"/>
      <c r="F124" s="252"/>
      <c r="G124" s="252"/>
      <c r="H124" s="252"/>
      <c r="I124" s="252"/>
      <c r="J124" s="252"/>
      <c r="K124" s="252"/>
      <c r="L124" s="252"/>
      <c r="M124" s="244"/>
      <c r="N124" s="244"/>
      <c r="O124" s="244"/>
      <c r="P124" s="275"/>
      <c r="Q124" s="244"/>
      <c r="R124" s="244"/>
      <c r="S124" s="244"/>
      <c r="T124" s="244"/>
      <c r="U124" s="276"/>
      <c r="V124" s="245"/>
      <c r="W124" s="6"/>
    </row>
    <row r="125" spans="1:23" ht="15.6">
      <c r="A125" s="230"/>
      <c r="B125" s="308"/>
      <c r="C125" s="313" t="s">
        <v>185</v>
      </c>
      <c r="D125" s="313"/>
      <c r="E125" s="313" t="s">
        <v>99</v>
      </c>
      <c r="F125" s="313"/>
      <c r="G125" s="313" t="s">
        <v>102</v>
      </c>
      <c r="H125" s="313"/>
      <c r="I125" s="313" t="s">
        <v>108</v>
      </c>
      <c r="J125" s="313"/>
      <c r="K125" s="313"/>
      <c r="L125" s="313"/>
      <c r="M125" s="313"/>
      <c r="N125" s="313"/>
      <c r="O125" s="313"/>
      <c r="P125" s="326"/>
      <c r="Q125" s="326"/>
      <c r="R125" s="231"/>
      <c r="S125" s="231"/>
      <c r="T125" s="231"/>
      <c r="U125" s="309"/>
      <c r="V125" s="237"/>
      <c r="W125" s="6"/>
    </row>
    <row r="126" spans="1:23" ht="15.6">
      <c r="A126" s="257"/>
      <c r="B126" s="294" t="s">
        <v>122</v>
      </c>
      <c r="C126" s="310">
        <f>+N199-'March 10'!N200</f>
        <v>125</v>
      </c>
      <c r="D126" s="294"/>
      <c r="E126" s="310">
        <f>+S199-'March 10'!S200</f>
        <v>117</v>
      </c>
      <c r="F126" s="294"/>
      <c r="G126" s="310">
        <f>+'June 10'!N212-'March 10'!N213</f>
        <v>387</v>
      </c>
      <c r="H126" s="294"/>
      <c r="I126" s="310">
        <f>+S212-'March 10'!S213</f>
        <v>24</v>
      </c>
      <c r="J126" s="294"/>
      <c r="K126" s="294"/>
      <c r="L126" s="294"/>
      <c r="M126" s="294"/>
      <c r="N126" s="294"/>
      <c r="O126" s="294"/>
      <c r="P126" s="325"/>
      <c r="Q126" s="325"/>
      <c r="R126" s="294"/>
      <c r="S126" s="294"/>
      <c r="T126" s="294"/>
      <c r="U126" s="311">
        <f>SUM(C126:I126)</f>
        <v>653</v>
      </c>
      <c r="V126" s="298"/>
      <c r="W126" s="6"/>
    </row>
    <row r="127" spans="1:23" ht="15.6">
      <c r="A127" s="378"/>
      <c r="B127" s="379" t="s">
        <v>47</v>
      </c>
      <c r="C127" s="379">
        <v>90</v>
      </c>
      <c r="D127" s="379"/>
      <c r="E127" s="379">
        <v>0</v>
      </c>
      <c r="F127" s="379"/>
      <c r="G127" s="379">
        <v>1072</v>
      </c>
      <c r="H127" s="379"/>
      <c r="I127" s="440">
        <v>730</v>
      </c>
      <c r="J127" s="379"/>
      <c r="K127" s="379"/>
      <c r="L127" s="379"/>
      <c r="M127" s="379"/>
      <c r="N127" s="379"/>
      <c r="O127" s="379"/>
      <c r="P127" s="450"/>
      <c r="Q127" s="450"/>
      <c r="R127" s="379"/>
      <c r="S127" s="379"/>
      <c r="T127" s="379"/>
      <c r="U127" s="441">
        <f>SUM(C127:I127)</f>
        <v>1892</v>
      </c>
      <c r="V127" s="410"/>
      <c r="W127" s="6"/>
    </row>
    <row r="128" spans="1:23" ht="15.6">
      <c r="A128" s="242"/>
      <c r="B128" s="364" t="s">
        <v>48</v>
      </c>
      <c r="C128" s="364"/>
      <c r="D128" s="364"/>
      <c r="E128" s="364"/>
      <c r="F128" s="364"/>
      <c r="G128" s="364"/>
      <c r="H128" s="364"/>
      <c r="I128" s="364"/>
      <c r="J128" s="364"/>
      <c r="K128" s="364"/>
      <c r="L128" s="364"/>
      <c r="M128" s="364"/>
      <c r="N128" s="364"/>
      <c r="O128" s="364"/>
      <c r="P128" s="364"/>
      <c r="Q128" s="364"/>
      <c r="R128" s="364"/>
      <c r="S128" s="364"/>
      <c r="T128" s="364"/>
      <c r="U128" s="449">
        <f>SUM(U126:U127)</f>
        <v>2545</v>
      </c>
      <c r="V128" s="303"/>
      <c r="W128" s="6"/>
    </row>
    <row r="129" spans="1:25" ht="15.6">
      <c r="A129" s="242"/>
      <c r="B129" s="274" t="s">
        <v>49</v>
      </c>
      <c r="C129" s="252"/>
      <c r="D129" s="252"/>
      <c r="E129" s="252"/>
      <c r="F129" s="252"/>
      <c r="G129" s="252"/>
      <c r="H129" s="252"/>
      <c r="I129" s="252"/>
      <c r="J129" s="252"/>
      <c r="K129" s="252"/>
      <c r="L129" s="252"/>
      <c r="M129" s="244"/>
      <c r="N129" s="244"/>
      <c r="O129" s="244"/>
      <c r="P129" s="244"/>
      <c r="Q129" s="244"/>
      <c r="R129" s="244"/>
      <c r="S129" s="244"/>
      <c r="T129" s="244"/>
      <c r="U129" s="263"/>
      <c r="V129" s="245"/>
      <c r="W129" s="6"/>
    </row>
    <row r="130" spans="1:25" ht="15.6">
      <c r="A130" s="444"/>
      <c r="B130" s="379" t="s">
        <v>50</v>
      </c>
      <c r="C130" s="386"/>
      <c r="D130" s="386"/>
      <c r="E130" s="386"/>
      <c r="F130" s="386"/>
      <c r="G130" s="386"/>
      <c r="H130" s="386"/>
      <c r="I130" s="386"/>
      <c r="J130" s="386"/>
      <c r="K130" s="386"/>
      <c r="L130" s="386"/>
      <c r="M130" s="379"/>
      <c r="N130" s="379"/>
      <c r="O130" s="379"/>
      <c r="P130" s="379"/>
      <c r="Q130" s="379"/>
      <c r="R130" s="379"/>
      <c r="S130" s="379"/>
      <c r="T130" s="379"/>
      <c r="U130" s="441">
        <f>U75+U77</f>
        <v>260252</v>
      </c>
      <c r="V130" s="410"/>
      <c r="W130" s="6"/>
      <c r="X130" s="182"/>
    </row>
    <row r="131" spans="1:25" ht="15.6">
      <c r="A131" s="444"/>
      <c r="B131" s="379" t="s">
        <v>51</v>
      </c>
      <c r="C131" s="386"/>
      <c r="D131" s="386"/>
      <c r="E131" s="386"/>
      <c r="F131" s="386"/>
      <c r="G131" s="386"/>
      <c r="H131" s="386"/>
      <c r="I131" s="386"/>
      <c r="J131" s="386"/>
      <c r="K131" s="386"/>
      <c r="L131" s="386"/>
      <c r="M131" s="379"/>
      <c r="N131" s="379"/>
      <c r="O131" s="379"/>
      <c r="P131" s="379"/>
      <c r="Q131" s="379"/>
      <c r="R131" s="379"/>
      <c r="S131" s="379"/>
      <c r="T131" s="379"/>
      <c r="U131" s="441">
        <v>0</v>
      </c>
      <c r="V131" s="410"/>
      <c r="W131" s="6"/>
      <c r="Y131" s="182"/>
    </row>
    <row r="132" spans="1:25" ht="15.6">
      <c r="A132" s="444"/>
      <c r="B132" s="379" t="s">
        <v>52</v>
      </c>
      <c r="C132" s="386"/>
      <c r="D132" s="386"/>
      <c r="E132" s="386"/>
      <c r="F132" s="386"/>
      <c r="G132" s="386"/>
      <c r="H132" s="386"/>
      <c r="I132" s="386"/>
      <c r="J132" s="386"/>
      <c r="K132" s="386"/>
      <c r="L132" s="386"/>
      <c r="M132" s="379"/>
      <c r="N132" s="379"/>
      <c r="O132" s="379"/>
      <c r="P132" s="379"/>
      <c r="Q132" s="379"/>
      <c r="R132" s="379"/>
      <c r="S132" s="379"/>
      <c r="T132" s="379"/>
      <c r="U132" s="441">
        <f>+U130+U131</f>
        <v>260252</v>
      </c>
      <c r="V132" s="410"/>
      <c r="W132" s="6"/>
    </row>
    <row r="133" spans="1:25" ht="15.6">
      <c r="A133" s="444"/>
      <c r="B133" s="379" t="s">
        <v>53</v>
      </c>
      <c r="C133" s="386"/>
      <c r="D133" s="386"/>
      <c r="E133" s="386"/>
      <c r="F133" s="386"/>
      <c r="G133" s="386"/>
      <c r="H133" s="386"/>
      <c r="I133" s="386"/>
      <c r="J133" s="386"/>
      <c r="K133" s="386"/>
      <c r="L133" s="386"/>
      <c r="M133" s="379"/>
      <c r="N133" s="379"/>
      <c r="O133" s="379"/>
      <c r="P133" s="379"/>
      <c r="Q133" s="379"/>
      <c r="R133" s="379"/>
      <c r="S133" s="379"/>
      <c r="T133" s="379"/>
      <c r="U133" s="441">
        <f>U80</f>
        <v>260252</v>
      </c>
      <c r="V133" s="410"/>
      <c r="W133" s="6"/>
      <c r="X133" s="64"/>
    </row>
    <row r="134" spans="1:25" ht="15.6">
      <c r="A134" s="242"/>
      <c r="B134" s="438"/>
      <c r="C134" s="438"/>
      <c r="D134" s="438"/>
      <c r="E134" s="438"/>
      <c r="F134" s="438"/>
      <c r="G134" s="438"/>
      <c r="H134" s="438"/>
      <c r="I134" s="438"/>
      <c r="J134" s="438"/>
      <c r="K134" s="438"/>
      <c r="L134" s="438"/>
      <c r="M134" s="438"/>
      <c r="N134" s="438"/>
      <c r="O134" s="438"/>
      <c r="P134" s="438"/>
      <c r="Q134" s="438"/>
      <c r="R134" s="438"/>
      <c r="S134" s="438"/>
      <c r="T134" s="438"/>
      <c r="U134" s="451"/>
      <c r="V134" s="245"/>
      <c r="W134" s="6"/>
    </row>
    <row r="135" spans="1:25" ht="15.6">
      <c r="A135" s="242"/>
      <c r="B135" s="274" t="s">
        <v>54</v>
      </c>
      <c r="C135" s="247"/>
      <c r="D135" s="247"/>
      <c r="E135" s="247"/>
      <c r="F135" s="247"/>
      <c r="G135" s="247"/>
      <c r="H135" s="247"/>
      <c r="I135" s="247"/>
      <c r="J135" s="247"/>
      <c r="K135" s="247"/>
      <c r="L135" s="247"/>
      <c r="M135" s="247"/>
      <c r="N135" s="247"/>
      <c r="O135" s="247"/>
      <c r="P135" s="247"/>
      <c r="Q135" s="277" t="s">
        <v>112</v>
      </c>
      <c r="R135" s="278"/>
      <c r="S135" s="277" t="s">
        <v>114</v>
      </c>
      <c r="T135" s="247"/>
      <c r="U135" s="279" t="s">
        <v>90</v>
      </c>
      <c r="V135" s="245"/>
      <c r="W135" s="6"/>
    </row>
    <row r="136" spans="1:25" ht="15.6">
      <c r="A136" s="378"/>
      <c r="B136" s="379" t="s">
        <v>55</v>
      </c>
      <c r="C136" s="379"/>
      <c r="D136" s="379"/>
      <c r="E136" s="379"/>
      <c r="F136" s="379"/>
      <c r="G136" s="379"/>
      <c r="H136" s="379"/>
      <c r="I136" s="379"/>
      <c r="J136" s="379"/>
      <c r="K136" s="379"/>
      <c r="L136" s="379"/>
      <c r="M136" s="379"/>
      <c r="N136" s="379"/>
      <c r="O136" s="379"/>
      <c r="P136" s="379"/>
      <c r="Q136" s="441">
        <v>0</v>
      </c>
      <c r="R136" s="379"/>
      <c r="S136" s="453" t="s">
        <v>115</v>
      </c>
      <c r="T136" s="379"/>
      <c r="U136" s="441">
        <f>Q136</f>
        <v>0</v>
      </c>
      <c r="V136" s="385"/>
      <c r="W136" s="6"/>
    </row>
    <row r="137" spans="1:25" ht="15.6">
      <c r="A137" s="378"/>
      <c r="B137" s="379" t="s">
        <v>56</v>
      </c>
      <c r="C137" s="379"/>
      <c r="D137" s="379"/>
      <c r="E137" s="379"/>
      <c r="F137" s="379"/>
      <c r="G137" s="379"/>
      <c r="H137" s="379"/>
      <c r="I137" s="379"/>
      <c r="J137" s="379"/>
      <c r="K137" s="379"/>
      <c r="L137" s="379"/>
      <c r="M137" s="379"/>
      <c r="N137" s="379"/>
      <c r="O137" s="379"/>
      <c r="P137" s="379"/>
      <c r="Q137" s="441">
        <f>+'March 10'!Q140</f>
        <v>4229</v>
      </c>
      <c r="R137" s="379"/>
      <c r="S137" s="453" t="s">
        <v>115</v>
      </c>
      <c r="T137" s="379"/>
      <c r="U137" s="441">
        <f>Q137</f>
        <v>4229</v>
      </c>
      <c r="V137" s="385"/>
      <c r="W137" s="6"/>
    </row>
    <row r="138" spans="1:25" ht="15.6">
      <c r="A138" s="378"/>
      <c r="B138" s="379" t="s">
        <v>57</v>
      </c>
      <c r="C138" s="379"/>
      <c r="D138" s="379"/>
      <c r="E138" s="379"/>
      <c r="F138" s="379"/>
      <c r="G138" s="379"/>
      <c r="H138" s="379"/>
      <c r="I138" s="379"/>
      <c r="J138" s="379"/>
      <c r="K138" s="379"/>
      <c r="L138" s="379"/>
      <c r="M138" s="379"/>
      <c r="N138" s="379"/>
      <c r="O138" s="379"/>
      <c r="P138" s="379"/>
      <c r="Q138" s="441">
        <v>0</v>
      </c>
      <c r="R138" s="379"/>
      <c r="S138" s="453" t="s">
        <v>115</v>
      </c>
      <c r="T138" s="379"/>
      <c r="U138" s="441">
        <f>Q138</f>
        <v>0</v>
      </c>
      <c r="V138" s="385"/>
      <c r="W138" s="6"/>
    </row>
    <row r="139" spans="1:25" ht="15.6">
      <c r="A139" s="378"/>
      <c r="B139" s="379" t="s">
        <v>58</v>
      </c>
      <c r="C139" s="379"/>
      <c r="D139" s="379"/>
      <c r="E139" s="379"/>
      <c r="F139" s="379"/>
      <c r="G139" s="379"/>
      <c r="H139" s="379"/>
      <c r="I139" s="379"/>
      <c r="J139" s="379"/>
      <c r="K139" s="379"/>
      <c r="L139" s="379"/>
      <c r="M139" s="379"/>
      <c r="N139" s="379"/>
      <c r="O139" s="379"/>
      <c r="P139" s="379"/>
      <c r="Q139" s="441">
        <f>SUM(Q137:Q138)</f>
        <v>4229</v>
      </c>
      <c r="R139" s="379"/>
      <c r="S139" s="453" t="s">
        <v>115</v>
      </c>
      <c r="T139" s="379"/>
      <c r="U139" s="441">
        <f>Q139</f>
        <v>4229</v>
      </c>
      <c r="V139" s="385"/>
      <c r="W139" s="6"/>
    </row>
    <row r="140" spans="1:25" ht="15.6">
      <c r="A140" s="378"/>
      <c r="B140" s="379" t="s">
        <v>215</v>
      </c>
      <c r="C140" s="379"/>
      <c r="D140" s="379"/>
      <c r="E140" s="379"/>
      <c r="F140" s="379"/>
      <c r="G140" s="379"/>
      <c r="H140" s="379"/>
      <c r="I140" s="379"/>
      <c r="J140" s="379"/>
      <c r="K140" s="379"/>
      <c r="L140" s="379"/>
      <c r="M140" s="379"/>
      <c r="N140" s="379"/>
      <c r="O140" s="379"/>
      <c r="P140" s="379"/>
      <c r="Q140" s="441"/>
      <c r="R140" s="379"/>
      <c r="S140" s="453"/>
      <c r="T140" s="379"/>
      <c r="U140" s="441"/>
      <c r="V140" s="385"/>
      <c r="W140" s="6"/>
    </row>
    <row r="141" spans="1:25" ht="15.6">
      <c r="A141" s="378"/>
      <c r="B141" s="454"/>
      <c r="C141" s="454"/>
      <c r="D141" s="454"/>
      <c r="E141" s="454"/>
      <c r="F141" s="454"/>
      <c r="G141" s="454"/>
      <c r="H141" s="454"/>
      <c r="I141" s="454"/>
      <c r="J141" s="454"/>
      <c r="K141" s="454"/>
      <c r="L141" s="454"/>
      <c r="M141" s="454"/>
      <c r="N141" s="454"/>
      <c r="O141" s="454"/>
      <c r="P141" s="454"/>
      <c r="Q141" s="454"/>
      <c r="R141" s="454"/>
      <c r="S141" s="454"/>
      <c r="T141" s="454"/>
      <c r="U141" s="454"/>
      <c r="V141" s="385"/>
      <c r="W141" s="6"/>
    </row>
    <row r="142" spans="1:25" ht="15.6">
      <c r="A142" s="242"/>
      <c r="B142" s="452"/>
      <c r="C142" s="452"/>
      <c r="D142" s="452"/>
      <c r="E142" s="452"/>
      <c r="F142" s="452"/>
      <c r="G142" s="452"/>
      <c r="H142" s="452"/>
      <c r="I142" s="452"/>
      <c r="J142" s="452"/>
      <c r="K142" s="452"/>
      <c r="L142" s="452"/>
      <c r="M142" s="452"/>
      <c r="N142" s="452"/>
      <c r="O142" s="452"/>
      <c r="P142" s="452"/>
      <c r="Q142" s="452"/>
      <c r="R142" s="452"/>
      <c r="S142" s="452"/>
      <c r="T142" s="452"/>
      <c r="U142" s="452"/>
      <c r="V142" s="284"/>
      <c r="W142" s="6"/>
    </row>
    <row r="143" spans="1:25" ht="15.6">
      <c r="A143" s="230"/>
      <c r="B143" s="308" t="s">
        <v>59</v>
      </c>
      <c r="C143" s="327"/>
      <c r="D143" s="327"/>
      <c r="E143" s="327"/>
      <c r="F143" s="327"/>
      <c r="G143" s="327"/>
      <c r="H143" s="327"/>
      <c r="I143" s="327"/>
      <c r="J143" s="327"/>
      <c r="K143" s="327"/>
      <c r="L143" s="327"/>
      <c r="M143" s="327"/>
      <c r="N143" s="327"/>
      <c r="O143" s="327"/>
      <c r="P143" s="328"/>
      <c r="Q143" s="328"/>
      <c r="R143" s="328"/>
      <c r="S143" s="328">
        <v>40359</v>
      </c>
      <c r="T143" s="231"/>
      <c r="U143" s="231"/>
      <c r="V143" s="237"/>
      <c r="W143" s="6"/>
    </row>
    <row r="144" spans="1:25" ht="15.6">
      <c r="A144" s="281"/>
      <c r="B144" s="294" t="s">
        <v>60</v>
      </c>
      <c r="C144" s="329"/>
      <c r="D144" s="329"/>
      <c r="E144" s="329"/>
      <c r="F144" s="329"/>
      <c r="G144" s="329"/>
      <c r="H144" s="329"/>
      <c r="I144" s="329"/>
      <c r="J144" s="329"/>
      <c r="K144" s="329"/>
      <c r="L144" s="329"/>
      <c r="M144" s="329"/>
      <c r="N144" s="329"/>
      <c r="O144" s="329"/>
      <c r="P144" s="300"/>
      <c r="Q144" s="300"/>
      <c r="R144" s="300"/>
      <c r="S144" s="299">
        <v>0.10630000000000001</v>
      </c>
      <c r="T144" s="294"/>
      <c r="U144" s="294"/>
      <c r="V144" s="260"/>
      <c r="W144" s="6"/>
    </row>
    <row r="145" spans="1:23" ht="15.6">
      <c r="A145" s="458"/>
      <c r="B145" s="379" t="s">
        <v>61</v>
      </c>
      <c r="C145" s="459"/>
      <c r="D145" s="459"/>
      <c r="E145" s="459"/>
      <c r="F145" s="459"/>
      <c r="G145" s="459"/>
      <c r="H145" s="459"/>
      <c r="I145" s="459"/>
      <c r="J145" s="459"/>
      <c r="K145" s="459"/>
      <c r="L145" s="459"/>
      <c r="M145" s="459"/>
      <c r="N145" s="459"/>
      <c r="O145" s="459"/>
      <c r="P145" s="433"/>
      <c r="Q145" s="433"/>
      <c r="R145" s="433"/>
      <c r="S145" s="427">
        <v>5.2200000000000003E-2</v>
      </c>
      <c r="T145" s="427"/>
      <c r="U145" s="379"/>
      <c r="V145" s="385"/>
      <c r="W145" s="6"/>
    </row>
    <row r="146" spans="1:23" ht="15.6">
      <c r="A146" s="458"/>
      <c r="B146" s="379" t="s">
        <v>62</v>
      </c>
      <c r="C146" s="459"/>
      <c r="D146" s="459"/>
      <c r="E146" s="459"/>
      <c r="F146" s="459"/>
      <c r="G146" s="459"/>
      <c r="H146" s="459"/>
      <c r="I146" s="459"/>
      <c r="J146" s="459"/>
      <c r="K146" s="459"/>
      <c r="L146" s="459"/>
      <c r="M146" s="459"/>
      <c r="N146" s="459"/>
      <c r="O146" s="459"/>
      <c r="P146" s="433"/>
      <c r="Q146" s="433"/>
      <c r="R146" s="433"/>
      <c r="S146" s="427">
        <f>S144-S145</f>
        <v>5.4100000000000002E-2</v>
      </c>
      <c r="T146" s="379"/>
      <c r="U146" s="379"/>
      <c r="V146" s="385"/>
      <c r="W146" s="6"/>
    </row>
    <row r="147" spans="1:23" ht="15.6">
      <c r="A147" s="458"/>
      <c r="B147" s="379" t="s">
        <v>63</v>
      </c>
      <c r="C147" s="459"/>
      <c r="D147" s="459"/>
      <c r="E147" s="459"/>
      <c r="F147" s="459"/>
      <c r="G147" s="459"/>
      <c r="H147" s="459"/>
      <c r="I147" s="459"/>
      <c r="J147" s="459"/>
      <c r="K147" s="459"/>
      <c r="L147" s="459"/>
      <c r="M147" s="459"/>
      <c r="N147" s="459"/>
      <c r="O147" s="459"/>
      <c r="P147" s="433"/>
      <c r="Q147" s="433"/>
      <c r="R147" s="433"/>
      <c r="S147" s="427">
        <v>9.3399999999999997E-2</v>
      </c>
      <c r="T147" s="379"/>
      <c r="U147" s="379"/>
      <c r="V147" s="385"/>
      <c r="W147" s="6"/>
    </row>
    <row r="148" spans="1:23" ht="15.6">
      <c r="A148" s="458"/>
      <c r="B148" s="379" t="s">
        <v>64</v>
      </c>
      <c r="C148" s="459"/>
      <c r="D148" s="459"/>
      <c r="E148" s="459"/>
      <c r="F148" s="459"/>
      <c r="G148" s="459"/>
      <c r="H148" s="459"/>
      <c r="I148" s="459"/>
      <c r="J148" s="459"/>
      <c r="K148" s="459"/>
      <c r="L148" s="459"/>
      <c r="M148" s="459"/>
      <c r="N148" s="459"/>
      <c r="O148" s="459"/>
      <c r="P148" s="433"/>
      <c r="Q148" s="433"/>
      <c r="R148" s="433"/>
      <c r="S148" s="427">
        <f>+U40</f>
        <v>1.5031641491074806E-2</v>
      </c>
      <c r="T148" s="379"/>
      <c r="U148" s="379"/>
      <c r="V148" s="385"/>
      <c r="W148" s="6"/>
    </row>
    <row r="149" spans="1:23" ht="15.6">
      <c r="A149" s="458"/>
      <c r="B149" s="379" t="s">
        <v>65</v>
      </c>
      <c r="C149" s="459"/>
      <c r="D149" s="459"/>
      <c r="E149" s="459"/>
      <c r="F149" s="459"/>
      <c r="G149" s="459"/>
      <c r="H149" s="459"/>
      <c r="I149" s="459"/>
      <c r="J149" s="459"/>
      <c r="K149" s="459"/>
      <c r="L149" s="459"/>
      <c r="M149" s="459"/>
      <c r="N149" s="459"/>
      <c r="O149" s="459"/>
      <c r="P149" s="433"/>
      <c r="Q149" s="433"/>
      <c r="R149" s="433"/>
      <c r="S149" s="427">
        <f>S147-S148</f>
        <v>7.8368358508925193E-2</v>
      </c>
      <c r="T149" s="379"/>
      <c r="U149" s="379"/>
      <c r="V149" s="385"/>
      <c r="W149" s="6"/>
    </row>
    <row r="150" spans="1:23" ht="15.6">
      <c r="A150" s="458"/>
      <c r="B150" s="379" t="s">
        <v>204</v>
      </c>
      <c r="C150" s="459"/>
      <c r="D150" s="459"/>
      <c r="E150" s="459"/>
      <c r="F150" s="459"/>
      <c r="G150" s="459"/>
      <c r="H150" s="459"/>
      <c r="I150" s="459"/>
      <c r="J150" s="459"/>
      <c r="K150" s="459"/>
      <c r="L150" s="459"/>
      <c r="M150" s="459"/>
      <c r="N150" s="459"/>
      <c r="O150" s="459"/>
      <c r="P150" s="433"/>
      <c r="Q150" s="433"/>
      <c r="R150" s="433"/>
      <c r="S150" s="429">
        <v>49780</v>
      </c>
      <c r="T150" s="379"/>
      <c r="U150" s="379"/>
      <c r="V150" s="385"/>
      <c r="W150" s="6"/>
    </row>
    <row r="151" spans="1:23" ht="15.6">
      <c r="A151" s="458"/>
      <c r="B151" s="379" t="s">
        <v>205</v>
      </c>
      <c r="C151" s="459"/>
      <c r="D151" s="459"/>
      <c r="E151" s="459"/>
      <c r="F151" s="459"/>
      <c r="G151" s="459"/>
      <c r="H151" s="459"/>
      <c r="I151" s="459"/>
      <c r="J151" s="459"/>
      <c r="K151" s="459"/>
      <c r="L151" s="459"/>
      <c r="M151" s="459"/>
      <c r="N151" s="459"/>
      <c r="O151" s="459"/>
      <c r="P151" s="433"/>
      <c r="Q151" s="433"/>
      <c r="R151" s="433"/>
      <c r="S151" s="429">
        <v>49780</v>
      </c>
      <c r="T151" s="379"/>
      <c r="U151" s="379"/>
      <c r="V151" s="385"/>
      <c r="W151" s="6"/>
    </row>
    <row r="152" spans="1:23" ht="15.6">
      <c r="A152" s="458"/>
      <c r="B152" s="379" t="s">
        <v>206</v>
      </c>
      <c r="C152" s="459"/>
      <c r="D152" s="459"/>
      <c r="E152" s="459"/>
      <c r="F152" s="459"/>
      <c r="G152" s="459"/>
      <c r="H152" s="459"/>
      <c r="I152" s="459"/>
      <c r="J152" s="459"/>
      <c r="K152" s="459"/>
      <c r="L152" s="459"/>
      <c r="M152" s="459"/>
      <c r="N152" s="459"/>
      <c r="O152" s="459"/>
      <c r="P152" s="433"/>
      <c r="Q152" s="433"/>
      <c r="R152" s="433"/>
      <c r="S152" s="429">
        <v>49780</v>
      </c>
      <c r="T152" s="379"/>
      <c r="U152" s="379"/>
      <c r="V152" s="385"/>
      <c r="W152" s="6"/>
    </row>
    <row r="153" spans="1:23" ht="15.6">
      <c r="A153" s="458"/>
      <c r="B153" s="379" t="s">
        <v>207</v>
      </c>
      <c r="C153" s="459"/>
      <c r="D153" s="459"/>
      <c r="E153" s="459"/>
      <c r="F153" s="459"/>
      <c r="G153" s="459"/>
      <c r="H153" s="459"/>
      <c r="I153" s="459"/>
      <c r="J153" s="459"/>
      <c r="K153" s="459"/>
      <c r="L153" s="459"/>
      <c r="M153" s="459"/>
      <c r="N153" s="459"/>
      <c r="O153" s="459"/>
      <c r="P153" s="433"/>
      <c r="Q153" s="433"/>
      <c r="R153" s="433"/>
      <c r="S153" s="429">
        <v>49780</v>
      </c>
      <c r="T153" s="379"/>
      <c r="U153" s="379"/>
      <c r="V153" s="385"/>
      <c r="W153" s="6"/>
    </row>
    <row r="154" spans="1:23" ht="15.6">
      <c r="A154" s="458"/>
      <c r="B154" s="379" t="s">
        <v>221</v>
      </c>
      <c r="C154" s="459"/>
      <c r="D154" s="459"/>
      <c r="E154" s="459"/>
      <c r="F154" s="459"/>
      <c r="G154" s="459"/>
      <c r="H154" s="459"/>
      <c r="I154" s="459"/>
      <c r="J154" s="459"/>
      <c r="K154" s="459"/>
      <c r="L154" s="459"/>
      <c r="M154" s="459"/>
      <c r="N154" s="459"/>
      <c r="O154" s="459"/>
      <c r="P154" s="433"/>
      <c r="Q154" s="433"/>
      <c r="R154" s="433"/>
      <c r="S154" s="432">
        <v>111.34</v>
      </c>
      <c r="T154" s="379"/>
      <c r="U154" s="379"/>
      <c r="V154" s="385"/>
      <c r="W154" s="6"/>
    </row>
    <row r="155" spans="1:23" ht="15.6">
      <c r="A155" s="458"/>
      <c r="B155" s="379" t="s">
        <v>222</v>
      </c>
      <c r="C155" s="459"/>
      <c r="D155" s="459"/>
      <c r="E155" s="459"/>
      <c r="F155" s="459"/>
      <c r="G155" s="459"/>
      <c r="H155" s="459"/>
      <c r="I155" s="459"/>
      <c r="J155" s="459"/>
      <c r="K155" s="459"/>
      <c r="L155" s="459"/>
      <c r="M155" s="459"/>
      <c r="N155" s="459"/>
      <c r="O155" s="459"/>
      <c r="P155" s="433"/>
      <c r="Q155" s="433"/>
      <c r="R155" s="433"/>
      <c r="S155" s="432">
        <v>154.74</v>
      </c>
      <c r="T155" s="379"/>
      <c r="U155" s="379"/>
      <c r="V155" s="385"/>
      <c r="W155" s="6"/>
    </row>
    <row r="156" spans="1:23" ht="15.6">
      <c r="A156" s="458" t="s">
        <v>223</v>
      </c>
      <c r="B156" s="379" t="s">
        <v>66</v>
      </c>
      <c r="C156" s="459"/>
      <c r="D156" s="459"/>
      <c r="E156" s="459"/>
      <c r="F156" s="459"/>
      <c r="G156" s="459"/>
      <c r="H156" s="459"/>
      <c r="I156" s="459"/>
      <c r="J156" s="459"/>
      <c r="K156" s="459"/>
      <c r="L156" s="459"/>
      <c r="M156" s="459"/>
      <c r="N156" s="459"/>
      <c r="O156" s="459"/>
      <c r="P156" s="433"/>
      <c r="Q156" s="433"/>
      <c r="R156" s="433"/>
      <c r="S156" s="427">
        <v>5.79E-2</v>
      </c>
      <c r="T156" s="379"/>
      <c r="U156" s="379"/>
      <c r="V156" s="385"/>
      <c r="W156" s="6"/>
    </row>
    <row r="157" spans="1:23" ht="15.6">
      <c r="A157" s="458"/>
      <c r="B157" s="379" t="s">
        <v>67</v>
      </c>
      <c r="C157" s="459"/>
      <c r="D157" s="459"/>
      <c r="E157" s="459"/>
      <c r="F157" s="459"/>
      <c r="G157" s="459"/>
      <c r="H157" s="459"/>
      <c r="I157" s="459"/>
      <c r="J157" s="459"/>
      <c r="K157" s="459"/>
      <c r="L157" s="459"/>
      <c r="M157" s="459"/>
      <c r="N157" s="459"/>
      <c r="O157" s="459"/>
      <c r="P157" s="433"/>
      <c r="Q157" s="433"/>
      <c r="R157" s="433"/>
      <c r="S157" s="427">
        <v>0.34370000000000001</v>
      </c>
      <c r="T157" s="379"/>
      <c r="U157" s="379"/>
      <c r="V157" s="385"/>
      <c r="W157" s="6"/>
    </row>
    <row r="158" spans="1:23" ht="15.6">
      <c r="A158" s="280"/>
      <c r="B158" s="364"/>
      <c r="C158" s="364"/>
      <c r="D158" s="364"/>
      <c r="E158" s="364"/>
      <c r="F158" s="364"/>
      <c r="G158" s="364"/>
      <c r="H158" s="364"/>
      <c r="I158" s="364"/>
      <c r="J158" s="364"/>
      <c r="K158" s="364"/>
      <c r="L158" s="364"/>
      <c r="M158" s="364"/>
      <c r="N158" s="364"/>
      <c r="O158" s="364"/>
      <c r="P158" s="364"/>
      <c r="Q158" s="364"/>
      <c r="R158" s="455"/>
      <c r="S158" s="456"/>
      <c r="T158" s="364"/>
      <c r="U158" s="457"/>
      <c r="V158" s="245"/>
      <c r="W158" s="6"/>
    </row>
    <row r="159" spans="1:23" ht="15.6">
      <c r="A159" s="280"/>
      <c r="B159" s="288"/>
      <c r="C159" s="288"/>
      <c r="D159" s="288"/>
      <c r="E159" s="288"/>
      <c r="F159" s="288"/>
      <c r="G159" s="288"/>
      <c r="H159" s="288"/>
      <c r="I159" s="288"/>
      <c r="J159" s="288"/>
      <c r="K159" s="288"/>
      <c r="L159" s="288"/>
      <c r="M159" s="288"/>
      <c r="N159" s="288"/>
      <c r="O159" s="288"/>
      <c r="P159" s="288"/>
      <c r="Q159" s="288"/>
      <c r="R159" s="331"/>
      <c r="S159" s="332"/>
      <c r="T159" s="288"/>
      <c r="U159" s="333"/>
      <c r="V159" s="245"/>
      <c r="W159" s="6"/>
    </row>
    <row r="160" spans="1:23" ht="16.2" thickBot="1">
      <c r="A160" s="282"/>
      <c r="B160" s="304" t="str">
        <f>+B109</f>
        <v>PPAF3 INVESTOR REPORT QUARTER ENDING JUNE 2010</v>
      </c>
      <c r="C160" s="305"/>
      <c r="D160" s="305"/>
      <c r="E160" s="305"/>
      <c r="F160" s="305"/>
      <c r="G160" s="305"/>
      <c r="H160" s="305"/>
      <c r="I160" s="305"/>
      <c r="J160" s="305"/>
      <c r="K160" s="305"/>
      <c r="L160" s="305"/>
      <c r="M160" s="305"/>
      <c r="N160" s="305"/>
      <c r="O160" s="305"/>
      <c r="P160" s="305"/>
      <c r="Q160" s="305"/>
      <c r="R160" s="334"/>
      <c r="S160" s="335"/>
      <c r="T160" s="305"/>
      <c r="U160" s="336"/>
      <c r="V160" s="262"/>
      <c r="W160" s="6"/>
    </row>
    <row r="161" spans="1:23" ht="15.6">
      <c r="A161" s="337"/>
      <c r="B161" s="498" t="s">
        <v>68</v>
      </c>
      <c r="C161" s="338"/>
      <c r="D161" s="338"/>
      <c r="E161" s="338"/>
      <c r="F161" s="338"/>
      <c r="G161" s="338"/>
      <c r="H161" s="338"/>
      <c r="I161" s="338"/>
      <c r="J161" s="338"/>
      <c r="K161" s="338"/>
      <c r="L161" s="338"/>
      <c r="M161" s="339"/>
      <c r="N161" s="338"/>
      <c r="O161" s="339"/>
      <c r="P161" s="338"/>
      <c r="Q161" s="339"/>
      <c r="R161" s="338" t="s">
        <v>94</v>
      </c>
      <c r="S161" s="339" t="s">
        <v>116</v>
      </c>
      <c r="T161" s="340"/>
      <c r="U161" s="340"/>
      <c r="V161" s="341"/>
      <c r="W161" s="6"/>
    </row>
    <row r="162" spans="1:23" ht="15.6">
      <c r="A162" s="283"/>
      <c r="B162" s="294" t="s">
        <v>216</v>
      </c>
      <c r="C162" s="310"/>
      <c r="D162" s="310"/>
      <c r="E162" s="310"/>
      <c r="F162" s="310"/>
      <c r="G162" s="310"/>
      <c r="H162" s="310"/>
      <c r="I162" s="310"/>
      <c r="J162" s="310"/>
      <c r="K162" s="310"/>
      <c r="L162" s="310"/>
      <c r="M162" s="310"/>
      <c r="N162" s="310"/>
      <c r="O162" s="294"/>
      <c r="P162" s="294"/>
      <c r="Q162" s="294"/>
      <c r="R162" s="310">
        <v>972</v>
      </c>
      <c r="S162" s="311">
        <v>28098</v>
      </c>
      <c r="T162" s="311"/>
      <c r="U162" s="330"/>
      <c r="V162" s="342"/>
      <c r="W162" s="6"/>
    </row>
    <row r="163" spans="1:23" ht="15.6">
      <c r="A163" s="465"/>
      <c r="B163" s="379" t="s">
        <v>217</v>
      </c>
      <c r="C163" s="440"/>
      <c r="D163" s="440"/>
      <c r="E163" s="440"/>
      <c r="F163" s="440"/>
      <c r="G163" s="440"/>
      <c r="H163" s="440"/>
      <c r="I163" s="440"/>
      <c r="J163" s="440"/>
      <c r="K163" s="440"/>
      <c r="L163" s="440"/>
      <c r="M163" s="440"/>
      <c r="N163" s="440"/>
      <c r="O163" s="379"/>
      <c r="P163" s="379"/>
      <c r="Q163" s="379"/>
      <c r="R163" s="379">
        <v>44</v>
      </c>
      <c r="S163" s="441">
        <v>513</v>
      </c>
      <c r="T163" s="441"/>
      <c r="U163" s="466"/>
      <c r="V163" s="467"/>
      <c r="W163" s="6"/>
    </row>
    <row r="164" spans="1:23" ht="15.6">
      <c r="A164" s="465"/>
      <c r="B164" s="379" t="s">
        <v>218</v>
      </c>
      <c r="C164" s="440"/>
      <c r="D164" s="440"/>
      <c r="E164" s="440"/>
      <c r="F164" s="440"/>
      <c r="G164" s="440"/>
      <c r="H164" s="440"/>
      <c r="I164" s="440"/>
      <c r="J164" s="440"/>
      <c r="K164" s="440"/>
      <c r="L164" s="440"/>
      <c r="M164" s="440"/>
      <c r="N164" s="440"/>
      <c r="O164" s="379"/>
      <c r="P164" s="379"/>
      <c r="Q164" s="379"/>
      <c r="R164" s="379">
        <v>231</v>
      </c>
      <c r="S164" s="441">
        <v>302</v>
      </c>
      <c r="T164" s="441"/>
      <c r="U164" s="466"/>
      <c r="V164" s="467"/>
      <c r="W164" s="6"/>
    </row>
    <row r="165" spans="1:23" ht="15.6">
      <c r="A165" s="465"/>
      <c r="B165" s="379" t="s">
        <v>219</v>
      </c>
      <c r="C165" s="440"/>
      <c r="D165" s="440"/>
      <c r="E165" s="440"/>
      <c r="F165" s="440"/>
      <c r="G165" s="440"/>
      <c r="H165" s="440"/>
      <c r="I165" s="440"/>
      <c r="J165" s="440"/>
      <c r="K165" s="440"/>
      <c r="L165" s="440"/>
      <c r="M165" s="440"/>
      <c r="N165" s="440"/>
      <c r="O165" s="379"/>
      <c r="P165" s="379"/>
      <c r="Q165" s="379"/>
      <c r="R165" s="379">
        <v>189</v>
      </c>
      <c r="S165" s="441">
        <v>586</v>
      </c>
      <c r="T165" s="441"/>
      <c r="U165" s="466"/>
      <c r="V165" s="467"/>
      <c r="W165" s="6"/>
    </row>
    <row r="166" spans="1:23" ht="15.6">
      <c r="A166" s="465"/>
      <c r="B166" s="379" t="s">
        <v>90</v>
      </c>
      <c r="C166" s="440"/>
      <c r="D166" s="440"/>
      <c r="E166" s="440"/>
      <c r="F166" s="440"/>
      <c r="G166" s="440"/>
      <c r="H166" s="440"/>
      <c r="I166" s="440"/>
      <c r="J166" s="440"/>
      <c r="K166" s="440"/>
      <c r="L166" s="440"/>
      <c r="M166" s="440"/>
      <c r="N166" s="440"/>
      <c r="O166" s="379"/>
      <c r="P166" s="379"/>
      <c r="Q166" s="379"/>
      <c r="R166" s="440">
        <f>SUM(R162:R165)</f>
        <v>1436</v>
      </c>
      <c r="S166" s="441">
        <f>SUM(S162:S165)</f>
        <v>29499</v>
      </c>
      <c r="T166" s="441"/>
      <c r="U166" s="466"/>
      <c r="V166" s="467"/>
      <c r="W166" s="6"/>
    </row>
    <row r="167" spans="1:23" ht="15.6">
      <c r="A167" s="465"/>
      <c r="B167" s="379"/>
      <c r="C167" s="440"/>
      <c r="D167" s="440"/>
      <c r="E167" s="440"/>
      <c r="F167" s="440"/>
      <c r="G167" s="440"/>
      <c r="H167" s="440"/>
      <c r="I167" s="440"/>
      <c r="J167" s="440"/>
      <c r="K167" s="440"/>
      <c r="L167" s="440"/>
      <c r="M167" s="440"/>
      <c r="N167" s="440"/>
      <c r="O167" s="379"/>
      <c r="P167" s="379"/>
      <c r="Q167" s="379"/>
      <c r="R167" s="379"/>
      <c r="S167" s="441"/>
      <c r="T167" s="441"/>
      <c r="U167" s="466"/>
      <c r="V167" s="467"/>
      <c r="W167" s="6"/>
    </row>
    <row r="168" spans="1:23" ht="15.6">
      <c r="A168" s="465"/>
      <c r="B168" s="379" t="s">
        <v>220</v>
      </c>
      <c r="C168" s="440"/>
      <c r="D168" s="440"/>
      <c r="E168" s="440"/>
      <c r="F168" s="440"/>
      <c r="G168" s="440"/>
      <c r="H168" s="440"/>
      <c r="I168" s="440"/>
      <c r="J168" s="440"/>
      <c r="K168" s="440"/>
      <c r="L168" s="440"/>
      <c r="M168" s="440"/>
      <c r="N168" s="440"/>
      <c r="O168" s="379"/>
      <c r="P168" s="379"/>
      <c r="Q168" s="379"/>
      <c r="R168" s="379">
        <v>22</v>
      </c>
      <c r="S168" s="441">
        <v>365</v>
      </c>
      <c r="T168" s="441"/>
      <c r="U168" s="466"/>
      <c r="V168" s="467"/>
      <c r="W168" s="6"/>
    </row>
    <row r="169" spans="1:23" ht="15.6">
      <c r="A169" s="465"/>
      <c r="B169" s="379" t="s">
        <v>224</v>
      </c>
      <c r="C169" s="440"/>
      <c r="D169" s="440"/>
      <c r="E169" s="440"/>
      <c r="F169" s="440"/>
      <c r="G169" s="440"/>
      <c r="H169" s="440"/>
      <c r="I169" s="440"/>
      <c r="J169" s="440"/>
      <c r="K169" s="440"/>
      <c r="L169" s="440"/>
      <c r="M169" s="440"/>
      <c r="N169" s="440"/>
      <c r="O169" s="379"/>
      <c r="P169" s="379"/>
      <c r="Q169" s="379"/>
      <c r="R169" s="379">
        <v>13</v>
      </c>
      <c r="S169" s="441">
        <v>479</v>
      </c>
      <c r="T169" s="441"/>
      <c r="U169" s="466"/>
      <c r="V169" s="467"/>
      <c r="W169" s="6"/>
    </row>
    <row r="170" spans="1:23" ht="15.6">
      <c r="A170" s="465"/>
      <c r="B170" s="468" t="s">
        <v>69</v>
      </c>
      <c r="C170" s="469"/>
      <c r="D170" s="469"/>
      <c r="E170" s="469"/>
      <c r="F170" s="469"/>
      <c r="G170" s="469"/>
      <c r="H170" s="469"/>
      <c r="I170" s="469"/>
      <c r="J170" s="469"/>
      <c r="K170" s="469"/>
      <c r="L170" s="469"/>
      <c r="M170" s="469"/>
      <c r="N170" s="469"/>
      <c r="O170" s="454"/>
      <c r="P170" s="454"/>
      <c r="Q170" s="454"/>
      <c r="R170" s="379"/>
      <c r="S170" s="441">
        <v>0</v>
      </c>
      <c r="T170" s="454"/>
      <c r="U170" s="470"/>
      <c r="V170" s="471"/>
      <c r="W170" s="6"/>
    </row>
    <row r="171" spans="1:23" ht="15.6">
      <c r="A171" s="465"/>
      <c r="B171" s="468" t="s">
        <v>70</v>
      </c>
      <c r="C171" s="469"/>
      <c r="D171" s="469"/>
      <c r="E171" s="469"/>
      <c r="F171" s="469"/>
      <c r="G171" s="469"/>
      <c r="H171" s="469"/>
      <c r="I171" s="469"/>
      <c r="J171" s="469"/>
      <c r="K171" s="469"/>
      <c r="L171" s="469"/>
      <c r="M171" s="469"/>
      <c r="N171" s="469"/>
      <c r="O171" s="454"/>
      <c r="P171" s="454"/>
      <c r="Q171" s="454"/>
      <c r="R171" s="379"/>
      <c r="S171" s="441">
        <f>Q75</f>
        <v>0</v>
      </c>
      <c r="T171" s="454"/>
      <c r="U171" s="470"/>
      <c r="V171" s="471"/>
      <c r="W171" s="6"/>
    </row>
    <row r="172" spans="1:23" ht="15.6">
      <c r="A172" s="472"/>
      <c r="B172" s="468" t="s">
        <v>71</v>
      </c>
      <c r="C172" s="469"/>
      <c r="D172" s="469"/>
      <c r="E172" s="469"/>
      <c r="F172" s="469"/>
      <c r="G172" s="469"/>
      <c r="H172" s="469"/>
      <c r="I172" s="469"/>
      <c r="J172" s="469"/>
      <c r="K172" s="469"/>
      <c r="L172" s="469"/>
      <c r="M172" s="473"/>
      <c r="N172" s="473"/>
      <c r="O172" s="473"/>
      <c r="P172" s="454"/>
      <c r="Q172" s="454"/>
      <c r="R172" s="379"/>
      <c r="S172" s="500"/>
      <c r="T172" s="454"/>
      <c r="U172" s="470"/>
      <c r="V172" s="474"/>
      <c r="W172" s="6"/>
    </row>
    <row r="173" spans="1:23" ht="15.6">
      <c r="A173" s="465"/>
      <c r="B173" s="379" t="s">
        <v>72</v>
      </c>
      <c r="C173" s="469"/>
      <c r="D173" s="469"/>
      <c r="E173" s="469"/>
      <c r="F173" s="469"/>
      <c r="G173" s="469"/>
      <c r="H173" s="469"/>
      <c r="I173" s="469"/>
      <c r="J173" s="469"/>
      <c r="K173" s="469"/>
      <c r="L173" s="469"/>
      <c r="M173" s="469"/>
      <c r="N173" s="469"/>
      <c r="O173" s="469"/>
      <c r="P173" s="454"/>
      <c r="Q173" s="454"/>
      <c r="R173" s="379"/>
      <c r="S173" s="441">
        <f>U128</f>
        <v>2545</v>
      </c>
      <c r="T173" s="454"/>
      <c r="U173" s="470"/>
      <c r="V173" s="474"/>
      <c r="W173" s="6"/>
    </row>
    <row r="174" spans="1:23" ht="15.6">
      <c r="A174" s="465"/>
      <c r="B174" s="379" t="s">
        <v>73</v>
      </c>
      <c r="C174" s="469"/>
      <c r="D174" s="469"/>
      <c r="E174" s="469"/>
      <c r="F174" s="469"/>
      <c r="G174" s="469"/>
      <c r="H174" s="469"/>
      <c r="I174" s="469"/>
      <c r="J174" s="469"/>
      <c r="K174" s="469"/>
      <c r="L174" s="469"/>
      <c r="M174" s="469"/>
      <c r="N174" s="469"/>
      <c r="O174" s="469"/>
      <c r="P174" s="454"/>
      <c r="Q174" s="454"/>
      <c r="R174" s="379"/>
      <c r="S174" s="441">
        <f>'March 10'!S175+S173</f>
        <v>67715</v>
      </c>
      <c r="T174" s="454"/>
      <c r="U174" s="470"/>
      <c r="V174" s="474"/>
      <c r="W174" s="6"/>
    </row>
    <row r="175" spans="1:23" ht="15.6">
      <c r="A175" s="465"/>
      <c r="B175" s="379" t="s">
        <v>74</v>
      </c>
      <c r="C175" s="469"/>
      <c r="D175" s="469"/>
      <c r="E175" s="469"/>
      <c r="F175" s="469"/>
      <c r="G175" s="469"/>
      <c r="H175" s="469"/>
      <c r="I175" s="469"/>
      <c r="J175" s="469"/>
      <c r="K175" s="469"/>
      <c r="L175" s="469"/>
      <c r="M175" s="469"/>
      <c r="N175" s="469"/>
      <c r="O175" s="469"/>
      <c r="P175" s="454"/>
      <c r="Q175" s="454"/>
      <c r="R175" s="379"/>
      <c r="S175" s="441">
        <f>'March 10'!S176+663</f>
        <v>13479</v>
      </c>
      <c r="T175" s="454"/>
      <c r="U175" s="470"/>
      <c r="V175" s="474"/>
      <c r="W175" s="6"/>
    </row>
    <row r="176" spans="1:23" ht="15.6">
      <c r="A176" s="465"/>
      <c r="B176" s="473"/>
      <c r="C176" s="469"/>
      <c r="D176" s="469"/>
      <c r="E176" s="469"/>
      <c r="F176" s="469"/>
      <c r="G176" s="469"/>
      <c r="H176" s="469"/>
      <c r="I176" s="469"/>
      <c r="J176" s="469"/>
      <c r="K176" s="469"/>
      <c r="L176" s="469"/>
      <c r="M176" s="469"/>
      <c r="N176" s="469"/>
      <c r="O176" s="469"/>
      <c r="P176" s="454"/>
      <c r="Q176" s="454"/>
      <c r="R176" s="379"/>
      <c r="S176" s="441"/>
      <c r="T176" s="454"/>
      <c r="U176" s="470"/>
      <c r="V176" s="474"/>
      <c r="W176" s="6"/>
    </row>
    <row r="177" spans="1:23" ht="15.6">
      <c r="A177" s="472"/>
      <c r="B177" s="468" t="s">
        <v>259</v>
      </c>
      <c r="C177" s="469"/>
      <c r="D177" s="469"/>
      <c r="E177" s="469"/>
      <c r="F177" s="469"/>
      <c r="G177" s="469"/>
      <c r="H177" s="469"/>
      <c r="I177" s="469"/>
      <c r="J177" s="469"/>
      <c r="K177" s="469"/>
      <c r="L177" s="469"/>
      <c r="M177" s="473"/>
      <c r="N177" s="473"/>
      <c r="O177" s="473"/>
      <c r="P177" s="454"/>
      <c r="Q177" s="454"/>
      <c r="R177" s="379"/>
      <c r="S177" s="453"/>
      <c r="T177" s="454"/>
      <c r="U177" s="470"/>
      <c r="V177" s="474"/>
      <c r="W177" s="6"/>
    </row>
    <row r="178" spans="1:23" ht="15.6">
      <c r="A178" s="472"/>
      <c r="B178" s="379" t="s">
        <v>254</v>
      </c>
      <c r="C178" s="469"/>
      <c r="D178" s="469"/>
      <c r="E178" s="469"/>
      <c r="F178" s="469"/>
      <c r="G178" s="469"/>
      <c r="H178" s="469"/>
      <c r="I178" s="469"/>
      <c r="J178" s="469"/>
      <c r="K178" s="469"/>
      <c r="L178" s="469"/>
      <c r="M178" s="473"/>
      <c r="N178" s="473"/>
      <c r="O178" s="473"/>
      <c r="P178" s="454"/>
      <c r="Q178" s="454"/>
      <c r="R178" s="379"/>
      <c r="S178" s="453">
        <v>4</v>
      </c>
      <c r="T178" s="454"/>
      <c r="U178" s="470"/>
      <c r="V178" s="474"/>
      <c r="W178" s="6"/>
    </row>
    <row r="179" spans="1:23" ht="15.6">
      <c r="A179" s="465"/>
      <c r="B179" s="379" t="s">
        <v>75</v>
      </c>
      <c r="C179" s="469"/>
      <c r="D179" s="469"/>
      <c r="E179" s="469"/>
      <c r="F179" s="469"/>
      <c r="G179" s="469"/>
      <c r="H179" s="469"/>
      <c r="I179" s="469"/>
      <c r="J179" s="469"/>
      <c r="K179" s="469"/>
      <c r="L179" s="469"/>
      <c r="M179" s="475"/>
      <c r="N179" s="475"/>
      <c r="O179" s="476"/>
      <c r="P179" s="454"/>
      <c r="Q179" s="454"/>
      <c r="R179" s="379"/>
      <c r="S179" s="501">
        <v>11.65</v>
      </c>
      <c r="T179" s="454"/>
      <c r="U179" s="470"/>
      <c r="V179" s="474"/>
      <c r="W179" s="6"/>
    </row>
    <row r="180" spans="1:23" ht="15.6">
      <c r="A180" s="465"/>
      <c r="B180" s="379" t="s">
        <v>76</v>
      </c>
      <c r="C180" s="469"/>
      <c r="D180" s="469"/>
      <c r="E180" s="469"/>
      <c r="F180" s="469"/>
      <c r="G180" s="469"/>
      <c r="H180" s="469"/>
      <c r="I180" s="469"/>
      <c r="J180" s="469"/>
      <c r="K180" s="469"/>
      <c r="L180" s="469"/>
      <c r="M180" s="475"/>
      <c r="N180" s="475"/>
      <c r="O180" s="476"/>
      <c r="P180" s="454"/>
      <c r="Q180" s="454"/>
      <c r="R180" s="379"/>
      <c r="S180" s="501">
        <v>259.75</v>
      </c>
      <c r="T180" s="454"/>
      <c r="U180" s="470"/>
      <c r="V180" s="474"/>
      <c r="W180" s="6"/>
    </row>
    <row r="181" spans="1:23" ht="15.6">
      <c r="A181" s="465"/>
      <c r="B181" s="473"/>
      <c r="C181" s="469"/>
      <c r="D181" s="469"/>
      <c r="E181" s="469"/>
      <c r="F181" s="469"/>
      <c r="G181" s="469"/>
      <c r="H181" s="469"/>
      <c r="I181" s="469"/>
      <c r="J181" s="469"/>
      <c r="K181" s="469"/>
      <c r="L181" s="469"/>
      <c r="M181" s="477"/>
      <c r="N181" s="475"/>
      <c r="O181" s="476"/>
      <c r="P181" s="454"/>
      <c r="Q181" s="454"/>
      <c r="R181" s="379"/>
      <c r="S181" s="453"/>
      <c r="T181" s="454"/>
      <c r="U181" s="470"/>
      <c r="V181" s="474"/>
      <c r="W181" s="6"/>
    </row>
    <row r="182" spans="1:23" ht="15.6">
      <c r="A182" s="465"/>
      <c r="B182" s="468" t="s">
        <v>77</v>
      </c>
      <c r="C182" s="469"/>
      <c r="D182" s="469"/>
      <c r="E182" s="469"/>
      <c r="F182" s="469"/>
      <c r="G182" s="469"/>
      <c r="H182" s="469"/>
      <c r="I182" s="469"/>
      <c r="J182" s="469"/>
      <c r="K182" s="469"/>
      <c r="L182" s="469"/>
      <c r="M182" s="469"/>
      <c r="N182" s="477"/>
      <c r="O182" s="475"/>
      <c r="P182" s="476"/>
      <c r="Q182" s="454"/>
      <c r="R182" s="380"/>
      <c r="S182" s="380"/>
      <c r="T182" s="478"/>
      <c r="U182" s="390"/>
      <c r="V182" s="479"/>
      <c r="W182" s="6"/>
    </row>
    <row r="183" spans="1:23" ht="15.6">
      <c r="A183" s="465"/>
      <c r="B183" s="379" t="s">
        <v>78</v>
      </c>
      <c r="C183" s="469"/>
      <c r="D183" s="469"/>
      <c r="E183" s="469"/>
      <c r="F183" s="469"/>
      <c r="G183" s="469"/>
      <c r="H183" s="469"/>
      <c r="I183" s="469"/>
      <c r="J183" s="469"/>
      <c r="K183" s="469"/>
      <c r="L183" s="469"/>
      <c r="M183" s="469"/>
      <c r="N183" s="477"/>
      <c r="O183" s="475"/>
      <c r="P183" s="476"/>
      <c r="Q183" s="454"/>
      <c r="R183" s="380"/>
      <c r="S183" s="502">
        <v>120</v>
      </c>
      <c r="T183" s="480"/>
      <c r="U183" s="390"/>
      <c r="V183" s="479"/>
      <c r="W183" s="6"/>
    </row>
    <row r="184" spans="1:23" ht="15.6">
      <c r="A184" s="465"/>
      <c r="B184" s="379" t="s">
        <v>75</v>
      </c>
      <c r="C184" s="469"/>
      <c r="D184" s="469"/>
      <c r="E184" s="469"/>
      <c r="F184" s="469"/>
      <c r="G184" s="469"/>
      <c r="H184" s="469"/>
      <c r="I184" s="469"/>
      <c r="J184" s="469"/>
      <c r="K184" s="469"/>
      <c r="L184" s="469"/>
      <c r="M184" s="469"/>
      <c r="N184" s="477"/>
      <c r="O184" s="475"/>
      <c r="P184" s="476"/>
      <c r="Q184" s="454"/>
      <c r="R184" s="380"/>
      <c r="S184" s="502">
        <v>3.12</v>
      </c>
      <c r="T184" s="480"/>
      <c r="U184" s="390"/>
      <c r="V184" s="479"/>
      <c r="W184" s="6"/>
    </row>
    <row r="185" spans="1:23" ht="15.6">
      <c r="A185" s="465"/>
      <c r="B185" s="379" t="s">
        <v>79</v>
      </c>
      <c r="C185" s="469"/>
      <c r="D185" s="469"/>
      <c r="E185" s="469"/>
      <c r="F185" s="469"/>
      <c r="G185" s="469"/>
      <c r="H185" s="469"/>
      <c r="I185" s="469"/>
      <c r="J185" s="469"/>
      <c r="K185" s="469"/>
      <c r="L185" s="469"/>
      <c r="M185" s="469"/>
      <c r="N185" s="477"/>
      <c r="O185" s="475"/>
      <c r="P185" s="476"/>
      <c r="Q185" s="454"/>
      <c r="R185" s="380"/>
      <c r="S185" s="502">
        <v>62.51</v>
      </c>
      <c r="T185" s="480"/>
      <c r="U185" s="390"/>
      <c r="V185" s="479"/>
      <c r="W185" s="6"/>
    </row>
    <row r="186" spans="1:23" ht="15.6">
      <c r="A186" s="465"/>
      <c r="B186" s="473"/>
      <c r="C186" s="469"/>
      <c r="D186" s="469"/>
      <c r="E186" s="469"/>
      <c r="F186" s="469"/>
      <c r="G186" s="469"/>
      <c r="H186" s="469"/>
      <c r="I186" s="469"/>
      <c r="J186" s="469"/>
      <c r="K186" s="469"/>
      <c r="L186" s="469"/>
      <c r="M186" s="477"/>
      <c r="N186" s="475"/>
      <c r="O186" s="476"/>
      <c r="P186" s="454"/>
      <c r="Q186" s="454"/>
      <c r="R186" s="454"/>
      <c r="S186" s="481"/>
      <c r="T186" s="454"/>
      <c r="U186" s="470"/>
      <c r="V186" s="474"/>
      <c r="W186" s="6"/>
    </row>
    <row r="187" spans="1:23" ht="17.399999999999999">
      <c r="A187" s="465"/>
      <c r="B187" s="482" t="s">
        <v>196</v>
      </c>
      <c r="C187" s="469"/>
      <c r="D187" s="469"/>
      <c r="E187" s="469"/>
      <c r="F187" s="469"/>
      <c r="G187" s="469"/>
      <c r="H187" s="469"/>
      <c r="I187" s="469"/>
      <c r="J187" s="469"/>
      <c r="K187" s="483" t="s">
        <v>195</v>
      </c>
      <c r="L187" s="469"/>
      <c r="M187" s="477"/>
      <c r="N187" s="475"/>
      <c r="O187" s="476"/>
      <c r="P187" s="454"/>
      <c r="Q187" s="454"/>
      <c r="R187" s="454"/>
      <c r="S187" s="481"/>
      <c r="T187" s="454"/>
      <c r="U187" s="470"/>
      <c r="V187" s="474"/>
      <c r="W187" s="6"/>
    </row>
    <row r="188" spans="1:23" ht="15.6">
      <c r="A188" s="242"/>
      <c r="B188" s="460"/>
      <c r="C188" s="461"/>
      <c r="D188" s="461"/>
      <c r="E188" s="461"/>
      <c r="F188" s="461"/>
      <c r="G188" s="461"/>
      <c r="H188" s="461"/>
      <c r="I188" s="461"/>
      <c r="J188" s="461"/>
      <c r="K188" s="461"/>
      <c r="L188" s="461"/>
      <c r="M188" s="462"/>
      <c r="N188" s="461"/>
      <c r="O188" s="462"/>
      <c r="P188" s="461"/>
      <c r="Q188" s="462"/>
      <c r="R188" s="461"/>
      <c r="S188" s="462"/>
      <c r="T188" s="461"/>
      <c r="U188" s="463"/>
      <c r="V188" s="464"/>
      <c r="W188" s="6"/>
    </row>
    <row r="189" spans="1:23" ht="15.6">
      <c r="A189" s="348"/>
      <c r="B189" s="359" t="s">
        <v>80</v>
      </c>
      <c r="C189" s="343"/>
      <c r="D189" s="343"/>
      <c r="E189" s="343"/>
      <c r="F189" s="343"/>
      <c r="G189" s="343"/>
      <c r="H189" s="343"/>
      <c r="I189" s="343"/>
      <c r="J189" s="343"/>
      <c r="K189" s="343"/>
      <c r="L189" s="343"/>
      <c r="M189" s="359" t="s">
        <v>100</v>
      </c>
      <c r="N189" s="344"/>
      <c r="O189" s="345"/>
      <c r="P189" s="344"/>
      <c r="Q189" s="359" t="s">
        <v>26</v>
      </c>
      <c r="R189" s="344"/>
      <c r="S189" s="345"/>
      <c r="T189" s="344"/>
      <c r="U189" s="346"/>
      <c r="V189" s="347"/>
      <c r="W189" s="6"/>
    </row>
    <row r="190" spans="1:23" ht="15.6">
      <c r="A190" s="365"/>
      <c r="B190" s="366"/>
      <c r="C190" s="367"/>
      <c r="D190" s="367"/>
      <c r="E190" s="367"/>
      <c r="F190" s="367"/>
      <c r="G190" s="367"/>
      <c r="H190" s="367"/>
      <c r="I190" s="367"/>
      <c r="J190" s="367"/>
      <c r="K190" s="367"/>
      <c r="L190" s="367" t="s">
        <v>94</v>
      </c>
      <c r="M190" s="368" t="s">
        <v>101</v>
      </c>
      <c r="N190" s="367" t="s">
        <v>103</v>
      </c>
      <c r="O190" s="368" t="s">
        <v>101</v>
      </c>
      <c r="P190" s="368"/>
      <c r="Q190" s="367" t="s">
        <v>94</v>
      </c>
      <c r="R190" s="368" t="s">
        <v>101</v>
      </c>
      <c r="S190" s="367" t="s">
        <v>103</v>
      </c>
      <c r="T190" s="368" t="s">
        <v>101</v>
      </c>
      <c r="U190" s="369"/>
      <c r="V190" s="370"/>
      <c r="W190" s="6"/>
    </row>
    <row r="191" spans="1:23" ht="15.6">
      <c r="A191" s="316"/>
      <c r="B191" s="360" t="s">
        <v>81</v>
      </c>
      <c r="C191" s="361"/>
      <c r="D191" s="361"/>
      <c r="E191" s="361"/>
      <c r="F191" s="361"/>
      <c r="G191" s="361"/>
      <c r="H191" s="361"/>
      <c r="I191" s="361"/>
      <c r="J191" s="361"/>
      <c r="K191" s="361"/>
      <c r="L191" s="361">
        <v>2020</v>
      </c>
      <c r="M191" s="362">
        <f t="shared" ref="M191:M197" si="0">+L191/$L$198</f>
        <v>0.84448160535117056</v>
      </c>
      <c r="N191" s="361">
        <v>5373</v>
      </c>
      <c r="O191" s="362">
        <f t="shared" ref="O191:O197" si="1">N191/$N$198</f>
        <v>0.82483880871968074</v>
      </c>
      <c r="P191" s="363"/>
      <c r="Q191" s="361">
        <v>2520</v>
      </c>
      <c r="R191" s="362">
        <f t="shared" ref="R191:R197" si="2">+Q191/$Q$198</f>
        <v>0.85077650236326807</v>
      </c>
      <c r="S191" s="361">
        <v>2311</v>
      </c>
      <c r="T191" s="362">
        <f t="shared" ref="T191:T197" si="3">+S191/$S$198</f>
        <v>0.81660777385159011</v>
      </c>
      <c r="U191" s="364"/>
      <c r="V191" s="312"/>
      <c r="W191" s="6"/>
    </row>
    <row r="192" spans="1:23" ht="15.6">
      <c r="A192" s="444"/>
      <c r="B192" s="440" t="s">
        <v>82</v>
      </c>
      <c r="C192" s="489"/>
      <c r="D192" s="489"/>
      <c r="E192" s="489"/>
      <c r="F192" s="489"/>
      <c r="G192" s="489"/>
      <c r="H192" s="489"/>
      <c r="I192" s="489"/>
      <c r="J192" s="489"/>
      <c r="K192" s="489"/>
      <c r="L192" s="489">
        <v>33</v>
      </c>
      <c r="M192" s="427">
        <f t="shared" si="0"/>
        <v>1.3795986622073578E-2</v>
      </c>
      <c r="N192" s="489">
        <v>150</v>
      </c>
      <c r="O192" s="427">
        <f t="shared" si="1"/>
        <v>2.302732575990175E-2</v>
      </c>
      <c r="P192" s="381"/>
      <c r="Q192" s="489">
        <v>29</v>
      </c>
      <c r="R192" s="427">
        <f t="shared" si="2"/>
        <v>9.7906819716407825E-3</v>
      </c>
      <c r="S192" s="489">
        <v>20</v>
      </c>
      <c r="T192" s="427">
        <f t="shared" si="3"/>
        <v>7.0671378091872791E-3</v>
      </c>
      <c r="U192" s="379"/>
      <c r="V192" s="435"/>
      <c r="W192" s="6"/>
    </row>
    <row r="193" spans="1:24" ht="15.6">
      <c r="A193" s="444"/>
      <c r="B193" s="440" t="s">
        <v>83</v>
      </c>
      <c r="C193" s="489"/>
      <c r="D193" s="489"/>
      <c r="E193" s="489"/>
      <c r="F193" s="489"/>
      <c r="G193" s="489"/>
      <c r="H193" s="489"/>
      <c r="I193" s="489"/>
      <c r="J193" s="489"/>
      <c r="K193" s="489"/>
      <c r="L193" s="489">
        <v>30</v>
      </c>
      <c r="M193" s="427">
        <f t="shared" si="0"/>
        <v>1.254180602006689E-2</v>
      </c>
      <c r="N193" s="489">
        <v>80</v>
      </c>
      <c r="O193" s="427">
        <f t="shared" si="1"/>
        <v>1.2281240405280933E-2</v>
      </c>
      <c r="P193" s="381"/>
      <c r="Q193" s="489">
        <v>29</v>
      </c>
      <c r="R193" s="427">
        <f t="shared" si="2"/>
        <v>9.7906819716407825E-3</v>
      </c>
      <c r="S193" s="489">
        <v>35</v>
      </c>
      <c r="T193" s="427">
        <f t="shared" si="3"/>
        <v>1.2367491166077738E-2</v>
      </c>
      <c r="U193" s="379"/>
      <c r="V193" s="435"/>
      <c r="W193" s="6"/>
    </row>
    <row r="194" spans="1:24" ht="15.6">
      <c r="A194" s="444"/>
      <c r="B194" s="440" t="s">
        <v>186</v>
      </c>
      <c r="C194" s="489"/>
      <c r="D194" s="489"/>
      <c r="E194" s="489"/>
      <c r="F194" s="489"/>
      <c r="G194" s="489"/>
      <c r="H194" s="489"/>
      <c r="I194" s="489"/>
      <c r="J194" s="489"/>
      <c r="K194" s="489"/>
      <c r="L194" s="489">
        <v>28</v>
      </c>
      <c r="M194" s="427">
        <f t="shared" si="0"/>
        <v>1.1705685618729096E-2</v>
      </c>
      <c r="N194" s="489">
        <v>95</v>
      </c>
      <c r="O194" s="427">
        <f t="shared" si="1"/>
        <v>1.4583972981271108E-2</v>
      </c>
      <c r="P194" s="381"/>
      <c r="Q194" s="489">
        <v>32</v>
      </c>
      <c r="R194" s="427">
        <f t="shared" si="2"/>
        <v>1.0803511141120865E-2</v>
      </c>
      <c r="S194" s="489">
        <v>30</v>
      </c>
      <c r="T194" s="427">
        <f t="shared" si="3"/>
        <v>1.0600706713780919E-2</v>
      </c>
      <c r="U194" s="379"/>
      <c r="V194" s="435"/>
      <c r="W194" s="6"/>
    </row>
    <row r="195" spans="1:24" ht="15.6">
      <c r="A195" s="444"/>
      <c r="B195" s="440" t="s">
        <v>187</v>
      </c>
      <c r="C195" s="489"/>
      <c r="D195" s="489"/>
      <c r="E195" s="489"/>
      <c r="F195" s="489"/>
      <c r="G195" s="489"/>
      <c r="H195" s="489"/>
      <c r="I195" s="489"/>
      <c r="J195" s="489"/>
      <c r="K195" s="489"/>
      <c r="L195" s="489">
        <v>39</v>
      </c>
      <c r="M195" s="427">
        <f t="shared" si="0"/>
        <v>1.6304347826086956E-2</v>
      </c>
      <c r="N195" s="489">
        <v>114</v>
      </c>
      <c r="O195" s="427">
        <f t="shared" si="1"/>
        <v>1.750076757752533E-2</v>
      </c>
      <c r="P195" s="381"/>
      <c r="Q195" s="489">
        <v>45</v>
      </c>
      <c r="R195" s="427">
        <f t="shared" si="2"/>
        <v>1.5192437542201216E-2</v>
      </c>
      <c r="S195" s="489">
        <v>47</v>
      </c>
      <c r="T195" s="427">
        <f t="shared" si="3"/>
        <v>1.6607773851590107E-2</v>
      </c>
      <c r="U195" s="379"/>
      <c r="V195" s="435"/>
      <c r="W195" s="6"/>
    </row>
    <row r="196" spans="1:24" ht="15.6">
      <c r="A196" s="444"/>
      <c r="B196" s="440" t="s">
        <v>188</v>
      </c>
      <c r="C196" s="489"/>
      <c r="D196" s="489"/>
      <c r="E196" s="489"/>
      <c r="F196" s="489"/>
      <c r="G196" s="489"/>
      <c r="H196" s="489"/>
      <c r="I196" s="489"/>
      <c r="J196" s="489"/>
      <c r="K196" s="489"/>
      <c r="L196" s="489">
        <v>38</v>
      </c>
      <c r="M196" s="427">
        <f t="shared" si="0"/>
        <v>1.588628762541806E-2</v>
      </c>
      <c r="N196" s="489">
        <v>110</v>
      </c>
      <c r="O196" s="427">
        <f t="shared" si="1"/>
        <v>1.6886705557261284E-2</v>
      </c>
      <c r="P196" s="381"/>
      <c r="Q196" s="489">
        <v>49</v>
      </c>
      <c r="R196" s="427">
        <f t="shared" si="2"/>
        <v>1.6542876434841324E-2</v>
      </c>
      <c r="S196" s="489">
        <v>47</v>
      </c>
      <c r="T196" s="427">
        <f t="shared" si="3"/>
        <v>1.6607773851590107E-2</v>
      </c>
      <c r="U196" s="379"/>
      <c r="V196" s="435"/>
      <c r="W196" s="6"/>
    </row>
    <row r="197" spans="1:24" ht="15.6">
      <c r="A197" s="444"/>
      <c r="B197" s="440" t="s">
        <v>189</v>
      </c>
      <c r="C197" s="489"/>
      <c r="D197" s="489"/>
      <c r="E197" s="489"/>
      <c r="F197" s="489"/>
      <c r="G197" s="489"/>
      <c r="H197" s="489"/>
      <c r="I197" s="489"/>
      <c r="J197" s="489"/>
      <c r="K197" s="489"/>
      <c r="L197" s="489">
        <v>204</v>
      </c>
      <c r="M197" s="427">
        <f t="shared" si="0"/>
        <v>8.5284280936454848E-2</v>
      </c>
      <c r="N197" s="489">
        <v>592</v>
      </c>
      <c r="O197" s="427">
        <f t="shared" si="1"/>
        <v>9.088117899907891E-2</v>
      </c>
      <c r="P197" s="381"/>
      <c r="Q197" s="489">
        <v>258</v>
      </c>
      <c r="R197" s="427">
        <f t="shared" si="2"/>
        <v>8.7103308575286975E-2</v>
      </c>
      <c r="S197" s="489">
        <v>340</v>
      </c>
      <c r="T197" s="427">
        <f t="shared" si="3"/>
        <v>0.12014134275618374</v>
      </c>
      <c r="U197" s="379"/>
      <c r="V197" s="435"/>
      <c r="W197" s="6"/>
    </row>
    <row r="198" spans="1:24" ht="15.6">
      <c r="A198" s="444"/>
      <c r="B198" s="440" t="s">
        <v>84</v>
      </c>
      <c r="C198" s="489"/>
      <c r="D198" s="489"/>
      <c r="E198" s="489"/>
      <c r="F198" s="489"/>
      <c r="G198" s="489"/>
      <c r="H198" s="489"/>
      <c r="I198" s="489"/>
      <c r="J198" s="489"/>
      <c r="K198" s="489"/>
      <c r="L198" s="489">
        <f>SUM(L191:L197)</f>
        <v>2392</v>
      </c>
      <c r="M198" s="427">
        <f>SUM(M191:M197)</f>
        <v>1</v>
      </c>
      <c r="N198" s="489">
        <f>SUM(N191:N197)</f>
        <v>6514</v>
      </c>
      <c r="O198" s="427">
        <f>SUM(O191:O197)</f>
        <v>0.99999999999999989</v>
      </c>
      <c r="P198" s="381"/>
      <c r="Q198" s="489">
        <f>SUM(Q191:Q197)</f>
        <v>2962</v>
      </c>
      <c r="R198" s="427">
        <f>SUM(R191:R197)</f>
        <v>1</v>
      </c>
      <c r="S198" s="489">
        <f>SUM(S191:S197)</f>
        <v>2830</v>
      </c>
      <c r="T198" s="427">
        <f>SUM(T191:T197)</f>
        <v>0.99999999999999989</v>
      </c>
      <c r="U198" s="379"/>
      <c r="V198" s="435"/>
      <c r="W198" s="6"/>
      <c r="X198" s="64"/>
    </row>
    <row r="199" spans="1:24" ht="15.6">
      <c r="A199" s="444"/>
      <c r="B199" s="440" t="s">
        <v>85</v>
      </c>
      <c r="C199" s="489"/>
      <c r="D199" s="489"/>
      <c r="E199" s="489"/>
      <c r="F199" s="489"/>
      <c r="G199" s="489"/>
      <c r="H199" s="489"/>
      <c r="I199" s="489"/>
      <c r="J199" s="489"/>
      <c r="K199" s="489"/>
      <c r="L199" s="489">
        <v>953</v>
      </c>
      <c r="M199" s="380"/>
      <c r="N199" s="489">
        <v>6062</v>
      </c>
      <c r="O199" s="380"/>
      <c r="P199" s="381"/>
      <c r="Q199" s="489">
        <v>592</v>
      </c>
      <c r="R199" s="380"/>
      <c r="S199" s="489">
        <v>1344</v>
      </c>
      <c r="T199" s="380"/>
      <c r="U199" s="379"/>
      <c r="V199" s="435"/>
      <c r="W199" s="6"/>
      <c r="X199" s="64"/>
    </row>
    <row r="200" spans="1:24" ht="15.6">
      <c r="A200" s="444"/>
      <c r="B200" s="440" t="s">
        <v>86</v>
      </c>
      <c r="C200" s="489"/>
      <c r="D200" s="489"/>
      <c r="E200" s="489"/>
      <c r="F200" s="489"/>
      <c r="G200" s="489"/>
      <c r="H200" s="489"/>
      <c r="I200" s="489"/>
      <c r="J200" s="489"/>
      <c r="K200" s="489"/>
      <c r="L200" s="489">
        <f>SUM(L198:L199)</f>
        <v>3345</v>
      </c>
      <c r="M200" s="450"/>
      <c r="N200" s="489">
        <f>SUM(N198:N199)</f>
        <v>12576</v>
      </c>
      <c r="O200" s="490"/>
      <c r="P200" s="450"/>
      <c r="Q200" s="489">
        <f>SUM(Q198:Q199)</f>
        <v>3554</v>
      </c>
      <c r="R200" s="450"/>
      <c r="S200" s="489">
        <f>SUM(S198:S199)</f>
        <v>4174</v>
      </c>
      <c r="T200" s="450"/>
      <c r="U200" s="450"/>
      <c r="V200" s="435"/>
      <c r="W200" s="6"/>
      <c r="X200" s="64"/>
    </row>
    <row r="201" spans="1:24" ht="15.6">
      <c r="A201" s="242"/>
      <c r="B201" s="484"/>
      <c r="C201" s="485"/>
      <c r="D201" s="485"/>
      <c r="E201" s="485"/>
      <c r="F201" s="485"/>
      <c r="G201" s="485"/>
      <c r="H201" s="485"/>
      <c r="I201" s="485"/>
      <c r="J201" s="485"/>
      <c r="K201" s="485"/>
      <c r="L201" s="486"/>
      <c r="M201" s="487"/>
      <c r="N201" s="486"/>
      <c r="O201" s="487"/>
      <c r="P201" s="488"/>
      <c r="Q201" s="486"/>
      <c r="R201" s="487"/>
      <c r="S201" s="486"/>
      <c r="T201" s="487"/>
      <c r="U201" s="463"/>
      <c r="V201" s="464"/>
      <c r="W201" s="6"/>
    </row>
    <row r="202" spans="1:24" ht="15.6">
      <c r="A202" s="349"/>
      <c r="B202" s="359" t="s">
        <v>80</v>
      </c>
      <c r="C202" s="344"/>
      <c r="D202" s="344"/>
      <c r="E202" s="344"/>
      <c r="F202" s="344"/>
      <c r="G202" s="344"/>
      <c r="H202" s="344"/>
      <c r="I202" s="344"/>
      <c r="J202" s="344"/>
      <c r="K202" s="344"/>
      <c r="L202" s="344"/>
      <c r="M202" s="359" t="s">
        <v>27</v>
      </c>
      <c r="N202" s="344"/>
      <c r="O202" s="345"/>
      <c r="P202" s="344"/>
      <c r="Q202" s="359" t="s">
        <v>28</v>
      </c>
      <c r="R202" s="344"/>
      <c r="S202" s="345"/>
      <c r="T202" s="344"/>
      <c r="U202" s="346"/>
      <c r="V202" s="347"/>
      <c r="W202" s="6"/>
    </row>
    <row r="203" spans="1:24" ht="15.6">
      <c r="A203" s="371"/>
      <c r="B203" s="372"/>
      <c r="C203" s="373"/>
      <c r="D203" s="373"/>
      <c r="E203" s="373"/>
      <c r="F203" s="373"/>
      <c r="G203" s="373"/>
      <c r="H203" s="373"/>
      <c r="I203" s="373"/>
      <c r="J203" s="373"/>
      <c r="K203" s="373"/>
      <c r="L203" s="373" t="s">
        <v>94</v>
      </c>
      <c r="M203" s="374" t="s">
        <v>101</v>
      </c>
      <c r="N203" s="373" t="s">
        <v>103</v>
      </c>
      <c r="O203" s="374" t="s">
        <v>101</v>
      </c>
      <c r="P203" s="374"/>
      <c r="Q203" s="373" t="s">
        <v>94</v>
      </c>
      <c r="R203" s="374" t="s">
        <v>101</v>
      </c>
      <c r="S203" s="373" t="s">
        <v>103</v>
      </c>
      <c r="T203" s="374" t="s">
        <v>101</v>
      </c>
      <c r="U203" s="375"/>
      <c r="V203" s="376"/>
      <c r="W203" s="6"/>
    </row>
    <row r="204" spans="1:24" ht="15.6">
      <c r="A204" s="315"/>
      <c r="B204" s="310" t="s">
        <v>81</v>
      </c>
      <c r="C204" s="351"/>
      <c r="D204" s="351"/>
      <c r="E204" s="351"/>
      <c r="F204" s="351"/>
      <c r="G204" s="351"/>
      <c r="H204" s="351"/>
      <c r="I204" s="351"/>
      <c r="J204" s="351"/>
      <c r="K204" s="351"/>
      <c r="L204" s="351">
        <v>7768</v>
      </c>
      <c r="M204" s="299">
        <f t="shared" ref="M204:M210" si="4">+L204/$L$211</f>
        <v>0.88878718535469103</v>
      </c>
      <c r="N204" s="351">
        <v>198578</v>
      </c>
      <c r="O204" s="299">
        <f t="shared" ref="O204:O210" si="5">+N204/$N$211</f>
        <v>0.87604333939190737</v>
      </c>
      <c r="P204" s="296"/>
      <c r="Q204" s="351">
        <v>2000</v>
      </c>
      <c r="R204" s="299">
        <f t="shared" ref="R204:R210" si="6">Q204/$Q$211</f>
        <v>0.93589143659335516</v>
      </c>
      <c r="S204" s="351">
        <v>22467</v>
      </c>
      <c r="T204" s="299">
        <f t="shared" ref="T204:T210" si="7">+S204/$S$211</f>
        <v>0.92716242984483332</v>
      </c>
      <c r="U204" s="294"/>
      <c r="V204" s="301"/>
      <c r="W204" s="6"/>
    </row>
    <row r="205" spans="1:24" ht="15.6">
      <c r="A205" s="444"/>
      <c r="B205" s="440" t="s">
        <v>82</v>
      </c>
      <c r="C205" s="489"/>
      <c r="D205" s="489"/>
      <c r="E205" s="489"/>
      <c r="F205" s="489"/>
      <c r="G205" s="489"/>
      <c r="H205" s="489"/>
      <c r="I205" s="489"/>
      <c r="J205" s="489"/>
      <c r="K205" s="489"/>
      <c r="L205" s="489">
        <v>311</v>
      </c>
      <c r="M205" s="427">
        <f t="shared" si="4"/>
        <v>3.5583524027459956E-2</v>
      </c>
      <c r="N205" s="489">
        <v>8911</v>
      </c>
      <c r="O205" s="427">
        <f t="shared" si="5"/>
        <v>3.9311616580493744E-2</v>
      </c>
      <c r="P205" s="381"/>
      <c r="Q205" s="489">
        <v>53</v>
      </c>
      <c r="R205" s="427">
        <f t="shared" si="6"/>
        <v>2.4801123069723912E-2</v>
      </c>
      <c r="S205" s="489">
        <v>666</v>
      </c>
      <c r="T205" s="427">
        <f t="shared" si="7"/>
        <v>2.7484318256850444E-2</v>
      </c>
      <c r="U205" s="379"/>
      <c r="V205" s="435"/>
      <c r="W205" s="6"/>
    </row>
    <row r="206" spans="1:24" ht="15.6">
      <c r="A206" s="444"/>
      <c r="B206" s="440" t="s">
        <v>83</v>
      </c>
      <c r="C206" s="489"/>
      <c r="D206" s="489"/>
      <c r="E206" s="489"/>
      <c r="F206" s="489"/>
      <c r="G206" s="489"/>
      <c r="H206" s="489"/>
      <c r="I206" s="489"/>
      <c r="J206" s="489"/>
      <c r="K206" s="489"/>
      <c r="L206" s="489">
        <v>183</v>
      </c>
      <c r="M206" s="427">
        <f t="shared" si="4"/>
        <v>2.093821510297483E-2</v>
      </c>
      <c r="N206" s="489">
        <v>5397</v>
      </c>
      <c r="O206" s="427">
        <f t="shared" si="5"/>
        <v>2.3809313734140358E-2</v>
      </c>
      <c r="P206" s="381"/>
      <c r="Q206" s="489">
        <v>24</v>
      </c>
      <c r="R206" s="427">
        <f t="shared" si="6"/>
        <v>1.1230697239120261E-2</v>
      </c>
      <c r="S206" s="489">
        <v>308</v>
      </c>
      <c r="T206" s="427">
        <f t="shared" si="7"/>
        <v>1.2710465500165071E-2</v>
      </c>
      <c r="U206" s="379"/>
      <c r="V206" s="435"/>
      <c r="W206" s="6"/>
      <c r="X206" s="182"/>
    </row>
    <row r="207" spans="1:24" ht="15.6">
      <c r="A207" s="444"/>
      <c r="B207" s="440" t="s">
        <v>186</v>
      </c>
      <c r="C207" s="489"/>
      <c r="D207" s="489"/>
      <c r="E207" s="489"/>
      <c r="F207" s="489"/>
      <c r="G207" s="489"/>
      <c r="H207" s="489"/>
      <c r="I207" s="489"/>
      <c r="J207" s="489"/>
      <c r="K207" s="489"/>
      <c r="L207" s="489">
        <v>125</v>
      </c>
      <c r="M207" s="427">
        <f t="shared" si="4"/>
        <v>1.4302059496567507E-2</v>
      </c>
      <c r="N207" s="489">
        <v>3299</v>
      </c>
      <c r="O207" s="427">
        <f t="shared" si="5"/>
        <v>1.4553812490073937E-2</v>
      </c>
      <c r="P207" s="381"/>
      <c r="Q207" s="489">
        <v>13</v>
      </c>
      <c r="R207" s="427">
        <f t="shared" si="6"/>
        <v>6.0832943378568089E-3</v>
      </c>
      <c r="S207" s="489">
        <v>137</v>
      </c>
      <c r="T207" s="427">
        <f t="shared" si="7"/>
        <v>5.6536810828656326E-3</v>
      </c>
      <c r="U207" s="379"/>
      <c r="V207" s="435"/>
      <c r="W207" s="6"/>
    </row>
    <row r="208" spans="1:24" ht="15.6">
      <c r="A208" s="444"/>
      <c r="B208" s="440" t="s">
        <v>187</v>
      </c>
      <c r="C208" s="489"/>
      <c r="D208" s="489"/>
      <c r="E208" s="489"/>
      <c r="F208" s="489"/>
      <c r="G208" s="489"/>
      <c r="H208" s="489"/>
      <c r="I208" s="489"/>
      <c r="J208" s="489"/>
      <c r="K208" s="489"/>
      <c r="L208" s="489">
        <v>75</v>
      </c>
      <c r="M208" s="427">
        <f t="shared" si="4"/>
        <v>8.5812356979405036E-3</v>
      </c>
      <c r="N208" s="489">
        <v>2009</v>
      </c>
      <c r="O208" s="427">
        <f t="shared" si="5"/>
        <v>8.8628703523972539E-3</v>
      </c>
      <c r="P208" s="381"/>
      <c r="Q208" s="489">
        <v>9</v>
      </c>
      <c r="R208" s="427">
        <f t="shared" si="6"/>
        <v>4.2115114646700987E-3</v>
      </c>
      <c r="S208" s="489">
        <v>102</v>
      </c>
      <c r="T208" s="427">
        <f t="shared" si="7"/>
        <v>4.2093100033014199E-3</v>
      </c>
      <c r="U208" s="379"/>
      <c r="V208" s="435"/>
      <c r="W208" s="6"/>
    </row>
    <row r="209" spans="1:24" ht="15.6">
      <c r="A209" s="444"/>
      <c r="B209" s="440" t="s">
        <v>188</v>
      </c>
      <c r="C209" s="489"/>
      <c r="D209" s="489"/>
      <c r="E209" s="489"/>
      <c r="F209" s="489"/>
      <c r="G209" s="489"/>
      <c r="H209" s="489"/>
      <c r="I209" s="489"/>
      <c r="J209" s="489"/>
      <c r="K209" s="489"/>
      <c r="L209" s="489">
        <v>54</v>
      </c>
      <c r="M209" s="427">
        <f t="shared" si="4"/>
        <v>6.1784897025171622E-3</v>
      </c>
      <c r="N209" s="489">
        <v>1481</v>
      </c>
      <c r="O209" s="427">
        <f t="shared" si="5"/>
        <v>6.5335545006970303E-3</v>
      </c>
      <c r="P209" s="381"/>
      <c r="Q209" s="489">
        <v>12</v>
      </c>
      <c r="R209" s="427">
        <f t="shared" si="6"/>
        <v>5.6153486195601307E-3</v>
      </c>
      <c r="S209" s="489">
        <v>191</v>
      </c>
      <c r="T209" s="427">
        <f t="shared" si="7"/>
        <v>7.8821393199075603E-3</v>
      </c>
      <c r="U209" s="379"/>
      <c r="V209" s="435"/>
      <c r="W209" s="6"/>
    </row>
    <row r="210" spans="1:24" ht="15.6">
      <c r="A210" s="444"/>
      <c r="B210" s="440" t="s">
        <v>189</v>
      </c>
      <c r="C210" s="489"/>
      <c r="D210" s="489"/>
      <c r="E210" s="489"/>
      <c r="F210" s="489"/>
      <c r="G210" s="489"/>
      <c r="H210" s="489"/>
      <c r="I210" s="489"/>
      <c r="J210" s="489"/>
      <c r="K210" s="489"/>
      <c r="L210" s="489">
        <v>224</v>
      </c>
      <c r="M210" s="427">
        <f t="shared" si="4"/>
        <v>2.5629290617848969E-2</v>
      </c>
      <c r="N210" s="489">
        <v>7001</v>
      </c>
      <c r="O210" s="427">
        <f t="shared" si="5"/>
        <v>3.0885492950290281E-2</v>
      </c>
      <c r="P210" s="381"/>
      <c r="Q210" s="489">
        <v>26</v>
      </c>
      <c r="R210" s="427">
        <f t="shared" si="6"/>
        <v>1.2166588675713618E-2</v>
      </c>
      <c r="S210" s="489">
        <v>361</v>
      </c>
      <c r="T210" s="427">
        <f t="shared" si="7"/>
        <v>1.4897655992076594E-2</v>
      </c>
      <c r="U210" s="379"/>
      <c r="V210" s="435"/>
      <c r="W210" s="6"/>
    </row>
    <row r="211" spans="1:24" ht="15.6">
      <c r="A211" s="444"/>
      <c r="B211" s="440" t="str">
        <f>B198</f>
        <v>Total Performing  Assets</v>
      </c>
      <c r="C211" s="489"/>
      <c r="D211" s="489"/>
      <c r="E211" s="489"/>
      <c r="F211" s="489"/>
      <c r="G211" s="489"/>
      <c r="H211" s="489"/>
      <c r="I211" s="489"/>
      <c r="J211" s="489"/>
      <c r="K211" s="489"/>
      <c r="L211" s="489">
        <f>SUM(L204:L210)</f>
        <v>8740</v>
      </c>
      <c r="M211" s="427">
        <f>SUM(M204:M210)</f>
        <v>0.99999999999999989</v>
      </c>
      <c r="N211" s="489">
        <f>SUM(N204:N210)</f>
        <v>226676</v>
      </c>
      <c r="O211" s="427">
        <f>SUM(O204:O210)</f>
        <v>1</v>
      </c>
      <c r="P211" s="381"/>
      <c r="Q211" s="489">
        <f>SUM(Q204:Q210)</f>
        <v>2137</v>
      </c>
      <c r="R211" s="427">
        <f>SUM(R204:R210)</f>
        <v>1</v>
      </c>
      <c r="S211" s="489">
        <f>SUM(S204:S210)</f>
        <v>24232</v>
      </c>
      <c r="T211" s="427">
        <f>SUM(T204:T210)</f>
        <v>1</v>
      </c>
      <c r="U211" s="379"/>
      <c r="V211" s="435"/>
      <c r="W211" s="6"/>
    </row>
    <row r="212" spans="1:24" ht="15.6">
      <c r="A212" s="444"/>
      <c r="B212" s="440" t="s">
        <v>85</v>
      </c>
      <c r="C212" s="489"/>
      <c r="D212" s="489"/>
      <c r="E212" s="489"/>
      <c r="F212" s="489"/>
      <c r="G212" s="489"/>
      <c r="H212" s="489"/>
      <c r="I212" s="489"/>
      <c r="J212" s="489"/>
      <c r="K212" s="489"/>
      <c r="L212" s="489">
        <v>102</v>
      </c>
      <c r="M212" s="381"/>
      <c r="N212" s="489">
        <v>2928</v>
      </c>
      <c r="O212" s="380"/>
      <c r="P212" s="381"/>
      <c r="Q212" s="489">
        <v>45</v>
      </c>
      <c r="R212" s="381"/>
      <c r="S212" s="489">
        <v>797</v>
      </c>
      <c r="T212" s="381"/>
      <c r="U212" s="379"/>
      <c r="V212" s="435"/>
      <c r="W212" s="6"/>
    </row>
    <row r="213" spans="1:24" ht="15.6">
      <c r="A213" s="444"/>
      <c r="B213" s="440" t="s">
        <v>86</v>
      </c>
      <c r="C213" s="489"/>
      <c r="D213" s="489"/>
      <c r="E213" s="489"/>
      <c r="F213" s="489"/>
      <c r="G213" s="489"/>
      <c r="H213" s="489"/>
      <c r="I213" s="489"/>
      <c r="J213" s="489"/>
      <c r="K213" s="489"/>
      <c r="L213" s="489">
        <f>SUM(L211:L212)</f>
        <v>8842</v>
      </c>
      <c r="M213" s="450"/>
      <c r="N213" s="489">
        <f>SUM(N211:N212)</f>
        <v>229604</v>
      </c>
      <c r="O213" s="427"/>
      <c r="P213" s="450"/>
      <c r="Q213" s="489">
        <f>SUM(Q211:Q212)</f>
        <v>2182</v>
      </c>
      <c r="R213" s="450"/>
      <c r="S213" s="489">
        <f>SUM(S211:S212)</f>
        <v>25029</v>
      </c>
      <c r="T213" s="450"/>
      <c r="U213" s="450"/>
      <c r="V213" s="492"/>
    </row>
    <row r="214" spans="1:24" ht="15.6">
      <c r="A214" s="444"/>
      <c r="B214" s="440"/>
      <c r="C214" s="381"/>
      <c r="D214" s="381"/>
      <c r="E214" s="381"/>
      <c r="F214" s="381"/>
      <c r="G214" s="381"/>
      <c r="H214" s="381"/>
      <c r="I214" s="381"/>
      <c r="J214" s="381"/>
      <c r="K214" s="381"/>
      <c r="L214" s="381"/>
      <c r="M214" s="493"/>
      <c r="N214" s="381"/>
      <c r="O214" s="493"/>
      <c r="P214" s="381"/>
      <c r="Q214" s="493"/>
      <c r="R214" s="381"/>
      <c r="S214" s="489"/>
      <c r="T214" s="381"/>
      <c r="U214" s="379"/>
      <c r="V214" s="435"/>
      <c r="W214" s="6"/>
    </row>
    <row r="215" spans="1:24" ht="15.6">
      <c r="A215" s="444"/>
      <c r="B215" s="440" t="s">
        <v>86</v>
      </c>
      <c r="C215" s="381"/>
      <c r="D215" s="381"/>
      <c r="E215" s="381"/>
      <c r="F215" s="381"/>
      <c r="G215" s="381"/>
      <c r="H215" s="381"/>
      <c r="I215" s="381"/>
      <c r="J215" s="381"/>
      <c r="K215" s="381"/>
      <c r="L215" s="381"/>
      <c r="M215" s="493"/>
      <c r="N215" s="381"/>
      <c r="O215" s="493"/>
      <c r="P215" s="381"/>
      <c r="Q215" s="493"/>
      <c r="R215" s="381"/>
      <c r="S215" s="489">
        <f>+N200+S200+N213+S213</f>
        <v>271383</v>
      </c>
      <c r="T215" s="490"/>
      <c r="U215" s="379"/>
      <c r="V215" s="435"/>
      <c r="W215" s="6"/>
      <c r="X215" s="182"/>
    </row>
    <row r="216" spans="1:24" ht="15.6">
      <c r="A216" s="316"/>
      <c r="B216" s="360"/>
      <c r="C216" s="363"/>
      <c r="D216" s="363"/>
      <c r="E216" s="363"/>
      <c r="F216" s="363"/>
      <c r="G216" s="363"/>
      <c r="H216" s="363"/>
      <c r="I216" s="363"/>
      <c r="J216" s="363"/>
      <c r="K216" s="363"/>
      <c r="L216" s="491"/>
      <c r="M216" s="491"/>
      <c r="N216" s="491"/>
      <c r="O216" s="491"/>
      <c r="P216" s="363"/>
      <c r="Q216" s="491"/>
      <c r="R216" s="363"/>
      <c r="S216" s="361"/>
      <c r="T216" s="363"/>
      <c r="U216" s="364"/>
      <c r="V216" s="312"/>
      <c r="W216" s="6"/>
    </row>
    <row r="217" spans="1:24" ht="15.6">
      <c r="A217" s="349"/>
      <c r="B217" s="357" t="s">
        <v>87</v>
      </c>
      <c r="C217" s="344"/>
      <c r="D217" s="344"/>
      <c r="E217" s="344"/>
      <c r="F217" s="344"/>
      <c r="G217" s="344"/>
      <c r="H217" s="344"/>
      <c r="I217" s="344"/>
      <c r="J217" s="344"/>
      <c r="K217" s="344"/>
      <c r="L217" s="344"/>
      <c r="M217" s="345"/>
      <c r="N217" s="344"/>
      <c r="O217" s="345"/>
      <c r="P217" s="344"/>
      <c r="Q217" s="345"/>
      <c r="R217" s="344"/>
      <c r="S217" s="358"/>
      <c r="T217" s="344"/>
      <c r="U217" s="350"/>
      <c r="V217" s="347"/>
      <c r="W217" s="6"/>
    </row>
    <row r="218" spans="1:24" ht="15.6">
      <c r="A218" s="315"/>
      <c r="B218" s="310"/>
      <c r="C218" s="296"/>
      <c r="D218" s="296"/>
      <c r="E218" s="296"/>
      <c r="F218" s="296"/>
      <c r="G218" s="296"/>
      <c r="H218" s="296"/>
      <c r="I218" s="296"/>
      <c r="J218" s="296"/>
      <c r="K218" s="296"/>
      <c r="L218" s="296"/>
      <c r="M218" s="352"/>
      <c r="N218" s="296"/>
      <c r="O218" s="352"/>
      <c r="P218" s="296"/>
      <c r="Q218" s="352"/>
      <c r="R218" s="296"/>
      <c r="S218" s="351"/>
      <c r="T218" s="296"/>
      <c r="U218" s="294"/>
      <c r="V218" s="301"/>
      <c r="W218" s="6"/>
    </row>
    <row r="219" spans="1:24" ht="15.6">
      <c r="A219" s="444"/>
      <c r="B219" s="440" t="s">
        <v>88</v>
      </c>
      <c r="C219" s="381"/>
      <c r="D219" s="381"/>
      <c r="E219" s="381"/>
      <c r="F219" s="381"/>
      <c r="G219" s="381"/>
      <c r="H219" s="381"/>
      <c r="I219" s="381"/>
      <c r="J219" s="381"/>
      <c r="K219" s="381"/>
      <c r="L219" s="381"/>
      <c r="M219" s="493"/>
      <c r="N219" s="381"/>
      <c r="O219" s="493"/>
      <c r="P219" s="381"/>
      <c r="Q219" s="493"/>
      <c r="R219" s="381"/>
      <c r="S219" s="489">
        <f>+N198+S198+N211+S211</f>
        <v>260252</v>
      </c>
      <c r="T219" s="381"/>
      <c r="U219" s="379"/>
      <c r="V219" s="435"/>
      <c r="W219" s="6"/>
      <c r="X219" s="182"/>
    </row>
    <row r="220" spans="1:24" ht="15.6">
      <c r="A220" s="444"/>
      <c r="B220" s="440" t="s">
        <v>89</v>
      </c>
      <c r="C220" s="381"/>
      <c r="D220" s="381"/>
      <c r="E220" s="381"/>
      <c r="F220" s="381"/>
      <c r="G220" s="381"/>
      <c r="H220" s="381"/>
      <c r="I220" s="381"/>
      <c r="J220" s="381"/>
      <c r="K220" s="381"/>
      <c r="L220" s="381"/>
      <c r="M220" s="493"/>
      <c r="N220" s="381"/>
      <c r="O220" s="493"/>
      <c r="P220" s="381"/>
      <c r="Q220" s="493"/>
      <c r="R220" s="381"/>
      <c r="S220" s="489">
        <f>+U78</f>
        <v>0</v>
      </c>
      <c r="T220" s="381"/>
      <c r="U220" s="379"/>
      <c r="V220" s="435"/>
      <c r="W220" s="119"/>
    </row>
    <row r="221" spans="1:24" ht="15.6">
      <c r="A221" s="444"/>
      <c r="B221" s="440" t="s">
        <v>90</v>
      </c>
      <c r="C221" s="381"/>
      <c r="D221" s="381"/>
      <c r="E221" s="381"/>
      <c r="F221" s="381"/>
      <c r="G221" s="381"/>
      <c r="H221" s="381"/>
      <c r="I221" s="381"/>
      <c r="J221" s="381"/>
      <c r="K221" s="381"/>
      <c r="L221" s="381"/>
      <c r="M221" s="493"/>
      <c r="N221" s="381"/>
      <c r="O221" s="493"/>
      <c r="P221" s="381"/>
      <c r="Q221" s="493"/>
      <c r="R221" s="381"/>
      <c r="S221" s="489">
        <f>SUM(S219:S220)</f>
        <v>260252</v>
      </c>
      <c r="T221" s="381"/>
      <c r="U221" s="379"/>
      <c r="V221" s="435"/>
      <c r="W221" s="6"/>
    </row>
    <row r="222" spans="1:24" ht="15.6">
      <c r="A222" s="444"/>
      <c r="B222" s="440"/>
      <c r="C222" s="381"/>
      <c r="D222" s="381"/>
      <c r="E222" s="381"/>
      <c r="F222" s="381"/>
      <c r="G222" s="381"/>
      <c r="H222" s="381"/>
      <c r="I222" s="381"/>
      <c r="J222" s="381"/>
      <c r="K222" s="381"/>
      <c r="L222" s="381"/>
      <c r="M222" s="493"/>
      <c r="N222" s="381"/>
      <c r="O222" s="493"/>
      <c r="P222" s="381"/>
      <c r="Q222" s="493"/>
      <c r="R222" s="381"/>
      <c r="S222" s="489"/>
      <c r="T222" s="381"/>
      <c r="U222" s="379"/>
      <c r="V222" s="435"/>
      <c r="W222" s="6"/>
    </row>
    <row r="223" spans="1:24" ht="15.6">
      <c r="A223" s="444"/>
      <c r="B223" s="440" t="s">
        <v>91</v>
      </c>
      <c r="C223" s="381"/>
      <c r="D223" s="381"/>
      <c r="E223" s="381"/>
      <c r="F223" s="381"/>
      <c r="G223" s="381"/>
      <c r="H223" s="381"/>
      <c r="I223" s="381"/>
      <c r="J223" s="381"/>
      <c r="K223" s="381"/>
      <c r="L223" s="381"/>
      <c r="M223" s="493"/>
      <c r="N223" s="381"/>
      <c r="O223" s="493"/>
      <c r="P223" s="381"/>
      <c r="Q223" s="493"/>
      <c r="R223" s="381"/>
      <c r="S223" s="489">
        <f>U33</f>
        <v>260252.05679999999</v>
      </c>
      <c r="T223" s="381"/>
      <c r="U223" s="379"/>
      <c r="V223" s="435"/>
      <c r="W223" s="6"/>
    </row>
    <row r="224" spans="1:24" ht="15.6">
      <c r="A224" s="444"/>
      <c r="B224" s="440"/>
      <c r="C224" s="381"/>
      <c r="D224" s="381"/>
      <c r="E224" s="381"/>
      <c r="F224" s="381"/>
      <c r="G224" s="381"/>
      <c r="H224" s="381"/>
      <c r="I224" s="381"/>
      <c r="J224" s="381"/>
      <c r="K224" s="381"/>
      <c r="L224" s="381"/>
      <c r="M224" s="493"/>
      <c r="N224" s="381"/>
      <c r="O224" s="493"/>
      <c r="P224" s="381"/>
      <c r="Q224" s="493"/>
      <c r="R224" s="381"/>
      <c r="S224" s="489"/>
      <c r="T224" s="381"/>
      <c r="U224" s="379"/>
      <c r="V224" s="435"/>
      <c r="W224" s="6"/>
    </row>
    <row r="225" spans="1:23" ht="15.6">
      <c r="A225" s="444"/>
      <c r="B225" s="440" t="s">
        <v>92</v>
      </c>
      <c r="C225" s="381"/>
      <c r="D225" s="381"/>
      <c r="E225" s="381"/>
      <c r="F225" s="381"/>
      <c r="G225" s="381"/>
      <c r="H225" s="381"/>
      <c r="I225" s="381"/>
      <c r="J225" s="381"/>
      <c r="K225" s="381"/>
      <c r="L225" s="381"/>
      <c r="M225" s="493"/>
      <c r="N225" s="381"/>
      <c r="O225" s="493"/>
      <c r="P225" s="381"/>
      <c r="Q225" s="493"/>
      <c r="R225" s="381"/>
      <c r="S225" s="489">
        <f>S221/S223</f>
        <v>0.99999978175004378</v>
      </c>
      <c r="T225" s="381"/>
      <c r="U225" s="379"/>
      <c r="V225" s="435"/>
      <c r="W225" s="6"/>
    </row>
    <row r="226" spans="1:23" ht="15.6">
      <c r="A226" s="444"/>
      <c r="B226" s="379"/>
      <c r="C226" s="379"/>
      <c r="D226" s="379"/>
      <c r="E226" s="379"/>
      <c r="F226" s="379"/>
      <c r="G226" s="379"/>
      <c r="H226" s="379"/>
      <c r="I226" s="379"/>
      <c r="J226" s="379"/>
      <c r="K226" s="379"/>
      <c r="L226" s="379"/>
      <c r="M226" s="380"/>
      <c r="N226" s="379"/>
      <c r="O226" s="379"/>
      <c r="P226" s="379"/>
      <c r="Q226" s="440"/>
      <c r="R226" s="497"/>
      <c r="S226" s="441"/>
      <c r="T226" s="497"/>
      <c r="U226" s="466"/>
      <c r="V226" s="410"/>
      <c r="W226" s="6"/>
    </row>
    <row r="227" spans="1:23" ht="15.6">
      <c r="A227" s="353"/>
      <c r="B227" s="494" t="s">
        <v>127</v>
      </c>
      <c r="C227" s="495"/>
      <c r="D227" s="495"/>
      <c r="E227" s="495"/>
      <c r="F227" s="495"/>
      <c r="G227" s="495"/>
      <c r="H227" s="495"/>
      <c r="I227" s="495"/>
      <c r="J227" s="495"/>
      <c r="K227" s="495"/>
      <c r="L227" s="495"/>
      <c r="M227" s="363"/>
      <c r="N227" s="364"/>
      <c r="O227" s="494"/>
      <c r="P227" s="443"/>
      <c r="Q227" s="443"/>
      <c r="R227" s="443"/>
      <c r="S227" s="496"/>
      <c r="T227" s="443"/>
      <c r="U227" s="443"/>
      <c r="V227" s="355"/>
      <c r="W227" s="6"/>
    </row>
    <row r="228" spans="1:23" ht="15.6">
      <c r="A228" s="353"/>
      <c r="B228" s="287" t="s">
        <v>128</v>
      </c>
      <c r="C228" s="354"/>
      <c r="D228" s="354"/>
      <c r="E228" s="354"/>
      <c r="F228" s="354"/>
      <c r="G228" s="354"/>
      <c r="H228" s="354"/>
      <c r="I228" s="354"/>
      <c r="J228" s="354"/>
      <c r="K228" s="354"/>
      <c r="L228" s="354"/>
      <c r="M228" s="290"/>
      <c r="N228" s="287"/>
      <c r="O228" s="287"/>
      <c r="P228" s="354"/>
      <c r="Q228" s="354"/>
      <c r="R228" s="317"/>
      <c r="S228" s="317"/>
      <c r="T228" s="317"/>
      <c r="U228" s="317"/>
      <c r="V228" s="355"/>
      <c r="W228" s="6"/>
    </row>
    <row r="229" spans="1:23" ht="15.6">
      <c r="A229" s="353"/>
      <c r="B229" s="287" t="s">
        <v>246</v>
      </c>
      <c r="C229" s="287"/>
      <c r="D229" s="287"/>
      <c r="E229" s="287"/>
      <c r="F229" s="287"/>
      <c r="G229" s="287"/>
      <c r="H229" s="287"/>
      <c r="I229" s="287"/>
      <c r="J229" s="287"/>
      <c r="K229" s="287"/>
      <c r="L229" s="287"/>
      <c r="M229" s="287"/>
      <c r="N229" s="287"/>
      <c r="O229" s="287"/>
      <c r="P229" s="287"/>
      <c r="Q229" s="287"/>
      <c r="R229" s="287"/>
      <c r="S229" s="287"/>
      <c r="T229" s="287"/>
      <c r="U229" s="287"/>
      <c r="V229" s="355"/>
      <c r="W229" s="6"/>
    </row>
    <row r="230" spans="1:23" ht="15.6">
      <c r="A230" s="353"/>
      <c r="B230" s="287" t="s">
        <v>129</v>
      </c>
      <c r="C230" s="354"/>
      <c r="D230" s="354"/>
      <c r="E230" s="354"/>
      <c r="F230" s="354"/>
      <c r="G230" s="354"/>
      <c r="H230" s="354"/>
      <c r="I230" s="354"/>
      <c r="J230" s="354"/>
      <c r="K230" s="354"/>
      <c r="L230" s="354"/>
      <c r="M230" s="290"/>
      <c r="N230" s="287"/>
      <c r="O230" s="287"/>
      <c r="P230" s="354"/>
      <c r="Q230" s="354"/>
      <c r="R230" s="317"/>
      <c r="S230" s="317"/>
      <c r="T230" s="317"/>
      <c r="U230" s="317"/>
      <c r="V230" s="355"/>
      <c r="W230" s="6"/>
    </row>
    <row r="231" spans="1:23" ht="15.6">
      <c r="A231" s="353"/>
      <c r="B231" s="287"/>
      <c r="C231" s="354"/>
      <c r="D231" s="354"/>
      <c r="E231" s="354"/>
      <c r="F231" s="354"/>
      <c r="G231" s="354"/>
      <c r="H231" s="354"/>
      <c r="I231" s="354"/>
      <c r="J231" s="354"/>
      <c r="K231" s="354"/>
      <c r="L231" s="354"/>
      <c r="M231" s="290"/>
      <c r="N231" s="287"/>
      <c r="O231" s="287"/>
      <c r="P231" s="354"/>
      <c r="Q231" s="354"/>
      <c r="R231" s="317"/>
      <c r="S231" s="317"/>
      <c r="T231" s="317"/>
      <c r="U231" s="317"/>
      <c r="V231" s="355"/>
      <c r="W231" s="6"/>
    </row>
    <row r="232" spans="1:23" ht="15.6">
      <c r="A232" s="353"/>
      <c r="B232" s="287"/>
      <c r="C232" s="354"/>
      <c r="D232" s="354"/>
      <c r="E232" s="354"/>
      <c r="F232" s="354"/>
      <c r="G232" s="354"/>
      <c r="H232" s="354"/>
      <c r="I232" s="354"/>
      <c r="J232" s="354"/>
      <c r="K232" s="354"/>
      <c r="L232" s="354"/>
      <c r="M232" s="290"/>
      <c r="N232" s="287"/>
      <c r="O232" s="287"/>
      <c r="P232" s="354"/>
      <c r="Q232" s="354"/>
      <c r="R232" s="317"/>
      <c r="S232" s="317"/>
      <c r="T232" s="317"/>
      <c r="U232" s="317"/>
      <c r="V232" s="355"/>
      <c r="W232" s="6"/>
    </row>
    <row r="233" spans="1:23" ht="16.2" thickBot="1">
      <c r="A233" s="353"/>
      <c r="B233" s="287" t="str">
        <f>+B160</f>
        <v>PPAF3 INVESTOR REPORT QUARTER ENDING JUNE 2010</v>
      </c>
      <c r="C233" s="354"/>
      <c r="D233" s="354"/>
      <c r="E233" s="354"/>
      <c r="F233" s="354"/>
      <c r="G233" s="354"/>
      <c r="H233" s="354"/>
      <c r="I233" s="354"/>
      <c r="J233" s="354"/>
      <c r="K233" s="354"/>
      <c r="L233" s="354"/>
      <c r="M233" s="290"/>
      <c r="N233" s="287"/>
      <c r="O233" s="287"/>
      <c r="P233" s="354"/>
      <c r="Q233" s="354"/>
      <c r="R233" s="317"/>
      <c r="S233" s="317"/>
      <c r="T233" s="317"/>
      <c r="U233" s="317"/>
      <c r="V233" s="356"/>
      <c r="W233" s="6"/>
    </row>
    <row r="234" spans="1:2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row>
  </sheetData>
  <phoneticPr fontId="0" type="noConversion"/>
  <hyperlinks>
    <hyperlink ref="I9" r:id="rId1"/>
    <hyperlink ref="K187"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21" man="1"/>
    <brk id="109" max="16383" man="1"/>
    <brk id="160" max="21" man="1"/>
    <brk id="239" man="1"/>
  </rowBreaks>
  <colBreaks count="1" manualBreakCount="1">
    <brk id="23" max="1048575" man="1"/>
  </colBreak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23"/>
  </sheetPr>
  <dimension ref="A1:Y234"/>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38" t="s">
        <v>223</v>
      </c>
      <c r="B1" s="285" t="s">
        <v>123</v>
      </c>
      <c r="C1" s="239"/>
      <c r="D1" s="239"/>
      <c r="E1" s="239"/>
      <c r="F1" s="239"/>
      <c r="G1" s="239"/>
      <c r="H1" s="239"/>
      <c r="I1" s="239"/>
      <c r="J1" s="239"/>
      <c r="K1" s="239"/>
      <c r="L1" s="239"/>
      <c r="M1" s="240"/>
      <c r="N1" s="240"/>
      <c r="O1" s="240"/>
      <c r="P1" s="240"/>
      <c r="Q1" s="240"/>
      <c r="R1" s="240"/>
      <c r="S1" s="240"/>
      <c r="T1" s="240"/>
      <c r="U1" s="240"/>
      <c r="V1" s="241"/>
      <c r="W1" s="6"/>
    </row>
    <row r="2" spans="1:23" ht="15.6">
      <c r="A2" s="242"/>
      <c r="B2" s="243"/>
      <c r="C2" s="243"/>
      <c r="D2" s="243"/>
      <c r="E2" s="243"/>
      <c r="F2" s="243"/>
      <c r="G2" s="243"/>
      <c r="H2" s="243"/>
      <c r="I2" s="243"/>
      <c r="J2" s="243"/>
      <c r="K2" s="243"/>
      <c r="L2" s="243"/>
      <c r="M2" s="244"/>
      <c r="N2" s="244"/>
      <c r="O2" s="244"/>
      <c r="P2" s="244"/>
      <c r="Q2" s="244"/>
      <c r="R2" s="244"/>
      <c r="S2" s="244"/>
      <c r="T2" s="244"/>
      <c r="U2" s="244"/>
      <c r="V2" s="245"/>
      <c r="W2" s="6"/>
    </row>
    <row r="3" spans="1:23" ht="15.6">
      <c r="A3" s="246"/>
      <c r="B3" s="247" t="s">
        <v>125</v>
      </c>
      <c r="C3" s="244"/>
      <c r="D3" s="244"/>
      <c r="E3" s="244"/>
      <c r="F3" s="244"/>
      <c r="G3" s="244"/>
      <c r="H3" s="244"/>
      <c r="I3" s="244"/>
      <c r="J3" s="244"/>
      <c r="K3" s="244"/>
      <c r="L3" s="244"/>
      <c r="M3" s="244"/>
      <c r="N3" s="244"/>
      <c r="O3" s="244"/>
      <c r="P3" s="244"/>
      <c r="Q3" s="244"/>
      <c r="R3" s="244"/>
      <c r="S3" s="244"/>
      <c r="T3" s="244"/>
      <c r="U3" s="244"/>
      <c r="V3" s="245"/>
      <c r="W3" s="6"/>
    </row>
    <row r="4" spans="1:23" ht="15.6">
      <c r="A4" s="242"/>
      <c r="B4" s="243"/>
      <c r="C4" s="243"/>
      <c r="D4" s="243"/>
      <c r="E4" s="243"/>
      <c r="F4" s="243"/>
      <c r="G4" s="243"/>
      <c r="H4" s="243"/>
      <c r="I4" s="243"/>
      <c r="J4" s="243"/>
      <c r="K4" s="243"/>
      <c r="L4" s="243"/>
      <c r="M4" s="244"/>
      <c r="N4" s="244"/>
      <c r="O4" s="244"/>
      <c r="P4" s="244"/>
      <c r="Q4" s="244"/>
      <c r="R4" s="244"/>
      <c r="S4" s="244"/>
      <c r="T4" s="244"/>
      <c r="U4" s="244"/>
      <c r="V4" s="245"/>
      <c r="W4" s="6"/>
    </row>
    <row r="5" spans="1:23" ht="16.2">
      <c r="A5" s="242"/>
      <c r="B5" s="286" t="s">
        <v>0</v>
      </c>
      <c r="C5" s="248"/>
      <c r="D5" s="248"/>
      <c r="E5" s="248"/>
      <c r="F5" s="248"/>
      <c r="G5" s="248"/>
      <c r="H5" s="248"/>
      <c r="I5" s="248"/>
      <c r="J5" s="248"/>
      <c r="K5" s="248"/>
      <c r="L5" s="248"/>
      <c r="M5" s="244"/>
      <c r="N5" s="244"/>
      <c r="O5" s="244"/>
      <c r="P5" s="244"/>
      <c r="Q5" s="244"/>
      <c r="R5" s="244"/>
      <c r="S5" s="244"/>
      <c r="T5" s="244"/>
      <c r="U5" s="244"/>
      <c r="V5" s="245"/>
      <c r="W5" s="6"/>
    </row>
    <row r="6" spans="1:23" ht="16.2">
      <c r="A6" s="242"/>
      <c r="B6" s="286" t="s">
        <v>1</v>
      </c>
      <c r="C6" s="248"/>
      <c r="D6" s="248"/>
      <c r="E6" s="248"/>
      <c r="F6" s="248"/>
      <c r="G6" s="248"/>
      <c r="H6" s="248"/>
      <c r="I6" s="248"/>
      <c r="J6" s="248"/>
      <c r="K6" s="248"/>
      <c r="L6" s="248"/>
      <c r="M6" s="244"/>
      <c r="N6" s="244"/>
      <c r="O6" s="244"/>
      <c r="P6" s="244"/>
      <c r="Q6" s="244"/>
      <c r="R6" s="244"/>
      <c r="S6" s="244"/>
      <c r="T6" s="244"/>
      <c r="U6" s="244"/>
      <c r="V6" s="245"/>
      <c r="W6" s="6"/>
    </row>
    <row r="7" spans="1:23" ht="16.2">
      <c r="A7" s="242"/>
      <c r="B7" s="286" t="s">
        <v>2</v>
      </c>
      <c r="C7" s="248"/>
      <c r="D7" s="248"/>
      <c r="E7" s="248"/>
      <c r="F7" s="248"/>
      <c r="G7" s="248"/>
      <c r="H7" s="248"/>
      <c r="I7" s="248"/>
      <c r="J7" s="248"/>
      <c r="K7" s="248"/>
      <c r="L7" s="248"/>
      <c r="M7" s="244"/>
      <c r="N7" s="244"/>
      <c r="O7" s="244"/>
      <c r="P7" s="244"/>
      <c r="Q7" s="244"/>
      <c r="R7" s="244"/>
      <c r="S7" s="244"/>
      <c r="T7" s="244"/>
      <c r="U7" s="244"/>
      <c r="V7" s="245"/>
      <c r="W7" s="6"/>
    </row>
    <row r="8" spans="1:23" ht="16.2">
      <c r="A8" s="242"/>
      <c r="B8" s="249"/>
      <c r="C8" s="248"/>
      <c r="D8" s="248"/>
      <c r="E8" s="248"/>
      <c r="F8" s="248"/>
      <c r="G8" s="248"/>
      <c r="H8" s="248"/>
      <c r="I8" s="248"/>
      <c r="J8" s="248"/>
      <c r="K8" s="248"/>
      <c r="L8" s="248"/>
      <c r="M8" s="244"/>
      <c r="N8" s="244"/>
      <c r="O8" s="244"/>
      <c r="P8" s="244"/>
      <c r="Q8" s="244"/>
      <c r="R8" s="244"/>
      <c r="S8" s="244"/>
      <c r="T8" s="244"/>
      <c r="U8" s="244"/>
      <c r="V8" s="245"/>
      <c r="W8" s="6"/>
    </row>
    <row r="9" spans="1:23" ht="18">
      <c r="A9" s="242"/>
      <c r="B9" s="250" t="s">
        <v>194</v>
      </c>
      <c r="C9" s="248"/>
      <c r="D9" s="248"/>
      <c r="E9" s="248"/>
      <c r="F9" s="248"/>
      <c r="G9" s="248"/>
      <c r="H9" s="248"/>
      <c r="I9" s="251" t="s">
        <v>195</v>
      </c>
      <c r="J9" s="248"/>
      <c r="K9" s="248"/>
      <c r="L9" s="248"/>
      <c r="M9" s="244"/>
      <c r="N9" s="244"/>
      <c r="O9" s="244"/>
      <c r="P9" s="244"/>
      <c r="Q9" s="244"/>
      <c r="R9" s="244"/>
      <c r="S9" s="244"/>
      <c r="T9" s="244"/>
      <c r="U9" s="244"/>
      <c r="V9" s="245"/>
      <c r="W9" s="6"/>
    </row>
    <row r="10" spans="1:23" ht="16.2">
      <c r="A10" s="242"/>
      <c r="B10" s="248"/>
      <c r="C10" s="248"/>
      <c r="D10" s="248"/>
      <c r="E10" s="248"/>
      <c r="F10" s="248"/>
      <c r="G10" s="248"/>
      <c r="H10" s="248"/>
      <c r="I10" s="248"/>
      <c r="J10" s="248"/>
      <c r="K10" s="248"/>
      <c r="L10" s="248"/>
      <c r="M10" s="252"/>
      <c r="N10" s="252"/>
      <c r="O10" s="244"/>
      <c r="P10" s="244"/>
      <c r="Q10" s="244"/>
      <c r="R10" s="244"/>
      <c r="S10" s="244"/>
      <c r="T10" s="244"/>
      <c r="U10" s="244"/>
      <c r="V10" s="245"/>
      <c r="W10" s="6"/>
    </row>
    <row r="11" spans="1:23" ht="15.6">
      <c r="A11" s="242"/>
      <c r="B11" s="287" t="s">
        <v>3</v>
      </c>
      <c r="C11" s="252"/>
      <c r="D11" s="252"/>
      <c r="E11" s="252"/>
      <c r="F11" s="252"/>
      <c r="G11" s="252"/>
      <c r="H11" s="252"/>
      <c r="I11" s="252"/>
      <c r="J11" s="252"/>
      <c r="K11" s="252"/>
      <c r="L11" s="252"/>
      <c r="M11" s="244"/>
      <c r="N11" s="244"/>
      <c r="O11" s="244"/>
      <c r="P11" s="244"/>
      <c r="Q11" s="244"/>
      <c r="R11" s="244"/>
      <c r="S11" s="244"/>
      <c r="T11" s="244"/>
      <c r="U11" s="244"/>
      <c r="V11" s="245"/>
      <c r="W11" s="6"/>
    </row>
    <row r="12" spans="1:23" ht="16.2" thickBot="1">
      <c r="A12" s="242"/>
      <c r="B12" s="252"/>
      <c r="C12" s="252"/>
      <c r="D12" s="252"/>
      <c r="E12" s="252"/>
      <c r="F12" s="252"/>
      <c r="G12" s="252"/>
      <c r="H12" s="252"/>
      <c r="I12" s="252"/>
      <c r="J12" s="252"/>
      <c r="K12" s="252"/>
      <c r="L12" s="252"/>
      <c r="M12" s="244"/>
      <c r="N12" s="244"/>
      <c r="O12" s="244"/>
      <c r="P12" s="244"/>
      <c r="Q12" s="244"/>
      <c r="R12" s="244"/>
      <c r="S12" s="244"/>
      <c r="T12" s="244"/>
      <c r="U12" s="244"/>
      <c r="V12" s="245"/>
      <c r="W12" s="6"/>
    </row>
    <row r="13" spans="1:23" ht="15.6">
      <c r="A13" s="238"/>
      <c r="B13" s="240"/>
      <c r="C13" s="240"/>
      <c r="D13" s="240"/>
      <c r="E13" s="240"/>
      <c r="F13" s="240"/>
      <c r="G13" s="240"/>
      <c r="H13" s="240"/>
      <c r="I13" s="240"/>
      <c r="J13" s="240"/>
      <c r="K13" s="240"/>
      <c r="L13" s="240"/>
      <c r="M13" s="240"/>
      <c r="N13" s="240"/>
      <c r="O13" s="240"/>
      <c r="P13" s="240"/>
      <c r="Q13" s="240"/>
      <c r="R13" s="240"/>
      <c r="S13" s="240"/>
      <c r="T13" s="240"/>
      <c r="U13" s="240"/>
      <c r="V13" s="241"/>
      <c r="W13" s="6"/>
    </row>
    <row r="14" spans="1:23" ht="15.6">
      <c r="A14" s="242"/>
      <c r="B14" s="287" t="s">
        <v>4</v>
      </c>
      <c r="C14" s="253"/>
      <c r="D14" s="253"/>
      <c r="E14" s="253"/>
      <c r="F14" s="253"/>
      <c r="G14" s="253"/>
      <c r="H14" s="253"/>
      <c r="I14" s="253"/>
      <c r="J14" s="253"/>
      <c r="K14" s="253"/>
      <c r="L14" s="253"/>
      <c r="M14" s="288"/>
      <c r="N14" s="288"/>
      <c r="O14" s="288"/>
      <c r="P14" s="288"/>
      <c r="Q14" s="288"/>
      <c r="R14" s="288"/>
      <c r="S14" s="288"/>
      <c r="T14" s="288"/>
      <c r="U14" s="289" t="s">
        <v>126</v>
      </c>
      <c r="V14" s="245"/>
      <c r="W14" s="6"/>
    </row>
    <row r="15" spans="1:23" ht="15.6">
      <c r="A15" s="242"/>
      <c r="B15" s="287" t="s">
        <v>5</v>
      </c>
      <c r="C15" s="253"/>
      <c r="D15" s="253"/>
      <c r="E15" s="253"/>
      <c r="F15" s="253"/>
      <c r="G15" s="253"/>
      <c r="H15" s="253"/>
      <c r="I15" s="253"/>
      <c r="J15" s="253"/>
      <c r="K15" s="253"/>
      <c r="L15" s="253"/>
      <c r="M15" s="290" t="s">
        <v>93</v>
      </c>
      <c r="N15" s="291">
        <v>0.1492</v>
      </c>
      <c r="O15" s="290" t="s">
        <v>99</v>
      </c>
      <c r="P15" s="291">
        <v>5.4399999999999997E-2</v>
      </c>
      <c r="Q15" s="290" t="s">
        <v>102</v>
      </c>
      <c r="R15" s="291">
        <v>0.48899999999999999</v>
      </c>
      <c r="S15" s="290" t="s">
        <v>108</v>
      </c>
      <c r="T15" s="291">
        <v>0.30740000000000001</v>
      </c>
      <c r="U15" s="289"/>
      <c r="V15" s="254"/>
      <c r="W15" s="6"/>
    </row>
    <row r="16" spans="1:23" ht="15.6">
      <c r="A16" s="242"/>
      <c r="B16" s="287" t="s">
        <v>6</v>
      </c>
      <c r="C16" s="253"/>
      <c r="D16" s="253"/>
      <c r="E16" s="253"/>
      <c r="F16" s="253"/>
      <c r="G16" s="253"/>
      <c r="H16" s="253"/>
      <c r="I16" s="253"/>
      <c r="J16" s="253"/>
      <c r="K16" s="253"/>
      <c r="L16" s="253"/>
      <c r="M16" s="290" t="s">
        <v>93</v>
      </c>
      <c r="N16" s="291">
        <f>+N198/S221</f>
        <v>2.2821456635923734E-2</v>
      </c>
      <c r="O16" s="290" t="s">
        <v>99</v>
      </c>
      <c r="P16" s="291">
        <f>+S198/S221</f>
        <v>9.5578808056578021E-3</v>
      </c>
      <c r="Q16" s="290" t="s">
        <v>102</v>
      </c>
      <c r="R16" s="291">
        <f>+N211/S221</f>
        <v>0.88985069688572727</v>
      </c>
      <c r="S16" s="290" t="s">
        <v>108</v>
      </c>
      <c r="T16" s="291">
        <f>+S211/S221</f>
        <v>7.7769965672691177E-2</v>
      </c>
      <c r="U16" s="289"/>
      <c r="V16" s="254"/>
      <c r="W16" s="6"/>
    </row>
    <row r="17" spans="1:23" ht="15.6">
      <c r="A17" s="242"/>
      <c r="B17" s="287" t="s">
        <v>7</v>
      </c>
      <c r="C17" s="253"/>
      <c r="D17" s="253"/>
      <c r="E17" s="253"/>
      <c r="F17" s="253"/>
      <c r="G17" s="253"/>
      <c r="H17" s="253"/>
      <c r="I17" s="253"/>
      <c r="J17" s="253"/>
      <c r="K17" s="253"/>
      <c r="L17" s="253"/>
      <c r="M17" s="288"/>
      <c r="N17" s="288"/>
      <c r="O17" s="288"/>
      <c r="P17" s="288"/>
      <c r="Q17" s="288"/>
      <c r="R17" s="288"/>
      <c r="S17" s="288"/>
      <c r="T17" s="288"/>
      <c r="U17" s="292">
        <v>38491</v>
      </c>
      <c r="V17" s="245"/>
      <c r="W17" s="6"/>
    </row>
    <row r="18" spans="1:23" ht="15.6">
      <c r="A18" s="242"/>
      <c r="B18" s="287" t="s">
        <v>8</v>
      </c>
      <c r="C18" s="253"/>
      <c r="D18" s="253"/>
      <c r="E18" s="253"/>
      <c r="F18" s="253"/>
      <c r="G18" s="253"/>
      <c r="H18" s="253"/>
      <c r="I18" s="253"/>
      <c r="J18" s="253"/>
      <c r="K18" s="253"/>
      <c r="L18" s="253"/>
      <c r="M18" s="288"/>
      <c r="N18" s="288"/>
      <c r="O18" s="288"/>
      <c r="P18" s="288"/>
      <c r="Q18" s="288"/>
      <c r="R18" s="288"/>
      <c r="S18" s="288"/>
      <c r="T18" s="288"/>
      <c r="U18" s="292">
        <v>40471</v>
      </c>
      <c r="V18" s="245"/>
      <c r="W18" s="6"/>
    </row>
    <row r="19" spans="1:23" ht="15.6">
      <c r="A19" s="242"/>
      <c r="B19" s="288"/>
      <c r="C19" s="244"/>
      <c r="D19" s="244"/>
      <c r="E19" s="244"/>
      <c r="F19" s="244"/>
      <c r="G19" s="244"/>
      <c r="H19" s="244"/>
      <c r="I19" s="244"/>
      <c r="J19" s="244"/>
      <c r="K19" s="244"/>
      <c r="L19" s="244"/>
      <c r="M19" s="244"/>
      <c r="N19" s="244"/>
      <c r="O19" s="244"/>
      <c r="P19" s="244"/>
      <c r="Q19" s="244"/>
      <c r="R19" s="244"/>
      <c r="S19" s="244"/>
      <c r="T19" s="244"/>
      <c r="U19" s="255"/>
      <c r="V19" s="245"/>
      <c r="W19" s="6"/>
    </row>
    <row r="20" spans="1:23" ht="15.6">
      <c r="A20" s="242"/>
      <c r="B20" s="293" t="s">
        <v>9</v>
      </c>
      <c r="C20" s="244"/>
      <c r="D20" s="244"/>
      <c r="E20" s="244"/>
      <c r="F20" s="244"/>
      <c r="G20" s="244"/>
      <c r="H20" s="244"/>
      <c r="I20" s="244"/>
      <c r="J20" s="244"/>
      <c r="K20" s="244"/>
      <c r="L20" s="244"/>
      <c r="M20" s="244"/>
      <c r="N20" s="244"/>
      <c r="O20" s="244"/>
      <c r="P20" s="244"/>
      <c r="Q20" s="244"/>
      <c r="R20" s="244"/>
      <c r="S20" s="255"/>
      <c r="T20" s="244"/>
      <c r="U20" s="249"/>
      <c r="V20" s="245"/>
      <c r="W20" s="6"/>
    </row>
    <row r="21" spans="1:23" ht="15.6">
      <c r="A21" s="242"/>
      <c r="B21" s="244"/>
      <c r="C21" s="244"/>
      <c r="D21" s="244"/>
      <c r="E21" s="244"/>
      <c r="F21" s="244"/>
      <c r="G21" s="244"/>
      <c r="H21" s="244"/>
      <c r="I21" s="244"/>
      <c r="J21" s="244"/>
      <c r="K21" s="244"/>
      <c r="L21" s="244"/>
      <c r="M21" s="244"/>
      <c r="N21" s="244"/>
      <c r="O21" s="244"/>
      <c r="P21" s="244"/>
      <c r="Q21" s="244"/>
      <c r="R21" s="244"/>
      <c r="S21" s="244"/>
      <c r="T21" s="244"/>
      <c r="U21" s="256"/>
      <c r="V21" s="245"/>
      <c r="W21" s="6"/>
    </row>
    <row r="22" spans="1:23" ht="15.6">
      <c r="A22" s="230"/>
      <c r="B22" s="231"/>
      <c r="C22" s="232" t="s">
        <v>130</v>
      </c>
      <c r="D22" s="232"/>
      <c r="E22" s="232" t="s">
        <v>131</v>
      </c>
      <c r="F22" s="232"/>
      <c r="G22" s="232" t="s">
        <v>132</v>
      </c>
      <c r="H22" s="232"/>
      <c r="I22" s="232" t="s">
        <v>133</v>
      </c>
      <c r="J22" s="232"/>
      <c r="K22" s="232" t="s">
        <v>134</v>
      </c>
      <c r="L22" s="232"/>
      <c r="M22" s="233" t="s">
        <v>135</v>
      </c>
      <c r="N22" s="233"/>
      <c r="O22" s="233" t="s">
        <v>136</v>
      </c>
      <c r="P22" s="233"/>
      <c r="Q22" s="233" t="s">
        <v>137</v>
      </c>
      <c r="R22" s="234"/>
      <c r="S22" s="235"/>
      <c r="T22" s="236"/>
      <c r="U22" s="236"/>
      <c r="V22" s="237"/>
      <c r="W22" s="6"/>
    </row>
    <row r="23" spans="1:23" ht="15.6">
      <c r="A23" s="257"/>
      <c r="B23" s="294" t="s">
        <v>10</v>
      </c>
      <c r="C23" s="295" t="s">
        <v>96</v>
      </c>
      <c r="D23" s="295"/>
      <c r="E23" s="295" t="s">
        <v>96</v>
      </c>
      <c r="F23" s="295"/>
      <c r="G23" s="295" t="s">
        <v>138</v>
      </c>
      <c r="H23" s="295"/>
      <c r="I23" s="295" t="s">
        <v>138</v>
      </c>
      <c r="J23" s="295"/>
      <c r="K23" s="295" t="s">
        <v>104</v>
      </c>
      <c r="L23" s="296"/>
      <c r="M23" s="297" t="s">
        <v>104</v>
      </c>
      <c r="N23" s="297"/>
      <c r="O23" s="297" t="s">
        <v>109</v>
      </c>
      <c r="P23" s="297"/>
      <c r="Q23" s="297" t="s">
        <v>109</v>
      </c>
      <c r="R23" s="258"/>
      <c r="S23" s="258"/>
      <c r="T23" s="259"/>
      <c r="U23" s="259"/>
      <c r="V23" s="260"/>
      <c r="W23" s="6"/>
    </row>
    <row r="24" spans="1:23" ht="15.6">
      <c r="A24" s="378"/>
      <c r="B24" s="379" t="s">
        <v>11</v>
      </c>
      <c r="C24" s="380" t="s">
        <v>97</v>
      </c>
      <c r="D24" s="380"/>
      <c r="E24" s="380" t="s">
        <v>97</v>
      </c>
      <c r="F24" s="380"/>
      <c r="G24" s="380" t="s">
        <v>139</v>
      </c>
      <c r="H24" s="380"/>
      <c r="I24" s="380" t="s">
        <v>139</v>
      </c>
      <c r="J24" s="380"/>
      <c r="K24" s="380" t="s">
        <v>105</v>
      </c>
      <c r="L24" s="381"/>
      <c r="M24" s="382" t="s">
        <v>105</v>
      </c>
      <c r="N24" s="382"/>
      <c r="O24" s="382" t="s">
        <v>110</v>
      </c>
      <c r="P24" s="382"/>
      <c r="Q24" s="382" t="s">
        <v>110</v>
      </c>
      <c r="R24" s="383"/>
      <c r="S24" s="383"/>
      <c r="T24" s="384"/>
      <c r="U24" s="384"/>
      <c r="V24" s="385"/>
      <c r="W24" s="6"/>
    </row>
    <row r="25" spans="1:23" ht="15.6">
      <c r="A25" s="378"/>
      <c r="B25" s="386" t="s">
        <v>12</v>
      </c>
      <c r="C25" s="381" t="s">
        <v>96</v>
      </c>
      <c r="D25" s="381"/>
      <c r="E25" s="381" t="s">
        <v>96</v>
      </c>
      <c r="F25" s="381"/>
      <c r="G25" s="381" t="s">
        <v>138</v>
      </c>
      <c r="H25" s="381"/>
      <c r="I25" s="381" t="s">
        <v>138</v>
      </c>
      <c r="J25" s="386"/>
      <c r="K25" s="381" t="s">
        <v>104</v>
      </c>
      <c r="L25" s="386"/>
      <c r="M25" s="387" t="s">
        <v>104</v>
      </c>
      <c r="N25" s="382"/>
      <c r="O25" s="387" t="s">
        <v>109</v>
      </c>
      <c r="P25" s="382"/>
      <c r="Q25" s="387" t="s">
        <v>109</v>
      </c>
      <c r="R25" s="388"/>
      <c r="S25" s="388"/>
      <c r="T25" s="389"/>
      <c r="U25" s="384"/>
      <c r="V25" s="385"/>
      <c r="W25" s="6"/>
    </row>
    <row r="26" spans="1:23" ht="15.6">
      <c r="A26" s="378"/>
      <c r="B26" s="386" t="s">
        <v>13</v>
      </c>
      <c r="C26" s="381" t="s">
        <v>97</v>
      </c>
      <c r="D26" s="381"/>
      <c r="E26" s="381" t="s">
        <v>97</v>
      </c>
      <c r="F26" s="381"/>
      <c r="G26" s="381" t="s">
        <v>139</v>
      </c>
      <c r="H26" s="381"/>
      <c r="I26" s="381" t="s">
        <v>139</v>
      </c>
      <c r="J26" s="386"/>
      <c r="K26" s="381" t="s">
        <v>105</v>
      </c>
      <c r="L26" s="386"/>
      <c r="M26" s="387" t="s">
        <v>105</v>
      </c>
      <c r="N26" s="382"/>
      <c r="O26" s="387" t="s">
        <v>110</v>
      </c>
      <c r="P26" s="382"/>
      <c r="Q26" s="387" t="s">
        <v>110</v>
      </c>
      <c r="R26" s="388"/>
      <c r="S26" s="388"/>
      <c r="T26" s="389"/>
      <c r="U26" s="384"/>
      <c r="V26" s="385"/>
      <c r="W26" s="6"/>
    </row>
    <row r="27" spans="1:23" ht="15.6">
      <c r="A27" s="378"/>
      <c r="B27" s="379" t="s">
        <v>14</v>
      </c>
      <c r="C27" s="380" t="s">
        <v>140</v>
      </c>
      <c r="D27" s="379"/>
      <c r="E27" s="380" t="s">
        <v>141</v>
      </c>
      <c r="F27" s="379"/>
      <c r="G27" s="380" t="s">
        <v>142</v>
      </c>
      <c r="H27" s="379"/>
      <c r="I27" s="380" t="s">
        <v>258</v>
      </c>
      <c r="J27" s="379"/>
      <c r="K27" s="380" t="s">
        <v>143</v>
      </c>
      <c r="L27" s="379"/>
      <c r="M27" s="379" t="s">
        <v>144</v>
      </c>
      <c r="N27" s="382"/>
      <c r="O27" s="379" t="s">
        <v>145</v>
      </c>
      <c r="P27" s="382"/>
      <c r="Q27" s="379" t="s">
        <v>146</v>
      </c>
      <c r="R27" s="383"/>
      <c r="S27" s="390"/>
      <c r="T27" s="384"/>
      <c r="U27" s="384"/>
      <c r="V27" s="385"/>
      <c r="W27" s="6"/>
    </row>
    <row r="28" spans="1:23" ht="15.6">
      <c r="A28" s="378"/>
      <c r="B28" s="379" t="s">
        <v>147</v>
      </c>
      <c r="C28" s="391">
        <v>146000</v>
      </c>
      <c r="D28" s="380"/>
      <c r="E28" s="392">
        <v>259500</v>
      </c>
      <c r="F28" s="380"/>
      <c r="G28" s="391">
        <v>16000</v>
      </c>
      <c r="H28" s="380"/>
      <c r="I28" s="392">
        <v>35500</v>
      </c>
      <c r="J28" s="379"/>
      <c r="K28" s="391">
        <v>18000</v>
      </c>
      <c r="L28" s="379"/>
      <c r="M28" s="392">
        <v>33000</v>
      </c>
      <c r="N28" s="393"/>
      <c r="O28" s="394">
        <v>24500</v>
      </c>
      <c r="P28" s="394"/>
      <c r="Q28" s="392">
        <v>30000</v>
      </c>
      <c r="R28" s="395"/>
      <c r="S28" s="395"/>
      <c r="T28" s="396"/>
      <c r="U28" s="395"/>
      <c r="V28" s="397"/>
      <c r="W28" s="6"/>
    </row>
    <row r="29" spans="1:23" ht="15.6">
      <c r="A29" s="378"/>
      <c r="B29" s="379" t="s">
        <v>15</v>
      </c>
      <c r="C29" s="391">
        <f>C28*C35</f>
        <v>60496.297200000001</v>
      </c>
      <c r="D29" s="398"/>
      <c r="E29" s="392">
        <f>E28*E35</f>
        <v>107525.9529</v>
      </c>
      <c r="F29" s="398"/>
      <c r="G29" s="391">
        <v>16000</v>
      </c>
      <c r="H29" s="398"/>
      <c r="I29" s="392">
        <v>35500</v>
      </c>
      <c r="J29" s="399"/>
      <c r="K29" s="391">
        <v>18000</v>
      </c>
      <c r="L29" s="399"/>
      <c r="M29" s="392">
        <v>33000</v>
      </c>
      <c r="N29" s="393"/>
      <c r="O29" s="394">
        <v>24500</v>
      </c>
      <c r="P29" s="394"/>
      <c r="Q29" s="392">
        <v>30000</v>
      </c>
      <c r="R29" s="400"/>
      <c r="S29" s="395"/>
      <c r="T29" s="396"/>
      <c r="U29" s="395"/>
      <c r="V29" s="397"/>
      <c r="W29" s="6"/>
    </row>
    <row r="30" spans="1:23" ht="15.6">
      <c r="A30" s="401"/>
      <c r="B30" s="386" t="s">
        <v>148</v>
      </c>
      <c r="C30" s="402">
        <f>C34*C28</f>
        <v>52176.896000000001</v>
      </c>
      <c r="D30" s="403"/>
      <c r="E30" s="404">
        <f>E34*E28</f>
        <v>92739.072</v>
      </c>
      <c r="F30" s="403"/>
      <c r="G30" s="402">
        <v>16000</v>
      </c>
      <c r="H30" s="403"/>
      <c r="I30" s="404">
        <v>35500</v>
      </c>
      <c r="J30" s="405"/>
      <c r="K30" s="402">
        <v>18000</v>
      </c>
      <c r="L30" s="399"/>
      <c r="M30" s="406">
        <v>33000</v>
      </c>
      <c r="N30" s="407"/>
      <c r="O30" s="408">
        <v>24500</v>
      </c>
      <c r="P30" s="408"/>
      <c r="Q30" s="406">
        <v>30000</v>
      </c>
      <c r="R30" s="408"/>
      <c r="S30" s="408"/>
      <c r="T30" s="409"/>
      <c r="U30" s="408"/>
      <c r="V30" s="410"/>
      <c r="W30" s="6"/>
    </row>
    <row r="31" spans="1:23" ht="15.6">
      <c r="A31" s="401"/>
      <c r="B31" s="411" t="s">
        <v>260</v>
      </c>
      <c r="C31" s="391">
        <v>146000</v>
      </c>
      <c r="D31" s="398"/>
      <c r="E31" s="391">
        <v>178000</v>
      </c>
      <c r="F31" s="391"/>
      <c r="G31" s="391">
        <v>16000</v>
      </c>
      <c r="H31" s="391"/>
      <c r="I31" s="391">
        <v>24500</v>
      </c>
      <c r="J31" s="412"/>
      <c r="K31" s="391">
        <v>18000</v>
      </c>
      <c r="L31" s="412"/>
      <c r="M31" s="413">
        <v>22500</v>
      </c>
      <c r="N31" s="414"/>
      <c r="O31" s="413">
        <v>24500</v>
      </c>
      <c r="P31" s="415"/>
      <c r="Q31" s="413">
        <v>20500</v>
      </c>
      <c r="R31" s="408"/>
      <c r="S31" s="408"/>
      <c r="T31" s="409"/>
      <c r="U31" s="394">
        <f>+Q31+O31+M31+K31+I31+G31+E31+C31</f>
        <v>450000</v>
      </c>
      <c r="V31" s="410"/>
      <c r="W31" s="6"/>
    </row>
    <row r="32" spans="1:23" ht="15.6">
      <c r="A32" s="401"/>
      <c r="B32" s="411" t="s">
        <v>261</v>
      </c>
      <c r="C32" s="391">
        <f>C28*C35</f>
        <v>60496.297200000001</v>
      </c>
      <c r="D32" s="398"/>
      <c r="E32" s="391">
        <f>E31*E35</f>
        <v>73755.759600000005</v>
      </c>
      <c r="F32" s="391"/>
      <c r="G32" s="391">
        <v>16000</v>
      </c>
      <c r="H32" s="391"/>
      <c r="I32" s="391">
        <v>24500</v>
      </c>
      <c r="J32" s="412"/>
      <c r="K32" s="391">
        <v>18000</v>
      </c>
      <c r="L32" s="412"/>
      <c r="M32" s="413">
        <v>22500</v>
      </c>
      <c r="N32" s="414"/>
      <c r="O32" s="413">
        <v>24500</v>
      </c>
      <c r="P32" s="415"/>
      <c r="Q32" s="413">
        <v>20500</v>
      </c>
      <c r="R32" s="408"/>
      <c r="S32" s="408"/>
      <c r="T32" s="409"/>
      <c r="U32" s="394">
        <f>+Q32+O32+M32+K32+I32+G32+E32+C32</f>
        <v>260252.05679999999</v>
      </c>
      <c r="V32" s="410"/>
      <c r="W32" s="6"/>
    </row>
    <row r="33" spans="1:23" ht="15.6">
      <c r="A33" s="401"/>
      <c r="B33" s="386" t="s">
        <v>262</v>
      </c>
      <c r="C33" s="402">
        <f>C34*C28</f>
        <v>52176.896000000001</v>
      </c>
      <c r="D33" s="402"/>
      <c r="E33" s="402">
        <f>E34*E31</f>
        <v>63612.928000000007</v>
      </c>
      <c r="F33" s="402"/>
      <c r="G33" s="402">
        <v>16000</v>
      </c>
      <c r="H33" s="402"/>
      <c r="I33" s="402">
        <v>24500</v>
      </c>
      <c r="J33" s="416"/>
      <c r="K33" s="402">
        <v>18000</v>
      </c>
      <c r="L33" s="416"/>
      <c r="M33" s="402">
        <v>22500</v>
      </c>
      <c r="N33" s="416"/>
      <c r="O33" s="402">
        <v>24500</v>
      </c>
      <c r="P33" s="402"/>
      <c r="Q33" s="402">
        <v>20500</v>
      </c>
      <c r="R33" s="408"/>
      <c r="S33" s="408"/>
      <c r="T33" s="409"/>
      <c r="U33" s="408">
        <f>+Q33+O33+M33+K33+I33+G33+E33+C33</f>
        <v>241789.82400000002</v>
      </c>
      <c r="V33" s="410"/>
      <c r="W33" s="6"/>
    </row>
    <row r="34" spans="1:23" ht="15.6">
      <c r="A34" s="401"/>
      <c r="B34" s="417" t="s">
        <v>149</v>
      </c>
      <c r="C34" s="418">
        <v>0.35737600000000003</v>
      </c>
      <c r="D34" s="418"/>
      <c r="E34" s="418">
        <v>0.35737600000000003</v>
      </c>
      <c r="F34" s="418"/>
      <c r="G34" s="418">
        <v>1</v>
      </c>
      <c r="H34" s="418"/>
      <c r="I34" s="418">
        <v>1</v>
      </c>
      <c r="J34" s="418"/>
      <c r="K34" s="418">
        <v>1</v>
      </c>
      <c r="L34" s="418"/>
      <c r="M34" s="418">
        <v>1</v>
      </c>
      <c r="N34" s="418"/>
      <c r="O34" s="418">
        <v>1</v>
      </c>
      <c r="P34" s="418"/>
      <c r="Q34" s="418">
        <v>1</v>
      </c>
      <c r="R34" s="419"/>
      <c r="S34" s="420"/>
      <c r="T34" s="421"/>
      <c r="U34" s="420"/>
      <c r="V34" s="385"/>
      <c r="W34" s="6"/>
    </row>
    <row r="35" spans="1:23" ht="15.6">
      <c r="A35" s="401"/>
      <c r="B35" s="417" t="s">
        <v>150</v>
      </c>
      <c r="C35" s="418">
        <v>0.41435820000000001</v>
      </c>
      <c r="D35" s="418"/>
      <c r="E35" s="418">
        <v>0.41435820000000001</v>
      </c>
      <c r="F35" s="418"/>
      <c r="G35" s="418">
        <v>1</v>
      </c>
      <c r="H35" s="418"/>
      <c r="I35" s="418">
        <v>1</v>
      </c>
      <c r="J35" s="418"/>
      <c r="K35" s="418">
        <v>1</v>
      </c>
      <c r="L35" s="418"/>
      <c r="M35" s="418">
        <v>1</v>
      </c>
      <c r="N35" s="418"/>
      <c r="O35" s="418">
        <v>1</v>
      </c>
      <c r="P35" s="418"/>
      <c r="Q35" s="418">
        <v>1</v>
      </c>
      <c r="R35" s="419"/>
      <c r="S35" s="420"/>
      <c r="T35" s="421"/>
      <c r="U35" s="420"/>
      <c r="V35" s="385"/>
      <c r="W35" s="6"/>
    </row>
    <row r="36" spans="1:23" ht="15.6">
      <c r="A36" s="378"/>
      <c r="B36" s="379" t="s">
        <v>153</v>
      </c>
      <c r="C36" s="380" t="s">
        <v>163</v>
      </c>
      <c r="D36" s="380"/>
      <c r="E36" s="380" t="s">
        <v>163</v>
      </c>
      <c r="F36" s="380"/>
      <c r="G36" s="380" t="s">
        <v>164</v>
      </c>
      <c r="H36" s="380"/>
      <c r="I36" s="380" t="s">
        <v>164</v>
      </c>
      <c r="J36" s="380"/>
      <c r="K36" s="380" t="s">
        <v>106</v>
      </c>
      <c r="L36" s="380"/>
      <c r="M36" s="380" t="s">
        <v>165</v>
      </c>
      <c r="N36" s="380"/>
      <c r="O36" s="380" t="s">
        <v>166</v>
      </c>
      <c r="P36" s="380"/>
      <c r="Q36" s="380" t="s">
        <v>167</v>
      </c>
      <c r="R36" s="422"/>
      <c r="S36" s="422"/>
      <c r="T36" s="411"/>
      <c r="U36" s="424"/>
      <c r="V36" s="410"/>
      <c r="W36" s="6"/>
    </row>
    <row r="37" spans="1:23" ht="15.6">
      <c r="A37" s="378"/>
      <c r="B37" s="379" t="s">
        <v>151</v>
      </c>
      <c r="C37" s="425">
        <v>1.17359E-2</v>
      </c>
      <c r="D37" s="425"/>
      <c r="E37" s="425">
        <v>1.2749999999999999E-2</v>
      </c>
      <c r="F37" s="425"/>
      <c r="G37" s="425">
        <v>1.3935899999999999E-2</v>
      </c>
      <c r="H37" s="425"/>
      <c r="I37" s="425">
        <v>1.495E-2</v>
      </c>
      <c r="J37" s="425"/>
      <c r="K37" s="425">
        <v>1.93359E-2</v>
      </c>
      <c r="L37" s="425"/>
      <c r="M37" s="425">
        <v>1.975E-2</v>
      </c>
      <c r="N37" s="425"/>
      <c r="O37" s="425">
        <v>2.6335899999999999E-2</v>
      </c>
      <c r="P37" s="425"/>
      <c r="Q37" s="425">
        <v>2.6349999999999998E-2</v>
      </c>
      <c r="R37" s="426"/>
      <c r="S37" s="425"/>
      <c r="T37" s="411"/>
      <c r="U37" s="380"/>
      <c r="V37" s="410"/>
      <c r="W37" s="6"/>
    </row>
    <row r="38" spans="1:23" ht="15.6">
      <c r="A38" s="378"/>
      <c r="B38" s="379" t="s">
        <v>152</v>
      </c>
      <c r="C38" s="425">
        <v>1.09094E-2</v>
      </c>
      <c r="D38" s="425"/>
      <c r="E38" s="425">
        <v>1.0840000000000001E-2</v>
      </c>
      <c r="F38" s="425"/>
      <c r="G38" s="425">
        <v>1.31094E-2</v>
      </c>
      <c r="H38" s="425"/>
      <c r="I38" s="425">
        <v>1.304E-2</v>
      </c>
      <c r="J38" s="425"/>
      <c r="K38" s="425">
        <v>1.8509399999999999E-2</v>
      </c>
      <c r="L38" s="425"/>
      <c r="M38" s="425">
        <v>1.7840000000000002E-2</v>
      </c>
      <c r="N38" s="425"/>
      <c r="O38" s="425">
        <v>2.5509400000000002E-2</v>
      </c>
      <c r="P38" s="425"/>
      <c r="Q38" s="425">
        <v>2.444E-2</v>
      </c>
      <c r="R38" s="426"/>
      <c r="S38" s="425"/>
      <c r="T38" s="411"/>
      <c r="U38" s="424"/>
      <c r="V38" s="410"/>
      <c r="W38" s="6"/>
    </row>
    <row r="39" spans="1:23" ht="15.6">
      <c r="A39" s="378"/>
      <c r="B39" s="379" t="s">
        <v>263</v>
      </c>
      <c r="C39" s="380" t="s">
        <v>163</v>
      </c>
      <c r="D39" s="379"/>
      <c r="E39" s="380" t="s">
        <v>228</v>
      </c>
      <c r="F39" s="379"/>
      <c r="G39" s="380" t="s">
        <v>164</v>
      </c>
      <c r="H39" s="379"/>
      <c r="I39" s="380" t="s">
        <v>226</v>
      </c>
      <c r="J39" s="379"/>
      <c r="K39" s="380" t="s">
        <v>106</v>
      </c>
      <c r="L39" s="379"/>
      <c r="M39" s="380" t="s">
        <v>227</v>
      </c>
      <c r="N39" s="379"/>
      <c r="O39" s="380" t="s">
        <v>166</v>
      </c>
      <c r="P39" s="380"/>
      <c r="Q39" s="380" t="s">
        <v>229</v>
      </c>
      <c r="R39" s="426"/>
      <c r="S39" s="425"/>
      <c r="T39" s="411"/>
      <c r="U39" s="424"/>
      <c r="V39" s="410"/>
      <c r="W39" s="6"/>
    </row>
    <row r="40" spans="1:23" ht="15.6">
      <c r="A40" s="378"/>
      <c r="B40" s="379" t="s">
        <v>264</v>
      </c>
      <c r="C40" s="425">
        <f>+C37</f>
        <v>1.17359E-2</v>
      </c>
      <c r="D40" s="425"/>
      <c r="E40" s="425">
        <v>1.2311900000000001E-2</v>
      </c>
      <c r="F40" s="425"/>
      <c r="G40" s="425">
        <f>+G37</f>
        <v>1.3935899999999999E-2</v>
      </c>
      <c r="H40" s="425"/>
      <c r="I40" s="425">
        <v>1.46689E-2</v>
      </c>
      <c r="J40" s="425"/>
      <c r="K40" s="425">
        <f>+K37</f>
        <v>1.93359E-2</v>
      </c>
      <c r="L40" s="423"/>
      <c r="M40" s="425">
        <v>1.9896299999999999E-2</v>
      </c>
      <c r="N40" s="423"/>
      <c r="O40" s="425">
        <f>+O37</f>
        <v>2.6335899999999999E-2</v>
      </c>
      <c r="P40" s="425"/>
      <c r="Q40" s="425">
        <v>2.71623E-2</v>
      </c>
      <c r="R40" s="426"/>
      <c r="S40" s="425"/>
      <c r="T40" s="411"/>
      <c r="U40" s="427">
        <f>SUMPRODUCT(C40:Q40,C32:Q32)/U32</f>
        <v>1.613122363968468E-2</v>
      </c>
      <c r="V40" s="410"/>
      <c r="W40" s="6"/>
    </row>
    <row r="41" spans="1:23" ht="15.6">
      <c r="A41" s="378"/>
      <c r="B41" s="379" t="s">
        <v>265</v>
      </c>
      <c r="C41" s="425">
        <f>+C38</f>
        <v>1.09094E-2</v>
      </c>
      <c r="D41" s="425"/>
      <c r="E41" s="425">
        <v>1.14854E-2</v>
      </c>
      <c r="F41" s="425"/>
      <c r="G41" s="425">
        <f>+G38</f>
        <v>1.31094E-2</v>
      </c>
      <c r="H41" s="425"/>
      <c r="I41" s="425">
        <v>1.3842399999999999E-2</v>
      </c>
      <c r="J41" s="425"/>
      <c r="K41" s="425">
        <f>+K38</f>
        <v>1.8509399999999999E-2</v>
      </c>
      <c r="L41" s="423"/>
      <c r="M41" s="425">
        <v>1.9069800000000001E-2</v>
      </c>
      <c r="N41" s="423"/>
      <c r="O41" s="425">
        <f>+O38</f>
        <v>2.5509400000000002E-2</v>
      </c>
      <c r="P41" s="425"/>
      <c r="Q41" s="425">
        <v>2.6335799999999999E-2</v>
      </c>
      <c r="R41" s="426"/>
      <c r="S41" s="425"/>
      <c r="T41" s="411"/>
      <c r="U41" s="424"/>
      <c r="V41" s="410"/>
      <c r="W41" s="6"/>
    </row>
    <row r="42" spans="1:23" ht="15.6">
      <c r="A42" s="378"/>
      <c r="B42" s="379" t="s">
        <v>17</v>
      </c>
      <c r="C42" s="428">
        <v>39918</v>
      </c>
      <c r="D42" s="428"/>
      <c r="E42" s="428">
        <v>39918</v>
      </c>
      <c r="F42" s="428"/>
      <c r="G42" s="428">
        <v>39918</v>
      </c>
      <c r="H42" s="428"/>
      <c r="I42" s="428">
        <v>39918</v>
      </c>
      <c r="J42" s="428"/>
      <c r="K42" s="428">
        <v>39918</v>
      </c>
      <c r="L42" s="428"/>
      <c r="M42" s="428">
        <v>39918</v>
      </c>
      <c r="N42" s="428"/>
      <c r="O42" s="428">
        <v>39918</v>
      </c>
      <c r="P42" s="428"/>
      <c r="Q42" s="428">
        <v>39918</v>
      </c>
      <c r="R42" s="422"/>
      <c r="S42" s="422"/>
      <c r="T42" s="411"/>
      <c r="U42" s="424"/>
      <c r="V42" s="410"/>
      <c r="W42" s="6"/>
    </row>
    <row r="43" spans="1:23" ht="15.6">
      <c r="A43" s="378"/>
      <c r="B43" s="379" t="s">
        <v>18</v>
      </c>
      <c r="C43" s="429">
        <v>40283</v>
      </c>
      <c r="D43" s="430"/>
      <c r="E43" s="429">
        <v>40283</v>
      </c>
      <c r="F43" s="430"/>
      <c r="G43" s="429">
        <v>40283</v>
      </c>
      <c r="H43" s="430"/>
      <c r="I43" s="429">
        <v>40283</v>
      </c>
      <c r="J43" s="430"/>
      <c r="K43" s="429">
        <v>40283</v>
      </c>
      <c r="L43" s="430"/>
      <c r="M43" s="429">
        <v>40283</v>
      </c>
      <c r="N43" s="430"/>
      <c r="O43" s="429">
        <v>40283</v>
      </c>
      <c r="P43" s="429"/>
      <c r="Q43" s="429">
        <v>40283</v>
      </c>
      <c r="R43" s="380"/>
      <c r="S43" s="380"/>
      <c r="T43" s="424"/>
      <c r="U43" s="424"/>
      <c r="V43" s="410"/>
      <c r="W43" s="6"/>
    </row>
    <row r="44" spans="1:23" ht="15.6">
      <c r="A44" s="378"/>
      <c r="B44" s="379" t="s">
        <v>154</v>
      </c>
      <c r="C44" s="380" t="s">
        <v>163</v>
      </c>
      <c r="D44" s="380"/>
      <c r="E44" s="380" t="s">
        <v>163</v>
      </c>
      <c r="F44" s="380"/>
      <c r="G44" s="380" t="s">
        <v>164</v>
      </c>
      <c r="H44" s="380"/>
      <c r="I44" s="380" t="s">
        <v>164</v>
      </c>
      <c r="J44" s="380"/>
      <c r="K44" s="380" t="s">
        <v>106</v>
      </c>
      <c r="L44" s="380"/>
      <c r="M44" s="380" t="s">
        <v>165</v>
      </c>
      <c r="N44" s="380"/>
      <c r="O44" s="380" t="s">
        <v>166</v>
      </c>
      <c r="P44" s="380"/>
      <c r="Q44" s="380" t="s">
        <v>167</v>
      </c>
      <c r="R44" s="380"/>
      <c r="S44" s="380"/>
      <c r="T44" s="424"/>
      <c r="U44" s="424"/>
      <c r="V44" s="410"/>
      <c r="W44" s="6"/>
    </row>
    <row r="45" spans="1:23" ht="15.6">
      <c r="A45" s="378"/>
      <c r="B45" s="379" t="s">
        <v>266</v>
      </c>
      <c r="C45" s="380" t="s">
        <v>163</v>
      </c>
      <c r="D45" s="379"/>
      <c r="E45" s="380" t="s">
        <v>228</v>
      </c>
      <c r="F45" s="379"/>
      <c r="G45" s="380" t="s">
        <v>164</v>
      </c>
      <c r="H45" s="379"/>
      <c r="I45" s="380" t="s">
        <v>226</v>
      </c>
      <c r="J45" s="379"/>
      <c r="K45" s="380" t="s">
        <v>106</v>
      </c>
      <c r="L45" s="379"/>
      <c r="M45" s="380" t="s">
        <v>227</v>
      </c>
      <c r="N45" s="379"/>
      <c r="O45" s="380" t="s">
        <v>166</v>
      </c>
      <c r="P45" s="380"/>
      <c r="Q45" s="380" t="s">
        <v>229</v>
      </c>
      <c r="R45" s="380"/>
      <c r="S45" s="380"/>
      <c r="T45" s="424"/>
      <c r="U45" s="424"/>
      <c r="V45" s="410"/>
      <c r="W45" s="6"/>
    </row>
    <row r="46" spans="1:23" ht="15.6">
      <c r="A46" s="378"/>
      <c r="B46" s="379"/>
      <c r="C46" s="379"/>
      <c r="D46" s="379"/>
      <c r="E46" s="379"/>
      <c r="F46" s="379"/>
      <c r="G46" s="379"/>
      <c r="H46" s="379"/>
      <c r="I46" s="379"/>
      <c r="J46" s="379"/>
      <c r="K46" s="379"/>
      <c r="L46" s="379"/>
      <c r="M46" s="431"/>
      <c r="N46" s="431"/>
      <c r="O46" s="379"/>
      <c r="P46" s="431"/>
      <c r="Q46" s="431"/>
      <c r="R46" s="431"/>
      <c r="S46" s="431"/>
      <c r="T46" s="431"/>
      <c r="U46" s="431"/>
      <c r="V46" s="410"/>
      <c r="W46" s="6"/>
    </row>
    <row r="47" spans="1:23" ht="15.6">
      <c r="A47" s="378"/>
      <c r="B47" s="379" t="s">
        <v>201</v>
      </c>
      <c r="C47" s="379"/>
      <c r="D47" s="379"/>
      <c r="E47" s="379"/>
      <c r="F47" s="379"/>
      <c r="G47" s="379"/>
      <c r="H47" s="379"/>
      <c r="I47" s="379"/>
      <c r="J47" s="379"/>
      <c r="K47" s="379"/>
      <c r="L47" s="379"/>
      <c r="M47" s="379"/>
      <c r="N47" s="379"/>
      <c r="O47" s="379"/>
      <c r="P47" s="379"/>
      <c r="Q47" s="379"/>
      <c r="R47" s="379"/>
      <c r="S47" s="379"/>
      <c r="T47" s="379"/>
      <c r="U47" s="427">
        <f>SUM(G31:Q31)/(C31+E31)</f>
        <v>0.3888888888888889</v>
      </c>
      <c r="V47" s="410"/>
      <c r="W47" s="6"/>
    </row>
    <row r="48" spans="1:23" ht="15.6">
      <c r="A48" s="378"/>
      <c r="B48" s="379" t="s">
        <v>202</v>
      </c>
      <c r="C48" s="379"/>
      <c r="D48" s="379"/>
      <c r="E48" s="379"/>
      <c r="F48" s="379"/>
      <c r="G48" s="379"/>
      <c r="H48" s="379"/>
      <c r="I48" s="379"/>
      <c r="J48" s="379"/>
      <c r="K48" s="379"/>
      <c r="L48" s="379"/>
      <c r="M48" s="379"/>
      <c r="N48" s="379"/>
      <c r="O48" s="379"/>
      <c r="P48" s="379"/>
      <c r="Q48" s="379"/>
      <c r="R48" s="379"/>
      <c r="S48" s="379"/>
      <c r="T48" s="379"/>
      <c r="U48" s="427">
        <f>SUM(F33:Q33)/(C33+E33)</f>
        <v>1.0881785259471506</v>
      </c>
      <c r="V48" s="410"/>
      <c r="W48" s="6"/>
    </row>
    <row r="49" spans="1:23" ht="15.6">
      <c r="A49" s="378"/>
      <c r="B49" s="379" t="s">
        <v>203</v>
      </c>
      <c r="C49" s="379"/>
      <c r="D49" s="379"/>
      <c r="E49" s="379"/>
      <c r="F49" s="379"/>
      <c r="G49" s="379"/>
      <c r="H49" s="379"/>
      <c r="I49" s="379"/>
      <c r="J49" s="379"/>
      <c r="K49" s="379"/>
      <c r="L49" s="379"/>
      <c r="M49" s="379"/>
      <c r="N49" s="379"/>
      <c r="O49" s="379"/>
      <c r="P49" s="379"/>
      <c r="Q49" s="379"/>
      <c r="R49" s="379"/>
      <c r="S49" s="380" t="s">
        <v>95</v>
      </c>
      <c r="T49" s="380" t="s">
        <v>117</v>
      </c>
      <c r="U49" s="394">
        <v>99000</v>
      </c>
      <c r="V49" s="410"/>
      <c r="W49" s="6"/>
    </row>
    <row r="50" spans="1:23" ht="15.6">
      <c r="A50" s="378"/>
      <c r="B50" s="379"/>
      <c r="C50" s="379"/>
      <c r="D50" s="379"/>
      <c r="E50" s="379"/>
      <c r="F50" s="379"/>
      <c r="G50" s="379"/>
      <c r="H50" s="379"/>
      <c r="I50" s="379"/>
      <c r="J50" s="379"/>
      <c r="K50" s="379"/>
      <c r="L50" s="379"/>
      <c r="M50" s="379"/>
      <c r="N50" s="379"/>
      <c r="O50" s="379"/>
      <c r="P50" s="379"/>
      <c r="Q50" s="379"/>
      <c r="R50" s="379"/>
      <c r="S50" s="379" t="s">
        <v>213</v>
      </c>
      <c r="T50" s="379"/>
      <c r="U50" s="432"/>
      <c r="V50" s="410"/>
      <c r="W50" s="6"/>
    </row>
    <row r="51" spans="1:23" ht="15.6">
      <c r="A51" s="378"/>
      <c r="B51" s="379" t="s">
        <v>19</v>
      </c>
      <c r="C51" s="379"/>
      <c r="D51" s="379"/>
      <c r="E51" s="379"/>
      <c r="F51" s="379"/>
      <c r="G51" s="379"/>
      <c r="H51" s="379"/>
      <c r="I51" s="379"/>
      <c r="J51" s="379"/>
      <c r="K51" s="379"/>
      <c r="L51" s="379"/>
      <c r="M51" s="379"/>
      <c r="N51" s="379"/>
      <c r="O51" s="379"/>
      <c r="P51" s="379"/>
      <c r="Q51" s="379"/>
      <c r="R51" s="379"/>
      <c r="S51" s="380"/>
      <c r="T51" s="380"/>
      <c r="U51" s="380" t="s">
        <v>118</v>
      </c>
      <c r="V51" s="410"/>
      <c r="W51" s="6"/>
    </row>
    <row r="52" spans="1:23" ht="15.6">
      <c r="A52" s="401"/>
      <c r="B52" s="386" t="s">
        <v>20</v>
      </c>
      <c r="C52" s="386"/>
      <c r="D52" s="386"/>
      <c r="E52" s="386"/>
      <c r="F52" s="386"/>
      <c r="G52" s="386"/>
      <c r="H52" s="386"/>
      <c r="I52" s="386"/>
      <c r="J52" s="386"/>
      <c r="K52" s="386"/>
      <c r="L52" s="386"/>
      <c r="M52" s="386"/>
      <c r="N52" s="386"/>
      <c r="O52" s="386"/>
      <c r="P52" s="386"/>
      <c r="Q52" s="386"/>
      <c r="R52" s="386"/>
      <c r="S52" s="433"/>
      <c r="T52" s="433"/>
      <c r="U52" s="434">
        <v>40466</v>
      </c>
      <c r="V52" s="435"/>
      <c r="W52" s="6"/>
    </row>
    <row r="53" spans="1:23" ht="15.6">
      <c r="A53" s="378"/>
      <c r="B53" s="379" t="s">
        <v>155</v>
      </c>
      <c r="C53" s="379"/>
      <c r="D53" s="379"/>
      <c r="E53" s="379"/>
      <c r="F53" s="379"/>
      <c r="G53" s="379"/>
      <c r="H53" s="379"/>
      <c r="I53" s="379"/>
      <c r="J53" s="379"/>
      <c r="K53" s="379"/>
      <c r="L53" s="379"/>
      <c r="M53" s="379"/>
      <c r="N53" s="379"/>
      <c r="O53" s="379"/>
      <c r="P53" s="379"/>
      <c r="Q53" s="424"/>
      <c r="R53" s="379">
        <f>U53-S53+1</f>
        <v>91</v>
      </c>
      <c r="S53" s="436">
        <v>40283</v>
      </c>
      <c r="T53" s="429"/>
      <c r="U53" s="436">
        <v>40373</v>
      </c>
      <c r="V53" s="410"/>
      <c r="W53" s="6"/>
    </row>
    <row r="54" spans="1:23" ht="15.6">
      <c r="A54" s="378"/>
      <c r="B54" s="379" t="s">
        <v>156</v>
      </c>
      <c r="C54" s="379"/>
      <c r="D54" s="379"/>
      <c r="E54" s="379"/>
      <c r="F54" s="379"/>
      <c r="G54" s="379"/>
      <c r="H54" s="379"/>
      <c r="I54" s="379"/>
      <c r="J54" s="379"/>
      <c r="K54" s="379"/>
      <c r="L54" s="379"/>
      <c r="M54" s="379"/>
      <c r="N54" s="379"/>
      <c r="O54" s="379"/>
      <c r="P54" s="379"/>
      <c r="Q54" s="424"/>
      <c r="R54" s="379">
        <f>U54-S54+1</f>
        <v>92</v>
      </c>
      <c r="S54" s="436">
        <v>40374</v>
      </c>
      <c r="T54" s="429"/>
      <c r="U54" s="436">
        <v>40465</v>
      </c>
      <c r="V54" s="410"/>
      <c r="W54" s="6"/>
    </row>
    <row r="55" spans="1:23" ht="15.6">
      <c r="A55" s="378"/>
      <c r="B55" s="379" t="s">
        <v>21</v>
      </c>
      <c r="C55" s="379"/>
      <c r="D55" s="379"/>
      <c r="E55" s="379"/>
      <c r="F55" s="379"/>
      <c r="G55" s="379"/>
      <c r="H55" s="379"/>
      <c r="I55" s="379"/>
      <c r="J55" s="379"/>
      <c r="K55" s="379"/>
      <c r="L55" s="379"/>
      <c r="M55" s="379"/>
      <c r="N55" s="379"/>
      <c r="O55" s="379"/>
      <c r="P55" s="379"/>
      <c r="Q55" s="379"/>
      <c r="R55" s="379"/>
      <c r="S55" s="436"/>
      <c r="T55" s="429"/>
      <c r="U55" s="436" t="s">
        <v>119</v>
      </c>
      <c r="V55" s="410"/>
      <c r="W55" s="6"/>
    </row>
    <row r="56" spans="1:23" ht="15.6">
      <c r="A56" s="378"/>
      <c r="B56" s="379" t="s">
        <v>22</v>
      </c>
      <c r="C56" s="379"/>
      <c r="D56" s="379"/>
      <c r="E56" s="379"/>
      <c r="F56" s="379"/>
      <c r="G56" s="379"/>
      <c r="H56" s="379"/>
      <c r="I56" s="379"/>
      <c r="J56" s="379"/>
      <c r="K56" s="379"/>
      <c r="L56" s="379"/>
      <c r="M56" s="379"/>
      <c r="N56" s="379"/>
      <c r="O56" s="379"/>
      <c r="P56" s="379"/>
      <c r="Q56" s="379"/>
      <c r="R56" s="379"/>
      <c r="S56" s="436"/>
      <c r="T56" s="429"/>
      <c r="U56" s="436">
        <v>40452</v>
      </c>
      <c r="V56" s="410"/>
      <c r="W56" s="6"/>
    </row>
    <row r="57" spans="1:23" ht="15.6">
      <c r="A57" s="242"/>
      <c r="B57" s="364"/>
      <c r="C57" s="364"/>
      <c r="D57" s="364"/>
      <c r="E57" s="364"/>
      <c r="F57" s="364"/>
      <c r="G57" s="364"/>
      <c r="H57" s="364"/>
      <c r="I57" s="364"/>
      <c r="J57" s="364"/>
      <c r="K57" s="364"/>
      <c r="L57" s="364"/>
      <c r="M57" s="364"/>
      <c r="N57" s="364"/>
      <c r="O57" s="364"/>
      <c r="P57" s="364"/>
      <c r="Q57" s="364"/>
      <c r="R57" s="364"/>
      <c r="S57" s="364"/>
      <c r="T57" s="364"/>
      <c r="U57" s="377"/>
      <c r="V57" s="303"/>
      <c r="W57" s="6"/>
    </row>
    <row r="58" spans="1:23" ht="15.6">
      <c r="A58" s="242"/>
      <c r="B58" s="288"/>
      <c r="C58" s="288"/>
      <c r="D58" s="288"/>
      <c r="E58" s="288"/>
      <c r="F58" s="288"/>
      <c r="G58" s="288"/>
      <c r="H58" s="288"/>
      <c r="I58" s="288"/>
      <c r="J58" s="288"/>
      <c r="K58" s="288"/>
      <c r="L58" s="288"/>
      <c r="M58" s="288"/>
      <c r="N58" s="288"/>
      <c r="O58" s="288"/>
      <c r="P58" s="288"/>
      <c r="Q58" s="288"/>
      <c r="R58" s="288"/>
      <c r="S58" s="288"/>
      <c r="T58" s="288"/>
      <c r="U58" s="302"/>
      <c r="V58" s="303"/>
      <c r="W58" s="6"/>
    </row>
    <row r="59" spans="1:23" ht="16.2" thickBot="1">
      <c r="A59" s="261"/>
      <c r="B59" s="304" t="s">
        <v>271</v>
      </c>
      <c r="C59" s="305"/>
      <c r="D59" s="305"/>
      <c r="E59" s="305"/>
      <c r="F59" s="305"/>
      <c r="G59" s="305"/>
      <c r="H59" s="305"/>
      <c r="I59" s="305"/>
      <c r="J59" s="305"/>
      <c r="K59" s="305"/>
      <c r="L59" s="305"/>
      <c r="M59" s="305"/>
      <c r="N59" s="305"/>
      <c r="O59" s="305"/>
      <c r="P59" s="305"/>
      <c r="Q59" s="305"/>
      <c r="R59" s="305"/>
      <c r="S59" s="305"/>
      <c r="T59" s="305"/>
      <c r="U59" s="306"/>
      <c r="V59" s="307"/>
      <c r="W59" s="6"/>
    </row>
    <row r="60" spans="1:23" ht="15.6">
      <c r="A60" s="230"/>
      <c r="B60" s="308" t="s">
        <v>23</v>
      </c>
      <c r="C60" s="308"/>
      <c r="D60" s="308"/>
      <c r="E60" s="308"/>
      <c r="F60" s="308"/>
      <c r="G60" s="308"/>
      <c r="H60" s="308"/>
      <c r="I60" s="308"/>
      <c r="J60" s="308"/>
      <c r="K60" s="308"/>
      <c r="L60" s="308"/>
      <c r="M60" s="231"/>
      <c r="N60" s="231"/>
      <c r="O60" s="231"/>
      <c r="P60" s="231"/>
      <c r="Q60" s="231"/>
      <c r="R60" s="231"/>
      <c r="S60" s="231"/>
      <c r="T60" s="231"/>
      <c r="U60" s="309"/>
      <c r="V60" s="237"/>
      <c r="W60" s="6"/>
    </row>
    <row r="61" spans="1:23" ht="15.6">
      <c r="A61" s="242"/>
      <c r="B61" s="252"/>
      <c r="C61" s="252"/>
      <c r="D61" s="252"/>
      <c r="E61" s="252"/>
      <c r="F61" s="252"/>
      <c r="G61" s="252"/>
      <c r="H61" s="252"/>
      <c r="I61" s="252"/>
      <c r="J61" s="252"/>
      <c r="K61" s="252"/>
      <c r="L61" s="252"/>
      <c r="M61" s="244"/>
      <c r="N61" s="244"/>
      <c r="O61" s="244"/>
      <c r="P61" s="244"/>
      <c r="Q61" s="244"/>
      <c r="R61" s="244"/>
      <c r="S61" s="244"/>
      <c r="T61" s="244"/>
      <c r="U61" s="263"/>
      <c r="V61" s="245"/>
      <c r="W61" s="6"/>
    </row>
    <row r="62" spans="1:23" s="151" customFormat="1" ht="46.8">
      <c r="A62" s="264"/>
      <c r="B62" s="265"/>
      <c r="C62" s="266"/>
      <c r="D62" s="266"/>
      <c r="E62" s="266"/>
      <c r="F62" s="266"/>
      <c r="G62" s="266"/>
      <c r="H62" s="266"/>
      <c r="I62" s="266"/>
      <c r="J62" s="266"/>
      <c r="K62" s="266" t="s">
        <v>197</v>
      </c>
      <c r="L62" s="266"/>
      <c r="M62" s="266" t="s">
        <v>98</v>
      </c>
      <c r="N62" s="266"/>
      <c r="O62" s="266" t="s">
        <v>107</v>
      </c>
      <c r="P62" s="266"/>
      <c r="Q62" s="266" t="s">
        <v>111</v>
      </c>
      <c r="R62" s="266"/>
      <c r="S62" s="266" t="s">
        <v>113</v>
      </c>
      <c r="T62" s="266"/>
      <c r="U62" s="267" t="s">
        <v>120</v>
      </c>
      <c r="V62" s="268"/>
      <c r="W62" s="150"/>
    </row>
    <row r="63" spans="1:23" ht="15.6">
      <c r="A63" s="378"/>
      <c r="B63" s="379" t="s">
        <v>24</v>
      </c>
      <c r="C63" s="440"/>
      <c r="D63" s="440"/>
      <c r="E63" s="440"/>
      <c r="F63" s="440"/>
      <c r="G63" s="440"/>
      <c r="H63" s="440"/>
      <c r="I63" s="440"/>
      <c r="J63" s="440"/>
      <c r="K63" s="440">
        <f>265+63566+3306</f>
        <v>67137</v>
      </c>
      <c r="L63" s="440"/>
      <c r="M63" s="440">
        <v>12576</v>
      </c>
      <c r="N63" s="440"/>
      <c r="O63" s="440">
        <f>622+4+434</f>
        <v>1060</v>
      </c>
      <c r="P63" s="440"/>
      <c r="Q63" s="440">
        <v>0</v>
      </c>
      <c r="R63" s="440"/>
      <c r="S63" s="440">
        <v>0</v>
      </c>
      <c r="T63" s="440"/>
      <c r="U63" s="441">
        <f>+M63-O63+Q63-S63</f>
        <v>11516</v>
      </c>
      <c r="V63" s="410"/>
      <c r="W63" s="6"/>
    </row>
    <row r="64" spans="1:23" ht="15.6">
      <c r="A64" s="378"/>
      <c r="B64" s="379" t="s">
        <v>25</v>
      </c>
      <c r="C64" s="440"/>
      <c r="D64" s="440"/>
      <c r="E64" s="440"/>
      <c r="F64" s="440"/>
      <c r="G64" s="440"/>
      <c r="H64" s="440"/>
      <c r="I64" s="440"/>
      <c r="J64" s="440"/>
      <c r="K64" s="440"/>
      <c r="L64" s="440"/>
      <c r="M64" s="440"/>
      <c r="N64" s="440"/>
      <c r="O64" s="440"/>
      <c r="P64" s="440"/>
      <c r="Q64" s="440">
        <v>0</v>
      </c>
      <c r="R64" s="440"/>
      <c r="S64" s="440">
        <v>0</v>
      </c>
      <c r="T64" s="440"/>
      <c r="U64" s="441">
        <f>M64-O64</f>
        <v>0</v>
      </c>
      <c r="V64" s="410"/>
      <c r="W64" s="6"/>
    </row>
    <row r="65" spans="1:24" ht="15.6">
      <c r="A65" s="378"/>
      <c r="B65" s="379"/>
      <c r="C65" s="440"/>
      <c r="D65" s="440"/>
      <c r="E65" s="440"/>
      <c r="F65" s="440"/>
      <c r="G65" s="440"/>
      <c r="H65" s="440"/>
      <c r="I65" s="440"/>
      <c r="J65" s="440"/>
      <c r="K65" s="440"/>
      <c r="L65" s="440"/>
      <c r="M65" s="440"/>
      <c r="N65" s="440"/>
      <c r="O65" s="440"/>
      <c r="P65" s="440"/>
      <c r="Q65" s="440"/>
      <c r="R65" s="440"/>
      <c r="S65" s="440"/>
      <c r="T65" s="440"/>
      <c r="U65" s="441"/>
      <c r="V65" s="410"/>
      <c r="W65" s="6"/>
    </row>
    <row r="66" spans="1:24" ht="15.6">
      <c r="A66" s="378"/>
      <c r="B66" s="379" t="s">
        <v>26</v>
      </c>
      <c r="C66" s="440"/>
      <c r="D66" s="440"/>
      <c r="E66" s="440"/>
      <c r="F66" s="440"/>
      <c r="G66" s="440"/>
      <c r="H66" s="440"/>
      <c r="I66" s="440"/>
      <c r="J66" s="440"/>
      <c r="K66" s="440">
        <v>24470</v>
      </c>
      <c r="L66" s="440"/>
      <c r="M66" s="440">
        <v>4174</v>
      </c>
      <c r="N66" s="440"/>
      <c r="O66" s="440">
        <v>504</v>
      </c>
      <c r="P66" s="440"/>
      <c r="Q66" s="440">
        <v>0</v>
      </c>
      <c r="R66" s="440"/>
      <c r="S66" s="440">
        <f>SUM(S63:S65)</f>
        <v>0</v>
      </c>
      <c r="T66" s="440"/>
      <c r="U66" s="441">
        <f>+M66-O66+Q66-S66</f>
        <v>3670</v>
      </c>
      <c r="V66" s="410"/>
      <c r="W66" s="6"/>
    </row>
    <row r="67" spans="1:24" ht="15.6">
      <c r="A67" s="378"/>
      <c r="B67" s="379" t="s">
        <v>25</v>
      </c>
      <c r="C67" s="440"/>
      <c r="D67" s="440"/>
      <c r="E67" s="440"/>
      <c r="F67" s="440"/>
      <c r="G67" s="440"/>
      <c r="H67" s="440"/>
      <c r="I67" s="440"/>
      <c r="J67" s="440"/>
      <c r="K67" s="440"/>
      <c r="L67" s="440"/>
      <c r="M67" s="440"/>
      <c r="N67" s="440"/>
      <c r="O67" s="440"/>
      <c r="P67" s="440"/>
      <c r="Q67" s="440">
        <v>0</v>
      </c>
      <c r="R67" s="440"/>
      <c r="S67" s="440">
        <v>0</v>
      </c>
      <c r="T67" s="440"/>
      <c r="U67" s="440"/>
      <c r="V67" s="410"/>
      <c r="W67" s="6"/>
    </row>
    <row r="68" spans="1:24" ht="15.6">
      <c r="A68" s="378"/>
      <c r="B68" s="386"/>
      <c r="C68" s="440"/>
      <c r="D68" s="440"/>
      <c r="E68" s="440"/>
      <c r="F68" s="440"/>
      <c r="G68" s="440"/>
      <c r="H68" s="440"/>
      <c r="I68" s="440"/>
      <c r="J68" s="440"/>
      <c r="K68" s="440"/>
      <c r="L68" s="440"/>
      <c r="M68" s="440"/>
      <c r="N68" s="440"/>
      <c r="O68" s="442"/>
      <c r="P68" s="440"/>
      <c r="Q68" s="440"/>
      <c r="R68" s="440"/>
      <c r="S68" s="440"/>
      <c r="T68" s="440"/>
      <c r="U68" s="440"/>
      <c r="V68" s="410"/>
      <c r="W68" s="6"/>
    </row>
    <row r="69" spans="1:24" ht="15.6">
      <c r="A69" s="378"/>
      <c r="B69" s="379" t="s">
        <v>27</v>
      </c>
      <c r="C69" s="440"/>
      <c r="D69" s="440"/>
      <c r="E69" s="440"/>
      <c r="F69" s="440"/>
      <c r="G69" s="440"/>
      <c r="H69" s="440"/>
      <c r="I69" s="440"/>
      <c r="J69" s="440"/>
      <c r="K69" s="440">
        <v>220072</v>
      </c>
      <c r="L69" s="440"/>
      <c r="M69" s="440">
        <v>229604</v>
      </c>
      <c r="N69" s="440"/>
      <c r="O69" s="440">
        <f>9522+1881+25</f>
        <v>11428</v>
      </c>
      <c r="P69" s="440"/>
      <c r="Q69" s="440">
        <v>0</v>
      </c>
      <c r="R69" s="440"/>
      <c r="S69" s="440">
        <v>0</v>
      </c>
      <c r="T69" s="440"/>
      <c r="U69" s="441">
        <f>+M69-O69+Q69-S69</f>
        <v>218176</v>
      </c>
      <c r="V69" s="410"/>
      <c r="W69" s="6"/>
    </row>
    <row r="70" spans="1:24" ht="15.6">
      <c r="A70" s="378"/>
      <c r="B70" s="379" t="s">
        <v>25</v>
      </c>
      <c r="C70" s="440"/>
      <c r="D70" s="440"/>
      <c r="E70" s="440"/>
      <c r="F70" s="440"/>
      <c r="G70" s="440"/>
      <c r="H70" s="440"/>
      <c r="I70" s="440"/>
      <c r="J70" s="440"/>
      <c r="K70" s="440"/>
      <c r="L70" s="440"/>
      <c r="M70" s="440"/>
      <c r="N70" s="440"/>
      <c r="O70" s="440"/>
      <c r="P70" s="440"/>
      <c r="Q70" s="440">
        <v>0</v>
      </c>
      <c r="R70" s="440"/>
      <c r="S70" s="440">
        <v>0</v>
      </c>
      <c r="T70" s="440"/>
      <c r="U70" s="441">
        <f>M70-O70+Q70-S70</f>
        <v>0</v>
      </c>
      <c r="V70" s="410"/>
      <c r="W70" s="6"/>
    </row>
    <row r="71" spans="1:24" ht="15.6">
      <c r="A71" s="378"/>
      <c r="B71" s="379"/>
      <c r="C71" s="440"/>
      <c r="D71" s="440"/>
      <c r="E71" s="440"/>
      <c r="F71" s="440"/>
      <c r="G71" s="440"/>
      <c r="H71" s="440"/>
      <c r="I71" s="440"/>
      <c r="J71" s="440"/>
      <c r="K71" s="440"/>
      <c r="L71" s="440"/>
      <c r="M71" s="440"/>
      <c r="N71" s="440"/>
      <c r="O71" s="440"/>
      <c r="P71" s="440"/>
      <c r="Q71" s="440"/>
      <c r="R71" s="440"/>
      <c r="S71" s="440"/>
      <c r="T71" s="440"/>
      <c r="U71" s="441"/>
      <c r="V71" s="410"/>
      <c r="W71" s="6"/>
    </row>
    <row r="72" spans="1:24" ht="15.6">
      <c r="A72" s="378"/>
      <c r="B72" s="379" t="s">
        <v>28</v>
      </c>
      <c r="C72" s="440"/>
      <c r="D72" s="440"/>
      <c r="E72" s="440"/>
      <c r="F72" s="440"/>
      <c r="G72" s="440"/>
      <c r="H72" s="440"/>
      <c r="I72" s="440"/>
      <c r="J72" s="440"/>
      <c r="K72" s="440">
        <v>138321</v>
      </c>
      <c r="L72" s="440"/>
      <c r="M72" s="440">
        <v>25029</v>
      </c>
      <c r="N72" s="440"/>
      <c r="O72" s="440">
        <f>4781+772</f>
        <v>5553</v>
      </c>
      <c r="P72" s="440"/>
      <c r="Q72" s="440">
        <v>0</v>
      </c>
      <c r="R72" s="440"/>
      <c r="S72" s="440">
        <v>0</v>
      </c>
      <c r="T72" s="440"/>
      <c r="U72" s="441">
        <f>+M72-O72+Q72-S72</f>
        <v>19476</v>
      </c>
      <c r="V72" s="410"/>
      <c r="W72" s="6"/>
    </row>
    <row r="73" spans="1:24" ht="15.6">
      <c r="A73" s="378"/>
      <c r="B73" s="379" t="s">
        <v>25</v>
      </c>
      <c r="C73" s="440"/>
      <c r="D73" s="440"/>
      <c r="E73" s="440"/>
      <c r="F73" s="440"/>
      <c r="G73" s="440"/>
      <c r="H73" s="440"/>
      <c r="I73" s="440"/>
      <c r="J73" s="440"/>
      <c r="K73" s="440"/>
      <c r="L73" s="440"/>
      <c r="M73" s="440"/>
      <c r="N73" s="440"/>
      <c r="O73" s="440"/>
      <c r="P73" s="440"/>
      <c r="Q73" s="440">
        <v>0</v>
      </c>
      <c r="R73" s="440"/>
      <c r="S73" s="440">
        <v>0</v>
      </c>
      <c r="T73" s="440"/>
      <c r="U73" s="441"/>
      <c r="V73" s="410"/>
      <c r="W73" s="6"/>
    </row>
    <row r="74" spans="1:24" ht="15.6">
      <c r="A74" s="378"/>
      <c r="B74" s="440"/>
      <c r="C74" s="440"/>
      <c r="D74" s="440"/>
      <c r="E74" s="440"/>
      <c r="F74" s="440"/>
      <c r="G74" s="440"/>
      <c r="H74" s="440"/>
      <c r="I74" s="440"/>
      <c r="J74" s="440"/>
      <c r="K74" s="440"/>
      <c r="L74" s="440"/>
      <c r="M74" s="440"/>
      <c r="N74" s="440"/>
      <c r="O74" s="440"/>
      <c r="P74" s="440"/>
      <c r="Q74" s="440"/>
      <c r="R74" s="440"/>
      <c r="S74" s="440"/>
      <c r="T74" s="440"/>
      <c r="U74" s="441"/>
      <c r="V74" s="410"/>
      <c r="W74" s="6"/>
    </row>
    <row r="75" spans="1:24" ht="15.6">
      <c r="A75" s="378"/>
      <c r="B75" s="379" t="s">
        <v>29</v>
      </c>
      <c r="C75" s="440"/>
      <c r="D75" s="440"/>
      <c r="E75" s="440"/>
      <c r="F75" s="440"/>
      <c r="G75" s="440"/>
      <c r="H75" s="440"/>
      <c r="I75" s="440"/>
      <c r="J75" s="440"/>
      <c r="K75" s="440">
        <f>SUM(K63:K72)</f>
        <v>450000</v>
      </c>
      <c r="L75" s="440"/>
      <c r="M75" s="440">
        <f>SUM(M63:M72)</f>
        <v>271383</v>
      </c>
      <c r="N75" s="440"/>
      <c r="O75" s="440">
        <f>SUM(O63:O73)</f>
        <v>18545</v>
      </c>
      <c r="P75" s="440"/>
      <c r="Q75" s="440">
        <f>SUM(Q63:Q73)</f>
        <v>0</v>
      </c>
      <c r="R75" s="440"/>
      <c r="S75" s="440">
        <f>SUM(S70:S74)</f>
        <v>0</v>
      </c>
      <c r="T75" s="440"/>
      <c r="U75" s="440">
        <f>SUM(U63:U73)</f>
        <v>252838</v>
      </c>
      <c r="V75" s="410"/>
      <c r="W75" s="6"/>
      <c r="X75" s="182"/>
    </row>
    <row r="76" spans="1:24" ht="15.6">
      <c r="A76" s="378"/>
      <c r="B76" s="379"/>
      <c r="C76" s="440"/>
      <c r="D76" s="440"/>
      <c r="E76" s="440"/>
      <c r="F76" s="440"/>
      <c r="G76" s="440"/>
      <c r="H76" s="440"/>
      <c r="I76" s="440"/>
      <c r="J76" s="440"/>
      <c r="K76" s="440"/>
      <c r="L76" s="440"/>
      <c r="M76" s="440"/>
      <c r="N76" s="440"/>
      <c r="O76" s="440"/>
      <c r="P76" s="440"/>
      <c r="Q76" s="440"/>
      <c r="R76" s="440"/>
      <c r="S76" s="440"/>
      <c r="T76" s="440"/>
      <c r="U76" s="440"/>
      <c r="V76" s="410"/>
      <c r="W76" s="6"/>
    </row>
    <row r="77" spans="1:24" ht="15.6">
      <c r="A77" s="378"/>
      <c r="B77" s="379" t="s">
        <v>214</v>
      </c>
      <c r="C77" s="440"/>
      <c r="D77" s="440"/>
      <c r="E77" s="440"/>
      <c r="F77" s="440"/>
      <c r="G77" s="440"/>
      <c r="H77" s="440"/>
      <c r="I77" s="440"/>
      <c r="J77" s="440"/>
      <c r="K77" s="440">
        <v>0</v>
      </c>
      <c r="L77" s="440"/>
      <c r="M77" s="440">
        <v>-11131</v>
      </c>
      <c r="N77" s="440"/>
      <c r="O77" s="440">
        <v>-83</v>
      </c>
      <c r="P77" s="440"/>
      <c r="Q77" s="440"/>
      <c r="R77" s="440"/>
      <c r="S77" s="440"/>
      <c r="T77" s="440"/>
      <c r="U77" s="441">
        <f>+M77-O77</f>
        <v>-11048</v>
      </c>
      <c r="V77" s="410"/>
      <c r="W77" s="6"/>
    </row>
    <row r="78" spans="1:24" ht="15.6">
      <c r="A78" s="378"/>
      <c r="B78" s="379" t="s">
        <v>30</v>
      </c>
      <c r="C78" s="440"/>
      <c r="D78" s="440"/>
      <c r="E78" s="440"/>
      <c r="F78" s="440"/>
      <c r="G78" s="440"/>
      <c r="H78" s="440"/>
      <c r="I78" s="440"/>
      <c r="J78" s="440"/>
      <c r="K78" s="440">
        <v>0</v>
      </c>
      <c r="L78" s="440"/>
      <c r="M78" s="440">
        <v>0</v>
      </c>
      <c r="N78" s="440"/>
      <c r="O78" s="440">
        <v>0</v>
      </c>
      <c r="P78" s="440"/>
      <c r="Q78" s="440">
        <v>0</v>
      </c>
      <c r="R78" s="440"/>
      <c r="S78" s="440"/>
      <c r="T78" s="440"/>
      <c r="U78" s="440">
        <v>0</v>
      </c>
      <c r="V78" s="410"/>
      <c r="W78" s="6"/>
      <c r="X78" s="182"/>
    </row>
    <row r="79" spans="1:24" ht="15.6">
      <c r="A79" s="378"/>
      <c r="B79" s="379" t="s">
        <v>31</v>
      </c>
      <c r="C79" s="440"/>
      <c r="D79" s="440"/>
      <c r="E79" s="440"/>
      <c r="F79" s="440"/>
      <c r="G79" s="440"/>
      <c r="H79" s="440"/>
      <c r="I79" s="440"/>
      <c r="J79" s="440"/>
      <c r="K79" s="440">
        <v>0</v>
      </c>
      <c r="L79" s="440"/>
      <c r="M79" s="440">
        <v>0</v>
      </c>
      <c r="N79" s="440"/>
      <c r="O79" s="440"/>
      <c r="P79" s="440"/>
      <c r="Q79" s="440">
        <v>0</v>
      </c>
      <c r="R79" s="440"/>
      <c r="S79" s="440"/>
      <c r="T79" s="440"/>
      <c r="U79" s="440">
        <f>Q79+M79</f>
        <v>0</v>
      </c>
      <c r="V79" s="410"/>
      <c r="W79" s="6"/>
    </row>
    <row r="80" spans="1:24" ht="15.6">
      <c r="A80" s="378"/>
      <c r="B80" s="379" t="s">
        <v>16</v>
      </c>
      <c r="C80" s="440"/>
      <c r="D80" s="440"/>
      <c r="E80" s="440"/>
      <c r="F80" s="440"/>
      <c r="G80" s="440"/>
      <c r="H80" s="440"/>
      <c r="I80" s="440"/>
      <c r="J80" s="440"/>
      <c r="K80" s="440">
        <f>SUM(K75:K79)</f>
        <v>450000</v>
      </c>
      <c r="L80" s="440"/>
      <c r="M80" s="440">
        <f>SUM(M75:M79)</f>
        <v>260252</v>
      </c>
      <c r="N80" s="440"/>
      <c r="O80" s="440">
        <f>O78-O79</f>
        <v>0</v>
      </c>
      <c r="P80" s="440"/>
      <c r="Q80" s="440"/>
      <c r="R80" s="440"/>
      <c r="S80" s="440"/>
      <c r="T80" s="440"/>
      <c r="U80" s="440">
        <f>SUM(U75:U79)</f>
        <v>241790</v>
      </c>
      <c r="V80" s="410"/>
      <c r="W80" s="6"/>
    </row>
    <row r="81" spans="1:24" ht="15.6">
      <c r="A81" s="242"/>
      <c r="B81" s="437"/>
      <c r="C81" s="438"/>
      <c r="D81" s="438"/>
      <c r="E81" s="438"/>
      <c r="F81" s="438"/>
      <c r="G81" s="438"/>
      <c r="H81" s="438"/>
      <c r="I81" s="438"/>
      <c r="J81" s="438"/>
      <c r="K81" s="438"/>
      <c r="L81" s="438"/>
      <c r="M81" s="438"/>
      <c r="N81" s="438"/>
      <c r="O81" s="438"/>
      <c r="P81" s="438"/>
      <c r="Q81" s="438"/>
      <c r="R81" s="438"/>
      <c r="S81" s="439"/>
      <c r="T81" s="438"/>
      <c r="U81" s="439"/>
      <c r="V81" s="245"/>
      <c r="W81" s="6"/>
    </row>
    <row r="82" spans="1:24" ht="15.6">
      <c r="A82" s="230"/>
      <c r="B82" s="308" t="s">
        <v>32</v>
      </c>
      <c r="C82" s="308"/>
      <c r="D82" s="308"/>
      <c r="E82" s="308"/>
      <c r="F82" s="308"/>
      <c r="G82" s="308"/>
      <c r="H82" s="308"/>
      <c r="I82" s="308"/>
      <c r="J82" s="308"/>
      <c r="K82" s="308"/>
      <c r="L82" s="308"/>
      <c r="M82" s="308"/>
      <c r="N82" s="308"/>
      <c r="O82" s="308"/>
      <c r="P82" s="308"/>
      <c r="Q82" s="308"/>
      <c r="R82" s="313"/>
      <c r="S82" s="313"/>
      <c r="T82" s="313"/>
      <c r="U82" s="313" t="s">
        <v>121</v>
      </c>
      <c r="V82" s="314"/>
      <c r="W82" s="6"/>
    </row>
    <row r="83" spans="1:24" ht="15.6">
      <c r="A83" s="315"/>
      <c r="B83" s="294" t="s">
        <v>33</v>
      </c>
      <c r="C83" s="294"/>
      <c r="D83" s="294"/>
      <c r="E83" s="294"/>
      <c r="F83" s="294"/>
      <c r="G83" s="294"/>
      <c r="H83" s="294"/>
      <c r="I83" s="294"/>
      <c r="J83" s="294"/>
      <c r="K83" s="294"/>
      <c r="L83" s="294"/>
      <c r="M83" s="294"/>
      <c r="N83" s="294"/>
      <c r="O83" s="310"/>
      <c r="P83" s="294"/>
      <c r="Q83" s="294"/>
      <c r="R83" s="294"/>
      <c r="S83" s="310"/>
      <c r="T83" s="294"/>
      <c r="U83" s="311">
        <v>62274</v>
      </c>
      <c r="V83" s="298"/>
      <c r="W83" s="6"/>
    </row>
    <row r="84" spans="1:24" ht="15.6">
      <c r="A84" s="444"/>
      <c r="B84" s="379" t="s">
        <v>34</v>
      </c>
      <c r="C84" s="431"/>
      <c r="D84" s="431"/>
      <c r="E84" s="431"/>
      <c r="F84" s="431"/>
      <c r="G84" s="431"/>
      <c r="H84" s="431"/>
      <c r="I84" s="431"/>
      <c r="J84" s="431"/>
      <c r="K84" s="431"/>
      <c r="L84" s="431"/>
      <c r="M84" s="430"/>
      <c r="N84" s="379"/>
      <c r="O84" s="379"/>
      <c r="P84" s="379"/>
      <c r="Q84" s="379"/>
      <c r="R84" s="379"/>
      <c r="S84" s="440"/>
      <c r="T84" s="379"/>
      <c r="U84" s="441">
        <f>493+80+2+13</f>
        <v>588</v>
      </c>
      <c r="V84" s="410"/>
      <c r="W84" s="6"/>
    </row>
    <row r="85" spans="1:24" ht="15.6">
      <c r="A85" s="444"/>
      <c r="B85" s="379" t="s">
        <v>230</v>
      </c>
      <c r="C85" s="379"/>
      <c r="D85" s="379"/>
      <c r="E85" s="379"/>
      <c r="F85" s="379"/>
      <c r="G85" s="379"/>
      <c r="H85" s="379"/>
      <c r="I85" s="379"/>
      <c r="J85" s="379"/>
      <c r="K85" s="379"/>
      <c r="L85" s="379"/>
      <c r="M85" s="379"/>
      <c r="N85" s="379"/>
      <c r="O85" s="379"/>
      <c r="P85" s="379"/>
      <c r="Q85" s="379"/>
      <c r="R85" s="379"/>
      <c r="S85" s="440"/>
      <c r="T85" s="379"/>
      <c r="U85" s="441">
        <v>0</v>
      </c>
      <c r="V85" s="410"/>
      <c r="W85" s="6"/>
      <c r="X85" s="64"/>
    </row>
    <row r="86" spans="1:24" ht="15.6">
      <c r="A86" s="444"/>
      <c r="B86" s="379" t="s">
        <v>231</v>
      </c>
      <c r="C86" s="379"/>
      <c r="D86" s="379"/>
      <c r="E86" s="379"/>
      <c r="F86" s="379"/>
      <c r="G86" s="379"/>
      <c r="H86" s="379"/>
      <c r="I86" s="379"/>
      <c r="J86" s="379"/>
      <c r="K86" s="379"/>
      <c r="L86" s="379"/>
      <c r="M86" s="379"/>
      <c r="N86" s="379"/>
      <c r="O86" s="379"/>
      <c r="P86" s="379"/>
      <c r="Q86" s="379"/>
      <c r="R86" s="379"/>
      <c r="S86" s="440"/>
      <c r="T86" s="379"/>
      <c r="U86" s="441">
        <v>0</v>
      </c>
      <c r="V86" s="410"/>
      <c r="W86" s="6"/>
      <c r="X86" s="64"/>
    </row>
    <row r="87" spans="1:24" ht="15.6">
      <c r="A87" s="444"/>
      <c r="B87" s="379" t="s">
        <v>35</v>
      </c>
      <c r="C87" s="379"/>
      <c r="D87" s="379"/>
      <c r="E87" s="379"/>
      <c r="F87" s="379"/>
      <c r="G87" s="379"/>
      <c r="H87" s="379"/>
      <c r="I87" s="379"/>
      <c r="J87" s="379"/>
      <c r="K87" s="379"/>
      <c r="L87" s="379"/>
      <c r="M87" s="379"/>
      <c r="N87" s="379"/>
      <c r="O87" s="379"/>
      <c r="P87" s="379"/>
      <c r="Q87" s="379"/>
      <c r="R87" s="379"/>
      <c r="S87" s="440"/>
      <c r="T87" s="379"/>
      <c r="U87" s="441">
        <f>SUM(U83:U86)</f>
        <v>62862</v>
      </c>
      <c r="V87" s="410"/>
      <c r="W87" s="6"/>
      <c r="X87" s="64"/>
    </row>
    <row r="88" spans="1:24" ht="15.6">
      <c r="A88" s="444"/>
      <c r="B88" s="379"/>
      <c r="C88" s="379"/>
      <c r="D88" s="379"/>
      <c r="E88" s="379"/>
      <c r="F88" s="379"/>
      <c r="G88" s="379"/>
      <c r="H88" s="379"/>
      <c r="I88" s="379"/>
      <c r="J88" s="379"/>
      <c r="K88" s="379"/>
      <c r="L88" s="379"/>
      <c r="M88" s="379"/>
      <c r="N88" s="379"/>
      <c r="O88" s="379"/>
      <c r="P88" s="379"/>
      <c r="Q88" s="379"/>
      <c r="R88" s="379"/>
      <c r="S88" s="440"/>
      <c r="T88" s="379"/>
      <c r="U88" s="440"/>
      <c r="V88" s="410"/>
      <c r="W88" s="6"/>
    </row>
    <row r="89" spans="1:24" ht="15.6">
      <c r="A89" s="444"/>
      <c r="B89" s="445" t="s">
        <v>36</v>
      </c>
      <c r="C89" s="446"/>
      <c r="D89" s="446"/>
      <c r="E89" s="446"/>
      <c r="F89" s="446"/>
      <c r="G89" s="446"/>
      <c r="H89" s="446"/>
      <c r="I89" s="446"/>
      <c r="J89" s="446"/>
      <c r="K89" s="446"/>
      <c r="L89" s="446"/>
      <c r="M89" s="379"/>
      <c r="N89" s="379"/>
      <c r="O89" s="379"/>
      <c r="P89" s="379"/>
      <c r="Q89" s="379"/>
      <c r="R89" s="379"/>
      <c r="S89" s="440"/>
      <c r="T89" s="379"/>
      <c r="U89" s="441"/>
      <c r="V89" s="410"/>
      <c r="W89" s="6"/>
      <c r="X89" s="64"/>
    </row>
    <row r="90" spans="1:24" ht="15.6">
      <c r="A90" s="444">
        <v>1</v>
      </c>
      <c r="B90" s="379" t="s">
        <v>37</v>
      </c>
      <c r="C90" s="379"/>
      <c r="D90" s="379"/>
      <c r="E90" s="379"/>
      <c r="F90" s="379"/>
      <c r="G90" s="379"/>
      <c r="H90" s="379"/>
      <c r="I90" s="379"/>
      <c r="J90" s="379"/>
      <c r="K90" s="379"/>
      <c r="L90" s="379"/>
      <c r="M90" s="379"/>
      <c r="N90" s="379"/>
      <c r="O90" s="379"/>
      <c r="P90" s="379"/>
      <c r="Q90" s="379"/>
      <c r="R90" s="379"/>
      <c r="S90" s="379"/>
      <c r="T90" s="379"/>
      <c r="U90" s="441">
        <v>-2</v>
      </c>
      <c r="V90" s="410"/>
      <c r="W90" s="6"/>
    </row>
    <row r="91" spans="1:24" ht="15.6">
      <c r="A91" s="444">
        <f>A90+1</f>
        <v>2</v>
      </c>
      <c r="B91" s="379" t="s">
        <v>168</v>
      </c>
      <c r="C91" s="379"/>
      <c r="D91" s="379"/>
      <c r="E91" s="379"/>
      <c r="F91" s="379"/>
      <c r="G91" s="379"/>
      <c r="H91" s="379"/>
      <c r="I91" s="379"/>
      <c r="J91" s="379"/>
      <c r="K91" s="379"/>
      <c r="L91" s="379"/>
      <c r="M91" s="379"/>
      <c r="N91" s="379"/>
      <c r="O91" s="379"/>
      <c r="P91" s="379"/>
      <c r="Q91" s="379"/>
      <c r="R91" s="379"/>
      <c r="S91" s="379"/>
      <c r="T91" s="379"/>
      <c r="U91" s="441">
        <f>-262-213-4</f>
        <v>-479</v>
      </c>
      <c r="V91" s="410"/>
      <c r="W91" s="6"/>
      <c r="X91" s="64"/>
    </row>
    <row r="92" spans="1:24" ht="15.6">
      <c r="A92" s="444">
        <v>3</v>
      </c>
      <c r="B92" s="379" t="s">
        <v>38</v>
      </c>
      <c r="C92" s="379"/>
      <c r="D92" s="379"/>
      <c r="E92" s="379"/>
      <c r="F92" s="379"/>
      <c r="G92" s="379"/>
      <c r="H92" s="379"/>
      <c r="I92" s="379"/>
      <c r="J92" s="379"/>
      <c r="K92" s="379"/>
      <c r="L92" s="379"/>
      <c r="M92" s="379"/>
      <c r="N92" s="379"/>
      <c r="O92" s="379"/>
      <c r="P92" s="379"/>
      <c r="Q92" s="379"/>
      <c r="R92" s="379"/>
      <c r="S92" s="379"/>
      <c r="T92" s="379"/>
      <c r="U92" s="441">
        <v>-482</v>
      </c>
      <c r="V92" s="410"/>
      <c r="W92" s="6"/>
      <c r="X92" s="64"/>
    </row>
    <row r="93" spans="1:24" ht="15.6">
      <c r="A93" s="447" t="s">
        <v>190</v>
      </c>
      <c r="B93" s="379" t="s">
        <v>169</v>
      </c>
      <c r="C93" s="379"/>
      <c r="D93" s="379"/>
      <c r="E93" s="379"/>
      <c r="F93" s="379"/>
      <c r="G93" s="379"/>
      <c r="H93" s="379"/>
      <c r="I93" s="379"/>
      <c r="J93" s="379"/>
      <c r="K93" s="379"/>
      <c r="L93" s="379"/>
      <c r="M93" s="379"/>
      <c r="N93" s="379"/>
      <c r="O93" s="379"/>
      <c r="P93" s="379"/>
      <c r="Q93" s="379"/>
      <c r="R93" s="379"/>
      <c r="S93" s="379"/>
      <c r="T93" s="379"/>
      <c r="U93" s="441">
        <v>-179</v>
      </c>
      <c r="V93" s="410"/>
      <c r="W93" s="6"/>
      <c r="X93" s="64"/>
    </row>
    <row r="94" spans="1:24" ht="15.6">
      <c r="A94" s="447" t="s">
        <v>191</v>
      </c>
      <c r="B94" s="379" t="s">
        <v>170</v>
      </c>
      <c r="C94" s="379"/>
      <c r="D94" s="379"/>
      <c r="E94" s="379"/>
      <c r="F94" s="379"/>
      <c r="G94" s="379"/>
      <c r="H94" s="379"/>
      <c r="I94" s="379"/>
      <c r="J94" s="379"/>
      <c r="K94" s="379"/>
      <c r="L94" s="379"/>
      <c r="M94" s="379"/>
      <c r="N94" s="379"/>
      <c r="O94" s="379"/>
      <c r="P94" s="379"/>
      <c r="Q94" s="379"/>
      <c r="R94" s="379"/>
      <c r="S94" s="379"/>
      <c r="T94" s="379"/>
      <c r="U94" s="441">
        <v>-229</v>
      </c>
      <c r="V94" s="410"/>
      <c r="W94" s="6"/>
      <c r="X94" s="182"/>
    </row>
    <row r="95" spans="1:24" ht="15.6">
      <c r="A95" s="444">
        <v>5</v>
      </c>
      <c r="B95" s="379" t="s">
        <v>171</v>
      </c>
      <c r="C95" s="379"/>
      <c r="D95" s="379"/>
      <c r="E95" s="379"/>
      <c r="F95" s="379"/>
      <c r="G95" s="379"/>
      <c r="H95" s="379"/>
      <c r="I95" s="379"/>
      <c r="J95" s="379"/>
      <c r="K95" s="379"/>
      <c r="L95" s="379"/>
      <c r="M95" s="379"/>
      <c r="N95" s="379"/>
      <c r="O95" s="379"/>
      <c r="P95" s="379"/>
      <c r="Q95" s="379"/>
      <c r="R95" s="379"/>
      <c r="S95" s="379"/>
      <c r="T95" s="379"/>
      <c r="U95" s="441">
        <v>-7</v>
      </c>
      <c r="V95" s="410"/>
      <c r="W95" s="6"/>
    </row>
    <row r="96" spans="1:24" ht="15.6">
      <c r="A96" s="447" t="s">
        <v>174</v>
      </c>
      <c r="B96" s="379" t="s">
        <v>172</v>
      </c>
      <c r="C96" s="379"/>
      <c r="D96" s="379"/>
      <c r="E96" s="379"/>
      <c r="F96" s="379"/>
      <c r="G96" s="379"/>
      <c r="H96" s="379"/>
      <c r="I96" s="379"/>
      <c r="J96" s="379"/>
      <c r="K96" s="379"/>
      <c r="L96" s="379"/>
      <c r="M96" s="379"/>
      <c r="N96" s="379"/>
      <c r="O96" s="379"/>
      <c r="P96" s="379"/>
      <c r="Q96" s="379"/>
      <c r="R96" s="379"/>
      <c r="S96" s="379"/>
      <c r="T96" s="379"/>
      <c r="U96" s="441">
        <v>-56</v>
      </c>
      <c r="V96" s="410"/>
      <c r="W96" s="6"/>
      <c r="X96" s="182"/>
    </row>
    <row r="97" spans="1:24" ht="15.6">
      <c r="A97" s="447" t="s">
        <v>176</v>
      </c>
      <c r="B97" s="379" t="s">
        <v>173</v>
      </c>
      <c r="C97" s="379"/>
      <c r="D97" s="379"/>
      <c r="E97" s="379"/>
      <c r="F97" s="379"/>
      <c r="G97" s="379"/>
      <c r="H97" s="379"/>
      <c r="I97" s="379"/>
      <c r="J97" s="379"/>
      <c r="K97" s="379"/>
      <c r="L97" s="379"/>
      <c r="M97" s="379"/>
      <c r="N97" s="379"/>
      <c r="O97" s="379"/>
      <c r="P97" s="379"/>
      <c r="Q97" s="379"/>
      <c r="R97" s="379"/>
      <c r="S97" s="379"/>
      <c r="T97" s="379"/>
      <c r="U97" s="441">
        <v>-91</v>
      </c>
      <c r="V97" s="410"/>
      <c r="W97" s="119"/>
      <c r="X97" s="182"/>
    </row>
    <row r="98" spans="1:24" ht="15.6">
      <c r="A98" s="447" t="s">
        <v>178</v>
      </c>
      <c r="B98" s="379" t="s">
        <v>175</v>
      </c>
      <c r="C98" s="379"/>
      <c r="D98" s="379"/>
      <c r="E98" s="379"/>
      <c r="F98" s="379"/>
      <c r="G98" s="379"/>
      <c r="H98" s="379"/>
      <c r="I98" s="379"/>
      <c r="J98" s="379"/>
      <c r="K98" s="379"/>
      <c r="L98" s="379"/>
      <c r="M98" s="379"/>
      <c r="N98" s="379"/>
      <c r="O98" s="379"/>
      <c r="P98" s="379"/>
      <c r="Q98" s="379"/>
      <c r="R98" s="379"/>
      <c r="S98" s="379"/>
      <c r="T98" s="379"/>
      <c r="U98" s="441">
        <v>-88</v>
      </c>
      <c r="V98" s="410"/>
      <c r="W98" s="6"/>
      <c r="X98" s="182"/>
    </row>
    <row r="99" spans="1:24" ht="15.6">
      <c r="A99" s="447" t="s">
        <v>180</v>
      </c>
      <c r="B99" s="379" t="s">
        <v>177</v>
      </c>
      <c r="C99" s="379"/>
      <c r="D99" s="379"/>
      <c r="E99" s="379"/>
      <c r="F99" s="379"/>
      <c r="G99" s="379"/>
      <c r="H99" s="379"/>
      <c r="I99" s="379"/>
      <c r="J99" s="379"/>
      <c r="K99" s="379"/>
      <c r="L99" s="379"/>
      <c r="M99" s="379"/>
      <c r="N99" s="379"/>
      <c r="O99" s="379"/>
      <c r="P99" s="379"/>
      <c r="Q99" s="379"/>
      <c r="R99" s="379"/>
      <c r="S99" s="379"/>
      <c r="T99" s="379"/>
      <c r="U99" s="441">
        <v>-113</v>
      </c>
      <c r="V99" s="410"/>
      <c r="W99" s="119"/>
      <c r="X99" s="182"/>
    </row>
    <row r="100" spans="1:24" ht="15.6">
      <c r="A100" s="447" t="s">
        <v>192</v>
      </c>
      <c r="B100" s="379" t="s">
        <v>179</v>
      </c>
      <c r="C100" s="379"/>
      <c r="D100" s="379"/>
      <c r="E100" s="379"/>
      <c r="F100" s="379"/>
      <c r="G100" s="379"/>
      <c r="H100" s="379"/>
      <c r="I100" s="379"/>
      <c r="J100" s="379"/>
      <c r="K100" s="379"/>
      <c r="L100" s="379"/>
      <c r="M100" s="379"/>
      <c r="N100" s="379"/>
      <c r="O100" s="379"/>
      <c r="P100" s="379"/>
      <c r="Q100" s="379"/>
      <c r="R100" s="379"/>
      <c r="S100" s="379"/>
      <c r="T100" s="379"/>
      <c r="U100" s="441">
        <v>-163</v>
      </c>
      <c r="V100" s="410"/>
      <c r="W100" s="6"/>
      <c r="X100" s="182"/>
    </row>
    <row r="101" spans="1:24" ht="15.6">
      <c r="A101" s="447" t="s">
        <v>193</v>
      </c>
      <c r="B101" s="379" t="s">
        <v>181</v>
      </c>
      <c r="C101" s="379"/>
      <c r="D101" s="379"/>
      <c r="E101" s="379"/>
      <c r="F101" s="379"/>
      <c r="G101" s="379"/>
      <c r="H101" s="379"/>
      <c r="I101" s="379"/>
      <c r="J101" s="379"/>
      <c r="K101" s="379"/>
      <c r="L101" s="379"/>
      <c r="M101" s="379"/>
      <c r="N101" s="379"/>
      <c r="O101" s="379"/>
      <c r="P101" s="379"/>
      <c r="Q101" s="379"/>
      <c r="R101" s="379"/>
      <c r="S101" s="379"/>
      <c r="T101" s="379"/>
      <c r="U101" s="441">
        <v>-140</v>
      </c>
      <c r="V101" s="410"/>
      <c r="W101" s="119"/>
      <c r="X101" s="182"/>
    </row>
    <row r="102" spans="1:24" ht="15.6">
      <c r="A102" s="444">
        <v>9</v>
      </c>
      <c r="B102" s="379" t="s">
        <v>257</v>
      </c>
      <c r="C102" s="379"/>
      <c r="D102" s="379"/>
      <c r="E102" s="379"/>
      <c r="F102" s="379"/>
      <c r="G102" s="379"/>
      <c r="H102" s="379"/>
      <c r="I102" s="379"/>
      <c r="J102" s="379"/>
      <c r="K102" s="379"/>
      <c r="L102" s="379"/>
      <c r="M102" s="379"/>
      <c r="N102" s="379"/>
      <c r="O102" s="379"/>
      <c r="P102" s="379"/>
      <c r="Q102" s="379"/>
      <c r="R102" s="379"/>
      <c r="S102" s="379"/>
      <c r="T102" s="379"/>
      <c r="U102" s="441">
        <f>+S219-U32</f>
        <v>-18462.056799999991</v>
      </c>
      <c r="V102" s="410"/>
      <c r="W102" s="6"/>
      <c r="X102" s="182"/>
    </row>
    <row r="103" spans="1:24" ht="15.6">
      <c r="A103" s="444">
        <v>10</v>
      </c>
      <c r="B103" s="379" t="s">
        <v>234</v>
      </c>
      <c r="C103" s="379"/>
      <c r="D103" s="379"/>
      <c r="E103" s="379"/>
      <c r="F103" s="379"/>
      <c r="G103" s="379"/>
      <c r="H103" s="379"/>
      <c r="I103" s="379"/>
      <c r="J103" s="379"/>
      <c r="K103" s="379"/>
      <c r="L103" s="379"/>
      <c r="M103" s="379"/>
      <c r="N103" s="379"/>
      <c r="O103" s="379"/>
      <c r="P103" s="379"/>
      <c r="Q103" s="379"/>
      <c r="R103" s="379"/>
      <c r="S103" s="379"/>
      <c r="T103" s="379"/>
      <c r="U103" s="441">
        <v>-40500</v>
      </c>
      <c r="V103" s="410"/>
      <c r="W103" s="6"/>
      <c r="X103" s="64"/>
    </row>
    <row r="104" spans="1:24" ht="15.6">
      <c r="A104" s="444">
        <v>11</v>
      </c>
      <c r="B104" s="379" t="s">
        <v>183</v>
      </c>
      <c r="C104" s="379"/>
      <c r="D104" s="379"/>
      <c r="E104" s="379"/>
      <c r="F104" s="379"/>
      <c r="G104" s="379"/>
      <c r="H104" s="379"/>
      <c r="I104" s="379"/>
      <c r="J104" s="379"/>
      <c r="K104" s="379"/>
      <c r="L104" s="379"/>
      <c r="M104" s="379"/>
      <c r="N104" s="379"/>
      <c r="O104" s="379"/>
      <c r="P104" s="379"/>
      <c r="Q104" s="379"/>
      <c r="R104" s="379"/>
      <c r="S104" s="379"/>
      <c r="T104" s="379"/>
      <c r="U104" s="441">
        <v>0</v>
      </c>
      <c r="V104" s="410"/>
      <c r="W104" s="6"/>
      <c r="X104" s="64"/>
    </row>
    <row r="105" spans="1:24" ht="15.6">
      <c r="A105" s="444">
        <v>12</v>
      </c>
      <c r="B105" s="379" t="s">
        <v>184</v>
      </c>
      <c r="C105" s="379"/>
      <c r="D105" s="379"/>
      <c r="E105" s="379"/>
      <c r="F105" s="379"/>
      <c r="G105" s="379"/>
      <c r="H105" s="379"/>
      <c r="I105" s="379"/>
      <c r="J105" s="379"/>
      <c r="K105" s="379"/>
      <c r="L105" s="379"/>
      <c r="M105" s="379"/>
      <c r="N105" s="379"/>
      <c r="O105" s="379"/>
      <c r="P105" s="379"/>
      <c r="Q105" s="379"/>
      <c r="R105" s="379"/>
      <c r="S105" s="379"/>
      <c r="T105" s="379"/>
      <c r="U105" s="441">
        <v>-295</v>
      </c>
      <c r="V105" s="410"/>
      <c r="W105" s="6"/>
      <c r="X105" s="182"/>
    </row>
    <row r="106" spans="1:24" ht="15.6">
      <c r="A106" s="444">
        <v>13</v>
      </c>
      <c r="B106" s="379" t="s">
        <v>40</v>
      </c>
      <c r="C106" s="379"/>
      <c r="D106" s="379"/>
      <c r="E106" s="379"/>
      <c r="F106" s="379"/>
      <c r="G106" s="379"/>
      <c r="H106" s="379"/>
      <c r="I106" s="379"/>
      <c r="J106" s="379"/>
      <c r="K106" s="379"/>
      <c r="L106" s="379"/>
      <c r="M106" s="379"/>
      <c r="N106" s="379"/>
      <c r="O106" s="379"/>
      <c r="P106" s="379"/>
      <c r="Q106" s="379"/>
      <c r="R106" s="379"/>
      <c r="S106" s="379"/>
      <c r="T106" s="379"/>
      <c r="U106" s="441">
        <f>-SUM(U87:V105)</f>
        <v>-1575.9432000000088</v>
      </c>
      <c r="V106" s="410"/>
      <c r="W106" s="6"/>
      <c r="X106" s="182"/>
    </row>
    <row r="107" spans="1:24" ht="15.6">
      <c r="A107" s="316"/>
      <c r="B107" s="443"/>
      <c r="C107" s="364"/>
      <c r="D107" s="364"/>
      <c r="E107" s="364"/>
      <c r="F107" s="364"/>
      <c r="G107" s="364"/>
      <c r="H107" s="364"/>
      <c r="I107" s="364"/>
      <c r="J107" s="364"/>
      <c r="K107" s="364"/>
      <c r="L107" s="364"/>
      <c r="M107" s="364"/>
      <c r="N107" s="364"/>
      <c r="O107" s="364"/>
      <c r="P107" s="364"/>
      <c r="Q107" s="364"/>
      <c r="R107" s="364"/>
      <c r="S107" s="360"/>
      <c r="T107" s="360"/>
      <c r="U107" s="360"/>
      <c r="V107" s="303"/>
      <c r="W107" s="6"/>
      <c r="X107" s="182"/>
    </row>
    <row r="108" spans="1:24" ht="15.6">
      <c r="A108" s="316"/>
      <c r="B108" s="317"/>
      <c r="C108" s="288"/>
      <c r="D108" s="288"/>
      <c r="E108" s="288"/>
      <c r="F108" s="288"/>
      <c r="G108" s="288"/>
      <c r="H108" s="288"/>
      <c r="I108" s="288"/>
      <c r="J108" s="288"/>
      <c r="K108" s="288"/>
      <c r="L108" s="288"/>
      <c r="M108" s="288"/>
      <c r="N108" s="288"/>
      <c r="O108" s="288"/>
      <c r="P108" s="288"/>
      <c r="Q108" s="288"/>
      <c r="R108" s="288"/>
      <c r="S108" s="318"/>
      <c r="T108" s="318"/>
      <c r="U108" s="318"/>
      <c r="V108" s="303"/>
      <c r="W108" s="6"/>
    </row>
    <row r="109" spans="1:24" ht="16.2" thickBot="1">
      <c r="A109" s="319"/>
      <c r="B109" s="304" t="str">
        <f>+B59</f>
        <v>PPAF3 INVESTOR REPORT QUARTER ENDING SEPTEMBER 2010</v>
      </c>
      <c r="C109" s="305"/>
      <c r="D109" s="305"/>
      <c r="E109" s="305"/>
      <c r="F109" s="305"/>
      <c r="G109" s="305"/>
      <c r="H109" s="305"/>
      <c r="I109" s="305"/>
      <c r="J109" s="305"/>
      <c r="K109" s="305"/>
      <c r="L109" s="305"/>
      <c r="M109" s="305"/>
      <c r="N109" s="305"/>
      <c r="O109" s="305"/>
      <c r="P109" s="305"/>
      <c r="Q109" s="305"/>
      <c r="R109" s="305"/>
      <c r="S109" s="320"/>
      <c r="T109" s="320"/>
      <c r="U109" s="320"/>
      <c r="V109" s="307"/>
      <c r="W109" s="6"/>
    </row>
    <row r="110" spans="1:24" ht="15.6">
      <c r="A110" s="238"/>
      <c r="B110" s="240"/>
      <c r="C110" s="240"/>
      <c r="D110" s="240"/>
      <c r="E110" s="240"/>
      <c r="F110" s="240"/>
      <c r="G110" s="240"/>
      <c r="H110" s="240"/>
      <c r="I110" s="240"/>
      <c r="J110" s="240"/>
      <c r="K110" s="240"/>
      <c r="L110" s="240"/>
      <c r="M110" s="240"/>
      <c r="N110" s="240"/>
      <c r="O110" s="240"/>
      <c r="P110" s="240"/>
      <c r="Q110" s="240"/>
      <c r="R110" s="240"/>
      <c r="S110" s="269"/>
      <c r="T110" s="269"/>
      <c r="U110" s="269"/>
      <c r="V110" s="241"/>
      <c r="W110" s="6"/>
    </row>
    <row r="111" spans="1:24" ht="15.6">
      <c r="A111" s="321"/>
      <c r="B111" s="499" t="s">
        <v>41</v>
      </c>
      <c r="C111" s="322"/>
      <c r="D111" s="322"/>
      <c r="E111" s="322"/>
      <c r="F111" s="322"/>
      <c r="G111" s="322"/>
      <c r="H111" s="322"/>
      <c r="I111" s="322"/>
      <c r="J111" s="322"/>
      <c r="K111" s="322"/>
      <c r="L111" s="322"/>
      <c r="M111" s="322"/>
      <c r="N111" s="322"/>
      <c r="O111" s="322"/>
      <c r="P111" s="322"/>
      <c r="Q111" s="322"/>
      <c r="R111" s="322"/>
      <c r="S111" s="322"/>
      <c r="T111" s="322"/>
      <c r="U111" s="323"/>
      <c r="V111" s="324"/>
      <c r="W111" s="6"/>
    </row>
    <row r="112" spans="1:24" ht="15.6">
      <c r="A112" s="270"/>
      <c r="B112" s="271"/>
      <c r="C112" s="271"/>
      <c r="D112" s="271"/>
      <c r="E112" s="271"/>
      <c r="F112" s="271"/>
      <c r="G112" s="271"/>
      <c r="H112" s="271"/>
      <c r="I112" s="271"/>
      <c r="J112" s="271"/>
      <c r="K112" s="271"/>
      <c r="L112" s="271"/>
      <c r="M112" s="271"/>
      <c r="N112" s="271"/>
      <c r="O112" s="271"/>
      <c r="P112" s="271"/>
      <c r="Q112" s="271"/>
      <c r="R112" s="271"/>
      <c r="S112" s="271"/>
      <c r="T112" s="271"/>
      <c r="U112" s="272"/>
      <c r="V112" s="273"/>
      <c r="W112" s="6"/>
    </row>
    <row r="113" spans="1:23" ht="15.6">
      <c r="A113" s="242"/>
      <c r="B113" s="274" t="s">
        <v>42</v>
      </c>
      <c r="C113" s="252"/>
      <c r="D113" s="252"/>
      <c r="E113" s="252"/>
      <c r="F113" s="252"/>
      <c r="G113" s="252"/>
      <c r="H113" s="252"/>
      <c r="I113" s="252"/>
      <c r="J113" s="252"/>
      <c r="K113" s="252"/>
      <c r="L113" s="252"/>
      <c r="M113" s="244"/>
      <c r="N113" s="244"/>
      <c r="O113" s="244"/>
      <c r="P113" s="244"/>
      <c r="Q113" s="244"/>
      <c r="R113" s="244"/>
      <c r="S113" s="244"/>
      <c r="T113" s="244"/>
      <c r="U113" s="263"/>
      <c r="V113" s="245"/>
      <c r="W113" s="6"/>
    </row>
    <row r="114" spans="1:23" ht="15.6">
      <c r="A114" s="378"/>
      <c r="B114" s="379" t="s">
        <v>43</v>
      </c>
      <c r="C114" s="379"/>
      <c r="D114" s="379"/>
      <c r="E114" s="379"/>
      <c r="F114" s="379"/>
      <c r="G114" s="379"/>
      <c r="H114" s="379"/>
      <c r="I114" s="379"/>
      <c r="J114" s="379"/>
      <c r="K114" s="379"/>
      <c r="L114" s="379"/>
      <c r="M114" s="379"/>
      <c r="N114" s="379"/>
      <c r="O114" s="379"/>
      <c r="P114" s="379"/>
      <c r="Q114" s="379"/>
      <c r="R114" s="379"/>
      <c r="S114" s="379"/>
      <c r="T114" s="379"/>
      <c r="U114" s="441">
        <v>40500</v>
      </c>
      <c r="V114" s="410"/>
      <c r="W114" s="6"/>
    </row>
    <row r="115" spans="1:23" ht="15.6">
      <c r="A115" s="378"/>
      <c r="B115" s="379" t="s">
        <v>240</v>
      </c>
      <c r="C115" s="379"/>
      <c r="D115" s="379"/>
      <c r="E115" s="379"/>
      <c r="F115" s="379"/>
      <c r="G115" s="379"/>
      <c r="H115" s="379"/>
      <c r="I115" s="379"/>
      <c r="J115" s="379"/>
      <c r="K115" s="379"/>
      <c r="L115" s="379"/>
      <c r="M115" s="379"/>
      <c r="N115" s="379"/>
      <c r="O115" s="379"/>
      <c r="P115" s="379"/>
      <c r="Q115" s="379"/>
      <c r="R115" s="379"/>
      <c r="S115" s="379"/>
      <c r="T115" s="379"/>
      <c r="U115" s="441">
        <v>40500</v>
      </c>
      <c r="V115" s="410"/>
      <c r="W115" s="6"/>
    </row>
    <row r="116" spans="1:23" ht="15.6">
      <c r="A116" s="378"/>
      <c r="B116" s="379" t="s">
        <v>241</v>
      </c>
      <c r="C116" s="379"/>
      <c r="D116" s="379"/>
      <c r="E116" s="379"/>
      <c r="F116" s="379"/>
      <c r="G116" s="379"/>
      <c r="H116" s="379"/>
      <c r="I116" s="379"/>
      <c r="J116" s="379"/>
      <c r="K116" s="379"/>
      <c r="L116" s="379"/>
      <c r="M116" s="379"/>
      <c r="N116" s="379"/>
      <c r="O116" s="379"/>
      <c r="P116" s="379"/>
      <c r="Q116" s="379"/>
      <c r="R116" s="379"/>
      <c r="S116" s="379"/>
      <c r="T116" s="379"/>
      <c r="U116" s="441">
        <v>0</v>
      </c>
      <c r="V116" s="410"/>
      <c r="W116" s="6"/>
    </row>
    <row r="117" spans="1:23" ht="15.6">
      <c r="A117" s="378"/>
      <c r="B117" s="379" t="s">
        <v>209</v>
      </c>
      <c r="C117" s="379"/>
      <c r="D117" s="379"/>
      <c r="E117" s="379"/>
      <c r="F117" s="379"/>
      <c r="G117" s="379"/>
      <c r="H117" s="379"/>
      <c r="I117" s="379"/>
      <c r="J117" s="379"/>
      <c r="K117" s="379"/>
      <c r="L117" s="379"/>
      <c r="M117" s="379"/>
      <c r="N117" s="379"/>
      <c r="O117" s="379"/>
      <c r="P117" s="379"/>
      <c r="Q117" s="379"/>
      <c r="R117" s="379"/>
      <c r="S117" s="379"/>
      <c r="T117" s="379"/>
      <c r="U117" s="441">
        <v>0</v>
      </c>
      <c r="V117" s="410"/>
      <c r="W117" s="6"/>
    </row>
    <row r="118" spans="1:23" ht="15.6">
      <c r="A118" s="378"/>
      <c r="B118" s="379" t="s">
        <v>210</v>
      </c>
      <c r="C118" s="379"/>
      <c r="D118" s="379"/>
      <c r="E118" s="379"/>
      <c r="F118" s="379"/>
      <c r="G118" s="379"/>
      <c r="H118" s="379"/>
      <c r="I118" s="379"/>
      <c r="J118" s="379"/>
      <c r="K118" s="379"/>
      <c r="L118" s="379"/>
      <c r="M118" s="379"/>
      <c r="N118" s="379"/>
      <c r="O118" s="379"/>
      <c r="P118" s="379"/>
      <c r="Q118" s="379"/>
      <c r="R118" s="379"/>
      <c r="S118" s="379"/>
      <c r="T118" s="379"/>
      <c r="U118" s="441">
        <v>0</v>
      </c>
      <c r="V118" s="410"/>
      <c r="W118" s="6"/>
    </row>
    <row r="119" spans="1:23" ht="15.6">
      <c r="A119" s="378"/>
      <c r="B119" s="379" t="s">
        <v>211</v>
      </c>
      <c r="C119" s="379"/>
      <c r="D119" s="379"/>
      <c r="E119" s="379"/>
      <c r="F119" s="379"/>
      <c r="G119" s="379"/>
      <c r="H119" s="379"/>
      <c r="I119" s="379"/>
      <c r="J119" s="379"/>
      <c r="K119" s="379"/>
      <c r="L119" s="379"/>
      <c r="M119" s="379"/>
      <c r="N119" s="379"/>
      <c r="O119" s="379"/>
      <c r="P119" s="379"/>
      <c r="Q119" s="379"/>
      <c r="R119" s="379"/>
      <c r="S119" s="379"/>
      <c r="T119" s="379"/>
      <c r="U119" s="441">
        <v>0</v>
      </c>
      <c r="V119" s="410"/>
      <c r="W119" s="6"/>
    </row>
    <row r="120" spans="1:23" ht="15.6">
      <c r="A120" s="378"/>
      <c r="B120" s="379" t="s">
        <v>212</v>
      </c>
      <c r="C120" s="379"/>
      <c r="D120" s="379"/>
      <c r="E120" s="379"/>
      <c r="F120" s="379"/>
      <c r="G120" s="379"/>
      <c r="H120" s="379"/>
      <c r="I120" s="379"/>
      <c r="J120" s="379"/>
      <c r="K120" s="379"/>
      <c r="L120" s="379"/>
      <c r="M120" s="379"/>
      <c r="N120" s="379"/>
      <c r="O120" s="379"/>
      <c r="P120" s="379"/>
      <c r="Q120" s="379"/>
      <c r="R120" s="379"/>
      <c r="S120" s="379"/>
      <c r="T120" s="379"/>
      <c r="U120" s="441">
        <v>0</v>
      </c>
      <c r="V120" s="410"/>
      <c r="W120" s="6"/>
    </row>
    <row r="121" spans="1:23" ht="15.6">
      <c r="A121" s="378"/>
      <c r="B121" s="379" t="s">
        <v>242</v>
      </c>
      <c r="C121" s="379"/>
      <c r="D121" s="379"/>
      <c r="E121" s="379"/>
      <c r="F121" s="379"/>
      <c r="G121" s="379"/>
      <c r="H121" s="379"/>
      <c r="I121" s="379"/>
      <c r="J121" s="379"/>
      <c r="K121" s="379"/>
      <c r="L121" s="379"/>
      <c r="M121" s="379"/>
      <c r="N121" s="379"/>
      <c r="O121" s="379"/>
      <c r="P121" s="379"/>
      <c r="Q121" s="379"/>
      <c r="R121" s="379"/>
      <c r="S121" s="379"/>
      <c r="T121" s="379"/>
      <c r="U121" s="441">
        <v>0</v>
      </c>
      <c r="V121" s="410"/>
      <c r="W121" s="6"/>
    </row>
    <row r="122" spans="1:23" ht="15.6">
      <c r="A122" s="378"/>
      <c r="B122" s="379" t="s">
        <v>45</v>
      </c>
      <c r="C122" s="379"/>
      <c r="D122" s="379"/>
      <c r="E122" s="379"/>
      <c r="F122" s="379"/>
      <c r="G122" s="379"/>
      <c r="H122" s="379"/>
      <c r="I122" s="379"/>
      <c r="J122" s="379"/>
      <c r="K122" s="379"/>
      <c r="L122" s="379"/>
      <c r="M122" s="379"/>
      <c r="N122" s="379"/>
      <c r="O122" s="379"/>
      <c r="P122" s="379"/>
      <c r="Q122" s="379"/>
      <c r="R122" s="379"/>
      <c r="S122" s="379"/>
      <c r="T122" s="379"/>
      <c r="U122" s="441">
        <f>SUM(U115:U121)</f>
        <v>40500</v>
      </c>
      <c r="V122" s="410"/>
      <c r="W122" s="6"/>
    </row>
    <row r="123" spans="1:23" ht="15.6">
      <c r="A123" s="242"/>
      <c r="B123" s="438"/>
      <c r="C123" s="438"/>
      <c r="D123" s="438"/>
      <c r="E123" s="438"/>
      <c r="F123" s="438"/>
      <c r="G123" s="438"/>
      <c r="H123" s="438"/>
      <c r="I123" s="438"/>
      <c r="J123" s="438"/>
      <c r="K123" s="438"/>
      <c r="L123" s="438"/>
      <c r="M123" s="438"/>
      <c r="N123" s="438"/>
      <c r="O123" s="438"/>
      <c r="P123" s="438"/>
      <c r="Q123" s="438"/>
      <c r="R123" s="438"/>
      <c r="S123" s="438"/>
      <c r="T123" s="438"/>
      <c r="U123" s="448"/>
      <c r="V123" s="245"/>
      <c r="W123" s="6"/>
    </row>
    <row r="124" spans="1:23" ht="15.6">
      <c r="A124" s="242"/>
      <c r="B124" s="274" t="s">
        <v>46</v>
      </c>
      <c r="C124" s="252"/>
      <c r="D124" s="252"/>
      <c r="E124" s="252"/>
      <c r="F124" s="252"/>
      <c r="G124" s="252"/>
      <c r="H124" s="252"/>
      <c r="I124" s="252"/>
      <c r="J124" s="252"/>
      <c r="K124" s="252"/>
      <c r="L124" s="252"/>
      <c r="M124" s="244"/>
      <c r="N124" s="244"/>
      <c r="O124" s="244"/>
      <c r="P124" s="275"/>
      <c r="Q124" s="244"/>
      <c r="R124" s="244"/>
      <c r="S124" s="244"/>
      <c r="T124" s="244"/>
      <c r="U124" s="276"/>
      <c r="V124" s="245"/>
      <c r="W124" s="6"/>
    </row>
    <row r="125" spans="1:23" ht="15.6">
      <c r="A125" s="230"/>
      <c r="B125" s="308"/>
      <c r="C125" s="313" t="s">
        <v>185</v>
      </c>
      <c r="D125" s="313"/>
      <c r="E125" s="313" t="s">
        <v>99</v>
      </c>
      <c r="F125" s="313"/>
      <c r="G125" s="313" t="s">
        <v>102</v>
      </c>
      <c r="H125" s="313"/>
      <c r="I125" s="313" t="s">
        <v>108</v>
      </c>
      <c r="J125" s="313"/>
      <c r="K125" s="313"/>
      <c r="L125" s="313"/>
      <c r="M125" s="313"/>
      <c r="N125" s="313"/>
      <c r="O125" s="313"/>
      <c r="P125" s="326"/>
      <c r="Q125" s="326"/>
      <c r="R125" s="231"/>
      <c r="S125" s="231"/>
      <c r="T125" s="231"/>
      <c r="U125" s="309"/>
      <c r="V125" s="237"/>
      <c r="W125" s="6"/>
    </row>
    <row r="126" spans="1:23" ht="15.6">
      <c r="A126" s="257"/>
      <c r="B126" s="294" t="s">
        <v>122</v>
      </c>
      <c r="C126" s="310">
        <f>+N199-'June 10'!N199</f>
        <v>-64</v>
      </c>
      <c r="D126" s="294"/>
      <c r="E126" s="310">
        <f>+S199-'June 10'!S199</f>
        <v>15</v>
      </c>
      <c r="F126" s="294"/>
      <c r="G126" s="310">
        <f>+'September 10'!N212-'June 10'!N212</f>
        <v>91</v>
      </c>
      <c r="H126" s="294"/>
      <c r="I126" s="310">
        <f>+S212-'June 10'!S212</f>
        <v>-125</v>
      </c>
      <c r="J126" s="294"/>
      <c r="K126" s="294"/>
      <c r="L126" s="294"/>
      <c r="M126" s="294"/>
      <c r="N126" s="294"/>
      <c r="O126" s="294"/>
      <c r="P126" s="325"/>
      <c r="Q126" s="325"/>
      <c r="R126" s="294"/>
      <c r="S126" s="294"/>
      <c r="T126" s="294"/>
      <c r="U126" s="311">
        <f>SUM(C126:I126)</f>
        <v>-83</v>
      </c>
      <c r="V126" s="298"/>
      <c r="W126" s="6"/>
    </row>
    <row r="127" spans="1:23" ht="15.6">
      <c r="A127" s="378"/>
      <c r="B127" s="379" t="s">
        <v>47</v>
      </c>
      <c r="C127" s="379">
        <v>434</v>
      </c>
      <c r="D127" s="379"/>
      <c r="E127" s="379">
        <v>0</v>
      </c>
      <c r="F127" s="379"/>
      <c r="G127" s="379">
        <v>1881</v>
      </c>
      <c r="H127" s="379"/>
      <c r="I127" s="440">
        <v>772</v>
      </c>
      <c r="J127" s="379"/>
      <c r="K127" s="379"/>
      <c r="L127" s="379"/>
      <c r="M127" s="379"/>
      <c r="N127" s="379"/>
      <c r="O127" s="379"/>
      <c r="P127" s="450"/>
      <c r="Q127" s="450"/>
      <c r="R127" s="379"/>
      <c r="S127" s="379"/>
      <c r="T127" s="379"/>
      <c r="U127" s="441">
        <f>SUM(C127:I127)</f>
        <v>3087</v>
      </c>
      <c r="V127" s="410"/>
      <c r="W127" s="6"/>
    </row>
    <row r="128" spans="1:23" ht="15.6">
      <c r="A128" s="242"/>
      <c r="B128" s="364" t="s">
        <v>48</v>
      </c>
      <c r="C128" s="364"/>
      <c r="D128" s="364"/>
      <c r="E128" s="364"/>
      <c r="F128" s="364"/>
      <c r="G128" s="364"/>
      <c r="H128" s="364"/>
      <c r="I128" s="364"/>
      <c r="J128" s="364"/>
      <c r="K128" s="364"/>
      <c r="L128" s="364"/>
      <c r="M128" s="364"/>
      <c r="N128" s="364"/>
      <c r="O128" s="364"/>
      <c r="P128" s="364"/>
      <c r="Q128" s="364"/>
      <c r="R128" s="364"/>
      <c r="S128" s="364"/>
      <c r="T128" s="364"/>
      <c r="U128" s="449">
        <f>SUM(U126:U127)</f>
        <v>3004</v>
      </c>
      <c r="V128" s="303"/>
      <c r="W128" s="6"/>
    </row>
    <row r="129" spans="1:25" ht="15.6">
      <c r="A129" s="242"/>
      <c r="B129" s="274" t="s">
        <v>49</v>
      </c>
      <c r="C129" s="252"/>
      <c r="D129" s="252"/>
      <c r="E129" s="252"/>
      <c r="F129" s="252"/>
      <c r="G129" s="252"/>
      <c r="H129" s="252"/>
      <c r="I129" s="252"/>
      <c r="J129" s="252"/>
      <c r="K129" s="252"/>
      <c r="L129" s="252"/>
      <c r="M129" s="244"/>
      <c r="N129" s="244"/>
      <c r="O129" s="244"/>
      <c r="P129" s="244"/>
      <c r="Q129" s="244"/>
      <c r="R129" s="244"/>
      <c r="S129" s="244"/>
      <c r="T129" s="244"/>
      <c r="U129" s="263"/>
      <c r="V129" s="245"/>
      <c r="W129" s="6"/>
    </row>
    <row r="130" spans="1:25" ht="15.6">
      <c r="A130" s="444"/>
      <c r="B130" s="379" t="s">
        <v>50</v>
      </c>
      <c r="C130" s="386"/>
      <c r="D130" s="386"/>
      <c r="E130" s="386"/>
      <c r="F130" s="386"/>
      <c r="G130" s="386"/>
      <c r="H130" s="386"/>
      <c r="I130" s="386"/>
      <c r="J130" s="386"/>
      <c r="K130" s="386"/>
      <c r="L130" s="386"/>
      <c r="M130" s="379"/>
      <c r="N130" s="379"/>
      <c r="O130" s="379"/>
      <c r="P130" s="379"/>
      <c r="Q130" s="379"/>
      <c r="R130" s="379"/>
      <c r="S130" s="379"/>
      <c r="T130" s="379"/>
      <c r="U130" s="441">
        <f>U75+U77</f>
        <v>241790</v>
      </c>
      <c r="V130" s="410"/>
      <c r="W130" s="6"/>
      <c r="X130" s="182"/>
    </row>
    <row r="131" spans="1:25" ht="15.6">
      <c r="A131" s="444"/>
      <c r="B131" s="379" t="s">
        <v>51</v>
      </c>
      <c r="C131" s="386"/>
      <c r="D131" s="386"/>
      <c r="E131" s="386"/>
      <c r="F131" s="386"/>
      <c r="G131" s="386"/>
      <c r="H131" s="386"/>
      <c r="I131" s="386"/>
      <c r="J131" s="386"/>
      <c r="K131" s="386"/>
      <c r="L131" s="386"/>
      <c r="M131" s="379"/>
      <c r="N131" s="379"/>
      <c r="O131" s="379"/>
      <c r="P131" s="379"/>
      <c r="Q131" s="379"/>
      <c r="R131" s="379"/>
      <c r="S131" s="379"/>
      <c r="T131" s="379"/>
      <c r="U131" s="441">
        <v>0</v>
      </c>
      <c r="V131" s="410"/>
      <c r="W131" s="6"/>
      <c r="Y131" s="182"/>
    </row>
    <row r="132" spans="1:25" ht="15.6">
      <c r="A132" s="444"/>
      <c r="B132" s="379" t="s">
        <v>52</v>
      </c>
      <c r="C132" s="386"/>
      <c r="D132" s="386"/>
      <c r="E132" s="386"/>
      <c r="F132" s="386"/>
      <c r="G132" s="386"/>
      <c r="H132" s="386"/>
      <c r="I132" s="386"/>
      <c r="J132" s="386"/>
      <c r="K132" s="386"/>
      <c r="L132" s="386"/>
      <c r="M132" s="379"/>
      <c r="N132" s="379"/>
      <c r="O132" s="379"/>
      <c r="P132" s="379"/>
      <c r="Q132" s="379"/>
      <c r="R132" s="379"/>
      <c r="S132" s="379"/>
      <c r="T132" s="379"/>
      <c r="U132" s="441">
        <f>+U130+U131</f>
        <v>241790</v>
      </c>
      <c r="V132" s="410"/>
      <c r="W132" s="6"/>
    </row>
    <row r="133" spans="1:25" ht="15.6">
      <c r="A133" s="444"/>
      <c r="B133" s="379" t="s">
        <v>53</v>
      </c>
      <c r="C133" s="386"/>
      <c r="D133" s="386"/>
      <c r="E133" s="386"/>
      <c r="F133" s="386"/>
      <c r="G133" s="386"/>
      <c r="H133" s="386"/>
      <c r="I133" s="386"/>
      <c r="J133" s="386"/>
      <c r="K133" s="386"/>
      <c r="L133" s="386"/>
      <c r="M133" s="379"/>
      <c r="N133" s="379"/>
      <c r="O133" s="379"/>
      <c r="P133" s="379"/>
      <c r="Q133" s="379"/>
      <c r="R133" s="379"/>
      <c r="S133" s="379"/>
      <c r="T133" s="379"/>
      <c r="U133" s="441">
        <f>U80</f>
        <v>241790</v>
      </c>
      <c r="V133" s="410"/>
      <c r="W133" s="6"/>
      <c r="X133" s="64"/>
    </row>
    <row r="134" spans="1:25" ht="15.6">
      <c r="A134" s="242"/>
      <c r="B134" s="438"/>
      <c r="C134" s="438"/>
      <c r="D134" s="438"/>
      <c r="E134" s="438"/>
      <c r="F134" s="438"/>
      <c r="G134" s="438"/>
      <c r="H134" s="438"/>
      <c r="I134" s="438"/>
      <c r="J134" s="438"/>
      <c r="K134" s="438"/>
      <c r="L134" s="438"/>
      <c r="M134" s="438"/>
      <c r="N134" s="438"/>
      <c r="O134" s="438"/>
      <c r="P134" s="438"/>
      <c r="Q134" s="438"/>
      <c r="R134" s="438"/>
      <c r="S134" s="438"/>
      <c r="T134" s="438"/>
      <c r="U134" s="451"/>
      <c r="V134" s="245"/>
      <c r="W134" s="6"/>
    </row>
    <row r="135" spans="1:25" ht="15.6">
      <c r="A135" s="242"/>
      <c r="B135" s="274" t="s">
        <v>54</v>
      </c>
      <c r="C135" s="247"/>
      <c r="D135" s="247"/>
      <c r="E135" s="247"/>
      <c r="F135" s="247"/>
      <c r="G135" s="247"/>
      <c r="H135" s="247"/>
      <c r="I135" s="247"/>
      <c r="J135" s="247"/>
      <c r="K135" s="247"/>
      <c r="L135" s="247"/>
      <c r="M135" s="247"/>
      <c r="N135" s="247"/>
      <c r="O135" s="247"/>
      <c r="P135" s="247"/>
      <c r="Q135" s="277" t="s">
        <v>112</v>
      </c>
      <c r="R135" s="278"/>
      <c r="S135" s="277" t="s">
        <v>114</v>
      </c>
      <c r="T135" s="247"/>
      <c r="U135" s="279" t="s">
        <v>90</v>
      </c>
      <c r="V135" s="245"/>
      <c r="W135" s="6"/>
    </row>
    <row r="136" spans="1:25" ht="15.6">
      <c r="A136" s="378"/>
      <c r="B136" s="379" t="s">
        <v>55</v>
      </c>
      <c r="C136" s="379"/>
      <c r="D136" s="379"/>
      <c r="E136" s="379"/>
      <c r="F136" s="379"/>
      <c r="G136" s="379"/>
      <c r="H136" s="379"/>
      <c r="I136" s="379"/>
      <c r="J136" s="379"/>
      <c r="K136" s="379"/>
      <c r="L136" s="379"/>
      <c r="M136" s="379"/>
      <c r="N136" s="379"/>
      <c r="O136" s="379"/>
      <c r="P136" s="379"/>
      <c r="Q136" s="441">
        <v>0</v>
      </c>
      <c r="R136" s="379"/>
      <c r="S136" s="453" t="s">
        <v>115</v>
      </c>
      <c r="T136" s="379"/>
      <c r="U136" s="441">
        <f>Q136</f>
        <v>0</v>
      </c>
      <c r="V136" s="385"/>
      <c r="W136" s="6"/>
    </row>
    <row r="137" spans="1:25" ht="15.6">
      <c r="A137" s="378"/>
      <c r="B137" s="379" t="s">
        <v>56</v>
      </c>
      <c r="C137" s="379"/>
      <c r="D137" s="379"/>
      <c r="E137" s="379"/>
      <c r="F137" s="379"/>
      <c r="G137" s="379"/>
      <c r="H137" s="379"/>
      <c r="I137" s="379"/>
      <c r="J137" s="379"/>
      <c r="K137" s="379"/>
      <c r="L137" s="379"/>
      <c r="M137" s="379"/>
      <c r="N137" s="379"/>
      <c r="O137" s="379"/>
      <c r="P137" s="379"/>
      <c r="Q137" s="441">
        <f>+'June 10'!Q139</f>
        <v>4229</v>
      </c>
      <c r="R137" s="379"/>
      <c r="S137" s="453" t="s">
        <v>115</v>
      </c>
      <c r="T137" s="379"/>
      <c r="U137" s="441">
        <f>Q137</f>
        <v>4229</v>
      </c>
      <c r="V137" s="385"/>
      <c r="W137" s="6"/>
    </row>
    <row r="138" spans="1:25" ht="15.6">
      <c r="A138" s="378"/>
      <c r="B138" s="379" t="s">
        <v>57</v>
      </c>
      <c r="C138" s="379"/>
      <c r="D138" s="379"/>
      <c r="E138" s="379"/>
      <c r="F138" s="379"/>
      <c r="G138" s="379"/>
      <c r="H138" s="379"/>
      <c r="I138" s="379"/>
      <c r="J138" s="379"/>
      <c r="K138" s="379"/>
      <c r="L138" s="379"/>
      <c r="M138" s="379"/>
      <c r="N138" s="379"/>
      <c r="O138" s="379"/>
      <c r="P138" s="379"/>
      <c r="Q138" s="441">
        <v>0</v>
      </c>
      <c r="R138" s="379"/>
      <c r="S138" s="453" t="s">
        <v>115</v>
      </c>
      <c r="T138" s="379"/>
      <c r="U138" s="441">
        <f>Q138</f>
        <v>0</v>
      </c>
      <c r="V138" s="385"/>
      <c r="W138" s="6"/>
    </row>
    <row r="139" spans="1:25" ht="15.6">
      <c r="A139" s="378"/>
      <c r="B139" s="379" t="s">
        <v>58</v>
      </c>
      <c r="C139" s="379"/>
      <c r="D139" s="379"/>
      <c r="E139" s="379"/>
      <c r="F139" s="379"/>
      <c r="G139" s="379"/>
      <c r="H139" s="379"/>
      <c r="I139" s="379"/>
      <c r="J139" s="379"/>
      <c r="K139" s="379"/>
      <c r="L139" s="379"/>
      <c r="M139" s="379"/>
      <c r="N139" s="379"/>
      <c r="O139" s="379"/>
      <c r="P139" s="379"/>
      <c r="Q139" s="441">
        <f>SUM(Q137:Q138)</f>
        <v>4229</v>
      </c>
      <c r="R139" s="379"/>
      <c r="S139" s="453" t="s">
        <v>115</v>
      </c>
      <c r="T139" s="379"/>
      <c r="U139" s="441">
        <f>Q139</f>
        <v>4229</v>
      </c>
      <c r="V139" s="385"/>
      <c r="W139" s="6"/>
    </row>
    <row r="140" spans="1:25" ht="15.6">
      <c r="A140" s="378"/>
      <c r="B140" s="379" t="s">
        <v>215</v>
      </c>
      <c r="C140" s="379"/>
      <c r="D140" s="379"/>
      <c r="E140" s="379"/>
      <c r="F140" s="379"/>
      <c r="G140" s="379"/>
      <c r="H140" s="379"/>
      <c r="I140" s="379"/>
      <c r="J140" s="379"/>
      <c r="K140" s="379"/>
      <c r="L140" s="379"/>
      <c r="M140" s="379"/>
      <c r="N140" s="379"/>
      <c r="O140" s="379"/>
      <c r="P140" s="379"/>
      <c r="Q140" s="441"/>
      <c r="R140" s="379"/>
      <c r="S140" s="453"/>
      <c r="T140" s="379"/>
      <c r="U140" s="441"/>
      <c r="V140" s="385"/>
      <c r="W140" s="6"/>
    </row>
    <row r="141" spans="1:25" ht="15.6">
      <c r="A141" s="378"/>
      <c r="B141" s="454"/>
      <c r="C141" s="454"/>
      <c r="D141" s="454"/>
      <c r="E141" s="454"/>
      <c r="F141" s="454"/>
      <c r="G141" s="454"/>
      <c r="H141" s="454"/>
      <c r="I141" s="454"/>
      <c r="J141" s="454"/>
      <c r="K141" s="454"/>
      <c r="L141" s="454"/>
      <c r="M141" s="454"/>
      <c r="N141" s="454"/>
      <c r="O141" s="454"/>
      <c r="P141" s="454"/>
      <c r="Q141" s="454"/>
      <c r="R141" s="454"/>
      <c r="S141" s="454"/>
      <c r="T141" s="454"/>
      <c r="U141" s="454"/>
      <c r="V141" s="385"/>
      <c r="W141" s="6"/>
    </row>
    <row r="142" spans="1:25" ht="15.6">
      <c r="A142" s="242"/>
      <c r="B142" s="452"/>
      <c r="C142" s="452"/>
      <c r="D142" s="452"/>
      <c r="E142" s="452"/>
      <c r="F142" s="452"/>
      <c r="G142" s="452"/>
      <c r="H142" s="452"/>
      <c r="I142" s="452"/>
      <c r="J142" s="452"/>
      <c r="K142" s="452"/>
      <c r="L142" s="452"/>
      <c r="M142" s="452"/>
      <c r="N142" s="452"/>
      <c r="O142" s="452"/>
      <c r="P142" s="452"/>
      <c r="Q142" s="452"/>
      <c r="R142" s="452"/>
      <c r="S142" s="452"/>
      <c r="T142" s="452"/>
      <c r="U142" s="452"/>
      <c r="V142" s="284"/>
      <c r="W142" s="6"/>
    </row>
    <row r="143" spans="1:25" ht="15.6">
      <c r="A143" s="230"/>
      <c r="B143" s="308" t="s">
        <v>59</v>
      </c>
      <c r="C143" s="327"/>
      <c r="D143" s="327"/>
      <c r="E143" s="327"/>
      <c r="F143" s="327"/>
      <c r="G143" s="327"/>
      <c r="H143" s="327"/>
      <c r="I143" s="327"/>
      <c r="J143" s="327"/>
      <c r="K143" s="327"/>
      <c r="L143" s="327"/>
      <c r="M143" s="327"/>
      <c r="N143" s="327"/>
      <c r="O143" s="327"/>
      <c r="P143" s="328"/>
      <c r="Q143" s="328"/>
      <c r="R143" s="328"/>
      <c r="S143" s="328">
        <v>40451</v>
      </c>
      <c r="T143" s="231"/>
      <c r="U143" s="231"/>
      <c r="V143" s="237"/>
      <c r="W143" s="6"/>
    </row>
    <row r="144" spans="1:25" ht="15.6">
      <c r="A144" s="281"/>
      <c r="B144" s="294" t="s">
        <v>60</v>
      </c>
      <c r="C144" s="329"/>
      <c r="D144" s="329"/>
      <c r="E144" s="329"/>
      <c r="F144" s="329"/>
      <c r="G144" s="329"/>
      <c r="H144" s="329"/>
      <c r="I144" s="329"/>
      <c r="J144" s="329"/>
      <c r="K144" s="329"/>
      <c r="L144" s="329"/>
      <c r="M144" s="329"/>
      <c r="N144" s="329"/>
      <c r="O144" s="329"/>
      <c r="P144" s="300"/>
      <c r="Q144" s="300"/>
      <c r="R144" s="300"/>
      <c r="S144" s="299">
        <v>0.10630000000000001</v>
      </c>
      <c r="T144" s="294"/>
      <c r="U144" s="294"/>
      <c r="V144" s="260"/>
      <c r="W144" s="6"/>
    </row>
    <row r="145" spans="1:23" ht="15.6">
      <c r="A145" s="458"/>
      <c r="B145" s="379" t="s">
        <v>61</v>
      </c>
      <c r="C145" s="459"/>
      <c r="D145" s="459"/>
      <c r="E145" s="459"/>
      <c r="F145" s="459"/>
      <c r="G145" s="459"/>
      <c r="H145" s="459"/>
      <c r="I145" s="459"/>
      <c r="J145" s="459"/>
      <c r="K145" s="459"/>
      <c r="L145" s="459"/>
      <c r="M145" s="459"/>
      <c r="N145" s="459"/>
      <c r="O145" s="459"/>
      <c r="P145" s="433"/>
      <c r="Q145" s="433"/>
      <c r="R145" s="433"/>
      <c r="S145" s="427">
        <v>5.2200000000000003E-2</v>
      </c>
      <c r="T145" s="427"/>
      <c r="U145" s="379"/>
      <c r="V145" s="385"/>
      <c r="W145" s="6"/>
    </row>
    <row r="146" spans="1:23" ht="15.6">
      <c r="A146" s="458"/>
      <c r="B146" s="379" t="s">
        <v>62</v>
      </c>
      <c r="C146" s="459"/>
      <c r="D146" s="459"/>
      <c r="E146" s="459"/>
      <c r="F146" s="459"/>
      <c r="G146" s="459"/>
      <c r="H146" s="459"/>
      <c r="I146" s="459"/>
      <c r="J146" s="459"/>
      <c r="K146" s="459"/>
      <c r="L146" s="459"/>
      <c r="M146" s="459"/>
      <c r="N146" s="459"/>
      <c r="O146" s="459"/>
      <c r="P146" s="433"/>
      <c r="Q146" s="433"/>
      <c r="R146" s="433"/>
      <c r="S146" s="427">
        <f>S144-S145</f>
        <v>5.4100000000000002E-2</v>
      </c>
      <c r="T146" s="379"/>
      <c r="U146" s="379"/>
      <c r="V146" s="385"/>
      <c r="W146" s="6"/>
    </row>
    <row r="147" spans="1:23" ht="15.6">
      <c r="A147" s="458"/>
      <c r="B147" s="379" t="s">
        <v>63</v>
      </c>
      <c r="C147" s="459"/>
      <c r="D147" s="459"/>
      <c r="E147" s="459"/>
      <c r="F147" s="459"/>
      <c r="G147" s="459"/>
      <c r="H147" s="459"/>
      <c r="I147" s="459"/>
      <c r="J147" s="459"/>
      <c r="K147" s="459"/>
      <c r="L147" s="459"/>
      <c r="M147" s="459"/>
      <c r="N147" s="459"/>
      <c r="O147" s="459"/>
      <c r="P147" s="433"/>
      <c r="Q147" s="433"/>
      <c r="R147" s="433"/>
      <c r="S147" s="427">
        <v>9.3030000000000002E-2</v>
      </c>
      <c r="T147" s="379"/>
      <c r="U147" s="379"/>
      <c r="V147" s="385"/>
      <c r="W147" s="6"/>
    </row>
    <row r="148" spans="1:23" ht="15.6">
      <c r="A148" s="458"/>
      <c r="B148" s="379" t="s">
        <v>64</v>
      </c>
      <c r="C148" s="459"/>
      <c r="D148" s="459"/>
      <c r="E148" s="459"/>
      <c r="F148" s="459"/>
      <c r="G148" s="459"/>
      <c r="H148" s="459"/>
      <c r="I148" s="459"/>
      <c r="J148" s="459"/>
      <c r="K148" s="459"/>
      <c r="L148" s="459"/>
      <c r="M148" s="459"/>
      <c r="N148" s="459"/>
      <c r="O148" s="459"/>
      <c r="P148" s="433"/>
      <c r="Q148" s="433"/>
      <c r="R148" s="433"/>
      <c r="S148" s="427">
        <f>+U40</f>
        <v>1.613122363968468E-2</v>
      </c>
      <c r="T148" s="379"/>
      <c r="U148" s="379"/>
      <c r="V148" s="385"/>
      <c r="W148" s="6"/>
    </row>
    <row r="149" spans="1:23" ht="15.6">
      <c r="A149" s="458"/>
      <c r="B149" s="379" t="s">
        <v>65</v>
      </c>
      <c r="C149" s="459"/>
      <c r="D149" s="459"/>
      <c r="E149" s="459"/>
      <c r="F149" s="459"/>
      <c r="G149" s="459"/>
      <c r="H149" s="459"/>
      <c r="I149" s="459"/>
      <c r="J149" s="459"/>
      <c r="K149" s="459"/>
      <c r="L149" s="459"/>
      <c r="M149" s="459"/>
      <c r="N149" s="459"/>
      <c r="O149" s="459"/>
      <c r="P149" s="433"/>
      <c r="Q149" s="433"/>
      <c r="R149" s="433"/>
      <c r="S149" s="427">
        <f>S147-S148</f>
        <v>7.6898776360315321E-2</v>
      </c>
      <c r="T149" s="379"/>
      <c r="U149" s="379"/>
      <c r="V149" s="385"/>
      <c r="W149" s="6"/>
    </row>
    <row r="150" spans="1:23" ht="15.6">
      <c r="A150" s="458"/>
      <c r="B150" s="379" t="s">
        <v>204</v>
      </c>
      <c r="C150" s="459"/>
      <c r="D150" s="459"/>
      <c r="E150" s="459"/>
      <c r="F150" s="459"/>
      <c r="G150" s="459"/>
      <c r="H150" s="459"/>
      <c r="I150" s="459"/>
      <c r="J150" s="459"/>
      <c r="K150" s="459"/>
      <c r="L150" s="459"/>
      <c r="M150" s="459"/>
      <c r="N150" s="459"/>
      <c r="O150" s="459"/>
      <c r="P150" s="433"/>
      <c r="Q150" s="433"/>
      <c r="R150" s="433"/>
      <c r="S150" s="429">
        <v>49780</v>
      </c>
      <c r="T150" s="379"/>
      <c r="U150" s="379"/>
      <c r="V150" s="385"/>
      <c r="W150" s="6"/>
    </row>
    <row r="151" spans="1:23" ht="15.6">
      <c r="A151" s="458"/>
      <c r="B151" s="379" t="s">
        <v>205</v>
      </c>
      <c r="C151" s="459"/>
      <c r="D151" s="459"/>
      <c r="E151" s="459"/>
      <c r="F151" s="459"/>
      <c r="G151" s="459"/>
      <c r="H151" s="459"/>
      <c r="I151" s="459"/>
      <c r="J151" s="459"/>
      <c r="K151" s="459"/>
      <c r="L151" s="459"/>
      <c r="M151" s="459"/>
      <c r="N151" s="459"/>
      <c r="O151" s="459"/>
      <c r="P151" s="433"/>
      <c r="Q151" s="433"/>
      <c r="R151" s="433"/>
      <c r="S151" s="429">
        <v>49780</v>
      </c>
      <c r="T151" s="379"/>
      <c r="U151" s="379"/>
      <c r="V151" s="385"/>
      <c r="W151" s="6"/>
    </row>
    <row r="152" spans="1:23" ht="15.6">
      <c r="A152" s="458"/>
      <c r="B152" s="379" t="s">
        <v>206</v>
      </c>
      <c r="C152" s="459"/>
      <c r="D152" s="459"/>
      <c r="E152" s="459"/>
      <c r="F152" s="459"/>
      <c r="G152" s="459"/>
      <c r="H152" s="459"/>
      <c r="I152" s="459"/>
      <c r="J152" s="459"/>
      <c r="K152" s="459"/>
      <c r="L152" s="459"/>
      <c r="M152" s="459"/>
      <c r="N152" s="459"/>
      <c r="O152" s="459"/>
      <c r="P152" s="433"/>
      <c r="Q152" s="433"/>
      <c r="R152" s="433"/>
      <c r="S152" s="429">
        <v>49780</v>
      </c>
      <c r="T152" s="379"/>
      <c r="U152" s="379"/>
      <c r="V152" s="385"/>
      <c r="W152" s="6"/>
    </row>
    <row r="153" spans="1:23" ht="15.6">
      <c r="A153" s="458"/>
      <c r="B153" s="379" t="s">
        <v>207</v>
      </c>
      <c r="C153" s="459"/>
      <c r="D153" s="459"/>
      <c r="E153" s="459"/>
      <c r="F153" s="459"/>
      <c r="G153" s="459"/>
      <c r="H153" s="459"/>
      <c r="I153" s="459"/>
      <c r="J153" s="459"/>
      <c r="K153" s="459"/>
      <c r="L153" s="459"/>
      <c r="M153" s="459"/>
      <c r="N153" s="459"/>
      <c r="O153" s="459"/>
      <c r="P153" s="433"/>
      <c r="Q153" s="433"/>
      <c r="R153" s="433"/>
      <c r="S153" s="429">
        <v>49780</v>
      </c>
      <c r="T153" s="379"/>
      <c r="U153" s="379"/>
      <c r="V153" s="385"/>
      <c r="W153" s="6"/>
    </row>
    <row r="154" spans="1:23" ht="15.6">
      <c r="A154" s="458"/>
      <c r="B154" s="379" t="s">
        <v>221</v>
      </c>
      <c r="C154" s="459"/>
      <c r="D154" s="459"/>
      <c r="E154" s="459"/>
      <c r="F154" s="459"/>
      <c r="G154" s="459"/>
      <c r="H154" s="459"/>
      <c r="I154" s="459"/>
      <c r="J154" s="459"/>
      <c r="K154" s="459"/>
      <c r="L154" s="459"/>
      <c r="M154" s="459"/>
      <c r="N154" s="459"/>
      <c r="O154" s="459"/>
      <c r="P154" s="433"/>
      <c r="Q154" s="433"/>
      <c r="R154" s="433"/>
      <c r="S154" s="432">
        <v>111.34</v>
      </c>
      <c r="T154" s="379"/>
      <c r="U154" s="379"/>
      <c r="V154" s="385"/>
      <c r="W154" s="6"/>
    </row>
    <row r="155" spans="1:23" ht="15.6">
      <c r="A155" s="458"/>
      <c r="B155" s="379" t="s">
        <v>222</v>
      </c>
      <c r="C155" s="459"/>
      <c r="D155" s="459"/>
      <c r="E155" s="459"/>
      <c r="F155" s="459"/>
      <c r="G155" s="459"/>
      <c r="H155" s="459"/>
      <c r="I155" s="459"/>
      <c r="J155" s="459"/>
      <c r="K155" s="459"/>
      <c r="L155" s="459"/>
      <c r="M155" s="459"/>
      <c r="N155" s="459"/>
      <c r="O155" s="459"/>
      <c r="P155" s="433"/>
      <c r="Q155" s="433"/>
      <c r="R155" s="433"/>
      <c r="S155" s="432">
        <v>155.58000000000001</v>
      </c>
      <c r="T155" s="379"/>
      <c r="U155" s="379"/>
      <c r="V155" s="385"/>
      <c r="W155" s="6"/>
    </row>
    <row r="156" spans="1:23" ht="15.6">
      <c r="A156" s="458" t="s">
        <v>223</v>
      </c>
      <c r="B156" s="379" t="s">
        <v>66</v>
      </c>
      <c r="C156" s="459"/>
      <c r="D156" s="459"/>
      <c r="E156" s="459"/>
      <c r="F156" s="459"/>
      <c r="G156" s="459"/>
      <c r="H156" s="459"/>
      <c r="I156" s="459"/>
      <c r="J156" s="459"/>
      <c r="K156" s="459"/>
      <c r="L156" s="459"/>
      <c r="M156" s="459"/>
      <c r="N156" s="459"/>
      <c r="O156" s="459"/>
      <c r="P156" s="433"/>
      <c r="Q156" s="433"/>
      <c r="R156" s="433"/>
      <c r="S156" s="427">
        <v>5.9499999999999997E-2</v>
      </c>
      <c r="T156" s="379"/>
      <c r="U156" s="379"/>
      <c r="V156" s="385"/>
      <c r="W156" s="6"/>
    </row>
    <row r="157" spans="1:23" ht="15.6">
      <c r="A157" s="458"/>
      <c r="B157" s="379" t="s">
        <v>67</v>
      </c>
      <c r="C157" s="459"/>
      <c r="D157" s="459"/>
      <c r="E157" s="459"/>
      <c r="F157" s="459"/>
      <c r="G157" s="459"/>
      <c r="H157" s="459"/>
      <c r="I157" s="459"/>
      <c r="J157" s="459"/>
      <c r="K157" s="459"/>
      <c r="L157" s="459"/>
      <c r="M157" s="459"/>
      <c r="N157" s="459"/>
      <c r="O157" s="459"/>
      <c r="P157" s="433"/>
      <c r="Q157" s="433"/>
      <c r="R157" s="433"/>
      <c r="S157" s="427">
        <v>0.33829999999999999</v>
      </c>
      <c r="T157" s="379"/>
      <c r="U157" s="379"/>
      <c r="V157" s="385"/>
      <c r="W157" s="6"/>
    </row>
    <row r="158" spans="1:23" ht="15.6">
      <c r="A158" s="280"/>
      <c r="B158" s="364"/>
      <c r="C158" s="364"/>
      <c r="D158" s="364"/>
      <c r="E158" s="364"/>
      <c r="F158" s="364"/>
      <c r="G158" s="364"/>
      <c r="H158" s="364"/>
      <c r="I158" s="364"/>
      <c r="J158" s="364"/>
      <c r="K158" s="364"/>
      <c r="L158" s="364"/>
      <c r="M158" s="364"/>
      <c r="N158" s="364"/>
      <c r="O158" s="364"/>
      <c r="P158" s="364"/>
      <c r="Q158" s="364"/>
      <c r="R158" s="455"/>
      <c r="S158" s="456"/>
      <c r="T158" s="364"/>
      <c r="U158" s="457"/>
      <c r="V158" s="245"/>
      <c r="W158" s="6"/>
    </row>
    <row r="159" spans="1:23" ht="15.6">
      <c r="A159" s="280"/>
      <c r="B159" s="288"/>
      <c r="C159" s="288"/>
      <c r="D159" s="288"/>
      <c r="E159" s="288"/>
      <c r="F159" s="288"/>
      <c r="G159" s="288"/>
      <c r="H159" s="288"/>
      <c r="I159" s="288"/>
      <c r="J159" s="288"/>
      <c r="K159" s="288"/>
      <c r="L159" s="288"/>
      <c r="M159" s="288"/>
      <c r="N159" s="288"/>
      <c r="O159" s="288"/>
      <c r="P159" s="288"/>
      <c r="Q159" s="288"/>
      <c r="R159" s="331"/>
      <c r="S159" s="332"/>
      <c r="T159" s="288"/>
      <c r="U159" s="333"/>
      <c r="V159" s="245"/>
      <c r="W159" s="6"/>
    </row>
    <row r="160" spans="1:23" ht="16.2" thickBot="1">
      <c r="A160" s="282"/>
      <c r="B160" s="304" t="str">
        <f>+B109</f>
        <v>PPAF3 INVESTOR REPORT QUARTER ENDING SEPTEMBER 2010</v>
      </c>
      <c r="C160" s="305"/>
      <c r="D160" s="305"/>
      <c r="E160" s="305"/>
      <c r="F160" s="305"/>
      <c r="G160" s="305"/>
      <c r="H160" s="305"/>
      <c r="I160" s="305"/>
      <c r="J160" s="305"/>
      <c r="K160" s="305"/>
      <c r="L160" s="305"/>
      <c r="M160" s="305"/>
      <c r="N160" s="305"/>
      <c r="O160" s="305"/>
      <c r="P160" s="305"/>
      <c r="Q160" s="305"/>
      <c r="R160" s="334"/>
      <c r="S160" s="335"/>
      <c r="T160" s="305"/>
      <c r="U160" s="336"/>
      <c r="V160" s="262"/>
      <c r="W160" s="6"/>
    </row>
    <row r="161" spans="1:23" ht="15.6">
      <c r="A161" s="337"/>
      <c r="B161" s="498" t="s">
        <v>68</v>
      </c>
      <c r="C161" s="338"/>
      <c r="D161" s="338"/>
      <c r="E161" s="338"/>
      <c r="F161" s="338"/>
      <c r="G161" s="338"/>
      <c r="H161" s="338"/>
      <c r="I161" s="338"/>
      <c r="J161" s="338"/>
      <c r="K161" s="338"/>
      <c r="L161" s="338"/>
      <c r="M161" s="339"/>
      <c r="N161" s="338"/>
      <c r="O161" s="339"/>
      <c r="P161" s="338"/>
      <c r="Q161" s="339"/>
      <c r="R161" s="338" t="s">
        <v>94</v>
      </c>
      <c r="S161" s="339" t="s">
        <v>116</v>
      </c>
      <c r="T161" s="340"/>
      <c r="U161" s="340"/>
      <c r="V161" s="341"/>
      <c r="W161" s="6"/>
    </row>
    <row r="162" spans="1:23" ht="15.6">
      <c r="A162" s="283"/>
      <c r="B162" s="294" t="s">
        <v>216</v>
      </c>
      <c r="C162" s="310"/>
      <c r="D162" s="310"/>
      <c r="E162" s="310"/>
      <c r="F162" s="310"/>
      <c r="G162" s="310"/>
      <c r="H162" s="310"/>
      <c r="I162" s="310"/>
      <c r="J162" s="310"/>
      <c r="K162" s="310"/>
      <c r="L162" s="310"/>
      <c r="M162" s="310"/>
      <c r="N162" s="310"/>
      <c r="O162" s="294"/>
      <c r="P162" s="294"/>
      <c r="Q162" s="294"/>
      <c r="R162" s="310">
        <v>937</v>
      </c>
      <c r="S162" s="311">
        <v>26807</v>
      </c>
      <c r="T162" s="311"/>
      <c r="U162" s="330"/>
      <c r="V162" s="342"/>
      <c r="W162" s="6"/>
    </row>
    <row r="163" spans="1:23" ht="15.6">
      <c r="A163" s="465"/>
      <c r="B163" s="379" t="s">
        <v>217</v>
      </c>
      <c r="C163" s="440"/>
      <c r="D163" s="440"/>
      <c r="E163" s="440"/>
      <c r="F163" s="440"/>
      <c r="G163" s="440"/>
      <c r="H163" s="440"/>
      <c r="I163" s="440"/>
      <c r="J163" s="440"/>
      <c r="K163" s="440"/>
      <c r="L163" s="440"/>
      <c r="M163" s="440"/>
      <c r="N163" s="440"/>
      <c r="O163" s="379"/>
      <c r="P163" s="379"/>
      <c r="Q163" s="379"/>
      <c r="R163" s="379">
        <v>38</v>
      </c>
      <c r="S163" s="441">
        <v>433</v>
      </c>
      <c r="T163" s="441"/>
      <c r="U163" s="466"/>
      <c r="V163" s="467"/>
      <c r="W163" s="6"/>
    </row>
    <row r="164" spans="1:23" ht="15.6">
      <c r="A164" s="465"/>
      <c r="B164" s="379" t="s">
        <v>218</v>
      </c>
      <c r="C164" s="440"/>
      <c r="D164" s="440"/>
      <c r="E164" s="440"/>
      <c r="F164" s="440"/>
      <c r="G164" s="440"/>
      <c r="H164" s="440"/>
      <c r="I164" s="440"/>
      <c r="J164" s="440"/>
      <c r="K164" s="440"/>
      <c r="L164" s="440"/>
      <c r="M164" s="440"/>
      <c r="N164" s="440"/>
      <c r="O164" s="379"/>
      <c r="P164" s="379"/>
      <c r="Q164" s="379"/>
      <c r="R164" s="379">
        <v>227</v>
      </c>
      <c r="S164" s="441">
        <v>311</v>
      </c>
      <c r="T164" s="441"/>
      <c r="U164" s="466"/>
      <c r="V164" s="467"/>
      <c r="W164" s="6"/>
    </row>
    <row r="165" spans="1:23" ht="15.6">
      <c r="A165" s="465"/>
      <c r="B165" s="379" t="s">
        <v>219</v>
      </c>
      <c r="C165" s="440"/>
      <c r="D165" s="440"/>
      <c r="E165" s="440"/>
      <c r="F165" s="440"/>
      <c r="G165" s="440"/>
      <c r="H165" s="440"/>
      <c r="I165" s="440"/>
      <c r="J165" s="440"/>
      <c r="K165" s="440"/>
      <c r="L165" s="440"/>
      <c r="M165" s="440"/>
      <c r="N165" s="440"/>
      <c r="O165" s="379"/>
      <c r="P165" s="379"/>
      <c r="Q165" s="379"/>
      <c r="R165" s="379">
        <v>174</v>
      </c>
      <c r="S165" s="441">
        <v>524</v>
      </c>
      <c r="T165" s="441"/>
      <c r="U165" s="466"/>
      <c r="V165" s="467"/>
      <c r="W165" s="6"/>
    </row>
    <row r="166" spans="1:23" ht="15.6">
      <c r="A166" s="465"/>
      <c r="B166" s="379" t="s">
        <v>90</v>
      </c>
      <c r="C166" s="440"/>
      <c r="D166" s="440"/>
      <c r="E166" s="440"/>
      <c r="F166" s="440"/>
      <c r="G166" s="440"/>
      <c r="H166" s="440"/>
      <c r="I166" s="440"/>
      <c r="J166" s="440"/>
      <c r="K166" s="440"/>
      <c r="L166" s="440"/>
      <c r="M166" s="440"/>
      <c r="N166" s="440"/>
      <c r="O166" s="379"/>
      <c r="P166" s="379"/>
      <c r="Q166" s="379"/>
      <c r="R166" s="440">
        <f>SUM(R162:R165)</f>
        <v>1376</v>
      </c>
      <c r="S166" s="441">
        <f>SUM(S162:S165)</f>
        <v>28075</v>
      </c>
      <c r="T166" s="441"/>
      <c r="U166" s="466"/>
      <c r="V166" s="467"/>
      <c r="W166" s="6"/>
    </row>
    <row r="167" spans="1:23" ht="15.6">
      <c r="A167" s="465"/>
      <c r="B167" s="379"/>
      <c r="C167" s="440"/>
      <c r="D167" s="440"/>
      <c r="E167" s="440"/>
      <c r="F167" s="440"/>
      <c r="G167" s="440"/>
      <c r="H167" s="440"/>
      <c r="I167" s="440"/>
      <c r="J167" s="440"/>
      <c r="K167" s="440"/>
      <c r="L167" s="440"/>
      <c r="M167" s="440"/>
      <c r="N167" s="440"/>
      <c r="O167" s="379"/>
      <c r="P167" s="379"/>
      <c r="Q167" s="379"/>
      <c r="R167" s="379"/>
      <c r="S167" s="441"/>
      <c r="T167" s="441"/>
      <c r="U167" s="466"/>
      <c r="V167" s="467"/>
      <c r="W167" s="6"/>
    </row>
    <row r="168" spans="1:23" ht="15.6">
      <c r="A168" s="465"/>
      <c r="B168" s="379" t="s">
        <v>220</v>
      </c>
      <c r="C168" s="440"/>
      <c r="D168" s="440"/>
      <c r="E168" s="440"/>
      <c r="F168" s="440"/>
      <c r="G168" s="440"/>
      <c r="H168" s="440"/>
      <c r="I168" s="440"/>
      <c r="J168" s="440"/>
      <c r="K168" s="440"/>
      <c r="L168" s="440"/>
      <c r="M168" s="440"/>
      <c r="N168" s="440"/>
      <c r="O168" s="379"/>
      <c r="P168" s="379"/>
      <c r="Q168" s="379"/>
      <c r="R168" s="379">
        <v>5</v>
      </c>
      <c r="S168" s="441">
        <v>94</v>
      </c>
      <c r="T168" s="441"/>
      <c r="U168" s="466"/>
      <c r="V168" s="467"/>
      <c r="W168" s="6"/>
    </row>
    <row r="169" spans="1:23" ht="15.6">
      <c r="A169" s="465"/>
      <c r="B169" s="379" t="s">
        <v>224</v>
      </c>
      <c r="C169" s="440"/>
      <c r="D169" s="440"/>
      <c r="E169" s="440"/>
      <c r="F169" s="440"/>
      <c r="G169" s="440"/>
      <c r="H169" s="440"/>
      <c r="I169" s="440"/>
      <c r="J169" s="440"/>
      <c r="K169" s="440"/>
      <c r="L169" s="440"/>
      <c r="M169" s="440"/>
      <c r="N169" s="440"/>
      <c r="O169" s="379"/>
      <c r="P169" s="379"/>
      <c r="Q169" s="379"/>
      <c r="R169" s="379">
        <v>7</v>
      </c>
      <c r="S169" s="441">
        <v>242</v>
      </c>
      <c r="T169" s="441"/>
      <c r="U169" s="466"/>
      <c r="V169" s="467"/>
      <c r="W169" s="6"/>
    </row>
    <row r="170" spans="1:23" ht="15.6">
      <c r="A170" s="465"/>
      <c r="B170" s="468" t="s">
        <v>69</v>
      </c>
      <c r="C170" s="469"/>
      <c r="D170" s="469"/>
      <c r="E170" s="469"/>
      <c r="F170" s="469"/>
      <c r="G170" s="469"/>
      <c r="H170" s="469"/>
      <c r="I170" s="469"/>
      <c r="J170" s="469"/>
      <c r="K170" s="469"/>
      <c r="L170" s="469"/>
      <c r="M170" s="469"/>
      <c r="N170" s="469"/>
      <c r="O170" s="454"/>
      <c r="P170" s="454"/>
      <c r="Q170" s="454"/>
      <c r="R170" s="379"/>
      <c r="S170" s="441">
        <v>0</v>
      </c>
      <c r="T170" s="454"/>
      <c r="U170" s="470"/>
      <c r="V170" s="471"/>
      <c r="W170" s="6"/>
    </row>
    <row r="171" spans="1:23" ht="15.6">
      <c r="A171" s="465"/>
      <c r="B171" s="468" t="s">
        <v>70</v>
      </c>
      <c r="C171" s="469"/>
      <c r="D171" s="469"/>
      <c r="E171" s="469"/>
      <c r="F171" s="469"/>
      <c r="G171" s="469"/>
      <c r="H171" s="469"/>
      <c r="I171" s="469"/>
      <c r="J171" s="469"/>
      <c r="K171" s="469"/>
      <c r="L171" s="469"/>
      <c r="M171" s="469"/>
      <c r="N171" s="469"/>
      <c r="O171" s="454"/>
      <c r="P171" s="454"/>
      <c r="Q171" s="454"/>
      <c r="R171" s="379"/>
      <c r="S171" s="441">
        <f>Q75</f>
        <v>0</v>
      </c>
      <c r="T171" s="454"/>
      <c r="U171" s="470"/>
      <c r="V171" s="471"/>
      <c r="W171" s="6"/>
    </row>
    <row r="172" spans="1:23" ht="15.6">
      <c r="A172" s="472"/>
      <c r="B172" s="468" t="s">
        <v>71</v>
      </c>
      <c r="C172" s="469"/>
      <c r="D172" s="469"/>
      <c r="E172" s="469"/>
      <c r="F172" s="469"/>
      <c r="G172" s="469"/>
      <c r="H172" s="469"/>
      <c r="I172" s="469"/>
      <c r="J172" s="469"/>
      <c r="K172" s="469"/>
      <c r="L172" s="469"/>
      <c r="M172" s="473"/>
      <c r="N172" s="473"/>
      <c r="O172" s="473"/>
      <c r="P172" s="454"/>
      <c r="Q172" s="454"/>
      <c r="R172" s="379"/>
      <c r="S172" s="500"/>
      <c r="T172" s="454"/>
      <c r="U172" s="470"/>
      <c r="V172" s="474"/>
      <c r="W172" s="6"/>
    </row>
    <row r="173" spans="1:23" ht="15.6">
      <c r="A173" s="465"/>
      <c r="B173" s="379" t="s">
        <v>72</v>
      </c>
      <c r="C173" s="469"/>
      <c r="D173" s="469"/>
      <c r="E173" s="469"/>
      <c r="F173" s="469"/>
      <c r="G173" s="469"/>
      <c r="H173" s="469"/>
      <c r="I173" s="469"/>
      <c r="J173" s="469"/>
      <c r="K173" s="469"/>
      <c r="L173" s="469"/>
      <c r="M173" s="469"/>
      <c r="N173" s="469"/>
      <c r="O173" s="469"/>
      <c r="P173" s="454"/>
      <c r="Q173" s="454"/>
      <c r="R173" s="379"/>
      <c r="S173" s="441">
        <f>U128</f>
        <v>3004</v>
      </c>
      <c r="T173" s="454"/>
      <c r="U173" s="470"/>
      <c r="V173" s="474"/>
      <c r="W173" s="6"/>
    </row>
    <row r="174" spans="1:23" ht="15.6">
      <c r="A174" s="465"/>
      <c r="B174" s="379" t="s">
        <v>73</v>
      </c>
      <c r="C174" s="469"/>
      <c r="D174" s="469"/>
      <c r="E174" s="469"/>
      <c r="F174" s="469"/>
      <c r="G174" s="469"/>
      <c r="H174" s="469"/>
      <c r="I174" s="469"/>
      <c r="J174" s="469"/>
      <c r="K174" s="469"/>
      <c r="L174" s="469"/>
      <c r="M174" s="469"/>
      <c r="N174" s="469"/>
      <c r="O174" s="469"/>
      <c r="P174" s="454"/>
      <c r="Q174" s="454"/>
      <c r="R174" s="379"/>
      <c r="S174" s="441">
        <f>'June 10'!S174+S173</f>
        <v>70719</v>
      </c>
      <c r="T174" s="454"/>
      <c r="U174" s="470"/>
      <c r="V174" s="474"/>
      <c r="W174" s="6"/>
    </row>
    <row r="175" spans="1:23" ht="15.6">
      <c r="A175" s="465"/>
      <c r="B175" s="379" t="s">
        <v>74</v>
      </c>
      <c r="C175" s="469"/>
      <c r="D175" s="469"/>
      <c r="E175" s="469"/>
      <c r="F175" s="469"/>
      <c r="G175" s="469"/>
      <c r="H175" s="469"/>
      <c r="I175" s="469"/>
      <c r="J175" s="469"/>
      <c r="K175" s="469"/>
      <c r="L175" s="469"/>
      <c r="M175" s="469"/>
      <c r="N175" s="469"/>
      <c r="O175" s="469"/>
      <c r="P175" s="454"/>
      <c r="Q175" s="454"/>
      <c r="R175" s="379"/>
      <c r="S175" s="441">
        <f>'June 10'!S175+660</f>
        <v>14139</v>
      </c>
      <c r="T175" s="454"/>
      <c r="U175" s="470"/>
      <c r="V175" s="474"/>
      <c r="W175" s="6"/>
    </row>
    <row r="176" spans="1:23" ht="15.6">
      <c r="A176" s="465"/>
      <c r="B176" s="473"/>
      <c r="C176" s="469"/>
      <c r="D176" s="469"/>
      <c r="E176" s="469"/>
      <c r="F176" s="469"/>
      <c r="G176" s="469"/>
      <c r="H176" s="469"/>
      <c r="I176" s="469"/>
      <c r="J176" s="469"/>
      <c r="K176" s="469"/>
      <c r="L176" s="469"/>
      <c r="M176" s="469"/>
      <c r="N176" s="469"/>
      <c r="O176" s="469"/>
      <c r="P176" s="454"/>
      <c r="Q176" s="454"/>
      <c r="R176" s="379"/>
      <c r="S176" s="441"/>
      <c r="T176" s="454"/>
      <c r="U176" s="470"/>
      <c r="V176" s="474"/>
      <c r="W176" s="6"/>
    </row>
    <row r="177" spans="1:23" ht="15.6">
      <c r="A177" s="472"/>
      <c r="B177" s="468" t="s">
        <v>259</v>
      </c>
      <c r="C177" s="469"/>
      <c r="D177" s="469"/>
      <c r="E177" s="469"/>
      <c r="F177" s="469"/>
      <c r="G177" s="469"/>
      <c r="H177" s="469"/>
      <c r="I177" s="469"/>
      <c r="J177" s="469"/>
      <c r="K177" s="469"/>
      <c r="L177" s="469"/>
      <c r="M177" s="473"/>
      <c r="N177" s="473"/>
      <c r="O177" s="473"/>
      <c r="P177" s="454"/>
      <c r="Q177" s="454"/>
      <c r="R177" s="379"/>
      <c r="S177" s="453"/>
      <c r="T177" s="454"/>
      <c r="U177" s="470"/>
      <c r="V177" s="474"/>
      <c r="W177" s="6"/>
    </row>
    <row r="178" spans="1:23" ht="15.6">
      <c r="A178" s="472"/>
      <c r="B178" s="379" t="s">
        <v>254</v>
      </c>
      <c r="C178" s="469"/>
      <c r="D178" s="469"/>
      <c r="E178" s="469"/>
      <c r="F178" s="469"/>
      <c r="G178" s="469"/>
      <c r="H178" s="469"/>
      <c r="I178" s="469"/>
      <c r="J178" s="469"/>
      <c r="K178" s="469"/>
      <c r="L178" s="469"/>
      <c r="M178" s="473"/>
      <c r="N178" s="473"/>
      <c r="O178" s="473"/>
      <c r="P178" s="454"/>
      <c r="Q178" s="454"/>
      <c r="R178" s="379"/>
      <c r="S178" s="453">
        <v>4</v>
      </c>
      <c r="T178" s="454"/>
      <c r="U178" s="470"/>
      <c r="V178" s="474"/>
      <c r="W178" s="6"/>
    </row>
    <row r="179" spans="1:23" ht="15.6">
      <c r="A179" s="465"/>
      <c r="B179" s="379" t="s">
        <v>75</v>
      </c>
      <c r="C179" s="469"/>
      <c r="D179" s="469"/>
      <c r="E179" s="469"/>
      <c r="F179" s="469"/>
      <c r="G179" s="469"/>
      <c r="H179" s="469"/>
      <c r="I179" s="469"/>
      <c r="J179" s="469"/>
      <c r="K179" s="469"/>
      <c r="L179" s="469"/>
      <c r="M179" s="475"/>
      <c r="N179" s="475"/>
      <c r="O179" s="476"/>
      <c r="P179" s="454"/>
      <c r="Q179" s="454"/>
      <c r="R179" s="379"/>
      <c r="S179" s="501">
        <v>27.5</v>
      </c>
      <c r="T179" s="454"/>
      <c r="U179" s="470"/>
      <c r="V179" s="474"/>
      <c r="W179" s="6"/>
    </row>
    <row r="180" spans="1:23" ht="15.6">
      <c r="A180" s="465"/>
      <c r="B180" s="379" t="s">
        <v>76</v>
      </c>
      <c r="C180" s="469"/>
      <c r="D180" s="469"/>
      <c r="E180" s="469"/>
      <c r="F180" s="469"/>
      <c r="G180" s="469"/>
      <c r="H180" s="469"/>
      <c r="I180" s="469"/>
      <c r="J180" s="469"/>
      <c r="K180" s="469"/>
      <c r="L180" s="469"/>
      <c r="M180" s="475"/>
      <c r="N180" s="475"/>
      <c r="O180" s="476"/>
      <c r="P180" s="454"/>
      <c r="Q180" s="454"/>
      <c r="R180" s="379"/>
      <c r="S180" s="501">
        <v>263</v>
      </c>
      <c r="T180" s="454"/>
      <c r="U180" s="470"/>
      <c r="V180" s="474"/>
      <c r="W180" s="6"/>
    </row>
    <row r="181" spans="1:23" ht="15.6">
      <c r="A181" s="465"/>
      <c r="B181" s="473"/>
      <c r="C181" s="469"/>
      <c r="D181" s="469"/>
      <c r="E181" s="469"/>
      <c r="F181" s="469"/>
      <c r="G181" s="469"/>
      <c r="H181" s="469"/>
      <c r="I181" s="469"/>
      <c r="J181" s="469"/>
      <c r="K181" s="469"/>
      <c r="L181" s="469"/>
      <c r="M181" s="477"/>
      <c r="N181" s="475"/>
      <c r="O181" s="476"/>
      <c r="P181" s="454"/>
      <c r="Q181" s="454"/>
      <c r="R181" s="379"/>
      <c r="S181" s="503"/>
      <c r="T181" s="454"/>
      <c r="U181" s="470"/>
      <c r="V181" s="474"/>
      <c r="W181" s="6"/>
    </row>
    <row r="182" spans="1:23" ht="15.6">
      <c r="A182" s="465"/>
      <c r="B182" s="468" t="s">
        <v>77</v>
      </c>
      <c r="C182" s="469"/>
      <c r="D182" s="469"/>
      <c r="E182" s="469"/>
      <c r="F182" s="469"/>
      <c r="G182" s="469"/>
      <c r="H182" s="469"/>
      <c r="I182" s="469"/>
      <c r="J182" s="469"/>
      <c r="K182" s="469"/>
      <c r="L182" s="469"/>
      <c r="M182" s="469"/>
      <c r="N182" s="477"/>
      <c r="O182" s="475"/>
      <c r="P182" s="476"/>
      <c r="Q182" s="454"/>
      <c r="R182" s="380"/>
      <c r="S182" s="504"/>
      <c r="T182" s="478"/>
      <c r="U182" s="390"/>
      <c r="V182" s="479"/>
      <c r="W182" s="6"/>
    </row>
    <row r="183" spans="1:23" ht="15.6">
      <c r="A183" s="465"/>
      <c r="B183" s="379" t="s">
        <v>78</v>
      </c>
      <c r="C183" s="469"/>
      <c r="D183" s="469"/>
      <c r="E183" s="469"/>
      <c r="F183" s="469"/>
      <c r="G183" s="469"/>
      <c r="H183" s="469"/>
      <c r="I183" s="469"/>
      <c r="J183" s="469"/>
      <c r="K183" s="469"/>
      <c r="L183" s="469"/>
      <c r="M183" s="469"/>
      <c r="N183" s="477"/>
      <c r="O183" s="475"/>
      <c r="P183" s="476"/>
      <c r="Q183" s="454"/>
      <c r="R183" s="380"/>
      <c r="S183" s="502">
        <v>143</v>
      </c>
      <c r="T183" s="480"/>
      <c r="U183" s="390"/>
      <c r="V183" s="479"/>
      <c r="W183" s="6"/>
    </row>
    <row r="184" spans="1:23" ht="15.6">
      <c r="A184" s="465"/>
      <c r="B184" s="379" t="s">
        <v>75</v>
      </c>
      <c r="C184" s="469"/>
      <c r="D184" s="469"/>
      <c r="E184" s="469"/>
      <c r="F184" s="469"/>
      <c r="G184" s="469"/>
      <c r="H184" s="469"/>
      <c r="I184" s="469"/>
      <c r="J184" s="469"/>
      <c r="K184" s="469"/>
      <c r="L184" s="469"/>
      <c r="M184" s="469"/>
      <c r="N184" s="477"/>
      <c r="O184" s="475"/>
      <c r="P184" s="476"/>
      <c r="Q184" s="454"/>
      <c r="R184" s="380"/>
      <c r="S184" s="502">
        <v>3.01</v>
      </c>
      <c r="T184" s="480"/>
      <c r="U184" s="390"/>
      <c r="V184" s="479"/>
      <c r="W184" s="6"/>
    </row>
    <row r="185" spans="1:23" ht="15.6">
      <c r="A185" s="465"/>
      <c r="B185" s="379" t="s">
        <v>79</v>
      </c>
      <c r="C185" s="469"/>
      <c r="D185" s="469"/>
      <c r="E185" s="469"/>
      <c r="F185" s="469"/>
      <c r="G185" s="469"/>
      <c r="H185" s="469"/>
      <c r="I185" s="469"/>
      <c r="J185" s="469"/>
      <c r="K185" s="469"/>
      <c r="L185" s="469"/>
      <c r="M185" s="469"/>
      <c r="N185" s="477"/>
      <c r="O185" s="475"/>
      <c r="P185" s="476"/>
      <c r="Q185" s="454"/>
      <c r="R185" s="380"/>
      <c r="S185" s="502">
        <v>61.89</v>
      </c>
      <c r="T185" s="480"/>
      <c r="U185" s="390"/>
      <c r="V185" s="479"/>
      <c r="W185" s="6"/>
    </row>
    <row r="186" spans="1:23" ht="15.6">
      <c r="A186" s="465"/>
      <c r="B186" s="473"/>
      <c r="C186" s="469"/>
      <c r="D186" s="469"/>
      <c r="E186" s="469"/>
      <c r="F186" s="469"/>
      <c r="G186" s="469"/>
      <c r="H186" s="469"/>
      <c r="I186" s="469"/>
      <c r="J186" s="469"/>
      <c r="K186" s="469"/>
      <c r="L186" s="469"/>
      <c r="M186" s="477"/>
      <c r="N186" s="475"/>
      <c r="O186" s="476"/>
      <c r="P186" s="454"/>
      <c r="Q186" s="454"/>
      <c r="R186" s="454"/>
      <c r="S186" s="481"/>
      <c r="T186" s="454"/>
      <c r="U186" s="470"/>
      <c r="V186" s="474"/>
      <c r="W186" s="6"/>
    </row>
    <row r="187" spans="1:23" ht="17.399999999999999">
      <c r="A187" s="465"/>
      <c r="B187" s="482" t="s">
        <v>196</v>
      </c>
      <c r="C187" s="469"/>
      <c r="D187" s="469"/>
      <c r="E187" s="469"/>
      <c r="F187" s="469"/>
      <c r="G187" s="469"/>
      <c r="H187" s="469"/>
      <c r="I187" s="469"/>
      <c r="J187" s="469"/>
      <c r="K187" s="483" t="s">
        <v>195</v>
      </c>
      <c r="L187" s="469"/>
      <c r="M187" s="477"/>
      <c r="N187" s="475"/>
      <c r="O187" s="476"/>
      <c r="P187" s="454"/>
      <c r="Q187" s="454"/>
      <c r="R187" s="454"/>
      <c r="S187" s="481"/>
      <c r="T187" s="454"/>
      <c r="U187" s="470"/>
      <c r="V187" s="474"/>
      <c r="W187" s="6"/>
    </row>
    <row r="188" spans="1:23" ht="15.6">
      <c r="A188" s="242"/>
      <c r="B188" s="460"/>
      <c r="C188" s="461"/>
      <c r="D188" s="461"/>
      <c r="E188" s="461"/>
      <c r="F188" s="461"/>
      <c r="G188" s="461"/>
      <c r="H188" s="461"/>
      <c r="I188" s="461"/>
      <c r="J188" s="461"/>
      <c r="K188" s="461"/>
      <c r="L188" s="461"/>
      <c r="M188" s="462"/>
      <c r="N188" s="461"/>
      <c r="O188" s="462"/>
      <c r="P188" s="461"/>
      <c r="Q188" s="462"/>
      <c r="R188" s="461"/>
      <c r="S188" s="462"/>
      <c r="T188" s="461"/>
      <c r="U188" s="463"/>
      <c r="V188" s="464"/>
      <c r="W188" s="6"/>
    </row>
    <row r="189" spans="1:23" ht="15.6">
      <c r="A189" s="348"/>
      <c r="B189" s="359" t="s">
        <v>80</v>
      </c>
      <c r="C189" s="343"/>
      <c r="D189" s="343"/>
      <c r="E189" s="343"/>
      <c r="F189" s="343"/>
      <c r="G189" s="343"/>
      <c r="H189" s="343"/>
      <c r="I189" s="343"/>
      <c r="J189" s="343"/>
      <c r="K189" s="343"/>
      <c r="L189" s="343"/>
      <c r="M189" s="359" t="s">
        <v>100</v>
      </c>
      <c r="N189" s="344"/>
      <c r="O189" s="345"/>
      <c r="P189" s="344"/>
      <c r="Q189" s="359" t="s">
        <v>26</v>
      </c>
      <c r="R189" s="344"/>
      <c r="S189" s="345"/>
      <c r="T189" s="344"/>
      <c r="U189" s="346"/>
      <c r="V189" s="347"/>
      <c r="W189" s="6"/>
    </row>
    <row r="190" spans="1:23" ht="15.6">
      <c r="A190" s="365"/>
      <c r="B190" s="366"/>
      <c r="C190" s="367"/>
      <c r="D190" s="367"/>
      <c r="E190" s="367"/>
      <c r="F190" s="367"/>
      <c r="G190" s="367"/>
      <c r="H190" s="367"/>
      <c r="I190" s="367"/>
      <c r="J190" s="367"/>
      <c r="K190" s="367"/>
      <c r="L190" s="367" t="s">
        <v>94</v>
      </c>
      <c r="M190" s="368" t="s">
        <v>101</v>
      </c>
      <c r="N190" s="367" t="s">
        <v>103</v>
      </c>
      <c r="O190" s="368" t="s">
        <v>101</v>
      </c>
      <c r="P190" s="368"/>
      <c r="Q190" s="367" t="s">
        <v>94</v>
      </c>
      <c r="R190" s="368" t="s">
        <v>101</v>
      </c>
      <c r="S190" s="367" t="s">
        <v>103</v>
      </c>
      <c r="T190" s="368" t="s">
        <v>101</v>
      </c>
      <c r="U190" s="369"/>
      <c r="V190" s="370"/>
      <c r="W190" s="6"/>
    </row>
    <row r="191" spans="1:23" ht="15.6">
      <c r="A191" s="316"/>
      <c r="B191" s="360" t="s">
        <v>81</v>
      </c>
      <c r="C191" s="361"/>
      <c r="D191" s="361"/>
      <c r="E191" s="361"/>
      <c r="F191" s="361"/>
      <c r="G191" s="361"/>
      <c r="H191" s="361"/>
      <c r="I191" s="361"/>
      <c r="J191" s="361"/>
      <c r="K191" s="361"/>
      <c r="L191" s="361">
        <v>1751</v>
      </c>
      <c r="M191" s="362">
        <f t="shared" ref="M191:M197" si="0">+L191/$L$198</f>
        <v>0.85331384015594547</v>
      </c>
      <c r="N191" s="361">
        <v>4635</v>
      </c>
      <c r="O191" s="362">
        <f t="shared" ref="O191:O197" si="1">N191/$N$198</f>
        <v>0.83997825299021389</v>
      </c>
      <c r="P191" s="363"/>
      <c r="Q191" s="361">
        <v>2088</v>
      </c>
      <c r="R191" s="362">
        <f t="shared" ref="R191:R197" si="2">+Q191/$Q$198</f>
        <v>0.84774665042630937</v>
      </c>
      <c r="S191" s="361">
        <v>1862</v>
      </c>
      <c r="T191" s="362">
        <f t="shared" ref="T191:T197" si="3">+S191/$S$198</f>
        <v>0.80571181306793593</v>
      </c>
      <c r="U191" s="364"/>
      <c r="V191" s="312"/>
      <c r="W191" s="6"/>
    </row>
    <row r="192" spans="1:23" ht="15.6">
      <c r="A192" s="444"/>
      <c r="B192" s="440" t="s">
        <v>82</v>
      </c>
      <c r="C192" s="489"/>
      <c r="D192" s="489"/>
      <c r="E192" s="489"/>
      <c r="F192" s="489"/>
      <c r="G192" s="489"/>
      <c r="H192" s="489"/>
      <c r="I192" s="489"/>
      <c r="J192" s="489"/>
      <c r="K192" s="489"/>
      <c r="L192" s="489">
        <v>18</v>
      </c>
      <c r="M192" s="427">
        <f t="shared" si="0"/>
        <v>8.771929824561403E-3</v>
      </c>
      <c r="N192" s="489">
        <v>34</v>
      </c>
      <c r="O192" s="427">
        <f t="shared" si="1"/>
        <v>6.1616527727437476E-3</v>
      </c>
      <c r="P192" s="381"/>
      <c r="Q192" s="489">
        <v>28</v>
      </c>
      <c r="R192" s="427">
        <f t="shared" si="2"/>
        <v>1.1368250101502234E-2</v>
      </c>
      <c r="S192" s="489">
        <v>26</v>
      </c>
      <c r="T192" s="427">
        <f t="shared" si="3"/>
        <v>1.1250540891389009E-2</v>
      </c>
      <c r="U192" s="379"/>
      <c r="V192" s="435"/>
      <c r="W192" s="6"/>
    </row>
    <row r="193" spans="1:24" ht="15.6">
      <c r="A193" s="444"/>
      <c r="B193" s="440" t="s">
        <v>83</v>
      </c>
      <c r="C193" s="489"/>
      <c r="D193" s="489"/>
      <c r="E193" s="489"/>
      <c r="F193" s="489"/>
      <c r="G193" s="489"/>
      <c r="H193" s="489"/>
      <c r="I193" s="489"/>
      <c r="J193" s="489"/>
      <c r="K193" s="489"/>
      <c r="L193" s="489">
        <v>26</v>
      </c>
      <c r="M193" s="427">
        <f t="shared" si="0"/>
        <v>1.2670565302144249E-2</v>
      </c>
      <c r="N193" s="489">
        <v>86</v>
      </c>
      <c r="O193" s="427">
        <f t="shared" si="1"/>
        <v>1.5585357013410656E-2</v>
      </c>
      <c r="P193" s="381"/>
      <c r="Q193" s="489">
        <v>30</v>
      </c>
      <c r="R193" s="427">
        <f t="shared" si="2"/>
        <v>1.2180267965895249E-2</v>
      </c>
      <c r="S193" s="489">
        <v>17</v>
      </c>
      <c r="T193" s="427">
        <f t="shared" si="3"/>
        <v>7.3561228905235825E-3</v>
      </c>
      <c r="U193" s="379"/>
      <c r="V193" s="435"/>
      <c r="W193" s="6"/>
    </row>
    <row r="194" spans="1:24" ht="15.6">
      <c r="A194" s="444"/>
      <c r="B194" s="440" t="s">
        <v>186</v>
      </c>
      <c r="C194" s="489"/>
      <c r="D194" s="489"/>
      <c r="E194" s="489"/>
      <c r="F194" s="489"/>
      <c r="G194" s="489"/>
      <c r="H194" s="489"/>
      <c r="I194" s="489"/>
      <c r="J194" s="489"/>
      <c r="K194" s="489"/>
      <c r="L194" s="489">
        <v>39</v>
      </c>
      <c r="M194" s="427">
        <f t="shared" si="0"/>
        <v>1.9005847953216373E-2</v>
      </c>
      <c r="N194" s="489">
        <v>125</v>
      </c>
      <c r="O194" s="427">
        <f t="shared" si="1"/>
        <v>2.2653135193910837E-2</v>
      </c>
      <c r="P194" s="381"/>
      <c r="Q194" s="489">
        <v>25</v>
      </c>
      <c r="R194" s="427">
        <f t="shared" si="2"/>
        <v>1.0150223304912708E-2</v>
      </c>
      <c r="S194" s="489">
        <v>22</v>
      </c>
      <c r="T194" s="427">
        <f t="shared" si="3"/>
        <v>9.5196884465599315E-3</v>
      </c>
      <c r="U194" s="379"/>
      <c r="V194" s="435"/>
      <c r="W194" s="6"/>
    </row>
    <row r="195" spans="1:24" ht="15.6">
      <c r="A195" s="444"/>
      <c r="B195" s="440" t="s">
        <v>187</v>
      </c>
      <c r="C195" s="489"/>
      <c r="D195" s="489"/>
      <c r="E195" s="489"/>
      <c r="F195" s="489"/>
      <c r="G195" s="489"/>
      <c r="H195" s="489"/>
      <c r="I195" s="489"/>
      <c r="J195" s="489"/>
      <c r="K195" s="489"/>
      <c r="L195" s="489">
        <v>24</v>
      </c>
      <c r="M195" s="427">
        <f t="shared" si="0"/>
        <v>1.1695906432748537E-2</v>
      </c>
      <c r="N195" s="489">
        <v>71</v>
      </c>
      <c r="O195" s="427">
        <f t="shared" si="1"/>
        <v>1.2866980790141355E-2</v>
      </c>
      <c r="P195" s="381"/>
      <c r="Q195" s="489">
        <v>34</v>
      </c>
      <c r="R195" s="427">
        <f t="shared" si="2"/>
        <v>1.3804303694681283E-2</v>
      </c>
      <c r="S195" s="489">
        <v>41</v>
      </c>
      <c r="T195" s="427">
        <f t="shared" si="3"/>
        <v>1.7741237559498052E-2</v>
      </c>
      <c r="U195" s="379"/>
      <c r="V195" s="435"/>
      <c r="W195" s="6"/>
    </row>
    <row r="196" spans="1:24" ht="15.6">
      <c r="A196" s="444"/>
      <c r="B196" s="440" t="s">
        <v>188</v>
      </c>
      <c r="C196" s="489"/>
      <c r="D196" s="489"/>
      <c r="E196" s="489"/>
      <c r="F196" s="489"/>
      <c r="G196" s="489"/>
      <c r="H196" s="489"/>
      <c r="I196" s="489"/>
      <c r="J196" s="489"/>
      <c r="K196" s="489"/>
      <c r="L196" s="489">
        <v>33</v>
      </c>
      <c r="M196" s="427">
        <f t="shared" si="0"/>
        <v>1.6081871345029239E-2</v>
      </c>
      <c r="N196" s="489">
        <v>76</v>
      </c>
      <c r="O196" s="427">
        <f t="shared" si="1"/>
        <v>1.3773106197897789E-2</v>
      </c>
      <c r="P196" s="381"/>
      <c r="Q196" s="489">
        <v>44</v>
      </c>
      <c r="R196" s="427">
        <f t="shared" si="2"/>
        <v>1.7864393016646368E-2</v>
      </c>
      <c r="S196" s="489">
        <v>38</v>
      </c>
      <c r="T196" s="427">
        <f t="shared" si="3"/>
        <v>1.6443098225876245E-2</v>
      </c>
      <c r="U196" s="379"/>
      <c r="V196" s="435"/>
      <c r="W196" s="6"/>
    </row>
    <row r="197" spans="1:24" ht="15.6">
      <c r="A197" s="444"/>
      <c r="B197" s="440" t="s">
        <v>189</v>
      </c>
      <c r="C197" s="489"/>
      <c r="D197" s="489"/>
      <c r="E197" s="489"/>
      <c r="F197" s="489"/>
      <c r="G197" s="489"/>
      <c r="H197" s="489"/>
      <c r="I197" s="489"/>
      <c r="J197" s="489"/>
      <c r="K197" s="489"/>
      <c r="L197" s="489">
        <v>161</v>
      </c>
      <c r="M197" s="427">
        <f t="shared" si="0"/>
        <v>7.8460038986354771E-2</v>
      </c>
      <c r="N197" s="489">
        <v>491</v>
      </c>
      <c r="O197" s="427">
        <f t="shared" si="1"/>
        <v>8.8981515041681766E-2</v>
      </c>
      <c r="P197" s="381"/>
      <c r="Q197" s="489">
        <v>214</v>
      </c>
      <c r="R197" s="427">
        <f t="shared" si="2"/>
        <v>8.6885911490052786E-2</v>
      </c>
      <c r="S197" s="489">
        <v>305</v>
      </c>
      <c r="T197" s="427">
        <f t="shared" si="3"/>
        <v>0.13197749891821722</v>
      </c>
      <c r="U197" s="379"/>
      <c r="V197" s="435"/>
      <c r="W197" s="6"/>
    </row>
    <row r="198" spans="1:24" ht="15.6">
      <c r="A198" s="444"/>
      <c r="B198" s="440" t="s">
        <v>84</v>
      </c>
      <c r="C198" s="489"/>
      <c r="D198" s="489"/>
      <c r="E198" s="489"/>
      <c r="F198" s="489"/>
      <c r="G198" s="489"/>
      <c r="H198" s="489"/>
      <c r="I198" s="489"/>
      <c r="J198" s="489"/>
      <c r="K198" s="489"/>
      <c r="L198" s="489">
        <f>SUM(L191:L197)</f>
        <v>2052</v>
      </c>
      <c r="M198" s="427">
        <f>SUM(M191:M197)</f>
        <v>1</v>
      </c>
      <c r="N198" s="489">
        <f>SUM(N191:N197)</f>
        <v>5518</v>
      </c>
      <c r="O198" s="427">
        <f>SUM(O191:O197)</f>
        <v>1</v>
      </c>
      <c r="P198" s="381"/>
      <c r="Q198" s="489">
        <f>SUM(Q191:Q197)</f>
        <v>2463</v>
      </c>
      <c r="R198" s="427">
        <f>SUM(R191:R197)</f>
        <v>0.99999999999999989</v>
      </c>
      <c r="S198" s="489">
        <f>SUM(S191:S197)</f>
        <v>2311</v>
      </c>
      <c r="T198" s="427">
        <f>SUM(T191:T197)</f>
        <v>0.99999999999999989</v>
      </c>
      <c r="U198" s="379"/>
      <c r="V198" s="435"/>
      <c r="W198" s="6"/>
      <c r="X198" s="64"/>
    </row>
    <row r="199" spans="1:24" ht="15.6">
      <c r="A199" s="444"/>
      <c r="B199" s="440" t="s">
        <v>85</v>
      </c>
      <c r="C199" s="489"/>
      <c r="D199" s="489"/>
      <c r="E199" s="489"/>
      <c r="F199" s="489"/>
      <c r="G199" s="489"/>
      <c r="H199" s="489"/>
      <c r="I199" s="489"/>
      <c r="J199" s="489"/>
      <c r="K199" s="489"/>
      <c r="L199" s="489">
        <v>955</v>
      </c>
      <c r="M199" s="380"/>
      <c r="N199" s="489">
        <v>5998</v>
      </c>
      <c r="O199" s="380"/>
      <c r="P199" s="381"/>
      <c r="Q199" s="489">
        <v>598</v>
      </c>
      <c r="R199" s="380"/>
      <c r="S199" s="489">
        <v>1359</v>
      </c>
      <c r="T199" s="380"/>
      <c r="U199" s="379"/>
      <c r="V199" s="435"/>
      <c r="W199" s="6"/>
      <c r="X199" s="64"/>
    </row>
    <row r="200" spans="1:24" ht="15.6">
      <c r="A200" s="444"/>
      <c r="B200" s="440" t="s">
        <v>86</v>
      </c>
      <c r="C200" s="489"/>
      <c r="D200" s="489"/>
      <c r="E200" s="489"/>
      <c r="F200" s="489"/>
      <c r="G200" s="489"/>
      <c r="H200" s="489"/>
      <c r="I200" s="489"/>
      <c r="J200" s="489"/>
      <c r="K200" s="489"/>
      <c r="L200" s="489">
        <f>SUM(L198:L199)</f>
        <v>3007</v>
      </c>
      <c r="M200" s="450"/>
      <c r="N200" s="489">
        <f>SUM(N198:N199)</f>
        <v>11516</v>
      </c>
      <c r="O200" s="490"/>
      <c r="P200" s="450"/>
      <c r="Q200" s="489">
        <f>SUM(Q198:Q199)</f>
        <v>3061</v>
      </c>
      <c r="R200" s="450"/>
      <c r="S200" s="489">
        <f>SUM(S198:S199)</f>
        <v>3670</v>
      </c>
      <c r="T200" s="450"/>
      <c r="U200" s="450"/>
      <c r="V200" s="435"/>
      <c r="W200" s="6"/>
      <c r="X200" s="64"/>
    </row>
    <row r="201" spans="1:24" ht="15.6">
      <c r="A201" s="242"/>
      <c r="B201" s="484"/>
      <c r="C201" s="485"/>
      <c r="D201" s="485"/>
      <c r="E201" s="485"/>
      <c r="F201" s="485"/>
      <c r="G201" s="485"/>
      <c r="H201" s="485"/>
      <c r="I201" s="485"/>
      <c r="J201" s="485"/>
      <c r="K201" s="485"/>
      <c r="L201" s="486"/>
      <c r="M201" s="487"/>
      <c r="N201" s="486"/>
      <c r="O201" s="487"/>
      <c r="P201" s="488"/>
      <c r="Q201" s="486"/>
      <c r="R201" s="487"/>
      <c r="S201" s="486"/>
      <c r="T201" s="487"/>
      <c r="U201" s="463"/>
      <c r="V201" s="464"/>
      <c r="W201" s="6"/>
    </row>
    <row r="202" spans="1:24" ht="15.6">
      <c r="A202" s="349"/>
      <c r="B202" s="359" t="s">
        <v>80</v>
      </c>
      <c r="C202" s="344"/>
      <c r="D202" s="344"/>
      <c r="E202" s="344"/>
      <c r="F202" s="344"/>
      <c r="G202" s="344"/>
      <c r="H202" s="344"/>
      <c r="I202" s="344"/>
      <c r="J202" s="344"/>
      <c r="K202" s="344"/>
      <c r="L202" s="344"/>
      <c r="M202" s="359" t="s">
        <v>27</v>
      </c>
      <c r="N202" s="344"/>
      <c r="O202" s="345"/>
      <c r="P202" s="344"/>
      <c r="Q202" s="359" t="s">
        <v>28</v>
      </c>
      <c r="R202" s="344"/>
      <c r="S202" s="345"/>
      <c r="T202" s="344"/>
      <c r="U202" s="346"/>
      <c r="V202" s="347"/>
      <c r="W202" s="6"/>
    </row>
    <row r="203" spans="1:24" ht="15.6">
      <c r="A203" s="371"/>
      <c r="B203" s="372"/>
      <c r="C203" s="373"/>
      <c r="D203" s="373"/>
      <c r="E203" s="373"/>
      <c r="F203" s="373"/>
      <c r="G203" s="373"/>
      <c r="H203" s="373"/>
      <c r="I203" s="373"/>
      <c r="J203" s="373"/>
      <c r="K203" s="373"/>
      <c r="L203" s="373" t="s">
        <v>94</v>
      </c>
      <c r="M203" s="374" t="s">
        <v>101</v>
      </c>
      <c r="N203" s="373" t="s">
        <v>103</v>
      </c>
      <c r="O203" s="374" t="s">
        <v>101</v>
      </c>
      <c r="P203" s="374"/>
      <c r="Q203" s="373" t="s">
        <v>94</v>
      </c>
      <c r="R203" s="374" t="s">
        <v>101</v>
      </c>
      <c r="S203" s="373" t="s">
        <v>103</v>
      </c>
      <c r="T203" s="374" t="s">
        <v>101</v>
      </c>
      <c r="U203" s="375"/>
      <c r="V203" s="376"/>
      <c r="W203" s="6"/>
    </row>
    <row r="204" spans="1:24" ht="15.6">
      <c r="A204" s="315"/>
      <c r="B204" s="310" t="s">
        <v>81</v>
      </c>
      <c r="C204" s="351"/>
      <c r="D204" s="351"/>
      <c r="E204" s="351"/>
      <c r="F204" s="351"/>
      <c r="G204" s="351"/>
      <c r="H204" s="351"/>
      <c r="I204" s="351"/>
      <c r="J204" s="351"/>
      <c r="K204" s="351"/>
      <c r="L204" s="351">
        <v>7470</v>
      </c>
      <c r="M204" s="299">
        <f t="shared" ref="M204:M210" si="4">+L204/$L$211</f>
        <v>0.88854525990246225</v>
      </c>
      <c r="N204" s="351">
        <v>188350</v>
      </c>
      <c r="O204" s="299">
        <f t="shared" ref="O204:O210" si="5">+N204/$N$211</f>
        <v>0.87540726074447961</v>
      </c>
      <c r="P204" s="296"/>
      <c r="Q204" s="351">
        <v>1603</v>
      </c>
      <c r="R204" s="299">
        <f t="shared" ref="R204:R210" si="6">Q204/$Q$211</f>
        <v>0.94128009395184964</v>
      </c>
      <c r="S204" s="351">
        <v>17630</v>
      </c>
      <c r="T204" s="299">
        <f t="shared" ref="T204:T210" si="7">+S204/$S$211</f>
        <v>0.93756647521803871</v>
      </c>
      <c r="U204" s="294"/>
      <c r="V204" s="301"/>
      <c r="W204" s="6"/>
    </row>
    <row r="205" spans="1:24" ht="15.6">
      <c r="A205" s="444"/>
      <c r="B205" s="440" t="s">
        <v>82</v>
      </c>
      <c r="C205" s="489"/>
      <c r="D205" s="489"/>
      <c r="E205" s="489"/>
      <c r="F205" s="489"/>
      <c r="G205" s="489"/>
      <c r="H205" s="489"/>
      <c r="I205" s="489"/>
      <c r="J205" s="489"/>
      <c r="K205" s="489"/>
      <c r="L205" s="489">
        <v>334</v>
      </c>
      <c r="M205" s="427">
        <f t="shared" si="4"/>
        <v>3.9728797430712504E-2</v>
      </c>
      <c r="N205" s="489">
        <v>9510</v>
      </c>
      <c r="O205" s="427">
        <f t="shared" si="5"/>
        <v>4.4200281654791618E-2</v>
      </c>
      <c r="P205" s="381"/>
      <c r="Q205" s="489">
        <v>34</v>
      </c>
      <c r="R205" s="427">
        <f t="shared" si="6"/>
        <v>1.996476805637111E-2</v>
      </c>
      <c r="S205" s="489">
        <v>315</v>
      </c>
      <c r="T205" s="427">
        <f t="shared" si="7"/>
        <v>1.6751754945756221E-2</v>
      </c>
      <c r="U205" s="379"/>
      <c r="V205" s="435"/>
      <c r="W205" s="6"/>
    </row>
    <row r="206" spans="1:24" ht="15.6">
      <c r="A206" s="444"/>
      <c r="B206" s="440" t="s">
        <v>83</v>
      </c>
      <c r="C206" s="489"/>
      <c r="D206" s="489"/>
      <c r="E206" s="489"/>
      <c r="F206" s="489"/>
      <c r="G206" s="489"/>
      <c r="H206" s="489"/>
      <c r="I206" s="489"/>
      <c r="J206" s="489"/>
      <c r="K206" s="489"/>
      <c r="L206" s="489">
        <v>153</v>
      </c>
      <c r="M206" s="427">
        <f t="shared" si="4"/>
        <v>1.8199119781134768E-2</v>
      </c>
      <c r="N206" s="489">
        <v>4554</v>
      </c>
      <c r="O206" s="427">
        <f t="shared" si="5"/>
        <v>2.1165939290843431E-2</v>
      </c>
      <c r="P206" s="381"/>
      <c r="Q206" s="489">
        <v>22</v>
      </c>
      <c r="R206" s="427">
        <f t="shared" si="6"/>
        <v>1.2918379330593071E-2</v>
      </c>
      <c r="S206" s="489">
        <v>318</v>
      </c>
      <c r="T206" s="427">
        <f t="shared" si="7"/>
        <v>1.691129546904914E-2</v>
      </c>
      <c r="U206" s="379"/>
      <c r="V206" s="435"/>
      <c r="W206" s="6"/>
      <c r="X206" s="182"/>
    </row>
    <row r="207" spans="1:24" ht="15.6">
      <c r="A207" s="444"/>
      <c r="B207" s="440" t="s">
        <v>186</v>
      </c>
      <c r="C207" s="489"/>
      <c r="D207" s="489"/>
      <c r="E207" s="489"/>
      <c r="F207" s="489"/>
      <c r="G207" s="489"/>
      <c r="H207" s="489"/>
      <c r="I207" s="489"/>
      <c r="J207" s="489"/>
      <c r="K207" s="489"/>
      <c r="L207" s="489">
        <v>113</v>
      </c>
      <c r="M207" s="427">
        <f t="shared" si="4"/>
        <v>1.3441179969073392E-2</v>
      </c>
      <c r="N207" s="489">
        <v>3015</v>
      </c>
      <c r="O207" s="427">
        <f t="shared" si="5"/>
        <v>1.401302304828567E-2</v>
      </c>
      <c r="P207" s="381"/>
      <c r="Q207" s="489">
        <v>7</v>
      </c>
      <c r="R207" s="427">
        <f t="shared" si="6"/>
        <v>4.1103934233705222E-3</v>
      </c>
      <c r="S207" s="489">
        <v>92</v>
      </c>
      <c r="T207" s="427">
        <f t="shared" si="7"/>
        <v>4.8925760476494365E-3</v>
      </c>
      <c r="U207" s="379"/>
      <c r="V207" s="435"/>
      <c r="W207" s="6"/>
    </row>
    <row r="208" spans="1:24" ht="15.6">
      <c r="A208" s="444"/>
      <c r="B208" s="440" t="s">
        <v>187</v>
      </c>
      <c r="C208" s="489"/>
      <c r="D208" s="489"/>
      <c r="E208" s="489"/>
      <c r="F208" s="489"/>
      <c r="G208" s="489"/>
      <c r="H208" s="489"/>
      <c r="I208" s="489"/>
      <c r="J208" s="489"/>
      <c r="K208" s="489"/>
      <c r="L208" s="489">
        <v>85</v>
      </c>
      <c r="M208" s="427">
        <f t="shared" si="4"/>
        <v>1.0110622100630427E-2</v>
      </c>
      <c r="N208" s="489">
        <v>2097</v>
      </c>
      <c r="O208" s="427">
        <f t="shared" si="5"/>
        <v>9.7463712544792868E-3</v>
      </c>
      <c r="P208" s="381"/>
      <c r="Q208" s="489">
        <v>7</v>
      </c>
      <c r="R208" s="427">
        <f t="shared" si="6"/>
        <v>4.1103934233705222E-3</v>
      </c>
      <c r="S208" s="489">
        <v>74</v>
      </c>
      <c r="T208" s="427">
        <f t="shared" si="7"/>
        <v>3.9353329078919376E-3</v>
      </c>
      <c r="U208" s="379"/>
      <c r="V208" s="435"/>
      <c r="W208" s="6"/>
    </row>
    <row r="209" spans="1:24" ht="15.6">
      <c r="A209" s="444"/>
      <c r="B209" s="440" t="s">
        <v>188</v>
      </c>
      <c r="C209" s="489"/>
      <c r="D209" s="489"/>
      <c r="E209" s="489"/>
      <c r="F209" s="489"/>
      <c r="G209" s="489"/>
      <c r="H209" s="489"/>
      <c r="I209" s="489"/>
      <c r="J209" s="489"/>
      <c r="K209" s="489"/>
      <c r="L209" s="489">
        <v>73</v>
      </c>
      <c r="M209" s="427">
        <f t="shared" si="4"/>
        <v>8.6832401570120146E-3</v>
      </c>
      <c r="N209" s="489">
        <v>2150</v>
      </c>
      <c r="O209" s="427">
        <f t="shared" si="5"/>
        <v>9.9927030029234466E-3</v>
      </c>
      <c r="P209" s="381"/>
      <c r="Q209" s="489">
        <v>10</v>
      </c>
      <c r="R209" s="427">
        <f t="shared" si="6"/>
        <v>5.8719906048150319E-3</v>
      </c>
      <c r="S209" s="489">
        <v>118</v>
      </c>
      <c r="T209" s="427">
        <f t="shared" si="7"/>
        <v>6.2752605828547119E-3</v>
      </c>
      <c r="U209" s="379"/>
      <c r="V209" s="435"/>
      <c r="W209" s="6"/>
    </row>
    <row r="210" spans="1:24" ht="15.6">
      <c r="A210" s="444"/>
      <c r="B210" s="440" t="s">
        <v>189</v>
      </c>
      <c r="C210" s="489"/>
      <c r="D210" s="489"/>
      <c r="E210" s="489"/>
      <c r="F210" s="489"/>
      <c r="G210" s="489"/>
      <c r="H210" s="489"/>
      <c r="I210" s="489"/>
      <c r="J210" s="489"/>
      <c r="K210" s="489"/>
      <c r="L210" s="489">
        <v>179</v>
      </c>
      <c r="M210" s="427">
        <f t="shared" si="4"/>
        <v>2.1291780658974663E-2</v>
      </c>
      <c r="N210" s="489">
        <v>5481</v>
      </c>
      <c r="O210" s="427">
        <f t="shared" si="5"/>
        <v>2.5474421004196935E-2</v>
      </c>
      <c r="P210" s="381"/>
      <c r="Q210" s="489">
        <v>20</v>
      </c>
      <c r="R210" s="427">
        <f t="shared" si="6"/>
        <v>1.1743981209630064E-2</v>
      </c>
      <c r="S210" s="489">
        <v>257</v>
      </c>
      <c r="T210" s="427">
        <f t="shared" si="7"/>
        <v>1.3667304828759838E-2</v>
      </c>
      <c r="U210" s="379"/>
      <c r="V210" s="435"/>
      <c r="W210" s="6"/>
    </row>
    <row r="211" spans="1:24" ht="15.6">
      <c r="A211" s="444"/>
      <c r="B211" s="440" t="str">
        <f>B198</f>
        <v>Total Performing  Assets</v>
      </c>
      <c r="C211" s="489"/>
      <c r="D211" s="489"/>
      <c r="E211" s="489"/>
      <c r="F211" s="489"/>
      <c r="G211" s="489"/>
      <c r="H211" s="489"/>
      <c r="I211" s="489"/>
      <c r="J211" s="489"/>
      <c r="K211" s="489"/>
      <c r="L211" s="489">
        <f>SUM(L204:L210)</f>
        <v>8407</v>
      </c>
      <c r="M211" s="427">
        <f>SUM(M204:M210)</f>
        <v>0.99999999999999989</v>
      </c>
      <c r="N211" s="489">
        <f>SUM(N204:N210)</f>
        <v>215157</v>
      </c>
      <c r="O211" s="427">
        <f>SUM(O204:O210)</f>
        <v>1</v>
      </c>
      <c r="P211" s="381"/>
      <c r="Q211" s="489">
        <f>SUM(Q204:Q210)</f>
        <v>1703</v>
      </c>
      <c r="R211" s="427">
        <f>SUM(R204:R210)</f>
        <v>0.99999999999999989</v>
      </c>
      <c r="S211" s="489">
        <f>SUM(S204:S210)</f>
        <v>18804</v>
      </c>
      <c r="T211" s="427">
        <f>SUM(T204:T210)</f>
        <v>1</v>
      </c>
      <c r="U211" s="379"/>
      <c r="V211" s="435"/>
      <c r="W211" s="6"/>
    </row>
    <row r="212" spans="1:24" ht="15.6">
      <c r="A212" s="444"/>
      <c r="B212" s="440" t="s">
        <v>85</v>
      </c>
      <c r="C212" s="489"/>
      <c r="D212" s="489"/>
      <c r="E212" s="489"/>
      <c r="F212" s="489"/>
      <c r="G212" s="489"/>
      <c r="H212" s="489"/>
      <c r="I212" s="489"/>
      <c r="J212" s="489"/>
      <c r="K212" s="489"/>
      <c r="L212" s="489">
        <v>105</v>
      </c>
      <c r="M212" s="381"/>
      <c r="N212" s="489">
        <v>3019</v>
      </c>
      <c r="O212" s="380"/>
      <c r="P212" s="381"/>
      <c r="Q212" s="489">
        <v>36</v>
      </c>
      <c r="R212" s="381"/>
      <c r="S212" s="489">
        <v>672</v>
      </c>
      <c r="T212" s="381"/>
      <c r="U212" s="379"/>
      <c r="V212" s="435"/>
      <c r="W212" s="6"/>
    </row>
    <row r="213" spans="1:24" ht="15.6">
      <c r="A213" s="444"/>
      <c r="B213" s="440" t="s">
        <v>86</v>
      </c>
      <c r="C213" s="489"/>
      <c r="D213" s="489"/>
      <c r="E213" s="489"/>
      <c r="F213" s="489"/>
      <c r="G213" s="489"/>
      <c r="H213" s="489"/>
      <c r="I213" s="489"/>
      <c r="J213" s="489"/>
      <c r="K213" s="489"/>
      <c r="L213" s="489">
        <f>SUM(L211:L212)</f>
        <v>8512</v>
      </c>
      <c r="M213" s="450"/>
      <c r="N213" s="489">
        <f>SUM(N211:N212)</f>
        <v>218176</v>
      </c>
      <c r="O213" s="427"/>
      <c r="P213" s="450"/>
      <c r="Q213" s="489">
        <f>SUM(Q211:Q212)</f>
        <v>1739</v>
      </c>
      <c r="R213" s="450"/>
      <c r="S213" s="489">
        <f>SUM(S211:S212)</f>
        <v>19476</v>
      </c>
      <c r="T213" s="450"/>
      <c r="U213" s="450"/>
      <c r="V213" s="492"/>
    </row>
    <row r="214" spans="1:24" ht="15.6">
      <c r="A214" s="444"/>
      <c r="B214" s="440"/>
      <c r="C214" s="381"/>
      <c r="D214" s="381"/>
      <c r="E214" s="381"/>
      <c r="F214" s="381"/>
      <c r="G214" s="381"/>
      <c r="H214" s="381"/>
      <c r="I214" s="381"/>
      <c r="J214" s="381"/>
      <c r="K214" s="381"/>
      <c r="L214" s="381"/>
      <c r="M214" s="493"/>
      <c r="N214" s="381"/>
      <c r="O214" s="493"/>
      <c r="P214" s="381"/>
      <c r="Q214" s="493"/>
      <c r="R214" s="381"/>
      <c r="S214" s="489"/>
      <c r="T214" s="381"/>
      <c r="U214" s="379"/>
      <c r="V214" s="435"/>
      <c r="W214" s="6"/>
    </row>
    <row r="215" spans="1:24" ht="15.6">
      <c r="A215" s="444"/>
      <c r="B215" s="440" t="s">
        <v>86</v>
      </c>
      <c r="C215" s="381"/>
      <c r="D215" s="381"/>
      <c r="E215" s="381"/>
      <c r="F215" s="381"/>
      <c r="G215" s="381"/>
      <c r="H215" s="381"/>
      <c r="I215" s="381"/>
      <c r="J215" s="381"/>
      <c r="K215" s="381"/>
      <c r="L215" s="493"/>
      <c r="M215" s="493"/>
      <c r="N215" s="493"/>
      <c r="O215" s="493"/>
      <c r="P215" s="381"/>
      <c r="Q215" s="493"/>
      <c r="R215" s="381"/>
      <c r="S215" s="489">
        <f>+N200+S200+N213+S213</f>
        <v>252838</v>
      </c>
      <c r="T215" s="490"/>
      <c r="U215" s="379"/>
      <c r="V215" s="435"/>
      <c r="W215" s="6"/>
      <c r="X215" s="182"/>
    </row>
    <row r="216" spans="1:24" ht="15.6">
      <c r="A216" s="316"/>
      <c r="B216" s="360"/>
      <c r="C216" s="363"/>
      <c r="D216" s="363"/>
      <c r="E216" s="363"/>
      <c r="F216" s="363"/>
      <c r="G216" s="363"/>
      <c r="H216" s="363"/>
      <c r="I216" s="363"/>
      <c r="J216" s="363"/>
      <c r="K216" s="363"/>
      <c r="L216" s="491"/>
      <c r="M216" s="491"/>
      <c r="N216" s="491"/>
      <c r="O216" s="491"/>
      <c r="P216" s="363"/>
      <c r="Q216" s="491"/>
      <c r="R216" s="363"/>
      <c r="S216" s="361"/>
      <c r="T216" s="363"/>
      <c r="U216" s="364"/>
      <c r="V216" s="312"/>
      <c r="W216" s="6"/>
    </row>
    <row r="217" spans="1:24" ht="15.6">
      <c r="A217" s="349"/>
      <c r="B217" s="357" t="s">
        <v>87</v>
      </c>
      <c r="C217" s="344"/>
      <c r="D217" s="344"/>
      <c r="E217" s="344"/>
      <c r="F217" s="344"/>
      <c r="G217" s="344"/>
      <c r="H217" s="344"/>
      <c r="I217" s="344"/>
      <c r="J217" s="344"/>
      <c r="K217" s="344"/>
      <c r="L217" s="344"/>
      <c r="M217" s="345"/>
      <c r="N217" s="344"/>
      <c r="O217" s="345"/>
      <c r="P217" s="344"/>
      <c r="Q217" s="345"/>
      <c r="R217" s="344"/>
      <c r="S217" s="358"/>
      <c r="T217" s="344"/>
      <c r="U217" s="350"/>
      <c r="V217" s="347"/>
      <c r="W217" s="6"/>
    </row>
    <row r="218" spans="1:24" ht="15.6">
      <c r="A218" s="315"/>
      <c r="B218" s="310"/>
      <c r="C218" s="296"/>
      <c r="D218" s="296"/>
      <c r="E218" s="296"/>
      <c r="F218" s="296"/>
      <c r="G218" s="296"/>
      <c r="H218" s="296"/>
      <c r="I218" s="296"/>
      <c r="J218" s="296"/>
      <c r="K218" s="296"/>
      <c r="L218" s="296"/>
      <c r="M218" s="352"/>
      <c r="N218" s="296"/>
      <c r="O218" s="352"/>
      <c r="P218" s="296"/>
      <c r="Q218" s="352"/>
      <c r="R218" s="296"/>
      <c r="S218" s="351"/>
      <c r="T218" s="296"/>
      <c r="U218" s="294"/>
      <c r="V218" s="301"/>
      <c r="W218" s="6"/>
    </row>
    <row r="219" spans="1:24" ht="15.6">
      <c r="A219" s="444"/>
      <c r="B219" s="440" t="s">
        <v>88</v>
      </c>
      <c r="C219" s="381"/>
      <c r="D219" s="381"/>
      <c r="E219" s="381"/>
      <c r="F219" s="381"/>
      <c r="G219" s="381"/>
      <c r="H219" s="381"/>
      <c r="I219" s="381"/>
      <c r="J219" s="381"/>
      <c r="K219" s="381"/>
      <c r="L219" s="381"/>
      <c r="M219" s="493"/>
      <c r="N219" s="381"/>
      <c r="O219" s="493"/>
      <c r="P219" s="381"/>
      <c r="Q219" s="493"/>
      <c r="R219" s="381"/>
      <c r="S219" s="489">
        <f>+N198+S198+N211+S211</f>
        <v>241790</v>
      </c>
      <c r="T219" s="381"/>
      <c r="U219" s="379"/>
      <c r="V219" s="435"/>
      <c r="W219" s="6"/>
      <c r="X219" s="182"/>
    </row>
    <row r="220" spans="1:24" ht="15.6">
      <c r="A220" s="444"/>
      <c r="B220" s="440" t="s">
        <v>89</v>
      </c>
      <c r="C220" s="381"/>
      <c r="D220" s="381"/>
      <c r="E220" s="381"/>
      <c r="F220" s="381"/>
      <c r="G220" s="381"/>
      <c r="H220" s="381"/>
      <c r="I220" s="381"/>
      <c r="J220" s="381"/>
      <c r="K220" s="381"/>
      <c r="L220" s="381"/>
      <c r="M220" s="493"/>
      <c r="N220" s="381"/>
      <c r="O220" s="493"/>
      <c r="P220" s="381"/>
      <c r="Q220" s="493"/>
      <c r="R220" s="381"/>
      <c r="S220" s="489">
        <f>+U78</f>
        <v>0</v>
      </c>
      <c r="T220" s="381"/>
      <c r="U220" s="379"/>
      <c r="V220" s="435"/>
      <c r="W220" s="119"/>
    </row>
    <row r="221" spans="1:24" ht="15.6">
      <c r="A221" s="444"/>
      <c r="B221" s="440" t="s">
        <v>90</v>
      </c>
      <c r="C221" s="381"/>
      <c r="D221" s="381"/>
      <c r="E221" s="381"/>
      <c r="F221" s="381"/>
      <c r="G221" s="381"/>
      <c r="H221" s="381"/>
      <c r="I221" s="381"/>
      <c r="J221" s="381"/>
      <c r="K221" s="381"/>
      <c r="L221" s="381"/>
      <c r="M221" s="493"/>
      <c r="N221" s="381"/>
      <c r="O221" s="493"/>
      <c r="P221" s="381"/>
      <c r="Q221" s="493"/>
      <c r="R221" s="381"/>
      <c r="S221" s="489">
        <f>SUM(S219:S220)</f>
        <v>241790</v>
      </c>
      <c r="T221" s="381"/>
      <c r="U221" s="379"/>
      <c r="V221" s="435"/>
      <c r="W221" s="6"/>
    </row>
    <row r="222" spans="1:24" ht="15.6">
      <c r="A222" s="444"/>
      <c r="B222" s="440"/>
      <c r="C222" s="381"/>
      <c r="D222" s="381"/>
      <c r="E222" s="381"/>
      <c r="F222" s="381"/>
      <c r="G222" s="381"/>
      <c r="H222" s="381"/>
      <c r="I222" s="381"/>
      <c r="J222" s="381"/>
      <c r="K222" s="381"/>
      <c r="L222" s="381"/>
      <c r="M222" s="493"/>
      <c r="N222" s="381"/>
      <c r="O222" s="493"/>
      <c r="P222" s="381"/>
      <c r="Q222" s="493"/>
      <c r="R222" s="381"/>
      <c r="S222" s="489"/>
      <c r="T222" s="381"/>
      <c r="U222" s="379"/>
      <c r="V222" s="435"/>
      <c r="W222" s="6"/>
    </row>
    <row r="223" spans="1:24" ht="15.6">
      <c r="A223" s="444"/>
      <c r="B223" s="440" t="s">
        <v>91</v>
      </c>
      <c r="C223" s="381"/>
      <c r="D223" s="381"/>
      <c r="E223" s="381"/>
      <c r="F223" s="381"/>
      <c r="G223" s="381"/>
      <c r="H223" s="381"/>
      <c r="I223" s="381"/>
      <c r="J223" s="381"/>
      <c r="K223" s="381"/>
      <c r="L223" s="381"/>
      <c r="M223" s="493"/>
      <c r="N223" s="381"/>
      <c r="O223" s="493"/>
      <c r="P223" s="381"/>
      <c r="Q223" s="493"/>
      <c r="R223" s="381"/>
      <c r="S223" s="489">
        <f>U33</f>
        <v>241789.82400000002</v>
      </c>
      <c r="T223" s="381"/>
      <c r="U223" s="379"/>
      <c r="V223" s="435"/>
      <c r="W223" s="6"/>
    </row>
    <row r="224" spans="1:24" ht="15.6">
      <c r="A224" s="444"/>
      <c r="B224" s="440"/>
      <c r="C224" s="381"/>
      <c r="D224" s="381"/>
      <c r="E224" s="381"/>
      <c r="F224" s="381"/>
      <c r="G224" s="381"/>
      <c r="H224" s="381"/>
      <c r="I224" s="381"/>
      <c r="J224" s="381"/>
      <c r="K224" s="381"/>
      <c r="L224" s="381"/>
      <c r="M224" s="493"/>
      <c r="N224" s="381"/>
      <c r="O224" s="493"/>
      <c r="P224" s="381"/>
      <c r="Q224" s="493"/>
      <c r="R224" s="381"/>
      <c r="S224" s="489"/>
      <c r="T224" s="381"/>
      <c r="U224" s="379"/>
      <c r="V224" s="435"/>
      <c r="W224" s="6"/>
    </row>
    <row r="225" spans="1:23" ht="15.6">
      <c r="A225" s="444"/>
      <c r="B225" s="440" t="s">
        <v>92</v>
      </c>
      <c r="C225" s="381"/>
      <c r="D225" s="381"/>
      <c r="E225" s="381"/>
      <c r="F225" s="381"/>
      <c r="G225" s="381"/>
      <c r="H225" s="381"/>
      <c r="I225" s="381"/>
      <c r="J225" s="381"/>
      <c r="K225" s="381"/>
      <c r="L225" s="381"/>
      <c r="M225" s="493"/>
      <c r="N225" s="381"/>
      <c r="O225" s="493"/>
      <c r="P225" s="381"/>
      <c r="Q225" s="493"/>
      <c r="R225" s="381"/>
      <c r="S225" s="489">
        <f>S221/S223</f>
        <v>1.0000007279049097</v>
      </c>
      <c r="T225" s="381"/>
      <c r="U225" s="379"/>
      <c r="V225" s="435"/>
      <c r="W225" s="6"/>
    </row>
    <row r="226" spans="1:23" ht="15.6">
      <c r="A226" s="444"/>
      <c r="B226" s="379"/>
      <c r="C226" s="379"/>
      <c r="D226" s="379"/>
      <c r="E226" s="379"/>
      <c r="F226" s="379"/>
      <c r="G226" s="379"/>
      <c r="H226" s="379"/>
      <c r="I226" s="379"/>
      <c r="J226" s="379"/>
      <c r="K226" s="379"/>
      <c r="L226" s="379"/>
      <c r="M226" s="380"/>
      <c r="N226" s="379"/>
      <c r="O226" s="379"/>
      <c r="P226" s="379"/>
      <c r="Q226" s="440"/>
      <c r="R226" s="497"/>
      <c r="S226" s="441"/>
      <c r="T226" s="497"/>
      <c r="U226" s="466"/>
      <c r="V226" s="410"/>
      <c r="W226" s="6"/>
    </row>
    <row r="227" spans="1:23" ht="15.6">
      <c r="A227" s="353"/>
      <c r="B227" s="494" t="s">
        <v>127</v>
      </c>
      <c r="C227" s="495"/>
      <c r="D227" s="495"/>
      <c r="E227" s="495"/>
      <c r="F227" s="495"/>
      <c r="G227" s="495"/>
      <c r="H227" s="495"/>
      <c r="I227" s="495"/>
      <c r="J227" s="495"/>
      <c r="K227" s="495"/>
      <c r="L227" s="495"/>
      <c r="M227" s="363"/>
      <c r="N227" s="364"/>
      <c r="O227" s="494"/>
      <c r="P227" s="443"/>
      <c r="Q227" s="443"/>
      <c r="R227" s="443"/>
      <c r="S227" s="496"/>
      <c r="T227" s="443"/>
      <c r="U227" s="443"/>
      <c r="V227" s="355"/>
      <c r="W227" s="6"/>
    </row>
    <row r="228" spans="1:23" ht="15.6">
      <c r="A228" s="353"/>
      <c r="B228" s="287" t="s">
        <v>128</v>
      </c>
      <c r="C228" s="354"/>
      <c r="D228" s="354"/>
      <c r="E228" s="354"/>
      <c r="F228" s="354"/>
      <c r="G228" s="354"/>
      <c r="H228" s="354"/>
      <c r="I228" s="354"/>
      <c r="J228" s="354"/>
      <c r="K228" s="354"/>
      <c r="L228" s="354"/>
      <c r="M228" s="290"/>
      <c r="N228" s="287"/>
      <c r="O228" s="287"/>
      <c r="P228" s="354"/>
      <c r="Q228" s="354"/>
      <c r="R228" s="317"/>
      <c r="S228" s="317"/>
      <c r="T228" s="317"/>
      <c r="U228" s="317"/>
      <c r="V228" s="355"/>
      <c r="W228" s="6"/>
    </row>
    <row r="229" spans="1:23" ht="15.6">
      <c r="A229" s="353"/>
      <c r="B229" s="287" t="s">
        <v>246</v>
      </c>
      <c r="C229" s="287"/>
      <c r="D229" s="287"/>
      <c r="E229" s="287"/>
      <c r="F229" s="287"/>
      <c r="G229" s="287"/>
      <c r="H229" s="287"/>
      <c r="I229" s="287"/>
      <c r="J229" s="287"/>
      <c r="K229" s="287"/>
      <c r="L229" s="287"/>
      <c r="M229" s="287"/>
      <c r="N229" s="287"/>
      <c r="O229" s="287"/>
      <c r="P229" s="287"/>
      <c r="Q229" s="287"/>
      <c r="R229" s="287"/>
      <c r="S229" s="287"/>
      <c r="T229" s="287"/>
      <c r="U229" s="287"/>
      <c r="V229" s="355"/>
      <c r="W229" s="6"/>
    </row>
    <row r="230" spans="1:23" ht="15.6">
      <c r="A230" s="353"/>
      <c r="B230" s="287" t="s">
        <v>129</v>
      </c>
      <c r="C230" s="354"/>
      <c r="D230" s="354"/>
      <c r="E230" s="354"/>
      <c r="F230" s="354"/>
      <c r="G230" s="354"/>
      <c r="H230" s="354"/>
      <c r="I230" s="354"/>
      <c r="J230" s="354"/>
      <c r="K230" s="354"/>
      <c r="L230" s="354"/>
      <c r="M230" s="290"/>
      <c r="N230" s="287"/>
      <c r="O230" s="287"/>
      <c r="P230" s="354"/>
      <c r="Q230" s="354"/>
      <c r="R230" s="317"/>
      <c r="S230" s="317"/>
      <c r="T230" s="317"/>
      <c r="U230" s="317"/>
      <c r="V230" s="355"/>
      <c r="W230" s="6"/>
    </row>
    <row r="231" spans="1:23" ht="15.6">
      <c r="A231" s="353"/>
      <c r="B231" s="287"/>
      <c r="C231" s="354"/>
      <c r="D231" s="354"/>
      <c r="E231" s="354"/>
      <c r="F231" s="354"/>
      <c r="G231" s="354"/>
      <c r="H231" s="354"/>
      <c r="I231" s="354"/>
      <c r="J231" s="354"/>
      <c r="K231" s="354"/>
      <c r="L231" s="354"/>
      <c r="M231" s="290"/>
      <c r="N231" s="287"/>
      <c r="O231" s="287"/>
      <c r="P231" s="354"/>
      <c r="Q231" s="354"/>
      <c r="R231" s="317"/>
      <c r="S231" s="317"/>
      <c r="T231" s="317"/>
      <c r="U231" s="317"/>
      <c r="V231" s="355"/>
      <c r="W231" s="6"/>
    </row>
    <row r="232" spans="1:23" ht="15.6">
      <c r="A232" s="353"/>
      <c r="B232" s="287"/>
      <c r="C232" s="354"/>
      <c r="D232" s="354"/>
      <c r="E232" s="354"/>
      <c r="F232" s="354"/>
      <c r="G232" s="354"/>
      <c r="H232" s="354"/>
      <c r="I232" s="354"/>
      <c r="J232" s="354"/>
      <c r="K232" s="354"/>
      <c r="L232" s="354"/>
      <c r="M232" s="290"/>
      <c r="N232" s="287"/>
      <c r="O232" s="287"/>
      <c r="P232" s="354"/>
      <c r="Q232" s="354"/>
      <c r="R232" s="317"/>
      <c r="S232" s="317"/>
      <c r="T232" s="317"/>
      <c r="U232" s="317"/>
      <c r="V232" s="355"/>
      <c r="W232" s="6"/>
    </row>
    <row r="233" spans="1:23" ht="16.2" thickBot="1">
      <c r="A233" s="353"/>
      <c r="B233" s="287" t="str">
        <f>+B160</f>
        <v>PPAF3 INVESTOR REPORT QUARTER ENDING SEPTEMBER 2010</v>
      </c>
      <c r="C233" s="354"/>
      <c r="D233" s="354"/>
      <c r="E233" s="354"/>
      <c r="F233" s="354"/>
      <c r="G233" s="354"/>
      <c r="H233" s="354"/>
      <c r="I233" s="354"/>
      <c r="J233" s="354"/>
      <c r="K233" s="354"/>
      <c r="L233" s="354"/>
      <c r="M233" s="290"/>
      <c r="N233" s="287"/>
      <c r="O233" s="287"/>
      <c r="P233" s="354"/>
      <c r="Q233" s="354"/>
      <c r="R233" s="317"/>
      <c r="S233" s="317"/>
      <c r="T233" s="317"/>
      <c r="U233" s="317"/>
      <c r="V233" s="356"/>
      <c r="W233" s="6"/>
    </row>
    <row r="234" spans="1:2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row>
  </sheetData>
  <phoneticPr fontId="0" type="noConversion"/>
  <hyperlinks>
    <hyperlink ref="I9" r:id="rId1"/>
    <hyperlink ref="K187"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21" man="1"/>
    <brk id="109" max="16383" man="1"/>
    <brk id="160" max="21" man="1"/>
    <brk id="239" man="1"/>
  </rowBreaks>
  <colBreaks count="1" manualBreakCount="1">
    <brk id="23" max="1048575" man="1"/>
  </colBreaks>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18"/>
  </sheetPr>
  <dimension ref="A1:Y234"/>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38" t="s">
        <v>223</v>
      </c>
      <c r="B1" s="285" t="s">
        <v>123</v>
      </c>
      <c r="C1" s="239"/>
      <c r="D1" s="239"/>
      <c r="E1" s="239"/>
      <c r="F1" s="239"/>
      <c r="G1" s="239"/>
      <c r="H1" s="239"/>
      <c r="I1" s="239"/>
      <c r="J1" s="239"/>
      <c r="K1" s="239"/>
      <c r="L1" s="239"/>
      <c r="M1" s="240"/>
      <c r="N1" s="240"/>
      <c r="O1" s="240"/>
      <c r="P1" s="240"/>
      <c r="Q1" s="240"/>
      <c r="R1" s="240"/>
      <c r="S1" s="240"/>
      <c r="T1" s="240"/>
      <c r="U1" s="240"/>
      <c r="V1" s="241"/>
      <c r="W1" s="6"/>
    </row>
    <row r="2" spans="1:23" ht="15.6">
      <c r="A2" s="242"/>
      <c r="B2" s="243"/>
      <c r="C2" s="243"/>
      <c r="D2" s="243"/>
      <c r="E2" s="243"/>
      <c r="F2" s="243"/>
      <c r="G2" s="243"/>
      <c r="H2" s="243"/>
      <c r="I2" s="243"/>
      <c r="J2" s="243"/>
      <c r="K2" s="243"/>
      <c r="L2" s="243"/>
      <c r="M2" s="244"/>
      <c r="N2" s="244"/>
      <c r="O2" s="244"/>
      <c r="P2" s="244"/>
      <c r="Q2" s="244"/>
      <c r="R2" s="244"/>
      <c r="S2" s="244"/>
      <c r="T2" s="244"/>
      <c r="U2" s="244"/>
      <c r="V2" s="245"/>
      <c r="W2" s="6"/>
    </row>
    <row r="3" spans="1:23" ht="15.6">
      <c r="A3" s="246"/>
      <c r="B3" s="247" t="s">
        <v>125</v>
      </c>
      <c r="C3" s="244"/>
      <c r="D3" s="244"/>
      <c r="E3" s="244"/>
      <c r="F3" s="244"/>
      <c r="G3" s="244"/>
      <c r="H3" s="244"/>
      <c r="I3" s="244"/>
      <c r="J3" s="244"/>
      <c r="K3" s="244"/>
      <c r="L3" s="244"/>
      <c r="M3" s="244"/>
      <c r="N3" s="244"/>
      <c r="O3" s="244"/>
      <c r="P3" s="244"/>
      <c r="Q3" s="244"/>
      <c r="R3" s="244"/>
      <c r="S3" s="244"/>
      <c r="T3" s="244"/>
      <c r="U3" s="244"/>
      <c r="V3" s="245"/>
      <c r="W3" s="6"/>
    </row>
    <row r="4" spans="1:23" ht="15.6">
      <c r="A4" s="242"/>
      <c r="B4" s="243"/>
      <c r="C4" s="243"/>
      <c r="D4" s="243"/>
      <c r="E4" s="243"/>
      <c r="F4" s="243"/>
      <c r="G4" s="243"/>
      <c r="H4" s="243"/>
      <c r="I4" s="243"/>
      <c r="J4" s="243"/>
      <c r="K4" s="243"/>
      <c r="L4" s="243"/>
      <c r="M4" s="244"/>
      <c r="N4" s="244"/>
      <c r="O4" s="244"/>
      <c r="P4" s="244"/>
      <c r="Q4" s="244"/>
      <c r="R4" s="244"/>
      <c r="S4" s="244"/>
      <c r="T4" s="244"/>
      <c r="U4" s="244"/>
      <c r="V4" s="245"/>
      <c r="W4" s="6"/>
    </row>
    <row r="5" spans="1:23" ht="16.2">
      <c r="A5" s="242"/>
      <c r="B5" s="286" t="s">
        <v>0</v>
      </c>
      <c r="C5" s="248"/>
      <c r="D5" s="248"/>
      <c r="E5" s="248"/>
      <c r="F5" s="248"/>
      <c r="G5" s="248"/>
      <c r="H5" s="248"/>
      <c r="I5" s="248"/>
      <c r="J5" s="248"/>
      <c r="K5" s="248"/>
      <c r="L5" s="248"/>
      <c r="M5" s="244"/>
      <c r="N5" s="244"/>
      <c r="O5" s="244"/>
      <c r="P5" s="244"/>
      <c r="Q5" s="244"/>
      <c r="R5" s="244"/>
      <c r="S5" s="244"/>
      <c r="T5" s="244"/>
      <c r="U5" s="244"/>
      <c r="V5" s="245"/>
      <c r="W5" s="6"/>
    </row>
    <row r="6" spans="1:23" ht="16.2">
      <c r="A6" s="242"/>
      <c r="B6" s="286" t="s">
        <v>1</v>
      </c>
      <c r="C6" s="248"/>
      <c r="D6" s="248"/>
      <c r="E6" s="248"/>
      <c r="F6" s="248"/>
      <c r="G6" s="248"/>
      <c r="H6" s="248"/>
      <c r="I6" s="248"/>
      <c r="J6" s="248"/>
      <c r="K6" s="248"/>
      <c r="L6" s="248"/>
      <c r="M6" s="244"/>
      <c r="N6" s="244"/>
      <c r="O6" s="244"/>
      <c r="P6" s="244"/>
      <c r="Q6" s="244"/>
      <c r="R6" s="244"/>
      <c r="S6" s="244"/>
      <c r="T6" s="244"/>
      <c r="U6" s="244"/>
      <c r="V6" s="245"/>
      <c r="W6" s="6"/>
    </row>
    <row r="7" spans="1:23" ht="16.2">
      <c r="A7" s="242"/>
      <c r="B7" s="286" t="s">
        <v>2</v>
      </c>
      <c r="C7" s="248"/>
      <c r="D7" s="248"/>
      <c r="E7" s="248"/>
      <c r="F7" s="248"/>
      <c r="G7" s="248"/>
      <c r="H7" s="248"/>
      <c r="I7" s="248"/>
      <c r="J7" s="248"/>
      <c r="K7" s="248"/>
      <c r="L7" s="248"/>
      <c r="M7" s="244"/>
      <c r="N7" s="244"/>
      <c r="O7" s="244"/>
      <c r="P7" s="244"/>
      <c r="Q7" s="244"/>
      <c r="R7" s="244"/>
      <c r="S7" s="244"/>
      <c r="T7" s="244"/>
      <c r="U7" s="244"/>
      <c r="V7" s="245"/>
      <c r="W7" s="6"/>
    </row>
    <row r="8" spans="1:23" ht="16.2">
      <c r="A8" s="242"/>
      <c r="B8" s="249"/>
      <c r="C8" s="248"/>
      <c r="D8" s="248"/>
      <c r="E8" s="248"/>
      <c r="F8" s="248"/>
      <c r="G8" s="248"/>
      <c r="H8" s="248"/>
      <c r="I8" s="248"/>
      <c r="J8" s="248"/>
      <c r="K8" s="248"/>
      <c r="L8" s="248"/>
      <c r="M8" s="244"/>
      <c r="N8" s="244"/>
      <c r="O8" s="244"/>
      <c r="P8" s="244"/>
      <c r="Q8" s="244"/>
      <c r="R8" s="244"/>
      <c r="S8" s="244"/>
      <c r="T8" s="244"/>
      <c r="U8" s="244"/>
      <c r="V8" s="245"/>
      <c r="W8" s="6"/>
    </row>
    <row r="9" spans="1:23" ht="18">
      <c r="A9" s="242"/>
      <c r="B9" s="250" t="s">
        <v>194</v>
      </c>
      <c r="C9" s="248"/>
      <c r="D9" s="248"/>
      <c r="E9" s="248"/>
      <c r="F9" s="248"/>
      <c r="G9" s="248"/>
      <c r="H9" s="248"/>
      <c r="I9" s="251" t="s">
        <v>195</v>
      </c>
      <c r="J9" s="248"/>
      <c r="K9" s="248"/>
      <c r="L9" s="248"/>
      <c r="M9" s="244"/>
      <c r="N9" s="244"/>
      <c r="O9" s="244"/>
      <c r="P9" s="244"/>
      <c r="Q9" s="244"/>
      <c r="R9" s="244"/>
      <c r="S9" s="244"/>
      <c r="T9" s="244"/>
      <c r="U9" s="244"/>
      <c r="V9" s="245"/>
      <c r="W9" s="6"/>
    </row>
    <row r="10" spans="1:23" ht="16.2">
      <c r="A10" s="242"/>
      <c r="B10" s="248"/>
      <c r="C10" s="248"/>
      <c r="D10" s="248"/>
      <c r="E10" s="248"/>
      <c r="F10" s="248"/>
      <c r="G10" s="248"/>
      <c r="H10" s="248"/>
      <c r="I10" s="248"/>
      <c r="J10" s="248"/>
      <c r="K10" s="248"/>
      <c r="L10" s="248"/>
      <c r="M10" s="252"/>
      <c r="N10" s="252"/>
      <c r="O10" s="244"/>
      <c r="P10" s="244"/>
      <c r="Q10" s="244"/>
      <c r="R10" s="244"/>
      <c r="S10" s="244"/>
      <c r="T10" s="244"/>
      <c r="U10" s="244"/>
      <c r="V10" s="245"/>
      <c r="W10" s="6"/>
    </row>
    <row r="11" spans="1:23" ht="15.6">
      <c r="A11" s="242"/>
      <c r="B11" s="287" t="s">
        <v>3</v>
      </c>
      <c r="C11" s="252"/>
      <c r="D11" s="252"/>
      <c r="E11" s="252"/>
      <c r="F11" s="252"/>
      <c r="G11" s="252"/>
      <c r="H11" s="252"/>
      <c r="I11" s="252"/>
      <c r="J11" s="252"/>
      <c r="K11" s="252"/>
      <c r="L11" s="252"/>
      <c r="M11" s="244"/>
      <c r="N11" s="244"/>
      <c r="O11" s="244"/>
      <c r="P11" s="244"/>
      <c r="Q11" s="244"/>
      <c r="R11" s="244"/>
      <c r="S11" s="244"/>
      <c r="T11" s="244"/>
      <c r="U11" s="244"/>
      <c r="V11" s="245"/>
      <c r="W11" s="6"/>
    </row>
    <row r="12" spans="1:23" ht="16.2" thickBot="1">
      <c r="A12" s="242"/>
      <c r="B12" s="252"/>
      <c r="C12" s="252"/>
      <c r="D12" s="252"/>
      <c r="E12" s="252"/>
      <c r="F12" s="252"/>
      <c r="G12" s="252"/>
      <c r="H12" s="252"/>
      <c r="I12" s="252"/>
      <c r="J12" s="252"/>
      <c r="K12" s="252"/>
      <c r="L12" s="252"/>
      <c r="M12" s="244"/>
      <c r="N12" s="244"/>
      <c r="O12" s="244"/>
      <c r="P12" s="244"/>
      <c r="Q12" s="244"/>
      <c r="R12" s="244"/>
      <c r="S12" s="244"/>
      <c r="T12" s="244"/>
      <c r="U12" s="244"/>
      <c r="V12" s="245"/>
      <c r="W12" s="6"/>
    </row>
    <row r="13" spans="1:23" ht="15.6">
      <c r="A13" s="238"/>
      <c r="B13" s="240"/>
      <c r="C13" s="240"/>
      <c r="D13" s="240"/>
      <c r="E13" s="240"/>
      <c r="F13" s="240"/>
      <c r="G13" s="240"/>
      <c r="H13" s="240"/>
      <c r="I13" s="240"/>
      <c r="J13" s="240"/>
      <c r="K13" s="240"/>
      <c r="L13" s="240"/>
      <c r="M13" s="240"/>
      <c r="N13" s="240"/>
      <c r="O13" s="240"/>
      <c r="P13" s="240"/>
      <c r="Q13" s="240"/>
      <c r="R13" s="240"/>
      <c r="S13" s="240"/>
      <c r="T13" s="240"/>
      <c r="U13" s="240"/>
      <c r="V13" s="241"/>
      <c r="W13" s="6"/>
    </row>
    <row r="14" spans="1:23" ht="15.6">
      <c r="A14" s="242"/>
      <c r="B14" s="287" t="s">
        <v>4</v>
      </c>
      <c r="C14" s="253"/>
      <c r="D14" s="253"/>
      <c r="E14" s="253"/>
      <c r="F14" s="253"/>
      <c r="G14" s="253"/>
      <c r="H14" s="253"/>
      <c r="I14" s="253"/>
      <c r="J14" s="253"/>
      <c r="K14" s="253"/>
      <c r="L14" s="253"/>
      <c r="M14" s="288"/>
      <c r="N14" s="288"/>
      <c r="O14" s="288"/>
      <c r="P14" s="288"/>
      <c r="Q14" s="288"/>
      <c r="R14" s="288"/>
      <c r="S14" s="288"/>
      <c r="T14" s="288"/>
      <c r="U14" s="289" t="s">
        <v>126</v>
      </c>
      <c r="V14" s="245"/>
      <c r="W14" s="6"/>
    </row>
    <row r="15" spans="1:23" ht="15.6">
      <c r="A15" s="242"/>
      <c r="B15" s="287" t="s">
        <v>5</v>
      </c>
      <c r="C15" s="253"/>
      <c r="D15" s="253"/>
      <c r="E15" s="253"/>
      <c r="F15" s="253"/>
      <c r="G15" s="253"/>
      <c r="H15" s="253"/>
      <c r="I15" s="253"/>
      <c r="J15" s="253"/>
      <c r="K15" s="253"/>
      <c r="L15" s="253"/>
      <c r="M15" s="290" t="s">
        <v>93</v>
      </c>
      <c r="N15" s="291">
        <v>0.1492</v>
      </c>
      <c r="O15" s="290" t="s">
        <v>99</v>
      </c>
      <c r="P15" s="291">
        <v>5.4399999999999997E-2</v>
      </c>
      <c r="Q15" s="290" t="s">
        <v>102</v>
      </c>
      <c r="R15" s="291">
        <v>0.48899999999999999</v>
      </c>
      <c r="S15" s="290" t="s">
        <v>108</v>
      </c>
      <c r="T15" s="291">
        <v>0.30740000000000001</v>
      </c>
      <c r="U15" s="289"/>
      <c r="V15" s="254"/>
      <c r="W15" s="6"/>
    </row>
    <row r="16" spans="1:23" ht="15.6">
      <c r="A16" s="242"/>
      <c r="B16" s="287" t="s">
        <v>6</v>
      </c>
      <c r="C16" s="253"/>
      <c r="D16" s="253"/>
      <c r="E16" s="253"/>
      <c r="F16" s="253"/>
      <c r="G16" s="253"/>
      <c r="H16" s="253"/>
      <c r="I16" s="253"/>
      <c r="J16" s="253"/>
      <c r="K16" s="253"/>
      <c r="L16" s="253"/>
      <c r="M16" s="290" t="s">
        <v>93</v>
      </c>
      <c r="N16" s="291">
        <f>+N198/S221</f>
        <v>2.1397746080665199E-2</v>
      </c>
      <c r="O16" s="290" t="s">
        <v>99</v>
      </c>
      <c r="P16" s="291">
        <f>+S198/S221</f>
        <v>8.2184203247856486E-3</v>
      </c>
      <c r="Q16" s="290" t="s">
        <v>102</v>
      </c>
      <c r="R16" s="291">
        <f>+N211/S221</f>
        <v>0.90623888735232527</v>
      </c>
      <c r="S16" s="290" t="s">
        <v>108</v>
      </c>
      <c r="T16" s="291">
        <f>+S211/S221</f>
        <v>6.4144946242223888E-2</v>
      </c>
      <c r="U16" s="289"/>
      <c r="V16" s="254"/>
      <c r="W16" s="6"/>
    </row>
    <row r="17" spans="1:23" ht="15.6">
      <c r="A17" s="242"/>
      <c r="B17" s="287" t="s">
        <v>7</v>
      </c>
      <c r="C17" s="253"/>
      <c r="D17" s="253"/>
      <c r="E17" s="253"/>
      <c r="F17" s="253"/>
      <c r="G17" s="253"/>
      <c r="H17" s="253"/>
      <c r="I17" s="253"/>
      <c r="J17" s="253"/>
      <c r="K17" s="253"/>
      <c r="L17" s="253"/>
      <c r="M17" s="288"/>
      <c r="N17" s="288"/>
      <c r="O17" s="288"/>
      <c r="P17" s="288"/>
      <c r="Q17" s="288"/>
      <c r="R17" s="288"/>
      <c r="S17" s="288"/>
      <c r="T17" s="288"/>
      <c r="U17" s="292">
        <v>38491</v>
      </c>
      <c r="V17" s="245"/>
      <c r="W17" s="6"/>
    </row>
    <row r="18" spans="1:23" ht="15.6">
      <c r="A18" s="242"/>
      <c r="B18" s="287" t="s">
        <v>8</v>
      </c>
      <c r="C18" s="253"/>
      <c r="D18" s="253"/>
      <c r="E18" s="253"/>
      <c r="F18" s="253"/>
      <c r="G18" s="253"/>
      <c r="H18" s="253"/>
      <c r="I18" s="253"/>
      <c r="J18" s="253"/>
      <c r="K18" s="253"/>
      <c r="L18" s="253"/>
      <c r="M18" s="288"/>
      <c r="N18" s="288"/>
      <c r="O18" s="288"/>
      <c r="P18" s="288"/>
      <c r="Q18" s="288"/>
      <c r="R18" s="288"/>
      <c r="S18" s="288"/>
      <c r="T18" s="288"/>
      <c r="U18" s="292">
        <v>40564</v>
      </c>
      <c r="V18" s="245"/>
      <c r="W18" s="6"/>
    </row>
    <row r="19" spans="1:23" ht="15.6">
      <c r="A19" s="242"/>
      <c r="B19" s="288"/>
      <c r="C19" s="244"/>
      <c r="D19" s="244"/>
      <c r="E19" s="244"/>
      <c r="F19" s="244"/>
      <c r="G19" s="244"/>
      <c r="H19" s="244"/>
      <c r="I19" s="244"/>
      <c r="J19" s="244"/>
      <c r="K19" s="244"/>
      <c r="L19" s="244"/>
      <c r="M19" s="244"/>
      <c r="N19" s="244"/>
      <c r="O19" s="244"/>
      <c r="P19" s="244"/>
      <c r="Q19" s="244"/>
      <c r="R19" s="244"/>
      <c r="S19" s="244"/>
      <c r="T19" s="244"/>
      <c r="U19" s="255"/>
      <c r="V19" s="245"/>
      <c r="W19" s="6"/>
    </row>
    <row r="20" spans="1:23" ht="15.6">
      <c r="A20" s="242"/>
      <c r="B20" s="293" t="s">
        <v>9</v>
      </c>
      <c r="C20" s="244"/>
      <c r="D20" s="244"/>
      <c r="E20" s="244"/>
      <c r="F20" s="244"/>
      <c r="G20" s="244"/>
      <c r="H20" s="244"/>
      <c r="I20" s="244"/>
      <c r="J20" s="244"/>
      <c r="K20" s="244"/>
      <c r="L20" s="244"/>
      <c r="M20" s="244"/>
      <c r="N20" s="244"/>
      <c r="O20" s="244"/>
      <c r="P20" s="244"/>
      <c r="Q20" s="244"/>
      <c r="R20" s="244"/>
      <c r="S20" s="255"/>
      <c r="T20" s="244"/>
      <c r="U20" s="249"/>
      <c r="V20" s="245"/>
      <c r="W20" s="6"/>
    </row>
    <row r="21" spans="1:23" ht="15.6">
      <c r="A21" s="242"/>
      <c r="B21" s="244"/>
      <c r="C21" s="244"/>
      <c r="D21" s="244"/>
      <c r="E21" s="244"/>
      <c r="F21" s="244"/>
      <c r="G21" s="244"/>
      <c r="H21" s="244"/>
      <c r="I21" s="244"/>
      <c r="J21" s="244"/>
      <c r="K21" s="244"/>
      <c r="L21" s="244"/>
      <c r="M21" s="244"/>
      <c r="N21" s="244"/>
      <c r="O21" s="244"/>
      <c r="P21" s="244"/>
      <c r="Q21" s="244"/>
      <c r="R21" s="244"/>
      <c r="S21" s="244"/>
      <c r="T21" s="244"/>
      <c r="U21" s="256"/>
      <c r="V21" s="245"/>
      <c r="W21" s="6"/>
    </row>
    <row r="22" spans="1:23" ht="15.6">
      <c r="A22" s="230"/>
      <c r="B22" s="231"/>
      <c r="C22" s="232" t="s">
        <v>130</v>
      </c>
      <c r="D22" s="232"/>
      <c r="E22" s="232" t="s">
        <v>131</v>
      </c>
      <c r="F22" s="232"/>
      <c r="G22" s="232" t="s">
        <v>132</v>
      </c>
      <c r="H22" s="232"/>
      <c r="I22" s="232" t="s">
        <v>133</v>
      </c>
      <c r="J22" s="232"/>
      <c r="K22" s="232" t="s">
        <v>134</v>
      </c>
      <c r="L22" s="232"/>
      <c r="M22" s="233" t="s">
        <v>135</v>
      </c>
      <c r="N22" s="233"/>
      <c r="O22" s="233" t="s">
        <v>136</v>
      </c>
      <c r="P22" s="233"/>
      <c r="Q22" s="233" t="s">
        <v>137</v>
      </c>
      <c r="R22" s="234"/>
      <c r="S22" s="235"/>
      <c r="T22" s="236"/>
      <c r="U22" s="236"/>
      <c r="V22" s="237"/>
      <c r="W22" s="6"/>
    </row>
    <row r="23" spans="1:23" ht="15.6">
      <c r="A23" s="257"/>
      <c r="B23" s="294" t="s">
        <v>10</v>
      </c>
      <c r="C23" s="295" t="s">
        <v>96</v>
      </c>
      <c r="D23" s="295"/>
      <c r="E23" s="295" t="s">
        <v>96</v>
      </c>
      <c r="F23" s="295"/>
      <c r="G23" s="295" t="s">
        <v>138</v>
      </c>
      <c r="H23" s="295"/>
      <c r="I23" s="295" t="s">
        <v>138</v>
      </c>
      <c r="J23" s="295"/>
      <c r="K23" s="295" t="s">
        <v>104</v>
      </c>
      <c r="L23" s="296"/>
      <c r="M23" s="297" t="s">
        <v>104</v>
      </c>
      <c r="N23" s="297"/>
      <c r="O23" s="297" t="s">
        <v>109</v>
      </c>
      <c r="P23" s="297"/>
      <c r="Q23" s="297" t="s">
        <v>109</v>
      </c>
      <c r="R23" s="258"/>
      <c r="S23" s="258"/>
      <c r="T23" s="259"/>
      <c r="U23" s="259"/>
      <c r="V23" s="260"/>
      <c r="W23" s="6"/>
    </row>
    <row r="24" spans="1:23" ht="15.6">
      <c r="A24" s="378"/>
      <c r="B24" s="379" t="s">
        <v>11</v>
      </c>
      <c r="C24" s="380" t="s">
        <v>97</v>
      </c>
      <c r="D24" s="380"/>
      <c r="E24" s="380" t="s">
        <v>97</v>
      </c>
      <c r="F24" s="380"/>
      <c r="G24" s="380" t="s">
        <v>139</v>
      </c>
      <c r="H24" s="380"/>
      <c r="I24" s="380" t="s">
        <v>139</v>
      </c>
      <c r="J24" s="380"/>
      <c r="K24" s="380" t="s">
        <v>105</v>
      </c>
      <c r="L24" s="381"/>
      <c r="M24" s="382" t="s">
        <v>105</v>
      </c>
      <c r="N24" s="382"/>
      <c r="O24" s="382" t="s">
        <v>110</v>
      </c>
      <c r="P24" s="382"/>
      <c r="Q24" s="382" t="s">
        <v>110</v>
      </c>
      <c r="R24" s="383"/>
      <c r="S24" s="383"/>
      <c r="T24" s="384"/>
      <c r="U24" s="384"/>
      <c r="V24" s="385"/>
      <c r="W24" s="6"/>
    </row>
    <row r="25" spans="1:23" ht="15.6">
      <c r="A25" s="378"/>
      <c r="B25" s="386" t="s">
        <v>12</v>
      </c>
      <c r="C25" s="381" t="s">
        <v>96</v>
      </c>
      <c r="D25" s="381"/>
      <c r="E25" s="381" t="s">
        <v>96</v>
      </c>
      <c r="F25" s="381"/>
      <c r="G25" s="381" t="s">
        <v>138</v>
      </c>
      <c r="H25" s="381"/>
      <c r="I25" s="381" t="s">
        <v>138</v>
      </c>
      <c r="J25" s="386"/>
      <c r="K25" s="381" t="s">
        <v>104</v>
      </c>
      <c r="L25" s="386"/>
      <c r="M25" s="387" t="s">
        <v>104</v>
      </c>
      <c r="N25" s="382"/>
      <c r="O25" s="387" t="s">
        <v>109</v>
      </c>
      <c r="P25" s="382"/>
      <c r="Q25" s="387" t="s">
        <v>109</v>
      </c>
      <c r="R25" s="388"/>
      <c r="S25" s="388"/>
      <c r="T25" s="389"/>
      <c r="U25" s="384"/>
      <c r="V25" s="385"/>
      <c r="W25" s="6"/>
    </row>
    <row r="26" spans="1:23" ht="15.6">
      <c r="A26" s="378"/>
      <c r="B26" s="386" t="s">
        <v>13</v>
      </c>
      <c r="C26" s="381" t="s">
        <v>97</v>
      </c>
      <c r="D26" s="381"/>
      <c r="E26" s="381" t="s">
        <v>97</v>
      </c>
      <c r="F26" s="381"/>
      <c r="G26" s="381" t="s">
        <v>139</v>
      </c>
      <c r="H26" s="381"/>
      <c r="I26" s="381" t="s">
        <v>139</v>
      </c>
      <c r="J26" s="386"/>
      <c r="K26" s="381" t="s">
        <v>105</v>
      </c>
      <c r="L26" s="386"/>
      <c r="M26" s="387" t="s">
        <v>105</v>
      </c>
      <c r="N26" s="382"/>
      <c r="O26" s="387" t="s">
        <v>110</v>
      </c>
      <c r="P26" s="382"/>
      <c r="Q26" s="387" t="s">
        <v>110</v>
      </c>
      <c r="R26" s="388"/>
      <c r="S26" s="388"/>
      <c r="T26" s="389"/>
      <c r="U26" s="384"/>
      <c r="V26" s="385"/>
      <c r="W26" s="6"/>
    </row>
    <row r="27" spans="1:23" ht="15.6">
      <c r="A27" s="378"/>
      <c r="B27" s="379" t="s">
        <v>14</v>
      </c>
      <c r="C27" s="380" t="s">
        <v>140</v>
      </c>
      <c r="D27" s="379"/>
      <c r="E27" s="380" t="s">
        <v>141</v>
      </c>
      <c r="F27" s="379"/>
      <c r="G27" s="380" t="s">
        <v>142</v>
      </c>
      <c r="H27" s="379"/>
      <c r="I27" s="380" t="s">
        <v>258</v>
      </c>
      <c r="J27" s="379"/>
      <c r="K27" s="380" t="s">
        <v>143</v>
      </c>
      <c r="L27" s="379"/>
      <c r="M27" s="379" t="s">
        <v>144</v>
      </c>
      <c r="N27" s="382"/>
      <c r="O27" s="379" t="s">
        <v>145</v>
      </c>
      <c r="P27" s="382"/>
      <c r="Q27" s="379" t="s">
        <v>146</v>
      </c>
      <c r="R27" s="383"/>
      <c r="S27" s="390"/>
      <c r="T27" s="384"/>
      <c r="U27" s="384"/>
      <c r="V27" s="385"/>
      <c r="W27" s="6"/>
    </row>
    <row r="28" spans="1:23" ht="15.6">
      <c r="A28" s="378"/>
      <c r="B28" s="379" t="s">
        <v>147</v>
      </c>
      <c r="C28" s="391">
        <v>146000</v>
      </c>
      <c r="D28" s="380"/>
      <c r="E28" s="392">
        <v>259500</v>
      </c>
      <c r="F28" s="380"/>
      <c r="G28" s="391">
        <v>16000</v>
      </c>
      <c r="H28" s="380"/>
      <c r="I28" s="392">
        <v>35500</v>
      </c>
      <c r="J28" s="379"/>
      <c r="K28" s="391">
        <v>18000</v>
      </c>
      <c r="L28" s="379"/>
      <c r="M28" s="392">
        <v>33000</v>
      </c>
      <c r="N28" s="393"/>
      <c r="O28" s="394">
        <v>24500</v>
      </c>
      <c r="P28" s="394"/>
      <c r="Q28" s="392">
        <v>30000</v>
      </c>
      <c r="R28" s="395"/>
      <c r="S28" s="395"/>
      <c r="T28" s="396"/>
      <c r="U28" s="395"/>
      <c r="V28" s="397"/>
      <c r="W28" s="6"/>
    </row>
    <row r="29" spans="1:23" ht="15.6">
      <c r="A29" s="378"/>
      <c r="B29" s="379" t="s">
        <v>15</v>
      </c>
      <c r="C29" s="391">
        <f>C28*C35</f>
        <v>52176.896000000001</v>
      </c>
      <c r="D29" s="398"/>
      <c r="E29" s="392">
        <f>E28*E35</f>
        <v>92739.072</v>
      </c>
      <c r="F29" s="398"/>
      <c r="G29" s="391">
        <v>16000</v>
      </c>
      <c r="H29" s="398"/>
      <c r="I29" s="392">
        <v>35500</v>
      </c>
      <c r="J29" s="399"/>
      <c r="K29" s="391">
        <v>18000</v>
      </c>
      <c r="L29" s="399"/>
      <c r="M29" s="392">
        <v>33000</v>
      </c>
      <c r="N29" s="393"/>
      <c r="O29" s="394">
        <v>24500</v>
      </c>
      <c r="P29" s="394"/>
      <c r="Q29" s="392">
        <v>30000</v>
      </c>
      <c r="R29" s="400"/>
      <c r="S29" s="395"/>
      <c r="T29" s="396"/>
      <c r="U29" s="395"/>
      <c r="V29" s="397"/>
      <c r="W29" s="6"/>
    </row>
    <row r="30" spans="1:23" ht="15.6">
      <c r="A30" s="401"/>
      <c r="B30" s="386" t="s">
        <v>148</v>
      </c>
      <c r="C30" s="402">
        <f>C34*C28</f>
        <v>45864.294000000002</v>
      </c>
      <c r="D30" s="403"/>
      <c r="E30" s="404">
        <f>E34*E28</f>
        <v>81519.070500000002</v>
      </c>
      <c r="F30" s="403"/>
      <c r="G30" s="402">
        <v>16000</v>
      </c>
      <c r="H30" s="403"/>
      <c r="I30" s="404">
        <v>35500</v>
      </c>
      <c r="J30" s="405"/>
      <c r="K30" s="402">
        <v>18000</v>
      </c>
      <c r="L30" s="399"/>
      <c r="M30" s="406">
        <v>33000</v>
      </c>
      <c r="N30" s="407"/>
      <c r="O30" s="408">
        <v>24500</v>
      </c>
      <c r="P30" s="408"/>
      <c r="Q30" s="406">
        <v>30000</v>
      </c>
      <c r="R30" s="408"/>
      <c r="S30" s="408"/>
      <c r="T30" s="409"/>
      <c r="U30" s="408"/>
      <c r="V30" s="410"/>
      <c r="W30" s="6"/>
    </row>
    <row r="31" spans="1:23" ht="15.6">
      <c r="A31" s="401"/>
      <c r="B31" s="411" t="s">
        <v>260</v>
      </c>
      <c r="C31" s="391">
        <v>146000</v>
      </c>
      <c r="D31" s="398"/>
      <c r="E31" s="391">
        <v>178000</v>
      </c>
      <c r="F31" s="391"/>
      <c r="G31" s="391">
        <v>16000</v>
      </c>
      <c r="H31" s="391"/>
      <c r="I31" s="391">
        <v>24500</v>
      </c>
      <c r="J31" s="412"/>
      <c r="K31" s="391">
        <v>18000</v>
      </c>
      <c r="L31" s="412"/>
      <c r="M31" s="413">
        <v>22500</v>
      </c>
      <c r="N31" s="414"/>
      <c r="O31" s="413">
        <v>24500</v>
      </c>
      <c r="P31" s="415"/>
      <c r="Q31" s="413">
        <v>20500</v>
      </c>
      <c r="R31" s="408"/>
      <c r="S31" s="408"/>
      <c r="T31" s="409"/>
      <c r="U31" s="394">
        <f>+Q31+O31+M31+K31+I31+G31+E31+C31</f>
        <v>450000</v>
      </c>
      <c r="V31" s="410"/>
      <c r="W31" s="6"/>
    </row>
    <row r="32" spans="1:23" ht="15.6">
      <c r="A32" s="401"/>
      <c r="B32" s="411" t="s">
        <v>261</v>
      </c>
      <c r="C32" s="391">
        <f>C28*C35</f>
        <v>52176.896000000001</v>
      </c>
      <c r="D32" s="398"/>
      <c r="E32" s="391">
        <f>E31*E35</f>
        <v>63612.928000000007</v>
      </c>
      <c r="F32" s="391"/>
      <c r="G32" s="391">
        <v>16000</v>
      </c>
      <c r="H32" s="391"/>
      <c r="I32" s="391">
        <v>24500</v>
      </c>
      <c r="J32" s="412"/>
      <c r="K32" s="391">
        <v>18000</v>
      </c>
      <c r="L32" s="412"/>
      <c r="M32" s="413">
        <v>22500</v>
      </c>
      <c r="N32" s="414"/>
      <c r="O32" s="413">
        <v>24500</v>
      </c>
      <c r="P32" s="415"/>
      <c r="Q32" s="413">
        <v>20500</v>
      </c>
      <c r="R32" s="408"/>
      <c r="S32" s="408"/>
      <c r="T32" s="409"/>
      <c r="U32" s="394">
        <f>+Q32+O32+M32+K32+I32+G32+E32+C32</f>
        <v>241789.82400000002</v>
      </c>
      <c r="V32" s="410"/>
      <c r="W32" s="6"/>
    </row>
    <row r="33" spans="1:23" ht="15.6">
      <c r="A33" s="401"/>
      <c r="B33" s="386" t="s">
        <v>262</v>
      </c>
      <c r="C33" s="402">
        <f>C34*C28</f>
        <v>45864.294000000002</v>
      </c>
      <c r="D33" s="402"/>
      <c r="E33" s="402">
        <f>E34*E31</f>
        <v>55916.741999999998</v>
      </c>
      <c r="F33" s="402"/>
      <c r="G33" s="402">
        <v>16000</v>
      </c>
      <c r="H33" s="402"/>
      <c r="I33" s="402">
        <v>24500</v>
      </c>
      <c r="J33" s="416"/>
      <c r="K33" s="402">
        <v>18000</v>
      </c>
      <c r="L33" s="416"/>
      <c r="M33" s="402">
        <v>22500</v>
      </c>
      <c r="N33" s="416"/>
      <c r="O33" s="402">
        <v>24500</v>
      </c>
      <c r="P33" s="402"/>
      <c r="Q33" s="402">
        <v>20500</v>
      </c>
      <c r="R33" s="408"/>
      <c r="S33" s="408"/>
      <c r="T33" s="409"/>
      <c r="U33" s="408">
        <f>+Q33+O33+M33+K33+I33+G33+E33+C33</f>
        <v>227781.03599999999</v>
      </c>
      <c r="V33" s="410"/>
      <c r="W33" s="6"/>
    </row>
    <row r="34" spans="1:23" ht="15.6">
      <c r="A34" s="401"/>
      <c r="B34" s="417" t="s">
        <v>149</v>
      </c>
      <c r="C34" s="418">
        <v>0.314139</v>
      </c>
      <c r="D34" s="418"/>
      <c r="E34" s="418">
        <v>0.314139</v>
      </c>
      <c r="F34" s="418"/>
      <c r="G34" s="418">
        <v>1</v>
      </c>
      <c r="H34" s="418"/>
      <c r="I34" s="418">
        <v>1</v>
      </c>
      <c r="J34" s="418"/>
      <c r="K34" s="418">
        <v>1</v>
      </c>
      <c r="L34" s="418"/>
      <c r="M34" s="418">
        <v>1</v>
      </c>
      <c r="N34" s="418"/>
      <c r="O34" s="418">
        <v>1</v>
      </c>
      <c r="P34" s="418"/>
      <c r="Q34" s="418">
        <v>1</v>
      </c>
      <c r="R34" s="419"/>
      <c r="S34" s="420"/>
      <c r="T34" s="421"/>
      <c r="U34" s="420"/>
      <c r="V34" s="385"/>
      <c r="W34" s="6"/>
    </row>
    <row r="35" spans="1:23" ht="15.6">
      <c r="A35" s="401"/>
      <c r="B35" s="417" t="s">
        <v>150</v>
      </c>
      <c r="C35" s="418">
        <v>0.35737600000000003</v>
      </c>
      <c r="D35" s="418"/>
      <c r="E35" s="418">
        <v>0.35737600000000003</v>
      </c>
      <c r="F35" s="418"/>
      <c r="G35" s="418">
        <v>1</v>
      </c>
      <c r="H35" s="418"/>
      <c r="I35" s="418">
        <v>1</v>
      </c>
      <c r="J35" s="418"/>
      <c r="K35" s="418">
        <v>1</v>
      </c>
      <c r="L35" s="418"/>
      <c r="M35" s="418">
        <v>1</v>
      </c>
      <c r="N35" s="418"/>
      <c r="O35" s="418">
        <v>1</v>
      </c>
      <c r="P35" s="418"/>
      <c r="Q35" s="418">
        <v>1</v>
      </c>
      <c r="R35" s="419"/>
      <c r="S35" s="420"/>
      <c r="T35" s="421"/>
      <c r="U35" s="420"/>
      <c r="V35" s="385"/>
      <c r="W35" s="6"/>
    </row>
    <row r="36" spans="1:23" ht="15.6">
      <c r="A36" s="378"/>
      <c r="B36" s="379" t="s">
        <v>153</v>
      </c>
      <c r="C36" s="380" t="s">
        <v>163</v>
      </c>
      <c r="D36" s="380"/>
      <c r="E36" s="380" t="s">
        <v>163</v>
      </c>
      <c r="F36" s="380"/>
      <c r="G36" s="380" t="s">
        <v>164</v>
      </c>
      <c r="H36" s="380"/>
      <c r="I36" s="380" t="s">
        <v>164</v>
      </c>
      <c r="J36" s="380"/>
      <c r="K36" s="380" t="s">
        <v>106</v>
      </c>
      <c r="L36" s="380"/>
      <c r="M36" s="380" t="s">
        <v>165</v>
      </c>
      <c r="N36" s="380"/>
      <c r="O36" s="380" t="s">
        <v>166</v>
      </c>
      <c r="P36" s="380"/>
      <c r="Q36" s="380" t="s">
        <v>167</v>
      </c>
      <c r="R36" s="422"/>
      <c r="S36" s="422"/>
      <c r="T36" s="411"/>
      <c r="U36" s="424"/>
      <c r="V36" s="410"/>
      <c r="W36" s="6"/>
    </row>
    <row r="37" spans="1:23" ht="15.6">
      <c r="A37" s="378"/>
      <c r="B37" s="379" t="s">
        <v>151</v>
      </c>
      <c r="C37" s="425">
        <v>1.1797500000000001E-2</v>
      </c>
      <c r="D37" s="425"/>
      <c r="E37" s="425">
        <v>1.4250000000000001E-2</v>
      </c>
      <c r="F37" s="425"/>
      <c r="G37" s="425">
        <v>1.39975E-2</v>
      </c>
      <c r="H37" s="425"/>
      <c r="I37" s="425">
        <v>1.6449999999999999E-2</v>
      </c>
      <c r="J37" s="425"/>
      <c r="K37" s="425">
        <v>1.9397500000000002E-2</v>
      </c>
      <c r="L37" s="425"/>
      <c r="M37" s="425">
        <v>2.1250000000000002E-2</v>
      </c>
      <c r="N37" s="425"/>
      <c r="O37" s="425">
        <v>2.6397500000000001E-2</v>
      </c>
      <c r="P37" s="425"/>
      <c r="Q37" s="425">
        <v>2.785E-2</v>
      </c>
      <c r="R37" s="426"/>
      <c r="S37" s="425"/>
      <c r="T37" s="411"/>
      <c r="U37" s="380"/>
      <c r="V37" s="410"/>
      <c r="W37" s="6"/>
    </row>
    <row r="38" spans="1:23" ht="15.6">
      <c r="A38" s="378"/>
      <c r="B38" s="379" t="s">
        <v>152</v>
      </c>
      <c r="C38" s="425">
        <v>1.17359E-2</v>
      </c>
      <c r="D38" s="425"/>
      <c r="E38" s="425">
        <v>1.2749999999999999E-2</v>
      </c>
      <c r="F38" s="425"/>
      <c r="G38" s="425">
        <v>1.3935899999999999E-2</v>
      </c>
      <c r="H38" s="425"/>
      <c r="I38" s="425">
        <v>1.495E-2</v>
      </c>
      <c r="J38" s="425"/>
      <c r="K38" s="425">
        <v>1.93359E-2</v>
      </c>
      <c r="L38" s="425"/>
      <c r="M38" s="425">
        <v>1.975E-2</v>
      </c>
      <c r="N38" s="425"/>
      <c r="O38" s="425">
        <v>2.6335899999999999E-2</v>
      </c>
      <c r="P38" s="425"/>
      <c r="Q38" s="425">
        <v>2.6349999999999998E-2</v>
      </c>
      <c r="R38" s="426"/>
      <c r="S38" s="425"/>
      <c r="T38" s="411"/>
      <c r="U38" s="424"/>
      <c r="V38" s="410"/>
      <c r="W38" s="6"/>
    </row>
    <row r="39" spans="1:23" ht="15.6">
      <c r="A39" s="378"/>
      <c r="B39" s="379" t="s">
        <v>263</v>
      </c>
      <c r="C39" s="380" t="s">
        <v>163</v>
      </c>
      <c r="D39" s="379"/>
      <c r="E39" s="380" t="s">
        <v>228</v>
      </c>
      <c r="F39" s="379"/>
      <c r="G39" s="380" t="s">
        <v>164</v>
      </c>
      <c r="H39" s="379"/>
      <c r="I39" s="380" t="s">
        <v>226</v>
      </c>
      <c r="J39" s="379"/>
      <c r="K39" s="380" t="s">
        <v>106</v>
      </c>
      <c r="L39" s="379"/>
      <c r="M39" s="380" t="s">
        <v>227</v>
      </c>
      <c r="N39" s="379"/>
      <c r="O39" s="380" t="s">
        <v>166</v>
      </c>
      <c r="P39" s="380"/>
      <c r="Q39" s="380" t="s">
        <v>229</v>
      </c>
      <c r="R39" s="426"/>
      <c r="S39" s="425"/>
      <c r="T39" s="411"/>
      <c r="U39" s="424"/>
      <c r="V39" s="410"/>
      <c r="W39" s="6"/>
    </row>
    <row r="40" spans="1:23" ht="15.6">
      <c r="A40" s="378"/>
      <c r="B40" s="379" t="s">
        <v>264</v>
      </c>
      <c r="C40" s="425">
        <f>+C37</f>
        <v>1.1797500000000001E-2</v>
      </c>
      <c r="D40" s="425"/>
      <c r="E40" s="425">
        <v>1.2373500000000001E-2</v>
      </c>
      <c r="F40" s="425"/>
      <c r="G40" s="425">
        <f>+G37</f>
        <v>1.39975E-2</v>
      </c>
      <c r="H40" s="425"/>
      <c r="I40" s="425">
        <v>1.4730500000000001E-2</v>
      </c>
      <c r="J40" s="425"/>
      <c r="K40" s="425">
        <f>+K37</f>
        <v>1.9397500000000002E-2</v>
      </c>
      <c r="L40" s="423"/>
      <c r="M40" s="425">
        <v>1.9957900000000001E-2</v>
      </c>
      <c r="N40" s="423"/>
      <c r="O40" s="425">
        <f>+O37</f>
        <v>2.6397500000000001E-2</v>
      </c>
      <c r="P40" s="425"/>
      <c r="Q40" s="425">
        <v>2.7223899999999999E-2</v>
      </c>
      <c r="R40" s="426"/>
      <c r="S40" s="425"/>
      <c r="T40" s="411"/>
      <c r="U40" s="427">
        <f>SUMPRODUCT(C40:Q40,C32:Q32)/U32</f>
        <v>1.6504272715662342E-2</v>
      </c>
      <c r="V40" s="410"/>
      <c r="W40" s="6"/>
    </row>
    <row r="41" spans="1:23" ht="15.6">
      <c r="A41" s="378"/>
      <c r="B41" s="379" t="s">
        <v>265</v>
      </c>
      <c r="C41" s="425">
        <f>+C38</f>
        <v>1.17359E-2</v>
      </c>
      <c r="D41" s="425"/>
      <c r="E41" s="425">
        <v>1.2311900000000001E-2</v>
      </c>
      <c r="F41" s="425"/>
      <c r="G41" s="425">
        <f>+G38</f>
        <v>1.3935899999999999E-2</v>
      </c>
      <c r="H41" s="425"/>
      <c r="I41" s="425">
        <v>1.46689E-2</v>
      </c>
      <c r="J41" s="425"/>
      <c r="K41" s="425">
        <f>+K38</f>
        <v>1.93359E-2</v>
      </c>
      <c r="L41" s="423"/>
      <c r="M41" s="425">
        <v>1.9896299999999999E-2</v>
      </c>
      <c r="N41" s="423"/>
      <c r="O41" s="425">
        <f>+O38</f>
        <v>2.6335899999999999E-2</v>
      </c>
      <c r="P41" s="425"/>
      <c r="Q41" s="425">
        <v>2.71623E-2</v>
      </c>
      <c r="R41" s="426"/>
      <c r="S41" s="425"/>
      <c r="T41" s="411"/>
      <c r="U41" s="424"/>
      <c r="V41" s="410"/>
      <c r="W41" s="6"/>
    </row>
    <row r="42" spans="1:23" ht="15.6">
      <c r="A42" s="378"/>
      <c r="B42" s="379" t="s">
        <v>17</v>
      </c>
      <c r="C42" s="428">
        <v>39918</v>
      </c>
      <c r="D42" s="428"/>
      <c r="E42" s="428">
        <v>39918</v>
      </c>
      <c r="F42" s="428"/>
      <c r="G42" s="428">
        <v>39918</v>
      </c>
      <c r="H42" s="428"/>
      <c r="I42" s="428">
        <v>39918</v>
      </c>
      <c r="J42" s="428"/>
      <c r="K42" s="428">
        <v>39918</v>
      </c>
      <c r="L42" s="428"/>
      <c r="M42" s="428">
        <v>39918</v>
      </c>
      <c r="N42" s="428"/>
      <c r="O42" s="428">
        <v>39918</v>
      </c>
      <c r="P42" s="428"/>
      <c r="Q42" s="428">
        <v>39918</v>
      </c>
      <c r="R42" s="422"/>
      <c r="S42" s="422"/>
      <c r="T42" s="411"/>
      <c r="U42" s="424"/>
      <c r="V42" s="410"/>
      <c r="W42" s="6"/>
    </row>
    <row r="43" spans="1:23" ht="15.6">
      <c r="A43" s="378"/>
      <c r="B43" s="379" t="s">
        <v>18</v>
      </c>
      <c r="C43" s="429">
        <v>40283</v>
      </c>
      <c r="D43" s="430"/>
      <c r="E43" s="429">
        <v>40283</v>
      </c>
      <c r="F43" s="430"/>
      <c r="G43" s="429">
        <v>40283</v>
      </c>
      <c r="H43" s="430"/>
      <c r="I43" s="429">
        <v>40283</v>
      </c>
      <c r="J43" s="430"/>
      <c r="K43" s="429">
        <v>40283</v>
      </c>
      <c r="L43" s="430"/>
      <c r="M43" s="429">
        <v>40283</v>
      </c>
      <c r="N43" s="430"/>
      <c r="O43" s="429">
        <v>40283</v>
      </c>
      <c r="P43" s="429"/>
      <c r="Q43" s="429">
        <v>40283</v>
      </c>
      <c r="R43" s="380"/>
      <c r="S43" s="380"/>
      <c r="T43" s="424"/>
      <c r="U43" s="424"/>
      <c r="V43" s="410"/>
      <c r="W43" s="6"/>
    </row>
    <row r="44" spans="1:23" ht="15.6">
      <c r="A44" s="378"/>
      <c r="B44" s="379" t="s">
        <v>154</v>
      </c>
      <c r="C44" s="380" t="s">
        <v>163</v>
      </c>
      <c r="D44" s="380"/>
      <c r="E44" s="380" t="s">
        <v>163</v>
      </c>
      <c r="F44" s="380"/>
      <c r="G44" s="380" t="s">
        <v>164</v>
      </c>
      <c r="H44" s="380"/>
      <c r="I44" s="380" t="s">
        <v>164</v>
      </c>
      <c r="J44" s="380"/>
      <c r="K44" s="380" t="s">
        <v>106</v>
      </c>
      <c r="L44" s="380"/>
      <c r="M44" s="380" t="s">
        <v>165</v>
      </c>
      <c r="N44" s="380"/>
      <c r="O44" s="380" t="s">
        <v>166</v>
      </c>
      <c r="P44" s="380"/>
      <c r="Q44" s="380" t="s">
        <v>167</v>
      </c>
      <c r="R44" s="380"/>
      <c r="S44" s="380"/>
      <c r="T44" s="424"/>
      <c r="U44" s="424"/>
      <c r="V44" s="410"/>
      <c r="W44" s="6"/>
    </row>
    <row r="45" spans="1:23" ht="15.6">
      <c r="A45" s="378"/>
      <c r="B45" s="379" t="s">
        <v>266</v>
      </c>
      <c r="C45" s="380" t="s">
        <v>163</v>
      </c>
      <c r="D45" s="379"/>
      <c r="E45" s="380" t="s">
        <v>228</v>
      </c>
      <c r="F45" s="379"/>
      <c r="G45" s="380" t="s">
        <v>164</v>
      </c>
      <c r="H45" s="379"/>
      <c r="I45" s="380" t="s">
        <v>226</v>
      </c>
      <c r="J45" s="379"/>
      <c r="K45" s="380" t="s">
        <v>106</v>
      </c>
      <c r="L45" s="379"/>
      <c r="M45" s="380" t="s">
        <v>227</v>
      </c>
      <c r="N45" s="379"/>
      <c r="O45" s="380" t="s">
        <v>166</v>
      </c>
      <c r="P45" s="380"/>
      <c r="Q45" s="380" t="s">
        <v>229</v>
      </c>
      <c r="R45" s="380"/>
      <c r="S45" s="380"/>
      <c r="T45" s="424"/>
      <c r="U45" s="424"/>
      <c r="V45" s="410"/>
      <c r="W45" s="6"/>
    </row>
    <row r="46" spans="1:23" ht="15.6">
      <c r="A46" s="378"/>
      <c r="B46" s="379"/>
      <c r="C46" s="379"/>
      <c r="D46" s="379"/>
      <c r="E46" s="379"/>
      <c r="F46" s="379"/>
      <c r="G46" s="379"/>
      <c r="H46" s="379"/>
      <c r="I46" s="379"/>
      <c r="J46" s="379"/>
      <c r="K46" s="379"/>
      <c r="L46" s="379"/>
      <c r="M46" s="431"/>
      <c r="N46" s="431"/>
      <c r="O46" s="379"/>
      <c r="P46" s="431"/>
      <c r="Q46" s="431"/>
      <c r="R46" s="431"/>
      <c r="S46" s="431"/>
      <c r="T46" s="431"/>
      <c r="U46" s="431"/>
      <c r="V46" s="410"/>
      <c r="W46" s="6"/>
    </row>
    <row r="47" spans="1:23" ht="15.6">
      <c r="A47" s="378"/>
      <c r="B47" s="379" t="s">
        <v>201</v>
      </c>
      <c r="C47" s="379"/>
      <c r="D47" s="379"/>
      <c r="E47" s="379"/>
      <c r="F47" s="379"/>
      <c r="G47" s="379"/>
      <c r="H47" s="379"/>
      <c r="I47" s="379"/>
      <c r="J47" s="379"/>
      <c r="K47" s="379"/>
      <c r="L47" s="379"/>
      <c r="M47" s="379"/>
      <c r="N47" s="379"/>
      <c r="O47" s="379"/>
      <c r="P47" s="379"/>
      <c r="Q47" s="379"/>
      <c r="R47" s="379"/>
      <c r="S47" s="379"/>
      <c r="T47" s="379"/>
      <c r="U47" s="427">
        <f>SUM(G31:Q31)/(C31+E31)</f>
        <v>0.3888888888888889</v>
      </c>
      <c r="V47" s="410"/>
      <c r="W47" s="6"/>
    </row>
    <row r="48" spans="1:23" ht="15.6">
      <c r="A48" s="378"/>
      <c r="B48" s="379" t="s">
        <v>202</v>
      </c>
      <c r="C48" s="379"/>
      <c r="D48" s="379"/>
      <c r="E48" s="379"/>
      <c r="F48" s="379"/>
      <c r="G48" s="379"/>
      <c r="H48" s="379"/>
      <c r="I48" s="379"/>
      <c r="J48" s="379"/>
      <c r="K48" s="379"/>
      <c r="L48" s="379"/>
      <c r="M48" s="379"/>
      <c r="N48" s="379"/>
      <c r="O48" s="379"/>
      <c r="P48" s="379"/>
      <c r="Q48" s="379"/>
      <c r="R48" s="379"/>
      <c r="S48" s="379"/>
      <c r="T48" s="379"/>
      <c r="U48" s="427">
        <f>SUM(F33:Q33)/(C33+E33)</f>
        <v>1.2379516357054963</v>
      </c>
      <c r="V48" s="410"/>
      <c r="W48" s="6"/>
    </row>
    <row r="49" spans="1:23" ht="15.6">
      <c r="A49" s="378"/>
      <c r="B49" s="379" t="s">
        <v>203</v>
      </c>
      <c r="C49" s="379"/>
      <c r="D49" s="379"/>
      <c r="E49" s="379"/>
      <c r="F49" s="379"/>
      <c r="G49" s="379"/>
      <c r="H49" s="379"/>
      <c r="I49" s="379"/>
      <c r="J49" s="379"/>
      <c r="K49" s="379"/>
      <c r="L49" s="379"/>
      <c r="M49" s="379"/>
      <c r="N49" s="379"/>
      <c r="O49" s="379"/>
      <c r="P49" s="379"/>
      <c r="Q49" s="379"/>
      <c r="R49" s="379"/>
      <c r="S49" s="380" t="s">
        <v>95</v>
      </c>
      <c r="T49" s="380" t="s">
        <v>117</v>
      </c>
      <c r="U49" s="394">
        <v>99000</v>
      </c>
      <c r="V49" s="410"/>
      <c r="W49" s="6"/>
    </row>
    <row r="50" spans="1:23" ht="15.6">
      <c r="A50" s="378"/>
      <c r="B50" s="379"/>
      <c r="C50" s="379"/>
      <c r="D50" s="379"/>
      <c r="E50" s="379"/>
      <c r="F50" s="379"/>
      <c r="G50" s="379"/>
      <c r="H50" s="379"/>
      <c r="I50" s="379"/>
      <c r="J50" s="379"/>
      <c r="K50" s="379"/>
      <c r="L50" s="379"/>
      <c r="M50" s="379"/>
      <c r="N50" s="379"/>
      <c r="O50" s="379"/>
      <c r="P50" s="379"/>
      <c r="Q50" s="379"/>
      <c r="R50" s="379"/>
      <c r="S50" s="379" t="s">
        <v>213</v>
      </c>
      <c r="T50" s="379"/>
      <c r="U50" s="432"/>
      <c r="V50" s="410"/>
      <c r="W50" s="6"/>
    </row>
    <row r="51" spans="1:23" ht="15.6">
      <c r="A51" s="378"/>
      <c r="B51" s="379" t="s">
        <v>19</v>
      </c>
      <c r="C51" s="379"/>
      <c r="D51" s="379"/>
      <c r="E51" s="379"/>
      <c r="F51" s="379"/>
      <c r="G51" s="379"/>
      <c r="H51" s="379"/>
      <c r="I51" s="379"/>
      <c r="J51" s="379"/>
      <c r="K51" s="379"/>
      <c r="L51" s="379"/>
      <c r="M51" s="379"/>
      <c r="N51" s="379"/>
      <c r="O51" s="379"/>
      <c r="P51" s="379"/>
      <c r="Q51" s="379"/>
      <c r="R51" s="379"/>
      <c r="S51" s="380"/>
      <c r="T51" s="380"/>
      <c r="U51" s="380" t="s">
        <v>118</v>
      </c>
      <c r="V51" s="410"/>
      <c r="W51" s="6"/>
    </row>
    <row r="52" spans="1:23" ht="15.6">
      <c r="A52" s="401"/>
      <c r="B52" s="386" t="s">
        <v>20</v>
      </c>
      <c r="C52" s="386"/>
      <c r="D52" s="386"/>
      <c r="E52" s="386"/>
      <c r="F52" s="386"/>
      <c r="G52" s="386"/>
      <c r="H52" s="386"/>
      <c r="I52" s="386"/>
      <c r="J52" s="386"/>
      <c r="K52" s="386"/>
      <c r="L52" s="386"/>
      <c r="M52" s="386"/>
      <c r="N52" s="386"/>
      <c r="O52" s="386"/>
      <c r="P52" s="386"/>
      <c r="Q52" s="386"/>
      <c r="R52" s="386"/>
      <c r="S52" s="433"/>
      <c r="T52" s="433"/>
      <c r="U52" s="434">
        <v>40560</v>
      </c>
      <c r="V52" s="435"/>
      <c r="W52" s="6"/>
    </row>
    <row r="53" spans="1:23" ht="15.6">
      <c r="A53" s="378"/>
      <c r="B53" s="379" t="s">
        <v>155</v>
      </c>
      <c r="C53" s="379"/>
      <c r="D53" s="379"/>
      <c r="E53" s="379"/>
      <c r="F53" s="379"/>
      <c r="G53" s="379"/>
      <c r="H53" s="379"/>
      <c r="I53" s="379"/>
      <c r="J53" s="379"/>
      <c r="K53" s="379"/>
      <c r="L53" s="379"/>
      <c r="M53" s="379"/>
      <c r="N53" s="379"/>
      <c r="O53" s="379"/>
      <c r="P53" s="379"/>
      <c r="Q53" s="424"/>
      <c r="R53" s="379">
        <f>U53-S53+1</f>
        <v>92</v>
      </c>
      <c r="S53" s="436">
        <v>40374</v>
      </c>
      <c r="T53" s="429"/>
      <c r="U53" s="436">
        <v>40465</v>
      </c>
      <c r="V53" s="410"/>
      <c r="W53" s="6"/>
    </row>
    <row r="54" spans="1:23" ht="15.6">
      <c r="A54" s="378"/>
      <c r="B54" s="379" t="s">
        <v>156</v>
      </c>
      <c r="C54" s="379"/>
      <c r="D54" s="379"/>
      <c r="E54" s="379"/>
      <c r="F54" s="379"/>
      <c r="G54" s="379"/>
      <c r="H54" s="379"/>
      <c r="I54" s="379"/>
      <c r="J54" s="379"/>
      <c r="K54" s="379"/>
      <c r="L54" s="379"/>
      <c r="M54" s="379"/>
      <c r="N54" s="379"/>
      <c r="O54" s="379"/>
      <c r="P54" s="379"/>
      <c r="Q54" s="424"/>
      <c r="R54" s="379">
        <f>U54-S54+1</f>
        <v>94</v>
      </c>
      <c r="S54" s="436">
        <v>40466</v>
      </c>
      <c r="T54" s="429"/>
      <c r="U54" s="436">
        <v>40559</v>
      </c>
      <c r="V54" s="410"/>
      <c r="W54" s="6"/>
    </row>
    <row r="55" spans="1:23" ht="15.6">
      <c r="A55" s="378"/>
      <c r="B55" s="379" t="s">
        <v>21</v>
      </c>
      <c r="C55" s="379"/>
      <c r="D55" s="379"/>
      <c r="E55" s="379"/>
      <c r="F55" s="379"/>
      <c r="G55" s="379"/>
      <c r="H55" s="379"/>
      <c r="I55" s="379"/>
      <c r="J55" s="379"/>
      <c r="K55" s="379"/>
      <c r="L55" s="379"/>
      <c r="M55" s="379"/>
      <c r="N55" s="379"/>
      <c r="O55" s="379"/>
      <c r="P55" s="379"/>
      <c r="Q55" s="379"/>
      <c r="R55" s="379"/>
      <c r="S55" s="436"/>
      <c r="T55" s="429"/>
      <c r="U55" s="436" t="s">
        <v>119</v>
      </c>
      <c r="V55" s="410"/>
      <c r="W55" s="6"/>
    </row>
    <row r="56" spans="1:23" ht="15.6">
      <c r="A56" s="378"/>
      <c r="B56" s="379" t="s">
        <v>22</v>
      </c>
      <c r="C56" s="379"/>
      <c r="D56" s="379"/>
      <c r="E56" s="379"/>
      <c r="F56" s="379"/>
      <c r="G56" s="379"/>
      <c r="H56" s="379"/>
      <c r="I56" s="379"/>
      <c r="J56" s="379"/>
      <c r="K56" s="379"/>
      <c r="L56" s="379"/>
      <c r="M56" s="379"/>
      <c r="N56" s="379"/>
      <c r="O56" s="379"/>
      <c r="P56" s="379"/>
      <c r="Q56" s="379"/>
      <c r="R56" s="379"/>
      <c r="S56" s="436"/>
      <c r="T56" s="429"/>
      <c r="U56" s="436">
        <v>40547</v>
      </c>
      <c r="V56" s="410"/>
      <c r="W56" s="6"/>
    </row>
    <row r="57" spans="1:23" ht="15.6">
      <c r="A57" s="242"/>
      <c r="B57" s="364"/>
      <c r="C57" s="364"/>
      <c r="D57" s="364"/>
      <c r="E57" s="364"/>
      <c r="F57" s="364"/>
      <c r="G57" s="364"/>
      <c r="H57" s="364"/>
      <c r="I57" s="364"/>
      <c r="J57" s="364"/>
      <c r="K57" s="364"/>
      <c r="L57" s="364"/>
      <c r="M57" s="364"/>
      <c r="N57" s="364"/>
      <c r="O57" s="364"/>
      <c r="P57" s="364"/>
      <c r="Q57" s="364"/>
      <c r="R57" s="364"/>
      <c r="S57" s="364"/>
      <c r="T57" s="364"/>
      <c r="U57" s="377"/>
      <c r="V57" s="303"/>
      <c r="W57" s="6"/>
    </row>
    <row r="58" spans="1:23" ht="15.6">
      <c r="A58" s="242"/>
      <c r="B58" s="288"/>
      <c r="C58" s="288"/>
      <c r="D58" s="288"/>
      <c r="E58" s="288"/>
      <c r="F58" s="288"/>
      <c r="G58" s="288"/>
      <c r="H58" s="288"/>
      <c r="I58" s="288"/>
      <c r="J58" s="288"/>
      <c r="K58" s="288"/>
      <c r="L58" s="288"/>
      <c r="M58" s="288"/>
      <c r="N58" s="288"/>
      <c r="O58" s="288"/>
      <c r="P58" s="288"/>
      <c r="Q58" s="288"/>
      <c r="R58" s="288"/>
      <c r="S58" s="288"/>
      <c r="T58" s="288"/>
      <c r="U58" s="302"/>
      <c r="V58" s="303"/>
      <c r="W58" s="6"/>
    </row>
    <row r="59" spans="1:23" ht="16.2" thickBot="1">
      <c r="A59" s="261"/>
      <c r="B59" s="304" t="s">
        <v>272</v>
      </c>
      <c r="C59" s="305"/>
      <c r="D59" s="305"/>
      <c r="E59" s="305"/>
      <c r="F59" s="305"/>
      <c r="G59" s="305"/>
      <c r="H59" s="305"/>
      <c r="I59" s="305"/>
      <c r="J59" s="305"/>
      <c r="K59" s="305"/>
      <c r="L59" s="305"/>
      <c r="M59" s="305"/>
      <c r="N59" s="305"/>
      <c r="O59" s="305"/>
      <c r="P59" s="305"/>
      <c r="Q59" s="305"/>
      <c r="R59" s="305"/>
      <c r="S59" s="305"/>
      <c r="T59" s="305"/>
      <c r="U59" s="306"/>
      <c r="V59" s="307"/>
      <c r="W59" s="6"/>
    </row>
    <row r="60" spans="1:23" ht="15.6">
      <c r="A60" s="230"/>
      <c r="B60" s="308" t="s">
        <v>23</v>
      </c>
      <c r="C60" s="308"/>
      <c r="D60" s="308"/>
      <c r="E60" s="308"/>
      <c r="F60" s="308"/>
      <c r="G60" s="308"/>
      <c r="H60" s="308"/>
      <c r="I60" s="308"/>
      <c r="J60" s="308"/>
      <c r="K60" s="308"/>
      <c r="L60" s="308"/>
      <c r="M60" s="231"/>
      <c r="N60" s="231"/>
      <c r="O60" s="231"/>
      <c r="P60" s="231"/>
      <c r="Q60" s="231"/>
      <c r="R60" s="231"/>
      <c r="S60" s="231"/>
      <c r="T60" s="231"/>
      <c r="U60" s="309"/>
      <c r="V60" s="237"/>
      <c r="W60" s="6"/>
    </row>
    <row r="61" spans="1:23" ht="15.6">
      <c r="A61" s="242"/>
      <c r="B61" s="252"/>
      <c r="C61" s="252"/>
      <c r="D61" s="252"/>
      <c r="E61" s="252"/>
      <c r="F61" s="252"/>
      <c r="G61" s="252"/>
      <c r="H61" s="252"/>
      <c r="I61" s="252"/>
      <c r="J61" s="252"/>
      <c r="K61" s="252"/>
      <c r="L61" s="252"/>
      <c r="M61" s="244"/>
      <c r="N61" s="244"/>
      <c r="O61" s="244"/>
      <c r="P61" s="244"/>
      <c r="Q61" s="244"/>
      <c r="R61" s="244"/>
      <c r="S61" s="244"/>
      <c r="T61" s="244"/>
      <c r="U61" s="263"/>
      <c r="V61" s="245"/>
      <c r="W61" s="6"/>
    </row>
    <row r="62" spans="1:23" s="151" customFormat="1" ht="46.8">
      <c r="A62" s="264"/>
      <c r="B62" s="265"/>
      <c r="C62" s="266"/>
      <c r="D62" s="266"/>
      <c r="E62" s="266"/>
      <c r="F62" s="266"/>
      <c r="G62" s="266"/>
      <c r="H62" s="266"/>
      <c r="I62" s="266"/>
      <c r="J62" s="266"/>
      <c r="K62" s="266" t="s">
        <v>197</v>
      </c>
      <c r="L62" s="266"/>
      <c r="M62" s="266" t="s">
        <v>98</v>
      </c>
      <c r="N62" s="266"/>
      <c r="O62" s="266" t="s">
        <v>107</v>
      </c>
      <c r="P62" s="266"/>
      <c r="Q62" s="266" t="s">
        <v>111</v>
      </c>
      <c r="R62" s="266"/>
      <c r="S62" s="266" t="s">
        <v>113</v>
      </c>
      <c r="T62" s="266"/>
      <c r="U62" s="267" t="s">
        <v>120</v>
      </c>
      <c r="V62" s="268"/>
      <c r="W62" s="150"/>
    </row>
    <row r="63" spans="1:23" ht="15.6">
      <c r="A63" s="378"/>
      <c r="B63" s="379" t="s">
        <v>24</v>
      </c>
      <c r="C63" s="440"/>
      <c r="D63" s="440"/>
      <c r="E63" s="440"/>
      <c r="F63" s="440"/>
      <c r="G63" s="440"/>
      <c r="H63" s="440"/>
      <c r="I63" s="440"/>
      <c r="J63" s="440"/>
      <c r="K63" s="440">
        <f>265+63566+3306</f>
        <v>67137</v>
      </c>
      <c r="L63" s="440"/>
      <c r="M63" s="440">
        <v>11516</v>
      </c>
      <c r="N63" s="440"/>
      <c r="O63" s="440">
        <f>563+8+50-1</f>
        <v>620</v>
      </c>
      <c r="P63" s="440"/>
      <c r="Q63" s="440">
        <v>0</v>
      </c>
      <c r="R63" s="440"/>
      <c r="S63" s="440">
        <v>0</v>
      </c>
      <c r="T63" s="440"/>
      <c r="U63" s="441">
        <f>+M63-O63+Q63-S63</f>
        <v>10896</v>
      </c>
      <c r="V63" s="410"/>
      <c r="W63" s="6"/>
    </row>
    <row r="64" spans="1:23" ht="15.6">
      <c r="A64" s="378"/>
      <c r="B64" s="379" t="s">
        <v>25</v>
      </c>
      <c r="C64" s="440"/>
      <c r="D64" s="440"/>
      <c r="E64" s="440"/>
      <c r="F64" s="440"/>
      <c r="G64" s="440"/>
      <c r="H64" s="440"/>
      <c r="I64" s="440"/>
      <c r="J64" s="440"/>
      <c r="K64" s="440"/>
      <c r="L64" s="440"/>
      <c r="M64" s="440"/>
      <c r="N64" s="440"/>
      <c r="O64" s="440"/>
      <c r="P64" s="440"/>
      <c r="Q64" s="440">
        <v>0</v>
      </c>
      <c r="R64" s="440"/>
      <c r="S64" s="440">
        <v>0</v>
      </c>
      <c r="T64" s="440"/>
      <c r="U64" s="441">
        <f>M64-O64</f>
        <v>0</v>
      </c>
      <c r="V64" s="410"/>
      <c r="W64" s="6"/>
    </row>
    <row r="65" spans="1:24" ht="15.6">
      <c r="A65" s="378"/>
      <c r="B65" s="379"/>
      <c r="C65" s="440"/>
      <c r="D65" s="440"/>
      <c r="E65" s="440"/>
      <c r="F65" s="440"/>
      <c r="G65" s="440"/>
      <c r="H65" s="440"/>
      <c r="I65" s="440"/>
      <c r="J65" s="440"/>
      <c r="K65" s="440"/>
      <c r="L65" s="440"/>
      <c r="M65" s="440"/>
      <c r="N65" s="440"/>
      <c r="O65" s="440"/>
      <c r="P65" s="440"/>
      <c r="Q65" s="440"/>
      <c r="R65" s="440"/>
      <c r="S65" s="440"/>
      <c r="T65" s="440"/>
      <c r="U65" s="441"/>
      <c r="V65" s="410"/>
      <c r="W65" s="6"/>
    </row>
    <row r="66" spans="1:24" ht="15.6">
      <c r="A66" s="378"/>
      <c r="B66" s="379" t="s">
        <v>26</v>
      </c>
      <c r="C66" s="440"/>
      <c r="D66" s="440"/>
      <c r="E66" s="440"/>
      <c r="F66" s="440"/>
      <c r="G66" s="440"/>
      <c r="H66" s="440"/>
      <c r="I66" s="440"/>
      <c r="J66" s="440"/>
      <c r="K66" s="440">
        <v>24470</v>
      </c>
      <c r="L66" s="440"/>
      <c r="M66" s="440">
        <v>3670</v>
      </c>
      <c r="N66" s="440"/>
      <c r="O66" s="440">
        <f>470-34</f>
        <v>436</v>
      </c>
      <c r="P66" s="440"/>
      <c r="Q66" s="440">
        <v>0</v>
      </c>
      <c r="R66" s="440"/>
      <c r="S66" s="440">
        <f>SUM(S63:S65)</f>
        <v>0</v>
      </c>
      <c r="T66" s="440"/>
      <c r="U66" s="441">
        <f>+M66-O66+Q66-S66</f>
        <v>3234</v>
      </c>
      <c r="V66" s="410"/>
      <c r="W66" s="6"/>
    </row>
    <row r="67" spans="1:24" ht="15.6">
      <c r="A67" s="378"/>
      <c r="B67" s="379" t="s">
        <v>25</v>
      </c>
      <c r="C67" s="440"/>
      <c r="D67" s="440"/>
      <c r="E67" s="440"/>
      <c r="F67" s="440"/>
      <c r="G67" s="440"/>
      <c r="H67" s="440"/>
      <c r="I67" s="440"/>
      <c r="J67" s="440"/>
      <c r="K67" s="440"/>
      <c r="L67" s="440"/>
      <c r="M67" s="440"/>
      <c r="N67" s="440"/>
      <c r="O67" s="440"/>
      <c r="P67" s="440"/>
      <c r="Q67" s="440">
        <v>0</v>
      </c>
      <c r="R67" s="440"/>
      <c r="S67" s="440">
        <v>0</v>
      </c>
      <c r="T67" s="440"/>
      <c r="U67" s="440"/>
      <c r="V67" s="410"/>
      <c r="W67" s="6"/>
    </row>
    <row r="68" spans="1:24" ht="15.6">
      <c r="A68" s="378"/>
      <c r="B68" s="386"/>
      <c r="C68" s="440"/>
      <c r="D68" s="440"/>
      <c r="E68" s="440"/>
      <c r="F68" s="440"/>
      <c r="G68" s="440"/>
      <c r="H68" s="440"/>
      <c r="I68" s="440"/>
      <c r="J68" s="440"/>
      <c r="K68" s="440"/>
      <c r="L68" s="440"/>
      <c r="M68" s="440"/>
      <c r="N68" s="440"/>
      <c r="O68" s="442"/>
      <c r="P68" s="440"/>
      <c r="Q68" s="440"/>
      <c r="R68" s="440"/>
      <c r="S68" s="440"/>
      <c r="T68" s="440"/>
      <c r="U68" s="440"/>
      <c r="V68" s="410"/>
      <c r="W68" s="6"/>
    </row>
    <row r="69" spans="1:24" ht="15.6">
      <c r="A69" s="378"/>
      <c r="B69" s="379" t="s">
        <v>27</v>
      </c>
      <c r="C69" s="440"/>
      <c r="D69" s="440"/>
      <c r="E69" s="440"/>
      <c r="F69" s="440"/>
      <c r="G69" s="440"/>
      <c r="H69" s="440"/>
      <c r="I69" s="440"/>
      <c r="J69" s="440"/>
      <c r="K69" s="440">
        <v>220072</v>
      </c>
      <c r="L69" s="440"/>
      <c r="M69" s="440">
        <v>218176</v>
      </c>
      <c r="N69" s="440"/>
      <c r="O69" s="440">
        <f>7884+734+42+1</f>
        <v>8661</v>
      </c>
      <c r="P69" s="440"/>
      <c r="Q69" s="440">
        <v>0</v>
      </c>
      <c r="R69" s="440"/>
      <c r="S69" s="440">
        <v>0</v>
      </c>
      <c r="T69" s="440"/>
      <c r="U69" s="441">
        <f>+M69-O69+Q69-S69</f>
        <v>209515</v>
      </c>
      <c r="V69" s="410"/>
      <c r="W69" s="6"/>
    </row>
    <row r="70" spans="1:24" ht="15.6">
      <c r="A70" s="378"/>
      <c r="B70" s="379" t="s">
        <v>25</v>
      </c>
      <c r="C70" s="440"/>
      <c r="D70" s="440"/>
      <c r="E70" s="440"/>
      <c r="F70" s="440"/>
      <c r="G70" s="440"/>
      <c r="H70" s="440"/>
      <c r="I70" s="440"/>
      <c r="J70" s="440"/>
      <c r="K70" s="440"/>
      <c r="L70" s="440"/>
      <c r="M70" s="440"/>
      <c r="N70" s="440"/>
      <c r="O70" s="440"/>
      <c r="P70" s="440"/>
      <c r="Q70" s="440">
        <v>0</v>
      </c>
      <c r="R70" s="440"/>
      <c r="S70" s="440">
        <v>0</v>
      </c>
      <c r="T70" s="440"/>
      <c r="U70" s="441">
        <f>M70-O70+Q70-S70</f>
        <v>0</v>
      </c>
      <c r="V70" s="410"/>
      <c r="W70" s="6"/>
    </row>
    <row r="71" spans="1:24" ht="15.6">
      <c r="A71" s="378"/>
      <c r="B71" s="379"/>
      <c r="C71" s="440"/>
      <c r="D71" s="440"/>
      <c r="E71" s="440"/>
      <c r="F71" s="440"/>
      <c r="G71" s="440"/>
      <c r="H71" s="440"/>
      <c r="I71" s="440"/>
      <c r="J71" s="440"/>
      <c r="K71" s="440"/>
      <c r="L71" s="440"/>
      <c r="M71" s="440"/>
      <c r="N71" s="440"/>
      <c r="O71" s="440"/>
      <c r="P71" s="440"/>
      <c r="Q71" s="440"/>
      <c r="R71" s="440"/>
      <c r="S71" s="440"/>
      <c r="T71" s="440"/>
      <c r="U71" s="441"/>
      <c r="V71" s="410"/>
      <c r="W71" s="6"/>
    </row>
    <row r="72" spans="1:24" ht="15.6">
      <c r="A72" s="378"/>
      <c r="B72" s="379" t="s">
        <v>28</v>
      </c>
      <c r="C72" s="440"/>
      <c r="D72" s="440"/>
      <c r="E72" s="440"/>
      <c r="F72" s="440"/>
      <c r="G72" s="440"/>
      <c r="H72" s="440"/>
      <c r="I72" s="440"/>
      <c r="J72" s="440"/>
      <c r="K72" s="440">
        <v>138321</v>
      </c>
      <c r="L72" s="440"/>
      <c r="M72" s="440">
        <v>19476</v>
      </c>
      <c r="N72" s="440"/>
      <c r="O72" s="440">
        <f>3658+665</f>
        <v>4323</v>
      </c>
      <c r="P72" s="440"/>
      <c r="Q72" s="440">
        <v>0</v>
      </c>
      <c r="R72" s="440"/>
      <c r="S72" s="440">
        <v>0</v>
      </c>
      <c r="T72" s="440"/>
      <c r="U72" s="441">
        <f>+M72-O72+Q72-S72</f>
        <v>15153</v>
      </c>
      <c r="V72" s="410"/>
      <c r="W72" s="6"/>
    </row>
    <row r="73" spans="1:24" ht="15.6">
      <c r="A73" s="378"/>
      <c r="B73" s="379" t="s">
        <v>25</v>
      </c>
      <c r="C73" s="440"/>
      <c r="D73" s="440"/>
      <c r="E73" s="440"/>
      <c r="F73" s="440"/>
      <c r="G73" s="440"/>
      <c r="H73" s="440"/>
      <c r="I73" s="440"/>
      <c r="J73" s="440"/>
      <c r="K73" s="440"/>
      <c r="L73" s="440"/>
      <c r="M73" s="440"/>
      <c r="N73" s="440"/>
      <c r="O73" s="440"/>
      <c r="P73" s="440"/>
      <c r="Q73" s="440">
        <v>0</v>
      </c>
      <c r="R73" s="440"/>
      <c r="S73" s="440">
        <v>0</v>
      </c>
      <c r="T73" s="440"/>
      <c r="U73" s="441"/>
      <c r="V73" s="410"/>
      <c r="W73" s="6"/>
    </row>
    <row r="74" spans="1:24" ht="15.6">
      <c r="A74" s="378"/>
      <c r="B74" s="440"/>
      <c r="C74" s="440"/>
      <c r="D74" s="440"/>
      <c r="E74" s="440"/>
      <c r="F74" s="440"/>
      <c r="G74" s="440"/>
      <c r="H74" s="440"/>
      <c r="I74" s="440"/>
      <c r="J74" s="440"/>
      <c r="K74" s="440"/>
      <c r="L74" s="440"/>
      <c r="M74" s="440"/>
      <c r="N74" s="440"/>
      <c r="O74" s="440"/>
      <c r="P74" s="440"/>
      <c r="Q74" s="440"/>
      <c r="R74" s="440"/>
      <c r="S74" s="440"/>
      <c r="T74" s="440"/>
      <c r="U74" s="441"/>
      <c r="V74" s="410"/>
      <c r="W74" s="6"/>
    </row>
    <row r="75" spans="1:24" ht="15.6">
      <c r="A75" s="378"/>
      <c r="B75" s="379" t="s">
        <v>29</v>
      </c>
      <c r="C75" s="440"/>
      <c r="D75" s="440"/>
      <c r="E75" s="440"/>
      <c r="F75" s="440"/>
      <c r="G75" s="440"/>
      <c r="H75" s="440"/>
      <c r="I75" s="440"/>
      <c r="J75" s="440"/>
      <c r="K75" s="440">
        <f>SUM(K63:K72)</f>
        <v>450000</v>
      </c>
      <c r="L75" s="440"/>
      <c r="M75" s="440">
        <f>SUM(M63:M72)</f>
        <v>252838</v>
      </c>
      <c r="N75" s="440"/>
      <c r="O75" s="440">
        <f>SUM(O63:O73)</f>
        <v>14040</v>
      </c>
      <c r="P75" s="440"/>
      <c r="Q75" s="440">
        <f>SUM(Q63:Q73)</f>
        <v>0</v>
      </c>
      <c r="R75" s="440"/>
      <c r="S75" s="440">
        <f>SUM(S70:S74)</f>
        <v>0</v>
      </c>
      <c r="T75" s="440"/>
      <c r="U75" s="440">
        <f>SUM(U63:U73)</f>
        <v>238798</v>
      </c>
      <c r="V75" s="410"/>
      <c r="W75" s="6"/>
      <c r="X75" s="182"/>
    </row>
    <row r="76" spans="1:24" ht="15.6">
      <c r="A76" s="378"/>
      <c r="B76" s="379"/>
      <c r="C76" s="440"/>
      <c r="D76" s="440"/>
      <c r="E76" s="440"/>
      <c r="F76" s="440"/>
      <c r="G76" s="440"/>
      <c r="H76" s="440"/>
      <c r="I76" s="440"/>
      <c r="J76" s="440"/>
      <c r="K76" s="440"/>
      <c r="L76" s="440"/>
      <c r="M76" s="440"/>
      <c r="N76" s="440"/>
      <c r="O76" s="440"/>
      <c r="P76" s="440"/>
      <c r="Q76" s="440"/>
      <c r="R76" s="440"/>
      <c r="S76" s="440"/>
      <c r="T76" s="440"/>
      <c r="U76" s="440"/>
      <c r="V76" s="410"/>
      <c r="W76" s="6"/>
    </row>
    <row r="77" spans="1:24" ht="15.6">
      <c r="A77" s="378"/>
      <c r="B77" s="379" t="s">
        <v>214</v>
      </c>
      <c r="C77" s="440"/>
      <c r="D77" s="440"/>
      <c r="E77" s="440"/>
      <c r="F77" s="440"/>
      <c r="G77" s="440"/>
      <c r="H77" s="440"/>
      <c r="I77" s="440"/>
      <c r="J77" s="440"/>
      <c r="K77" s="440">
        <v>0</v>
      </c>
      <c r="L77" s="440"/>
      <c r="M77" s="440">
        <v>-11048</v>
      </c>
      <c r="N77" s="440"/>
      <c r="O77" s="440">
        <v>-31</v>
      </c>
      <c r="P77" s="440"/>
      <c r="Q77" s="440"/>
      <c r="R77" s="440"/>
      <c r="S77" s="440"/>
      <c r="T77" s="440"/>
      <c r="U77" s="441">
        <f>+M77-O77</f>
        <v>-11017</v>
      </c>
      <c r="V77" s="410"/>
      <c r="W77" s="6"/>
    </row>
    <row r="78" spans="1:24" ht="15.6">
      <c r="A78" s="378"/>
      <c r="B78" s="379" t="s">
        <v>30</v>
      </c>
      <c r="C78" s="440"/>
      <c r="D78" s="440"/>
      <c r="E78" s="440"/>
      <c r="F78" s="440"/>
      <c r="G78" s="440"/>
      <c r="H78" s="440"/>
      <c r="I78" s="440"/>
      <c r="J78" s="440"/>
      <c r="K78" s="440">
        <v>0</v>
      </c>
      <c r="L78" s="440"/>
      <c r="M78" s="440">
        <v>0</v>
      </c>
      <c r="N78" s="440"/>
      <c r="O78" s="440">
        <v>0</v>
      </c>
      <c r="P78" s="440"/>
      <c r="Q78" s="440">
        <v>0</v>
      </c>
      <c r="R78" s="440"/>
      <c r="S78" s="440"/>
      <c r="T78" s="440"/>
      <c r="U78" s="440">
        <v>0</v>
      </c>
      <c r="V78" s="410"/>
      <c r="W78" s="6"/>
      <c r="X78" s="182"/>
    </row>
    <row r="79" spans="1:24" ht="15.6">
      <c r="A79" s="378"/>
      <c r="B79" s="379" t="s">
        <v>31</v>
      </c>
      <c r="C79" s="440"/>
      <c r="D79" s="440"/>
      <c r="E79" s="440"/>
      <c r="F79" s="440"/>
      <c r="G79" s="440"/>
      <c r="H79" s="440"/>
      <c r="I79" s="440"/>
      <c r="J79" s="440"/>
      <c r="K79" s="440">
        <v>0</v>
      </c>
      <c r="L79" s="440"/>
      <c r="M79" s="440">
        <v>0</v>
      </c>
      <c r="N79" s="440"/>
      <c r="O79" s="440"/>
      <c r="P79" s="440"/>
      <c r="Q79" s="440">
        <v>0</v>
      </c>
      <c r="R79" s="440"/>
      <c r="S79" s="440"/>
      <c r="T79" s="440"/>
      <c r="U79" s="440">
        <f>Q79+M79</f>
        <v>0</v>
      </c>
      <c r="V79" s="410"/>
      <c r="W79" s="6"/>
    </row>
    <row r="80" spans="1:24" ht="15.6">
      <c r="A80" s="378"/>
      <c r="B80" s="379" t="s">
        <v>16</v>
      </c>
      <c r="C80" s="440"/>
      <c r="D80" s="440"/>
      <c r="E80" s="440"/>
      <c r="F80" s="440"/>
      <c r="G80" s="440"/>
      <c r="H80" s="440"/>
      <c r="I80" s="440"/>
      <c r="J80" s="440"/>
      <c r="K80" s="440">
        <f>SUM(K75:K79)</f>
        <v>450000</v>
      </c>
      <c r="L80" s="440"/>
      <c r="M80" s="440">
        <f>SUM(M75:M79)</f>
        <v>241790</v>
      </c>
      <c r="N80" s="440"/>
      <c r="O80" s="440">
        <f>O78-O79</f>
        <v>0</v>
      </c>
      <c r="P80" s="440"/>
      <c r="Q80" s="440"/>
      <c r="R80" s="440"/>
      <c r="S80" s="440"/>
      <c r="T80" s="440"/>
      <c r="U80" s="440">
        <f>SUM(U75:U79)</f>
        <v>227781</v>
      </c>
      <c r="V80" s="410"/>
      <c r="W80" s="6"/>
    </row>
    <row r="81" spans="1:24" ht="15.6">
      <c r="A81" s="242"/>
      <c r="B81" s="437"/>
      <c r="C81" s="438"/>
      <c r="D81" s="438"/>
      <c r="E81" s="438"/>
      <c r="F81" s="438"/>
      <c r="G81" s="438"/>
      <c r="H81" s="438"/>
      <c r="I81" s="438"/>
      <c r="J81" s="438"/>
      <c r="K81" s="438"/>
      <c r="L81" s="438"/>
      <c r="M81" s="438"/>
      <c r="N81" s="438"/>
      <c r="O81" s="438"/>
      <c r="P81" s="438"/>
      <c r="Q81" s="438"/>
      <c r="R81" s="438"/>
      <c r="S81" s="439"/>
      <c r="T81" s="438"/>
      <c r="U81" s="439"/>
      <c r="V81" s="245"/>
      <c r="W81" s="6"/>
    </row>
    <row r="82" spans="1:24" ht="15.6">
      <c r="A82" s="230"/>
      <c r="B82" s="308" t="s">
        <v>32</v>
      </c>
      <c r="C82" s="308"/>
      <c r="D82" s="308"/>
      <c r="E82" s="308"/>
      <c r="F82" s="308"/>
      <c r="G82" s="308"/>
      <c r="H82" s="308"/>
      <c r="I82" s="308"/>
      <c r="J82" s="308"/>
      <c r="K82" s="308"/>
      <c r="L82" s="308"/>
      <c r="M82" s="308"/>
      <c r="N82" s="308"/>
      <c r="O82" s="308"/>
      <c r="P82" s="308"/>
      <c r="Q82" s="308"/>
      <c r="R82" s="313"/>
      <c r="S82" s="313"/>
      <c r="T82" s="313"/>
      <c r="U82" s="313" t="s">
        <v>121</v>
      </c>
      <c r="V82" s="314"/>
      <c r="W82" s="6"/>
    </row>
    <row r="83" spans="1:24" ht="15.6">
      <c r="A83" s="315"/>
      <c r="B83" s="294" t="s">
        <v>33</v>
      </c>
      <c r="C83" s="294"/>
      <c r="D83" s="294"/>
      <c r="E83" s="294"/>
      <c r="F83" s="294"/>
      <c r="G83" s="294"/>
      <c r="H83" s="294"/>
      <c r="I83" s="294"/>
      <c r="J83" s="294"/>
      <c r="K83" s="294"/>
      <c r="L83" s="294"/>
      <c r="M83" s="294"/>
      <c r="N83" s="294"/>
      <c r="O83" s="310"/>
      <c r="P83" s="294"/>
      <c r="Q83" s="294"/>
      <c r="R83" s="294"/>
      <c r="S83" s="310"/>
      <c r="T83" s="294"/>
      <c r="U83" s="311">
        <v>59083</v>
      </c>
      <c r="V83" s="298"/>
      <c r="W83" s="6"/>
    </row>
    <row r="84" spans="1:24" ht="15.6">
      <c r="A84" s="444"/>
      <c r="B84" s="379" t="s">
        <v>34</v>
      </c>
      <c r="C84" s="431"/>
      <c r="D84" s="431"/>
      <c r="E84" s="431"/>
      <c r="F84" s="431"/>
      <c r="G84" s="431"/>
      <c r="H84" s="431"/>
      <c r="I84" s="431"/>
      <c r="J84" s="431"/>
      <c r="K84" s="431"/>
      <c r="L84" s="431"/>
      <c r="M84" s="430"/>
      <c r="N84" s="379"/>
      <c r="O84" s="379"/>
      <c r="P84" s="379"/>
      <c r="Q84" s="379"/>
      <c r="R84" s="379"/>
      <c r="S84" s="440"/>
      <c r="T84" s="379"/>
      <c r="U84" s="441">
        <f>179+78+8-18</f>
        <v>247</v>
      </c>
      <c r="V84" s="410"/>
      <c r="W84" s="6"/>
    </row>
    <row r="85" spans="1:24" ht="15.6">
      <c r="A85" s="444"/>
      <c r="B85" s="379" t="s">
        <v>230</v>
      </c>
      <c r="C85" s="379"/>
      <c r="D85" s="379"/>
      <c r="E85" s="379"/>
      <c r="F85" s="379"/>
      <c r="G85" s="379"/>
      <c r="H85" s="379"/>
      <c r="I85" s="379"/>
      <c r="J85" s="379"/>
      <c r="K85" s="379"/>
      <c r="L85" s="379"/>
      <c r="M85" s="379"/>
      <c r="N85" s="379"/>
      <c r="O85" s="379"/>
      <c r="P85" s="379"/>
      <c r="Q85" s="379"/>
      <c r="R85" s="379"/>
      <c r="S85" s="440"/>
      <c r="T85" s="379"/>
      <c r="U85" s="441">
        <v>0</v>
      </c>
      <c r="V85" s="410"/>
      <c r="W85" s="6"/>
      <c r="X85" s="64"/>
    </row>
    <row r="86" spans="1:24" ht="15.6">
      <c r="A86" s="444"/>
      <c r="B86" s="379" t="s">
        <v>231</v>
      </c>
      <c r="C86" s="379"/>
      <c r="D86" s="379"/>
      <c r="E86" s="379"/>
      <c r="F86" s="379"/>
      <c r="G86" s="379"/>
      <c r="H86" s="379"/>
      <c r="I86" s="379"/>
      <c r="J86" s="379"/>
      <c r="K86" s="379"/>
      <c r="L86" s="379"/>
      <c r="M86" s="379"/>
      <c r="N86" s="379"/>
      <c r="O86" s="379"/>
      <c r="P86" s="379"/>
      <c r="Q86" s="379"/>
      <c r="R86" s="379"/>
      <c r="S86" s="440"/>
      <c r="T86" s="379"/>
      <c r="U86" s="441">
        <v>0</v>
      </c>
      <c r="V86" s="410"/>
      <c r="W86" s="6"/>
      <c r="X86" s="64"/>
    </row>
    <row r="87" spans="1:24" ht="15.6">
      <c r="A87" s="444"/>
      <c r="B87" s="379" t="s">
        <v>35</v>
      </c>
      <c r="C87" s="379"/>
      <c r="D87" s="379"/>
      <c r="E87" s="379"/>
      <c r="F87" s="379"/>
      <c r="G87" s="379"/>
      <c r="H87" s="379"/>
      <c r="I87" s="379"/>
      <c r="J87" s="379"/>
      <c r="K87" s="379"/>
      <c r="L87" s="379"/>
      <c r="M87" s="379"/>
      <c r="N87" s="379"/>
      <c r="O87" s="379"/>
      <c r="P87" s="379"/>
      <c r="Q87" s="379"/>
      <c r="R87" s="379"/>
      <c r="S87" s="440"/>
      <c r="T87" s="379"/>
      <c r="U87" s="441">
        <f>SUM(U83:U86)</f>
        <v>59330</v>
      </c>
      <c r="V87" s="410"/>
      <c r="W87" s="6"/>
      <c r="X87" s="64"/>
    </row>
    <row r="88" spans="1:24" ht="15.6">
      <c r="A88" s="444"/>
      <c r="B88" s="379"/>
      <c r="C88" s="379"/>
      <c r="D88" s="379"/>
      <c r="E88" s="379"/>
      <c r="F88" s="379"/>
      <c r="G88" s="379"/>
      <c r="H88" s="379"/>
      <c r="I88" s="379"/>
      <c r="J88" s="379"/>
      <c r="K88" s="379"/>
      <c r="L88" s="379"/>
      <c r="M88" s="379"/>
      <c r="N88" s="379"/>
      <c r="O88" s="379"/>
      <c r="P88" s="379"/>
      <c r="Q88" s="379"/>
      <c r="R88" s="379"/>
      <c r="S88" s="440"/>
      <c r="T88" s="379"/>
      <c r="U88" s="440"/>
      <c r="V88" s="410"/>
      <c r="W88" s="6"/>
    </row>
    <row r="89" spans="1:24" ht="15.6">
      <c r="A89" s="444"/>
      <c r="B89" s="445" t="s">
        <v>36</v>
      </c>
      <c r="C89" s="446"/>
      <c r="D89" s="446"/>
      <c r="E89" s="446"/>
      <c r="F89" s="446"/>
      <c r="G89" s="446"/>
      <c r="H89" s="446"/>
      <c r="I89" s="446"/>
      <c r="J89" s="446"/>
      <c r="K89" s="446"/>
      <c r="L89" s="446"/>
      <c r="M89" s="379"/>
      <c r="N89" s="379"/>
      <c r="O89" s="379"/>
      <c r="P89" s="379"/>
      <c r="Q89" s="379"/>
      <c r="R89" s="379"/>
      <c r="S89" s="440"/>
      <c r="T89" s="379"/>
      <c r="U89" s="441"/>
      <c r="V89" s="410"/>
      <c r="W89" s="6"/>
      <c r="X89" s="64"/>
    </row>
    <row r="90" spans="1:24" ht="15.6">
      <c r="A90" s="444">
        <v>1</v>
      </c>
      <c r="B90" s="379" t="s">
        <v>37</v>
      </c>
      <c r="C90" s="379"/>
      <c r="D90" s="379"/>
      <c r="E90" s="379"/>
      <c r="F90" s="379"/>
      <c r="G90" s="379"/>
      <c r="H90" s="379"/>
      <c r="I90" s="379"/>
      <c r="J90" s="379"/>
      <c r="K90" s="379"/>
      <c r="L90" s="379"/>
      <c r="M90" s="379"/>
      <c r="N90" s="379"/>
      <c r="O90" s="379"/>
      <c r="P90" s="379"/>
      <c r="Q90" s="379"/>
      <c r="R90" s="379"/>
      <c r="S90" s="379"/>
      <c r="T90" s="379"/>
      <c r="U90" s="441">
        <v>-2</v>
      </c>
      <c r="V90" s="410"/>
      <c r="W90" s="6"/>
    </row>
    <row r="91" spans="1:24" ht="15.6">
      <c r="A91" s="444">
        <f>A90+1</f>
        <v>2</v>
      </c>
      <c r="B91" s="379" t="s">
        <v>168</v>
      </c>
      <c r="C91" s="379"/>
      <c r="D91" s="379"/>
      <c r="E91" s="379"/>
      <c r="F91" s="379"/>
      <c r="G91" s="379"/>
      <c r="H91" s="379"/>
      <c r="I91" s="379"/>
      <c r="J91" s="379"/>
      <c r="K91" s="379"/>
      <c r="L91" s="379"/>
      <c r="M91" s="379"/>
      <c r="N91" s="379"/>
      <c r="O91" s="379"/>
      <c r="P91" s="379"/>
      <c r="Q91" s="379"/>
      <c r="R91" s="379"/>
      <c r="S91" s="379"/>
      <c r="T91" s="379"/>
      <c r="U91" s="441">
        <f>-244-135-4</f>
        <v>-383</v>
      </c>
      <c r="V91" s="410"/>
      <c r="W91" s="6"/>
      <c r="X91" s="64"/>
    </row>
    <row r="92" spans="1:24" ht="15.6">
      <c r="A92" s="444">
        <v>3</v>
      </c>
      <c r="B92" s="379" t="s">
        <v>38</v>
      </c>
      <c r="C92" s="379"/>
      <c r="D92" s="379"/>
      <c r="E92" s="379"/>
      <c r="F92" s="379"/>
      <c r="G92" s="379"/>
      <c r="H92" s="379"/>
      <c r="I92" s="379"/>
      <c r="J92" s="379"/>
      <c r="K92" s="379"/>
      <c r="L92" s="379"/>
      <c r="M92" s="379"/>
      <c r="N92" s="379"/>
      <c r="O92" s="379"/>
      <c r="P92" s="379"/>
      <c r="Q92" s="379"/>
      <c r="R92" s="379"/>
      <c r="S92" s="379"/>
      <c r="T92" s="379"/>
      <c r="U92" s="441">
        <v>-382</v>
      </c>
      <c r="V92" s="410"/>
      <c r="W92" s="6"/>
      <c r="X92" s="64"/>
    </row>
    <row r="93" spans="1:24" ht="15.6">
      <c r="A93" s="447" t="s">
        <v>190</v>
      </c>
      <c r="B93" s="379" t="s">
        <v>169</v>
      </c>
      <c r="C93" s="379"/>
      <c r="D93" s="379"/>
      <c r="E93" s="379"/>
      <c r="F93" s="379"/>
      <c r="G93" s="379"/>
      <c r="H93" s="379"/>
      <c r="I93" s="379"/>
      <c r="J93" s="379"/>
      <c r="K93" s="379"/>
      <c r="L93" s="379"/>
      <c r="M93" s="379"/>
      <c r="N93" s="379"/>
      <c r="O93" s="379"/>
      <c r="P93" s="379"/>
      <c r="Q93" s="379"/>
      <c r="R93" s="379"/>
      <c r="S93" s="379"/>
      <c r="T93" s="379"/>
      <c r="U93" s="441">
        <v>-158</v>
      </c>
      <c r="V93" s="410"/>
      <c r="W93" s="6"/>
      <c r="X93" s="64"/>
    </row>
    <row r="94" spans="1:24" ht="15.6">
      <c r="A94" s="447" t="s">
        <v>191</v>
      </c>
      <c r="B94" s="379" t="s">
        <v>170</v>
      </c>
      <c r="C94" s="379"/>
      <c r="D94" s="379"/>
      <c r="E94" s="379"/>
      <c r="F94" s="379"/>
      <c r="G94" s="379"/>
      <c r="H94" s="379"/>
      <c r="I94" s="379"/>
      <c r="J94" s="379"/>
      <c r="K94" s="379"/>
      <c r="L94" s="379"/>
      <c r="M94" s="379"/>
      <c r="N94" s="379"/>
      <c r="O94" s="379"/>
      <c r="P94" s="379"/>
      <c r="Q94" s="379"/>
      <c r="R94" s="379"/>
      <c r="S94" s="379"/>
      <c r="T94" s="379"/>
      <c r="U94" s="441">
        <v>-203</v>
      </c>
      <c r="V94" s="410"/>
      <c r="W94" s="6"/>
      <c r="X94" s="182"/>
    </row>
    <row r="95" spans="1:24" ht="15.6">
      <c r="A95" s="444">
        <v>5</v>
      </c>
      <c r="B95" s="379" t="s">
        <v>171</v>
      </c>
      <c r="C95" s="379"/>
      <c r="D95" s="379"/>
      <c r="E95" s="379"/>
      <c r="F95" s="379"/>
      <c r="G95" s="379"/>
      <c r="H95" s="379"/>
      <c r="I95" s="379"/>
      <c r="J95" s="379"/>
      <c r="K95" s="379"/>
      <c r="L95" s="379"/>
      <c r="M95" s="379"/>
      <c r="N95" s="379"/>
      <c r="O95" s="379"/>
      <c r="P95" s="379"/>
      <c r="Q95" s="379"/>
      <c r="R95" s="379"/>
      <c r="S95" s="379"/>
      <c r="T95" s="379"/>
      <c r="U95" s="441">
        <v>-7</v>
      </c>
      <c r="V95" s="410"/>
      <c r="W95" s="6"/>
    </row>
    <row r="96" spans="1:24" ht="15.6">
      <c r="A96" s="447" t="s">
        <v>174</v>
      </c>
      <c r="B96" s="379" t="s">
        <v>172</v>
      </c>
      <c r="C96" s="379"/>
      <c r="D96" s="379"/>
      <c r="E96" s="379"/>
      <c r="F96" s="379"/>
      <c r="G96" s="379"/>
      <c r="H96" s="379"/>
      <c r="I96" s="379"/>
      <c r="J96" s="379"/>
      <c r="K96" s="379"/>
      <c r="L96" s="379"/>
      <c r="M96" s="379"/>
      <c r="N96" s="379"/>
      <c r="O96" s="379"/>
      <c r="P96" s="379"/>
      <c r="Q96" s="379"/>
      <c r="R96" s="379"/>
      <c r="S96" s="379"/>
      <c r="T96" s="379"/>
      <c r="U96" s="441">
        <v>-57</v>
      </c>
      <c r="V96" s="410"/>
      <c r="W96" s="6"/>
      <c r="X96" s="182"/>
    </row>
    <row r="97" spans="1:24" ht="15.6">
      <c r="A97" s="447" t="s">
        <v>176</v>
      </c>
      <c r="B97" s="379" t="s">
        <v>173</v>
      </c>
      <c r="C97" s="379"/>
      <c r="D97" s="379"/>
      <c r="E97" s="379"/>
      <c r="F97" s="379"/>
      <c r="G97" s="379"/>
      <c r="H97" s="379"/>
      <c r="I97" s="379"/>
      <c r="J97" s="379"/>
      <c r="K97" s="379"/>
      <c r="L97" s="379"/>
      <c r="M97" s="379"/>
      <c r="N97" s="379"/>
      <c r="O97" s="379"/>
      <c r="P97" s="379"/>
      <c r="Q97" s="379"/>
      <c r="R97" s="379"/>
      <c r="S97" s="379"/>
      <c r="T97" s="379"/>
      <c r="U97" s="441">
        <v>-93</v>
      </c>
      <c r="V97" s="410"/>
      <c r="W97" s="119"/>
      <c r="X97" s="182"/>
    </row>
    <row r="98" spans="1:24" ht="15.6">
      <c r="A98" s="447" t="s">
        <v>178</v>
      </c>
      <c r="B98" s="379" t="s">
        <v>175</v>
      </c>
      <c r="C98" s="379"/>
      <c r="D98" s="379"/>
      <c r="E98" s="379"/>
      <c r="F98" s="379"/>
      <c r="G98" s="379"/>
      <c r="H98" s="379"/>
      <c r="I98" s="379"/>
      <c r="J98" s="379"/>
      <c r="K98" s="379"/>
      <c r="L98" s="379"/>
      <c r="M98" s="379"/>
      <c r="N98" s="379"/>
      <c r="O98" s="379"/>
      <c r="P98" s="379"/>
      <c r="Q98" s="379"/>
      <c r="R98" s="379"/>
      <c r="S98" s="379"/>
      <c r="T98" s="379"/>
      <c r="U98" s="441">
        <v>-90</v>
      </c>
      <c r="V98" s="410"/>
      <c r="W98" s="6"/>
      <c r="X98" s="182"/>
    </row>
    <row r="99" spans="1:24" ht="15.6">
      <c r="A99" s="447" t="s">
        <v>180</v>
      </c>
      <c r="B99" s="379" t="s">
        <v>177</v>
      </c>
      <c r="C99" s="379"/>
      <c r="D99" s="379"/>
      <c r="E99" s="379"/>
      <c r="F99" s="379"/>
      <c r="G99" s="379"/>
      <c r="H99" s="379"/>
      <c r="I99" s="379"/>
      <c r="J99" s="379"/>
      <c r="K99" s="379"/>
      <c r="L99" s="379"/>
      <c r="M99" s="379"/>
      <c r="N99" s="379"/>
      <c r="O99" s="379"/>
      <c r="P99" s="379"/>
      <c r="Q99" s="379"/>
      <c r="R99" s="379"/>
      <c r="S99" s="379"/>
      <c r="T99" s="379"/>
      <c r="U99" s="441">
        <v>-116</v>
      </c>
      <c r="V99" s="410"/>
      <c r="W99" s="119"/>
      <c r="X99" s="182"/>
    </row>
    <row r="100" spans="1:24" ht="15.6">
      <c r="A100" s="447" t="s">
        <v>192</v>
      </c>
      <c r="B100" s="379" t="s">
        <v>179</v>
      </c>
      <c r="C100" s="379"/>
      <c r="D100" s="379"/>
      <c r="E100" s="379"/>
      <c r="F100" s="379"/>
      <c r="G100" s="379"/>
      <c r="H100" s="379"/>
      <c r="I100" s="379"/>
      <c r="J100" s="379"/>
      <c r="K100" s="379"/>
      <c r="L100" s="379"/>
      <c r="M100" s="379"/>
      <c r="N100" s="379"/>
      <c r="O100" s="379"/>
      <c r="P100" s="379"/>
      <c r="Q100" s="379"/>
      <c r="R100" s="379"/>
      <c r="S100" s="379"/>
      <c r="T100" s="379"/>
      <c r="U100" s="441">
        <v>-166</v>
      </c>
      <c r="V100" s="410"/>
      <c r="W100" s="6"/>
      <c r="X100" s="182"/>
    </row>
    <row r="101" spans="1:24" ht="15.6">
      <c r="A101" s="447" t="s">
        <v>193</v>
      </c>
      <c r="B101" s="379" t="s">
        <v>181</v>
      </c>
      <c r="C101" s="379"/>
      <c r="D101" s="379"/>
      <c r="E101" s="379"/>
      <c r="F101" s="379"/>
      <c r="G101" s="379"/>
      <c r="H101" s="379"/>
      <c r="I101" s="379"/>
      <c r="J101" s="379"/>
      <c r="K101" s="379"/>
      <c r="L101" s="379"/>
      <c r="M101" s="379"/>
      <c r="N101" s="379"/>
      <c r="O101" s="379"/>
      <c r="P101" s="379"/>
      <c r="Q101" s="379"/>
      <c r="R101" s="379"/>
      <c r="S101" s="379"/>
      <c r="T101" s="379"/>
      <c r="U101" s="441">
        <v>-144</v>
      </c>
      <c r="V101" s="410"/>
      <c r="W101" s="119"/>
      <c r="X101" s="182"/>
    </row>
    <row r="102" spans="1:24" ht="15.6">
      <c r="A102" s="444">
        <v>9</v>
      </c>
      <c r="B102" s="379" t="s">
        <v>257</v>
      </c>
      <c r="C102" s="379"/>
      <c r="D102" s="379"/>
      <c r="E102" s="379"/>
      <c r="F102" s="379"/>
      <c r="G102" s="379"/>
      <c r="H102" s="379"/>
      <c r="I102" s="379"/>
      <c r="J102" s="379"/>
      <c r="K102" s="379"/>
      <c r="L102" s="379"/>
      <c r="M102" s="379"/>
      <c r="N102" s="379"/>
      <c r="O102" s="379"/>
      <c r="P102" s="379"/>
      <c r="Q102" s="379"/>
      <c r="R102" s="379"/>
      <c r="S102" s="379"/>
      <c r="T102" s="379"/>
      <c r="U102" s="441">
        <f>+S219-U32</f>
        <v>-14008.824000000022</v>
      </c>
      <c r="V102" s="410"/>
      <c r="W102" s="6"/>
      <c r="X102" s="182"/>
    </row>
    <row r="103" spans="1:24" ht="15.6">
      <c r="A103" s="444">
        <v>10</v>
      </c>
      <c r="B103" s="379" t="s">
        <v>234</v>
      </c>
      <c r="C103" s="379"/>
      <c r="D103" s="379"/>
      <c r="E103" s="379"/>
      <c r="F103" s="379"/>
      <c r="G103" s="379"/>
      <c r="H103" s="379"/>
      <c r="I103" s="379"/>
      <c r="J103" s="379"/>
      <c r="K103" s="379"/>
      <c r="L103" s="379"/>
      <c r="M103" s="379"/>
      <c r="N103" s="379"/>
      <c r="O103" s="379"/>
      <c r="P103" s="379"/>
      <c r="Q103" s="379"/>
      <c r="R103" s="379"/>
      <c r="S103" s="379"/>
      <c r="T103" s="379"/>
      <c r="U103" s="441">
        <v>-40500</v>
      </c>
      <c r="V103" s="410"/>
      <c r="W103" s="6"/>
      <c r="X103" s="64"/>
    </row>
    <row r="104" spans="1:24" ht="15.6">
      <c r="A104" s="444">
        <v>11</v>
      </c>
      <c r="B104" s="379" t="s">
        <v>183</v>
      </c>
      <c r="C104" s="379"/>
      <c r="D104" s="379"/>
      <c r="E104" s="379"/>
      <c r="F104" s="379"/>
      <c r="G104" s="379"/>
      <c r="H104" s="379"/>
      <c r="I104" s="379"/>
      <c r="J104" s="379"/>
      <c r="K104" s="379"/>
      <c r="L104" s="379"/>
      <c r="M104" s="379"/>
      <c r="N104" s="379"/>
      <c r="O104" s="379"/>
      <c r="P104" s="379"/>
      <c r="Q104" s="379"/>
      <c r="R104" s="379"/>
      <c r="S104" s="379"/>
      <c r="T104" s="379"/>
      <c r="U104" s="441">
        <v>0</v>
      </c>
      <c r="V104" s="410"/>
      <c r="W104" s="6"/>
      <c r="X104" s="64"/>
    </row>
    <row r="105" spans="1:24" ht="15.6">
      <c r="A105" s="444">
        <v>12</v>
      </c>
      <c r="B105" s="379" t="s">
        <v>184</v>
      </c>
      <c r="C105" s="379"/>
      <c r="D105" s="379"/>
      <c r="E105" s="379"/>
      <c r="F105" s="379"/>
      <c r="G105" s="379"/>
      <c r="H105" s="379"/>
      <c r="I105" s="379"/>
      <c r="J105" s="379"/>
      <c r="K105" s="379"/>
      <c r="L105" s="379"/>
      <c r="M105" s="379"/>
      <c r="N105" s="379"/>
      <c r="O105" s="379"/>
      <c r="P105" s="379"/>
      <c r="Q105" s="379"/>
      <c r="R105" s="379"/>
      <c r="S105" s="379"/>
      <c r="T105" s="379"/>
      <c r="U105" s="441">
        <v>-275</v>
      </c>
      <c r="V105" s="410"/>
      <c r="W105" s="6"/>
      <c r="X105" s="182"/>
    </row>
    <row r="106" spans="1:24" ht="15.6">
      <c r="A106" s="444">
        <v>13</v>
      </c>
      <c r="B106" s="379" t="s">
        <v>40</v>
      </c>
      <c r="C106" s="379"/>
      <c r="D106" s="379"/>
      <c r="E106" s="379"/>
      <c r="F106" s="379"/>
      <c r="G106" s="379"/>
      <c r="H106" s="379"/>
      <c r="I106" s="379"/>
      <c r="J106" s="379"/>
      <c r="K106" s="379"/>
      <c r="L106" s="379"/>
      <c r="M106" s="379"/>
      <c r="N106" s="379"/>
      <c r="O106" s="379"/>
      <c r="P106" s="379"/>
      <c r="Q106" s="379"/>
      <c r="R106" s="379"/>
      <c r="S106" s="379"/>
      <c r="T106" s="379"/>
      <c r="U106" s="441">
        <f>-SUM(U87:V105)</f>
        <v>-2745.1759999999776</v>
      </c>
      <c r="V106" s="410"/>
      <c r="W106" s="6"/>
      <c r="X106" s="182"/>
    </row>
    <row r="107" spans="1:24" ht="15.6">
      <c r="A107" s="316"/>
      <c r="B107" s="443"/>
      <c r="C107" s="364"/>
      <c r="D107" s="364"/>
      <c r="E107" s="364"/>
      <c r="F107" s="364"/>
      <c r="G107" s="364"/>
      <c r="H107" s="364"/>
      <c r="I107" s="364"/>
      <c r="J107" s="364"/>
      <c r="K107" s="364"/>
      <c r="L107" s="364"/>
      <c r="M107" s="364"/>
      <c r="N107" s="364"/>
      <c r="O107" s="364"/>
      <c r="P107" s="364"/>
      <c r="Q107" s="364"/>
      <c r="R107" s="364"/>
      <c r="S107" s="360"/>
      <c r="T107" s="360"/>
      <c r="U107" s="360"/>
      <c r="V107" s="303"/>
      <c r="W107" s="6"/>
      <c r="X107" s="182"/>
    </row>
    <row r="108" spans="1:24" ht="15.6">
      <c r="A108" s="316"/>
      <c r="B108" s="317"/>
      <c r="C108" s="288"/>
      <c r="D108" s="288"/>
      <c r="E108" s="288"/>
      <c r="F108" s="288"/>
      <c r="G108" s="288"/>
      <c r="H108" s="288"/>
      <c r="I108" s="288"/>
      <c r="J108" s="288"/>
      <c r="K108" s="288"/>
      <c r="L108" s="288"/>
      <c r="M108" s="288"/>
      <c r="N108" s="288"/>
      <c r="O108" s="288"/>
      <c r="P108" s="288"/>
      <c r="Q108" s="288"/>
      <c r="R108" s="288"/>
      <c r="S108" s="318"/>
      <c r="T108" s="318"/>
      <c r="U108" s="318"/>
      <c r="V108" s="303"/>
      <c r="W108" s="6"/>
    </row>
    <row r="109" spans="1:24" ht="16.2" thickBot="1">
      <c r="A109" s="319"/>
      <c r="B109" s="304" t="str">
        <f>+B59</f>
        <v>PPAF3 INVESTOR REPORT QUARTER ENDING DECEMBER 2010</v>
      </c>
      <c r="C109" s="305"/>
      <c r="D109" s="305"/>
      <c r="E109" s="305"/>
      <c r="F109" s="305"/>
      <c r="G109" s="305"/>
      <c r="H109" s="305"/>
      <c r="I109" s="305"/>
      <c r="J109" s="305"/>
      <c r="K109" s="305"/>
      <c r="L109" s="305"/>
      <c r="M109" s="305"/>
      <c r="N109" s="305"/>
      <c r="O109" s="305"/>
      <c r="P109" s="305"/>
      <c r="Q109" s="305"/>
      <c r="R109" s="305"/>
      <c r="S109" s="320"/>
      <c r="T109" s="320"/>
      <c r="U109" s="320"/>
      <c r="V109" s="307"/>
      <c r="W109" s="6"/>
    </row>
    <row r="110" spans="1:24" ht="15.6">
      <c r="A110" s="238"/>
      <c r="B110" s="240"/>
      <c r="C110" s="240"/>
      <c r="D110" s="240"/>
      <c r="E110" s="240"/>
      <c r="F110" s="240"/>
      <c r="G110" s="240"/>
      <c r="H110" s="240"/>
      <c r="I110" s="240"/>
      <c r="J110" s="240"/>
      <c r="K110" s="240"/>
      <c r="L110" s="240"/>
      <c r="M110" s="240"/>
      <c r="N110" s="240"/>
      <c r="O110" s="240"/>
      <c r="P110" s="240"/>
      <c r="Q110" s="240"/>
      <c r="R110" s="240"/>
      <c r="S110" s="269"/>
      <c r="T110" s="269"/>
      <c r="U110" s="269"/>
      <c r="V110" s="241"/>
      <c r="W110" s="6"/>
    </row>
    <row r="111" spans="1:24" ht="15.6">
      <c r="A111" s="321"/>
      <c r="B111" s="499" t="s">
        <v>41</v>
      </c>
      <c r="C111" s="322"/>
      <c r="D111" s="322"/>
      <c r="E111" s="322"/>
      <c r="F111" s="322"/>
      <c r="G111" s="322"/>
      <c r="H111" s="322"/>
      <c r="I111" s="322"/>
      <c r="J111" s="322"/>
      <c r="K111" s="322"/>
      <c r="L111" s="322"/>
      <c r="M111" s="322"/>
      <c r="N111" s="322"/>
      <c r="O111" s="322"/>
      <c r="P111" s="322"/>
      <c r="Q111" s="322"/>
      <c r="R111" s="322"/>
      <c r="S111" s="322"/>
      <c r="T111" s="322"/>
      <c r="U111" s="323"/>
      <c r="V111" s="324"/>
      <c r="W111" s="6"/>
    </row>
    <row r="112" spans="1:24" ht="15.6">
      <c r="A112" s="270"/>
      <c r="B112" s="271"/>
      <c r="C112" s="271"/>
      <c r="D112" s="271"/>
      <c r="E112" s="271"/>
      <c r="F112" s="271"/>
      <c r="G112" s="271"/>
      <c r="H112" s="271"/>
      <c r="I112" s="271"/>
      <c r="J112" s="271"/>
      <c r="K112" s="271"/>
      <c r="L112" s="271"/>
      <c r="M112" s="271"/>
      <c r="N112" s="271"/>
      <c r="O112" s="271"/>
      <c r="P112" s="271"/>
      <c r="Q112" s="271"/>
      <c r="R112" s="271"/>
      <c r="S112" s="271"/>
      <c r="T112" s="271"/>
      <c r="U112" s="272"/>
      <c r="V112" s="273"/>
      <c r="W112" s="6"/>
    </row>
    <row r="113" spans="1:23" ht="15.6">
      <c r="A113" s="242"/>
      <c r="B113" s="274" t="s">
        <v>42</v>
      </c>
      <c r="C113" s="252"/>
      <c r="D113" s="252"/>
      <c r="E113" s="252"/>
      <c r="F113" s="252"/>
      <c r="G113" s="252"/>
      <c r="H113" s="252"/>
      <c r="I113" s="252"/>
      <c r="J113" s="252"/>
      <c r="K113" s="252"/>
      <c r="L113" s="252"/>
      <c r="M113" s="244"/>
      <c r="N113" s="244"/>
      <c r="O113" s="244"/>
      <c r="P113" s="244"/>
      <c r="Q113" s="244"/>
      <c r="R113" s="244"/>
      <c r="S113" s="244"/>
      <c r="T113" s="244"/>
      <c r="U113" s="263"/>
      <c r="V113" s="245"/>
      <c r="W113" s="6"/>
    </row>
    <row r="114" spans="1:23" ht="15.6">
      <c r="A114" s="378"/>
      <c r="B114" s="379" t="s">
        <v>43</v>
      </c>
      <c r="C114" s="379"/>
      <c r="D114" s="379"/>
      <c r="E114" s="379"/>
      <c r="F114" s="379"/>
      <c r="G114" s="379"/>
      <c r="H114" s="379"/>
      <c r="I114" s="379"/>
      <c r="J114" s="379"/>
      <c r="K114" s="379"/>
      <c r="L114" s="379"/>
      <c r="M114" s="379"/>
      <c r="N114" s="379"/>
      <c r="O114" s="379"/>
      <c r="P114" s="379"/>
      <c r="Q114" s="379"/>
      <c r="R114" s="379"/>
      <c r="S114" s="379"/>
      <c r="T114" s="379"/>
      <c r="U114" s="441">
        <v>40500</v>
      </c>
      <c r="V114" s="410"/>
      <c r="W114" s="6"/>
    </row>
    <row r="115" spans="1:23" ht="15.6">
      <c r="A115" s="378"/>
      <c r="B115" s="379" t="s">
        <v>240</v>
      </c>
      <c r="C115" s="379"/>
      <c r="D115" s="379"/>
      <c r="E115" s="379"/>
      <c r="F115" s="379"/>
      <c r="G115" s="379"/>
      <c r="H115" s="379"/>
      <c r="I115" s="379"/>
      <c r="J115" s="379"/>
      <c r="K115" s="379"/>
      <c r="L115" s="379"/>
      <c r="M115" s="379"/>
      <c r="N115" s="379"/>
      <c r="O115" s="379"/>
      <c r="P115" s="379"/>
      <c r="Q115" s="379"/>
      <c r="R115" s="379"/>
      <c r="S115" s="379"/>
      <c r="T115" s="379"/>
      <c r="U115" s="441">
        <v>40500</v>
      </c>
      <c r="V115" s="410"/>
      <c r="W115" s="6"/>
    </row>
    <row r="116" spans="1:23" ht="15.6">
      <c r="A116" s="378"/>
      <c r="B116" s="379" t="s">
        <v>241</v>
      </c>
      <c r="C116" s="379"/>
      <c r="D116" s="379"/>
      <c r="E116" s="379"/>
      <c r="F116" s="379"/>
      <c r="G116" s="379"/>
      <c r="H116" s="379"/>
      <c r="I116" s="379"/>
      <c r="J116" s="379"/>
      <c r="K116" s="379"/>
      <c r="L116" s="379"/>
      <c r="M116" s="379"/>
      <c r="N116" s="379"/>
      <c r="O116" s="379"/>
      <c r="P116" s="379"/>
      <c r="Q116" s="379"/>
      <c r="R116" s="379"/>
      <c r="S116" s="379"/>
      <c r="T116" s="379"/>
      <c r="U116" s="441">
        <v>0</v>
      </c>
      <c r="V116" s="410"/>
      <c r="W116" s="6"/>
    </row>
    <row r="117" spans="1:23" ht="15.6">
      <c r="A117" s="378"/>
      <c r="B117" s="379" t="s">
        <v>209</v>
      </c>
      <c r="C117" s="379"/>
      <c r="D117" s="379"/>
      <c r="E117" s="379"/>
      <c r="F117" s="379"/>
      <c r="G117" s="379"/>
      <c r="H117" s="379"/>
      <c r="I117" s="379"/>
      <c r="J117" s="379"/>
      <c r="K117" s="379"/>
      <c r="L117" s="379"/>
      <c r="M117" s="379"/>
      <c r="N117" s="379"/>
      <c r="O117" s="379"/>
      <c r="P117" s="379"/>
      <c r="Q117" s="379"/>
      <c r="R117" s="379"/>
      <c r="S117" s="379"/>
      <c r="T117" s="379"/>
      <c r="U117" s="441">
        <v>0</v>
      </c>
      <c r="V117" s="410"/>
      <c r="W117" s="6"/>
    </row>
    <row r="118" spans="1:23" ht="15.6">
      <c r="A118" s="378"/>
      <c r="B118" s="379" t="s">
        <v>210</v>
      </c>
      <c r="C118" s="379"/>
      <c r="D118" s="379"/>
      <c r="E118" s="379"/>
      <c r="F118" s="379"/>
      <c r="G118" s="379"/>
      <c r="H118" s="379"/>
      <c r="I118" s="379"/>
      <c r="J118" s="379"/>
      <c r="K118" s="379"/>
      <c r="L118" s="379"/>
      <c r="M118" s="379"/>
      <c r="N118" s="379"/>
      <c r="O118" s="379"/>
      <c r="P118" s="379"/>
      <c r="Q118" s="379"/>
      <c r="R118" s="379"/>
      <c r="S118" s="379"/>
      <c r="T118" s="379"/>
      <c r="U118" s="441">
        <v>0</v>
      </c>
      <c r="V118" s="410"/>
      <c r="W118" s="6"/>
    </row>
    <row r="119" spans="1:23" ht="15.6">
      <c r="A119" s="378"/>
      <c r="B119" s="379" t="s">
        <v>211</v>
      </c>
      <c r="C119" s="379"/>
      <c r="D119" s="379"/>
      <c r="E119" s="379"/>
      <c r="F119" s="379"/>
      <c r="G119" s="379"/>
      <c r="H119" s="379"/>
      <c r="I119" s="379"/>
      <c r="J119" s="379"/>
      <c r="K119" s="379"/>
      <c r="L119" s="379"/>
      <c r="M119" s="379"/>
      <c r="N119" s="379"/>
      <c r="O119" s="379"/>
      <c r="P119" s="379"/>
      <c r="Q119" s="379"/>
      <c r="R119" s="379"/>
      <c r="S119" s="379"/>
      <c r="T119" s="379"/>
      <c r="U119" s="441">
        <v>0</v>
      </c>
      <c r="V119" s="410"/>
      <c r="W119" s="6"/>
    </row>
    <row r="120" spans="1:23" ht="15.6">
      <c r="A120" s="378"/>
      <c r="B120" s="379" t="s">
        <v>212</v>
      </c>
      <c r="C120" s="379"/>
      <c r="D120" s="379"/>
      <c r="E120" s="379"/>
      <c r="F120" s="379"/>
      <c r="G120" s="379"/>
      <c r="H120" s="379"/>
      <c r="I120" s="379"/>
      <c r="J120" s="379"/>
      <c r="K120" s="379"/>
      <c r="L120" s="379"/>
      <c r="M120" s="379"/>
      <c r="N120" s="379"/>
      <c r="O120" s="379"/>
      <c r="P120" s="379"/>
      <c r="Q120" s="379"/>
      <c r="R120" s="379"/>
      <c r="S120" s="379"/>
      <c r="T120" s="379"/>
      <c r="U120" s="441">
        <v>0</v>
      </c>
      <c r="V120" s="410"/>
      <c r="W120" s="6"/>
    </row>
    <row r="121" spans="1:23" ht="15.6">
      <c r="A121" s="378"/>
      <c r="B121" s="379" t="s">
        <v>242</v>
      </c>
      <c r="C121" s="379"/>
      <c r="D121" s="379"/>
      <c r="E121" s="379"/>
      <c r="F121" s="379"/>
      <c r="G121" s="379"/>
      <c r="H121" s="379"/>
      <c r="I121" s="379"/>
      <c r="J121" s="379"/>
      <c r="K121" s="379"/>
      <c r="L121" s="379"/>
      <c r="M121" s="379"/>
      <c r="N121" s="379"/>
      <c r="O121" s="379"/>
      <c r="P121" s="379"/>
      <c r="Q121" s="379"/>
      <c r="R121" s="379"/>
      <c r="S121" s="379"/>
      <c r="T121" s="379"/>
      <c r="U121" s="441">
        <v>0</v>
      </c>
      <c r="V121" s="410"/>
      <c r="W121" s="6"/>
    </row>
    <row r="122" spans="1:23" ht="15.6">
      <c r="A122" s="378"/>
      <c r="B122" s="379" t="s">
        <v>45</v>
      </c>
      <c r="C122" s="379"/>
      <c r="D122" s="379"/>
      <c r="E122" s="379"/>
      <c r="F122" s="379"/>
      <c r="G122" s="379"/>
      <c r="H122" s="379"/>
      <c r="I122" s="379"/>
      <c r="J122" s="379"/>
      <c r="K122" s="379"/>
      <c r="L122" s="379"/>
      <c r="M122" s="379"/>
      <c r="N122" s="379"/>
      <c r="O122" s="379"/>
      <c r="P122" s="379"/>
      <c r="Q122" s="379"/>
      <c r="R122" s="379"/>
      <c r="S122" s="379"/>
      <c r="T122" s="379"/>
      <c r="U122" s="441">
        <f>SUM(U115:U121)</f>
        <v>40500</v>
      </c>
      <c r="V122" s="410"/>
      <c r="W122" s="6"/>
    </row>
    <row r="123" spans="1:23" ht="15.6">
      <c r="A123" s="242"/>
      <c r="B123" s="438"/>
      <c r="C123" s="438"/>
      <c r="D123" s="438"/>
      <c r="E123" s="438"/>
      <c r="F123" s="438"/>
      <c r="G123" s="438"/>
      <c r="H123" s="438"/>
      <c r="I123" s="438"/>
      <c r="J123" s="438"/>
      <c r="K123" s="438"/>
      <c r="L123" s="438"/>
      <c r="M123" s="438"/>
      <c r="N123" s="438"/>
      <c r="O123" s="438"/>
      <c r="P123" s="438"/>
      <c r="Q123" s="438"/>
      <c r="R123" s="438"/>
      <c r="S123" s="438"/>
      <c r="T123" s="438"/>
      <c r="U123" s="448"/>
      <c r="V123" s="245"/>
      <c r="W123" s="6"/>
    </row>
    <row r="124" spans="1:23" ht="15.6">
      <c r="A124" s="242"/>
      <c r="B124" s="274" t="s">
        <v>46</v>
      </c>
      <c r="C124" s="252"/>
      <c r="D124" s="252"/>
      <c r="E124" s="252"/>
      <c r="F124" s="252"/>
      <c r="G124" s="252"/>
      <c r="H124" s="252"/>
      <c r="I124" s="252"/>
      <c r="J124" s="252"/>
      <c r="K124" s="252"/>
      <c r="L124" s="252"/>
      <c r="M124" s="244"/>
      <c r="N124" s="244"/>
      <c r="O124" s="244"/>
      <c r="P124" s="275"/>
      <c r="Q124" s="244"/>
      <c r="R124" s="244"/>
      <c r="S124" s="244"/>
      <c r="T124" s="244"/>
      <c r="U124" s="276"/>
      <c r="V124" s="245"/>
      <c r="W124" s="6"/>
    </row>
    <row r="125" spans="1:23" ht="15.6">
      <c r="A125" s="230"/>
      <c r="B125" s="308"/>
      <c r="C125" s="313" t="s">
        <v>185</v>
      </c>
      <c r="D125" s="313"/>
      <c r="E125" s="313" t="s">
        <v>99</v>
      </c>
      <c r="F125" s="313"/>
      <c r="G125" s="313" t="s">
        <v>102</v>
      </c>
      <c r="H125" s="313"/>
      <c r="I125" s="313" t="s">
        <v>108</v>
      </c>
      <c r="J125" s="313"/>
      <c r="K125" s="313"/>
      <c r="L125" s="313"/>
      <c r="M125" s="313"/>
      <c r="N125" s="313"/>
      <c r="O125" s="313"/>
      <c r="P125" s="326"/>
      <c r="Q125" s="326"/>
      <c r="R125" s="231"/>
      <c r="S125" s="231"/>
      <c r="T125" s="231"/>
      <c r="U125" s="309"/>
      <c r="V125" s="237"/>
      <c r="W125" s="6"/>
    </row>
    <row r="126" spans="1:23" ht="15.6">
      <c r="A126" s="257"/>
      <c r="B126" s="294" t="s">
        <v>122</v>
      </c>
      <c r="C126" s="310">
        <f>+N199-'September 10'!N199</f>
        <v>24</v>
      </c>
      <c r="D126" s="294"/>
      <c r="E126" s="310">
        <f>+S199-'September 10'!S199</f>
        <v>3</v>
      </c>
      <c r="F126" s="294"/>
      <c r="G126" s="310">
        <f>+'Dec 10'!N212-'September 10'!N212</f>
        <v>72</v>
      </c>
      <c r="H126" s="294"/>
      <c r="I126" s="310">
        <f>+S212-'September 10'!S212</f>
        <v>-130</v>
      </c>
      <c r="J126" s="294"/>
      <c r="K126" s="294"/>
      <c r="L126" s="294"/>
      <c r="M126" s="294"/>
      <c r="N126" s="294"/>
      <c r="O126" s="294"/>
      <c r="P126" s="325"/>
      <c r="Q126" s="325"/>
      <c r="R126" s="294"/>
      <c r="S126" s="294"/>
      <c r="T126" s="294"/>
      <c r="U126" s="311">
        <f>SUM(C126:I126)</f>
        <v>-31</v>
      </c>
      <c r="V126" s="298"/>
      <c r="W126" s="6"/>
    </row>
    <row r="127" spans="1:23" ht="15.6">
      <c r="A127" s="378"/>
      <c r="B127" s="379" t="s">
        <v>47</v>
      </c>
      <c r="C127" s="379">
        <v>50</v>
      </c>
      <c r="D127" s="379"/>
      <c r="E127" s="379">
        <v>0</v>
      </c>
      <c r="F127" s="379"/>
      <c r="G127" s="379">
        <v>734</v>
      </c>
      <c r="H127" s="379"/>
      <c r="I127" s="440">
        <v>665</v>
      </c>
      <c r="J127" s="379"/>
      <c r="K127" s="379"/>
      <c r="L127" s="379"/>
      <c r="M127" s="379"/>
      <c r="N127" s="379"/>
      <c r="O127" s="379"/>
      <c r="P127" s="450"/>
      <c r="Q127" s="450"/>
      <c r="R127" s="379"/>
      <c r="S127" s="379"/>
      <c r="T127" s="379"/>
      <c r="U127" s="441">
        <f>SUM(C127:I127)</f>
        <v>1449</v>
      </c>
      <c r="V127" s="410"/>
      <c r="W127" s="6"/>
    </row>
    <row r="128" spans="1:23" ht="15.6">
      <c r="A128" s="242"/>
      <c r="B128" s="364" t="s">
        <v>48</v>
      </c>
      <c r="C128" s="364"/>
      <c r="D128" s="364"/>
      <c r="E128" s="364"/>
      <c r="F128" s="364"/>
      <c r="G128" s="364"/>
      <c r="H128" s="364"/>
      <c r="I128" s="364"/>
      <c r="J128" s="364"/>
      <c r="K128" s="364"/>
      <c r="L128" s="364"/>
      <c r="M128" s="364"/>
      <c r="N128" s="364"/>
      <c r="O128" s="364"/>
      <c r="P128" s="364"/>
      <c r="Q128" s="364"/>
      <c r="R128" s="364"/>
      <c r="S128" s="364"/>
      <c r="T128" s="364"/>
      <c r="U128" s="449">
        <f>SUM(U126:U127)</f>
        <v>1418</v>
      </c>
      <c r="V128" s="303"/>
      <c r="W128" s="6"/>
    </row>
    <row r="129" spans="1:25" ht="15.6">
      <c r="A129" s="242"/>
      <c r="B129" s="274" t="s">
        <v>49</v>
      </c>
      <c r="C129" s="252"/>
      <c r="D129" s="252"/>
      <c r="E129" s="252"/>
      <c r="F129" s="252"/>
      <c r="G129" s="252"/>
      <c r="H129" s="252"/>
      <c r="I129" s="252"/>
      <c r="J129" s="252"/>
      <c r="K129" s="252"/>
      <c r="L129" s="252"/>
      <c r="M129" s="244"/>
      <c r="N129" s="244"/>
      <c r="O129" s="244"/>
      <c r="P129" s="244"/>
      <c r="Q129" s="244"/>
      <c r="R129" s="244"/>
      <c r="S129" s="244"/>
      <c r="T129" s="244"/>
      <c r="U129" s="263"/>
      <c r="V129" s="245"/>
      <c r="W129" s="6"/>
    </row>
    <row r="130" spans="1:25" ht="15.6">
      <c r="A130" s="444"/>
      <c r="B130" s="379" t="s">
        <v>50</v>
      </c>
      <c r="C130" s="386"/>
      <c r="D130" s="386"/>
      <c r="E130" s="386"/>
      <c r="F130" s="386"/>
      <c r="G130" s="386"/>
      <c r="H130" s="386"/>
      <c r="I130" s="386"/>
      <c r="J130" s="386"/>
      <c r="K130" s="386"/>
      <c r="L130" s="386"/>
      <c r="M130" s="379"/>
      <c r="N130" s="379"/>
      <c r="O130" s="379"/>
      <c r="P130" s="379"/>
      <c r="Q130" s="379"/>
      <c r="R130" s="379"/>
      <c r="S130" s="379"/>
      <c r="T130" s="379"/>
      <c r="U130" s="441">
        <f>U75+U77</f>
        <v>227781</v>
      </c>
      <c r="V130" s="410"/>
      <c r="W130" s="6"/>
      <c r="X130" s="182"/>
    </row>
    <row r="131" spans="1:25" ht="15.6">
      <c r="A131" s="444"/>
      <c r="B131" s="379" t="s">
        <v>51</v>
      </c>
      <c r="C131" s="386"/>
      <c r="D131" s="386"/>
      <c r="E131" s="386"/>
      <c r="F131" s="386"/>
      <c r="G131" s="386"/>
      <c r="H131" s="386"/>
      <c r="I131" s="386"/>
      <c r="J131" s="386"/>
      <c r="K131" s="386"/>
      <c r="L131" s="386"/>
      <c r="M131" s="379"/>
      <c r="N131" s="379"/>
      <c r="O131" s="379"/>
      <c r="P131" s="379"/>
      <c r="Q131" s="379"/>
      <c r="R131" s="379"/>
      <c r="S131" s="379"/>
      <c r="T131" s="379"/>
      <c r="U131" s="441">
        <v>0</v>
      </c>
      <c r="V131" s="410"/>
      <c r="W131" s="6"/>
      <c r="Y131" s="182"/>
    </row>
    <row r="132" spans="1:25" ht="15.6">
      <c r="A132" s="444"/>
      <c r="B132" s="379" t="s">
        <v>52</v>
      </c>
      <c r="C132" s="386"/>
      <c r="D132" s="386"/>
      <c r="E132" s="386"/>
      <c r="F132" s="386"/>
      <c r="G132" s="386"/>
      <c r="H132" s="386"/>
      <c r="I132" s="386"/>
      <c r="J132" s="386"/>
      <c r="K132" s="386"/>
      <c r="L132" s="386"/>
      <c r="M132" s="379"/>
      <c r="N132" s="379"/>
      <c r="O132" s="379"/>
      <c r="P132" s="379"/>
      <c r="Q132" s="379"/>
      <c r="R132" s="379"/>
      <c r="S132" s="379"/>
      <c r="T132" s="379"/>
      <c r="U132" s="441">
        <f>+U130+U131</f>
        <v>227781</v>
      </c>
      <c r="V132" s="410"/>
      <c r="W132" s="6"/>
    </row>
    <row r="133" spans="1:25" ht="15.6">
      <c r="A133" s="444"/>
      <c r="B133" s="379" t="s">
        <v>53</v>
      </c>
      <c r="C133" s="386"/>
      <c r="D133" s="386"/>
      <c r="E133" s="386"/>
      <c r="F133" s="386"/>
      <c r="G133" s="386"/>
      <c r="H133" s="386"/>
      <c r="I133" s="386"/>
      <c r="J133" s="386"/>
      <c r="K133" s="386"/>
      <c r="L133" s="386"/>
      <c r="M133" s="379"/>
      <c r="N133" s="379"/>
      <c r="O133" s="379"/>
      <c r="P133" s="379"/>
      <c r="Q133" s="379"/>
      <c r="R133" s="379"/>
      <c r="S133" s="379"/>
      <c r="T133" s="379"/>
      <c r="U133" s="441">
        <f>U80</f>
        <v>227781</v>
      </c>
      <c r="V133" s="410"/>
      <c r="W133" s="6"/>
      <c r="X133" s="64"/>
    </row>
    <row r="134" spans="1:25" ht="15.6">
      <c r="A134" s="242"/>
      <c r="B134" s="438"/>
      <c r="C134" s="438"/>
      <c r="D134" s="438"/>
      <c r="E134" s="438"/>
      <c r="F134" s="438"/>
      <c r="G134" s="438"/>
      <c r="H134" s="438"/>
      <c r="I134" s="438"/>
      <c r="J134" s="438"/>
      <c r="K134" s="438"/>
      <c r="L134" s="438"/>
      <c r="M134" s="438"/>
      <c r="N134" s="438"/>
      <c r="O134" s="438"/>
      <c r="P134" s="438"/>
      <c r="Q134" s="438"/>
      <c r="R134" s="438"/>
      <c r="S134" s="438"/>
      <c r="T134" s="438"/>
      <c r="U134" s="451"/>
      <c r="V134" s="245"/>
      <c r="W134" s="6"/>
    </row>
    <row r="135" spans="1:25" ht="15.6">
      <c r="A135" s="242"/>
      <c r="B135" s="274" t="s">
        <v>54</v>
      </c>
      <c r="C135" s="247"/>
      <c r="D135" s="247"/>
      <c r="E135" s="247"/>
      <c r="F135" s="247"/>
      <c r="G135" s="247"/>
      <c r="H135" s="247"/>
      <c r="I135" s="247"/>
      <c r="J135" s="247"/>
      <c r="K135" s="247"/>
      <c r="L135" s="247"/>
      <c r="M135" s="247"/>
      <c r="N135" s="247"/>
      <c r="O135" s="247"/>
      <c r="P135" s="247"/>
      <c r="Q135" s="277" t="s">
        <v>112</v>
      </c>
      <c r="R135" s="278"/>
      <c r="S135" s="277" t="s">
        <v>114</v>
      </c>
      <c r="T135" s="247"/>
      <c r="U135" s="279" t="s">
        <v>90</v>
      </c>
      <c r="V135" s="245"/>
      <c r="W135" s="6"/>
    </row>
    <row r="136" spans="1:25" ht="15.6">
      <c r="A136" s="378"/>
      <c r="B136" s="379" t="s">
        <v>55</v>
      </c>
      <c r="C136" s="379"/>
      <c r="D136" s="379"/>
      <c r="E136" s="379"/>
      <c r="F136" s="379"/>
      <c r="G136" s="379"/>
      <c r="H136" s="379"/>
      <c r="I136" s="379"/>
      <c r="J136" s="379"/>
      <c r="K136" s="379"/>
      <c r="L136" s="379"/>
      <c r="M136" s="379"/>
      <c r="N136" s="379"/>
      <c r="O136" s="379"/>
      <c r="P136" s="379"/>
      <c r="Q136" s="441">
        <v>0</v>
      </c>
      <c r="R136" s="379"/>
      <c r="S136" s="453" t="s">
        <v>115</v>
      </c>
      <c r="T136" s="379"/>
      <c r="U136" s="441">
        <f>Q136</f>
        <v>0</v>
      </c>
      <c r="V136" s="385"/>
      <c r="W136" s="6"/>
    </row>
    <row r="137" spans="1:25" ht="15.6">
      <c r="A137" s="378"/>
      <c r="B137" s="379" t="s">
        <v>56</v>
      </c>
      <c r="C137" s="379"/>
      <c r="D137" s="379"/>
      <c r="E137" s="379"/>
      <c r="F137" s="379"/>
      <c r="G137" s="379"/>
      <c r="H137" s="379"/>
      <c r="I137" s="379"/>
      <c r="J137" s="379"/>
      <c r="K137" s="379"/>
      <c r="L137" s="379"/>
      <c r="M137" s="379"/>
      <c r="N137" s="379"/>
      <c r="O137" s="379"/>
      <c r="P137" s="379"/>
      <c r="Q137" s="441">
        <f>+'September 10'!Q139</f>
        <v>4229</v>
      </c>
      <c r="R137" s="379"/>
      <c r="S137" s="453" t="s">
        <v>115</v>
      </c>
      <c r="T137" s="379"/>
      <c r="U137" s="441">
        <f>Q137</f>
        <v>4229</v>
      </c>
      <c r="V137" s="385"/>
      <c r="W137" s="6"/>
    </row>
    <row r="138" spans="1:25" ht="15.6">
      <c r="A138" s="378"/>
      <c r="B138" s="379" t="s">
        <v>57</v>
      </c>
      <c r="C138" s="379"/>
      <c r="D138" s="379"/>
      <c r="E138" s="379"/>
      <c r="F138" s="379"/>
      <c r="G138" s="379"/>
      <c r="H138" s="379"/>
      <c r="I138" s="379"/>
      <c r="J138" s="379"/>
      <c r="K138" s="379"/>
      <c r="L138" s="379"/>
      <c r="M138" s="379"/>
      <c r="N138" s="379"/>
      <c r="O138" s="379"/>
      <c r="P138" s="379"/>
      <c r="Q138" s="441">
        <v>0</v>
      </c>
      <c r="R138" s="379"/>
      <c r="S138" s="453" t="s">
        <v>115</v>
      </c>
      <c r="T138" s="379"/>
      <c r="U138" s="441">
        <f>Q138</f>
        <v>0</v>
      </c>
      <c r="V138" s="385"/>
      <c r="W138" s="6"/>
    </row>
    <row r="139" spans="1:25" ht="15.6">
      <c r="A139" s="378"/>
      <c r="B139" s="379" t="s">
        <v>58</v>
      </c>
      <c r="C139" s="379"/>
      <c r="D139" s="379"/>
      <c r="E139" s="379"/>
      <c r="F139" s="379"/>
      <c r="G139" s="379"/>
      <c r="H139" s="379"/>
      <c r="I139" s="379"/>
      <c r="J139" s="379"/>
      <c r="K139" s="379"/>
      <c r="L139" s="379"/>
      <c r="M139" s="379"/>
      <c r="N139" s="379"/>
      <c r="O139" s="379"/>
      <c r="P139" s="379"/>
      <c r="Q139" s="441">
        <f>SUM(Q137:Q138)</f>
        <v>4229</v>
      </c>
      <c r="R139" s="379"/>
      <c r="S139" s="453" t="s">
        <v>115</v>
      </c>
      <c r="T139" s="379"/>
      <c r="U139" s="441">
        <f>Q139</f>
        <v>4229</v>
      </c>
      <c r="V139" s="385"/>
      <c r="W139" s="6"/>
    </row>
    <row r="140" spans="1:25" ht="15.6">
      <c r="A140" s="378"/>
      <c r="B140" s="379" t="s">
        <v>215</v>
      </c>
      <c r="C140" s="379"/>
      <c r="D140" s="379"/>
      <c r="E140" s="379"/>
      <c r="F140" s="379"/>
      <c r="G140" s="379"/>
      <c r="H140" s="379"/>
      <c r="I140" s="379"/>
      <c r="J140" s="379"/>
      <c r="K140" s="379"/>
      <c r="L140" s="379"/>
      <c r="M140" s="379"/>
      <c r="N140" s="379"/>
      <c r="O140" s="379"/>
      <c r="P140" s="379"/>
      <c r="Q140" s="441"/>
      <c r="R140" s="379"/>
      <c r="S140" s="453"/>
      <c r="T140" s="379"/>
      <c r="U140" s="441"/>
      <c r="V140" s="385"/>
      <c r="W140" s="6"/>
    </row>
    <row r="141" spans="1:25" ht="15.6">
      <c r="A141" s="378"/>
      <c r="B141" s="454"/>
      <c r="C141" s="454"/>
      <c r="D141" s="454"/>
      <c r="E141" s="454"/>
      <c r="F141" s="454"/>
      <c r="G141" s="454"/>
      <c r="H141" s="454"/>
      <c r="I141" s="454"/>
      <c r="J141" s="454"/>
      <c r="K141" s="454"/>
      <c r="L141" s="454"/>
      <c r="M141" s="454"/>
      <c r="N141" s="454"/>
      <c r="O141" s="454"/>
      <c r="P141" s="454"/>
      <c r="Q141" s="454"/>
      <c r="R141" s="454"/>
      <c r="S141" s="454"/>
      <c r="T141" s="454"/>
      <c r="U141" s="454"/>
      <c r="V141" s="385"/>
      <c r="W141" s="6"/>
    </row>
    <row r="142" spans="1:25" ht="15.6">
      <c r="A142" s="242"/>
      <c r="B142" s="452"/>
      <c r="C142" s="452"/>
      <c r="D142" s="452"/>
      <c r="E142" s="452"/>
      <c r="F142" s="452"/>
      <c r="G142" s="452"/>
      <c r="H142" s="452"/>
      <c r="I142" s="452"/>
      <c r="J142" s="452"/>
      <c r="K142" s="452"/>
      <c r="L142" s="452"/>
      <c r="M142" s="452"/>
      <c r="N142" s="452"/>
      <c r="O142" s="452"/>
      <c r="P142" s="452"/>
      <c r="Q142" s="452"/>
      <c r="R142" s="452"/>
      <c r="S142" s="452"/>
      <c r="T142" s="452"/>
      <c r="U142" s="452"/>
      <c r="V142" s="284"/>
      <c r="W142" s="6"/>
    </row>
    <row r="143" spans="1:25" ht="15.6">
      <c r="A143" s="230"/>
      <c r="B143" s="308" t="s">
        <v>59</v>
      </c>
      <c r="C143" s="327"/>
      <c r="D143" s="327"/>
      <c r="E143" s="327"/>
      <c r="F143" s="327"/>
      <c r="G143" s="327"/>
      <c r="H143" s="327"/>
      <c r="I143" s="327"/>
      <c r="J143" s="327"/>
      <c r="K143" s="327"/>
      <c r="L143" s="327"/>
      <c r="M143" s="327"/>
      <c r="N143" s="327"/>
      <c r="O143" s="327"/>
      <c r="P143" s="328"/>
      <c r="Q143" s="328"/>
      <c r="R143" s="328"/>
      <c r="S143" s="328">
        <v>40543</v>
      </c>
      <c r="T143" s="231"/>
      <c r="U143" s="231"/>
      <c r="V143" s="237"/>
      <c r="W143" s="6"/>
    </row>
    <row r="144" spans="1:25" ht="15.6">
      <c r="A144" s="281"/>
      <c r="B144" s="294" t="s">
        <v>60</v>
      </c>
      <c r="C144" s="329"/>
      <c r="D144" s="329"/>
      <c r="E144" s="329"/>
      <c r="F144" s="329"/>
      <c r="G144" s="329"/>
      <c r="H144" s="329"/>
      <c r="I144" s="329"/>
      <c r="J144" s="329"/>
      <c r="K144" s="329"/>
      <c r="L144" s="329"/>
      <c r="M144" s="329"/>
      <c r="N144" s="329"/>
      <c r="O144" s="329"/>
      <c r="P144" s="300"/>
      <c r="Q144" s="300"/>
      <c r="R144" s="300"/>
      <c r="S144" s="299">
        <v>0.10630000000000001</v>
      </c>
      <c r="T144" s="294"/>
      <c r="U144" s="294"/>
      <c r="V144" s="260"/>
      <c r="W144" s="6"/>
    </row>
    <row r="145" spans="1:23" ht="15.6">
      <c r="A145" s="458"/>
      <c r="B145" s="379" t="s">
        <v>61</v>
      </c>
      <c r="C145" s="459"/>
      <c r="D145" s="459"/>
      <c r="E145" s="459"/>
      <c r="F145" s="459"/>
      <c r="G145" s="459"/>
      <c r="H145" s="459"/>
      <c r="I145" s="459"/>
      <c r="J145" s="459"/>
      <c r="K145" s="459"/>
      <c r="L145" s="459"/>
      <c r="M145" s="459"/>
      <c r="N145" s="459"/>
      <c r="O145" s="459"/>
      <c r="P145" s="433"/>
      <c r="Q145" s="433"/>
      <c r="R145" s="433"/>
      <c r="S145" s="427">
        <v>5.2200000000000003E-2</v>
      </c>
      <c r="T145" s="427"/>
      <c r="U145" s="379"/>
      <c r="V145" s="385"/>
      <c r="W145" s="6"/>
    </row>
    <row r="146" spans="1:23" ht="15.6">
      <c r="A146" s="458"/>
      <c r="B146" s="379" t="s">
        <v>62</v>
      </c>
      <c r="C146" s="459"/>
      <c r="D146" s="459"/>
      <c r="E146" s="459"/>
      <c r="F146" s="459"/>
      <c r="G146" s="459"/>
      <c r="H146" s="459"/>
      <c r="I146" s="459"/>
      <c r="J146" s="459"/>
      <c r="K146" s="459"/>
      <c r="L146" s="459"/>
      <c r="M146" s="459"/>
      <c r="N146" s="459"/>
      <c r="O146" s="459"/>
      <c r="P146" s="433"/>
      <c r="Q146" s="433"/>
      <c r="R146" s="433"/>
      <c r="S146" s="427">
        <f>S144-S145</f>
        <v>5.4100000000000002E-2</v>
      </c>
      <c r="T146" s="379"/>
      <c r="U146" s="379"/>
      <c r="V146" s="385"/>
      <c r="W146" s="6"/>
    </row>
    <row r="147" spans="1:23" ht="15.6">
      <c r="A147" s="458"/>
      <c r="B147" s="379" t="s">
        <v>63</v>
      </c>
      <c r="C147" s="459"/>
      <c r="D147" s="459"/>
      <c r="E147" s="459"/>
      <c r="F147" s="459"/>
      <c r="G147" s="459"/>
      <c r="H147" s="459"/>
      <c r="I147" s="459"/>
      <c r="J147" s="459"/>
      <c r="K147" s="459"/>
      <c r="L147" s="459"/>
      <c r="M147" s="459"/>
      <c r="N147" s="459"/>
      <c r="O147" s="459"/>
      <c r="P147" s="433"/>
      <c r="Q147" s="433"/>
      <c r="R147" s="433"/>
      <c r="S147" s="427">
        <v>9.2649999999999996E-2</v>
      </c>
      <c r="T147" s="379"/>
      <c r="U147" s="379"/>
      <c r="V147" s="385"/>
      <c r="W147" s="6"/>
    </row>
    <row r="148" spans="1:23" ht="15.6">
      <c r="A148" s="458"/>
      <c r="B148" s="379" t="s">
        <v>64</v>
      </c>
      <c r="C148" s="459"/>
      <c r="D148" s="459"/>
      <c r="E148" s="459"/>
      <c r="F148" s="459"/>
      <c r="G148" s="459"/>
      <c r="H148" s="459"/>
      <c r="I148" s="459"/>
      <c r="J148" s="459"/>
      <c r="K148" s="459"/>
      <c r="L148" s="459"/>
      <c r="M148" s="459"/>
      <c r="N148" s="459"/>
      <c r="O148" s="459"/>
      <c r="P148" s="433"/>
      <c r="Q148" s="433"/>
      <c r="R148" s="433"/>
      <c r="S148" s="427">
        <f>+U40</f>
        <v>1.6504272715662342E-2</v>
      </c>
      <c r="T148" s="379"/>
      <c r="U148" s="379"/>
      <c r="V148" s="385"/>
      <c r="W148" s="6"/>
    </row>
    <row r="149" spans="1:23" ht="15.6">
      <c r="A149" s="458"/>
      <c r="B149" s="379" t="s">
        <v>65</v>
      </c>
      <c r="C149" s="459"/>
      <c r="D149" s="459"/>
      <c r="E149" s="459"/>
      <c r="F149" s="459"/>
      <c r="G149" s="459"/>
      <c r="H149" s="459"/>
      <c r="I149" s="459"/>
      <c r="J149" s="459"/>
      <c r="K149" s="459"/>
      <c r="L149" s="459"/>
      <c r="M149" s="459"/>
      <c r="N149" s="459"/>
      <c r="O149" s="459"/>
      <c r="P149" s="433"/>
      <c r="Q149" s="433"/>
      <c r="R149" s="433"/>
      <c r="S149" s="427">
        <f>S147-S148</f>
        <v>7.6145727284337661E-2</v>
      </c>
      <c r="T149" s="379"/>
      <c r="U149" s="379"/>
      <c r="V149" s="385"/>
      <c r="W149" s="6"/>
    </row>
    <row r="150" spans="1:23" ht="15.6">
      <c r="A150" s="458"/>
      <c r="B150" s="379" t="s">
        <v>204</v>
      </c>
      <c r="C150" s="459"/>
      <c r="D150" s="459"/>
      <c r="E150" s="459"/>
      <c r="F150" s="459"/>
      <c r="G150" s="459"/>
      <c r="H150" s="459"/>
      <c r="I150" s="459"/>
      <c r="J150" s="459"/>
      <c r="K150" s="459"/>
      <c r="L150" s="459"/>
      <c r="M150" s="459"/>
      <c r="N150" s="459"/>
      <c r="O150" s="459"/>
      <c r="P150" s="433"/>
      <c r="Q150" s="433"/>
      <c r="R150" s="433"/>
      <c r="S150" s="429">
        <v>49780</v>
      </c>
      <c r="T150" s="379"/>
      <c r="U150" s="379"/>
      <c r="V150" s="385"/>
      <c r="W150" s="6"/>
    </row>
    <row r="151" spans="1:23" ht="15.6">
      <c r="A151" s="458"/>
      <c r="B151" s="379" t="s">
        <v>205</v>
      </c>
      <c r="C151" s="459"/>
      <c r="D151" s="459"/>
      <c r="E151" s="459"/>
      <c r="F151" s="459"/>
      <c r="G151" s="459"/>
      <c r="H151" s="459"/>
      <c r="I151" s="459"/>
      <c r="J151" s="459"/>
      <c r="K151" s="459"/>
      <c r="L151" s="459"/>
      <c r="M151" s="459"/>
      <c r="N151" s="459"/>
      <c r="O151" s="459"/>
      <c r="P151" s="433"/>
      <c r="Q151" s="433"/>
      <c r="R151" s="433"/>
      <c r="S151" s="429">
        <v>49780</v>
      </c>
      <c r="T151" s="379"/>
      <c r="U151" s="379"/>
      <c r="V151" s="385"/>
      <c r="W151" s="6"/>
    </row>
    <row r="152" spans="1:23" ht="15.6">
      <c r="A152" s="458"/>
      <c r="B152" s="379" t="s">
        <v>206</v>
      </c>
      <c r="C152" s="459"/>
      <c r="D152" s="459"/>
      <c r="E152" s="459"/>
      <c r="F152" s="459"/>
      <c r="G152" s="459"/>
      <c r="H152" s="459"/>
      <c r="I152" s="459"/>
      <c r="J152" s="459"/>
      <c r="K152" s="459"/>
      <c r="L152" s="459"/>
      <c r="M152" s="459"/>
      <c r="N152" s="459"/>
      <c r="O152" s="459"/>
      <c r="P152" s="433"/>
      <c r="Q152" s="433"/>
      <c r="R152" s="433"/>
      <c r="S152" s="429">
        <v>49780</v>
      </c>
      <c r="T152" s="379"/>
      <c r="U152" s="379"/>
      <c r="V152" s="385"/>
      <c r="W152" s="6"/>
    </row>
    <row r="153" spans="1:23" ht="15.6">
      <c r="A153" s="458"/>
      <c r="B153" s="379" t="s">
        <v>207</v>
      </c>
      <c r="C153" s="459"/>
      <c r="D153" s="459"/>
      <c r="E153" s="459"/>
      <c r="F153" s="459"/>
      <c r="G153" s="459"/>
      <c r="H153" s="459"/>
      <c r="I153" s="459"/>
      <c r="J153" s="459"/>
      <c r="K153" s="459"/>
      <c r="L153" s="459"/>
      <c r="M153" s="459"/>
      <c r="N153" s="459"/>
      <c r="O153" s="459"/>
      <c r="P153" s="433"/>
      <c r="Q153" s="433"/>
      <c r="R153" s="433"/>
      <c r="S153" s="429">
        <v>49780</v>
      </c>
      <c r="T153" s="379"/>
      <c r="U153" s="379"/>
      <c r="V153" s="385"/>
      <c r="W153" s="6"/>
    </row>
    <row r="154" spans="1:23" ht="15.6">
      <c r="A154" s="458"/>
      <c r="B154" s="379" t="s">
        <v>221</v>
      </c>
      <c r="C154" s="459"/>
      <c r="D154" s="459"/>
      <c r="E154" s="459"/>
      <c r="F154" s="459"/>
      <c r="G154" s="459"/>
      <c r="H154" s="459"/>
      <c r="I154" s="459"/>
      <c r="J154" s="459"/>
      <c r="K154" s="459"/>
      <c r="L154" s="459"/>
      <c r="M154" s="459"/>
      <c r="N154" s="459"/>
      <c r="O154" s="459"/>
      <c r="P154" s="433"/>
      <c r="Q154" s="433"/>
      <c r="R154" s="433"/>
      <c r="S154" s="432">
        <v>111.34</v>
      </c>
      <c r="T154" s="379"/>
      <c r="U154" s="379"/>
      <c r="V154" s="385"/>
      <c r="W154" s="6"/>
    </row>
    <row r="155" spans="1:23" ht="15.6">
      <c r="A155" s="458"/>
      <c r="B155" s="379" t="s">
        <v>222</v>
      </c>
      <c r="C155" s="459"/>
      <c r="D155" s="459"/>
      <c r="E155" s="459"/>
      <c r="F155" s="459"/>
      <c r="G155" s="459"/>
      <c r="H155" s="459"/>
      <c r="I155" s="459"/>
      <c r="J155" s="459"/>
      <c r="K155" s="459"/>
      <c r="L155" s="459"/>
      <c r="M155" s="459"/>
      <c r="N155" s="459"/>
      <c r="O155" s="459"/>
      <c r="P155" s="433"/>
      <c r="Q155" s="433"/>
      <c r="R155" s="433"/>
      <c r="S155" s="432">
        <v>156.38999999999999</v>
      </c>
      <c r="T155" s="379"/>
      <c r="U155" s="379"/>
      <c r="V155" s="385"/>
      <c r="W155" s="6"/>
    </row>
    <row r="156" spans="1:23" ht="15.6">
      <c r="A156" s="458" t="s">
        <v>223</v>
      </c>
      <c r="B156" s="379" t="s">
        <v>66</v>
      </c>
      <c r="C156" s="459"/>
      <c r="D156" s="459"/>
      <c r="E156" s="459"/>
      <c r="F156" s="459"/>
      <c r="G156" s="459"/>
      <c r="H156" s="459"/>
      <c r="I156" s="459"/>
      <c r="J156" s="459"/>
      <c r="K156" s="459"/>
      <c r="L156" s="459"/>
      <c r="M156" s="459"/>
      <c r="N156" s="459"/>
      <c r="O156" s="459"/>
      <c r="P156" s="433"/>
      <c r="Q156" s="433"/>
      <c r="R156" s="433"/>
      <c r="S156" s="427">
        <v>5.1999999999999998E-2</v>
      </c>
      <c r="T156" s="379"/>
      <c r="U156" s="379"/>
      <c r="V156" s="385"/>
      <c r="W156" s="6"/>
    </row>
    <row r="157" spans="1:23" ht="15.6">
      <c r="A157" s="458"/>
      <c r="B157" s="379" t="s">
        <v>67</v>
      </c>
      <c r="C157" s="459"/>
      <c r="D157" s="459"/>
      <c r="E157" s="459"/>
      <c r="F157" s="459"/>
      <c r="G157" s="459"/>
      <c r="H157" s="459"/>
      <c r="I157" s="459"/>
      <c r="J157" s="459"/>
      <c r="K157" s="459"/>
      <c r="L157" s="459"/>
      <c r="M157" s="459"/>
      <c r="N157" s="459"/>
      <c r="O157" s="459"/>
      <c r="P157" s="433"/>
      <c r="Q157" s="433"/>
      <c r="R157" s="433"/>
      <c r="S157" s="427">
        <v>0.33239999999999997</v>
      </c>
      <c r="T157" s="379"/>
      <c r="U157" s="379"/>
      <c r="V157" s="385"/>
      <c r="W157" s="6"/>
    </row>
    <row r="158" spans="1:23" ht="15.6">
      <c r="A158" s="280"/>
      <c r="B158" s="364"/>
      <c r="C158" s="364"/>
      <c r="D158" s="364"/>
      <c r="E158" s="364"/>
      <c r="F158" s="364"/>
      <c r="G158" s="364"/>
      <c r="H158" s="364"/>
      <c r="I158" s="364"/>
      <c r="J158" s="364"/>
      <c r="K158" s="364"/>
      <c r="L158" s="364"/>
      <c r="M158" s="364"/>
      <c r="N158" s="364"/>
      <c r="O158" s="364"/>
      <c r="P158" s="364"/>
      <c r="Q158" s="364"/>
      <c r="R158" s="455"/>
      <c r="S158" s="456"/>
      <c r="T158" s="364"/>
      <c r="U158" s="457"/>
      <c r="V158" s="245"/>
      <c r="W158" s="6"/>
    </row>
    <row r="159" spans="1:23" ht="15.6">
      <c r="A159" s="280"/>
      <c r="B159" s="288"/>
      <c r="C159" s="288"/>
      <c r="D159" s="288"/>
      <c r="E159" s="288"/>
      <c r="F159" s="288"/>
      <c r="G159" s="288"/>
      <c r="H159" s="288"/>
      <c r="I159" s="288"/>
      <c r="J159" s="288"/>
      <c r="K159" s="288"/>
      <c r="L159" s="288"/>
      <c r="M159" s="288"/>
      <c r="N159" s="288"/>
      <c r="O159" s="288"/>
      <c r="P159" s="288"/>
      <c r="Q159" s="288"/>
      <c r="R159" s="331"/>
      <c r="S159" s="332"/>
      <c r="T159" s="288"/>
      <c r="U159" s="333"/>
      <c r="V159" s="245"/>
      <c r="W159" s="6"/>
    </row>
    <row r="160" spans="1:23" ht="16.2" thickBot="1">
      <c r="A160" s="282"/>
      <c r="B160" s="304" t="str">
        <f>+B109</f>
        <v>PPAF3 INVESTOR REPORT QUARTER ENDING DECEMBER 2010</v>
      </c>
      <c r="C160" s="305"/>
      <c r="D160" s="305"/>
      <c r="E160" s="305"/>
      <c r="F160" s="305"/>
      <c r="G160" s="305"/>
      <c r="H160" s="305"/>
      <c r="I160" s="305"/>
      <c r="J160" s="305"/>
      <c r="K160" s="305"/>
      <c r="L160" s="305"/>
      <c r="M160" s="305"/>
      <c r="N160" s="305"/>
      <c r="O160" s="305"/>
      <c r="P160" s="305"/>
      <c r="Q160" s="305"/>
      <c r="R160" s="334"/>
      <c r="S160" s="335"/>
      <c r="T160" s="305"/>
      <c r="U160" s="336"/>
      <c r="V160" s="262"/>
      <c r="W160" s="6"/>
    </row>
    <row r="161" spans="1:23" ht="15.6">
      <c r="A161" s="337"/>
      <c r="B161" s="498" t="s">
        <v>68</v>
      </c>
      <c r="C161" s="338"/>
      <c r="D161" s="338"/>
      <c r="E161" s="338"/>
      <c r="F161" s="338"/>
      <c r="G161" s="338"/>
      <c r="H161" s="338"/>
      <c r="I161" s="338"/>
      <c r="J161" s="338"/>
      <c r="K161" s="338"/>
      <c r="L161" s="338"/>
      <c r="M161" s="339"/>
      <c r="N161" s="338"/>
      <c r="O161" s="339"/>
      <c r="P161" s="338"/>
      <c r="Q161" s="339"/>
      <c r="R161" s="338" t="s">
        <v>94</v>
      </c>
      <c r="S161" s="339" t="s">
        <v>116</v>
      </c>
      <c r="T161" s="340"/>
      <c r="U161" s="340"/>
      <c r="V161" s="341"/>
      <c r="W161" s="6"/>
    </row>
    <row r="162" spans="1:23" ht="15.6">
      <c r="A162" s="283"/>
      <c r="B162" s="294" t="s">
        <v>216</v>
      </c>
      <c r="C162" s="310"/>
      <c r="D162" s="310"/>
      <c r="E162" s="310"/>
      <c r="F162" s="310"/>
      <c r="G162" s="310"/>
      <c r="H162" s="310"/>
      <c r="I162" s="310"/>
      <c r="J162" s="310"/>
      <c r="K162" s="310"/>
      <c r="L162" s="310"/>
      <c r="M162" s="310"/>
      <c r="N162" s="310"/>
      <c r="O162" s="294"/>
      <c r="P162" s="294"/>
      <c r="Q162" s="294"/>
      <c r="R162" s="310">
        <v>954</v>
      </c>
      <c r="S162" s="311">
        <v>27300</v>
      </c>
      <c r="T162" s="311"/>
      <c r="U162" s="330"/>
      <c r="V162" s="342"/>
      <c r="W162" s="6"/>
    </row>
    <row r="163" spans="1:23" ht="15.6">
      <c r="A163" s="465"/>
      <c r="B163" s="379" t="s">
        <v>217</v>
      </c>
      <c r="C163" s="440"/>
      <c r="D163" s="440"/>
      <c r="E163" s="440"/>
      <c r="F163" s="440"/>
      <c r="G163" s="440"/>
      <c r="H163" s="440"/>
      <c r="I163" s="440"/>
      <c r="J163" s="440"/>
      <c r="K163" s="440"/>
      <c r="L163" s="440"/>
      <c r="M163" s="440"/>
      <c r="N163" s="440"/>
      <c r="O163" s="379"/>
      <c r="P163" s="379"/>
      <c r="Q163" s="379"/>
      <c r="R163" s="379">
        <v>43</v>
      </c>
      <c r="S163" s="441">
        <v>484</v>
      </c>
      <c r="T163" s="441"/>
      <c r="U163" s="466"/>
      <c r="V163" s="467"/>
      <c r="W163" s="6"/>
    </row>
    <row r="164" spans="1:23" ht="15.6">
      <c r="A164" s="465"/>
      <c r="B164" s="379" t="s">
        <v>218</v>
      </c>
      <c r="C164" s="440"/>
      <c r="D164" s="440"/>
      <c r="E164" s="440"/>
      <c r="F164" s="440"/>
      <c r="G164" s="440"/>
      <c r="H164" s="440"/>
      <c r="I164" s="440"/>
      <c r="J164" s="440"/>
      <c r="K164" s="440"/>
      <c r="L164" s="440"/>
      <c r="M164" s="440"/>
      <c r="N164" s="440"/>
      <c r="O164" s="379"/>
      <c r="P164" s="379"/>
      <c r="Q164" s="379"/>
      <c r="R164" s="379">
        <v>205</v>
      </c>
      <c r="S164" s="441">
        <v>253</v>
      </c>
      <c r="T164" s="441"/>
      <c r="U164" s="466"/>
      <c r="V164" s="467"/>
      <c r="W164" s="6"/>
    </row>
    <row r="165" spans="1:23" ht="15.6">
      <c r="A165" s="465"/>
      <c r="B165" s="379" t="s">
        <v>219</v>
      </c>
      <c r="C165" s="440"/>
      <c r="D165" s="440"/>
      <c r="E165" s="440"/>
      <c r="F165" s="440"/>
      <c r="G165" s="440"/>
      <c r="H165" s="440"/>
      <c r="I165" s="440"/>
      <c r="J165" s="440"/>
      <c r="K165" s="440"/>
      <c r="L165" s="440"/>
      <c r="M165" s="440"/>
      <c r="N165" s="440"/>
      <c r="O165" s="379"/>
      <c r="P165" s="379"/>
      <c r="Q165" s="379"/>
      <c r="R165" s="379">
        <v>170</v>
      </c>
      <c r="S165" s="441">
        <v>542</v>
      </c>
      <c r="T165" s="441"/>
      <c r="U165" s="466"/>
      <c r="V165" s="467"/>
      <c r="W165" s="6"/>
    </row>
    <row r="166" spans="1:23" ht="15.6">
      <c r="A166" s="465"/>
      <c r="B166" s="379" t="s">
        <v>90</v>
      </c>
      <c r="C166" s="440"/>
      <c r="D166" s="440"/>
      <c r="E166" s="440"/>
      <c r="F166" s="440"/>
      <c r="G166" s="440"/>
      <c r="H166" s="440"/>
      <c r="I166" s="440"/>
      <c r="J166" s="440"/>
      <c r="K166" s="440"/>
      <c r="L166" s="440"/>
      <c r="M166" s="440"/>
      <c r="N166" s="440"/>
      <c r="O166" s="379"/>
      <c r="P166" s="379"/>
      <c r="Q166" s="379"/>
      <c r="R166" s="440">
        <f>SUM(R162:R165)</f>
        <v>1372</v>
      </c>
      <c r="S166" s="441">
        <f>SUM(S162:S165)</f>
        <v>28579</v>
      </c>
      <c r="T166" s="441"/>
      <c r="U166" s="466"/>
      <c r="V166" s="467"/>
      <c r="W166" s="6"/>
    </row>
    <row r="167" spans="1:23" ht="15.6">
      <c r="A167" s="465"/>
      <c r="B167" s="379"/>
      <c r="C167" s="440"/>
      <c r="D167" s="440"/>
      <c r="E167" s="440"/>
      <c r="F167" s="440"/>
      <c r="G167" s="440"/>
      <c r="H167" s="440"/>
      <c r="I167" s="440"/>
      <c r="J167" s="440"/>
      <c r="K167" s="440"/>
      <c r="L167" s="440"/>
      <c r="M167" s="440"/>
      <c r="N167" s="440"/>
      <c r="O167" s="379"/>
      <c r="P167" s="379"/>
      <c r="Q167" s="379"/>
      <c r="R167" s="379"/>
      <c r="S167" s="441"/>
      <c r="T167" s="441"/>
      <c r="U167" s="466"/>
      <c r="V167" s="467"/>
      <c r="W167" s="6"/>
    </row>
    <row r="168" spans="1:23" ht="15.6">
      <c r="A168" s="465"/>
      <c r="B168" s="379" t="s">
        <v>220</v>
      </c>
      <c r="C168" s="440"/>
      <c r="D168" s="440"/>
      <c r="E168" s="440"/>
      <c r="F168" s="440"/>
      <c r="G168" s="440"/>
      <c r="H168" s="440"/>
      <c r="I168" s="440"/>
      <c r="J168" s="440"/>
      <c r="K168" s="440"/>
      <c r="L168" s="440"/>
      <c r="M168" s="440"/>
      <c r="N168" s="440"/>
      <c r="O168" s="379"/>
      <c r="P168" s="379"/>
      <c r="Q168" s="379"/>
      <c r="R168" s="379">
        <v>2</v>
      </c>
      <c r="S168" s="441">
        <v>24</v>
      </c>
      <c r="T168" s="441"/>
      <c r="U168" s="466"/>
      <c r="V168" s="467"/>
      <c r="W168" s="6"/>
    </row>
    <row r="169" spans="1:23" ht="15.6">
      <c r="A169" s="465"/>
      <c r="B169" s="379" t="s">
        <v>224</v>
      </c>
      <c r="C169" s="440"/>
      <c r="D169" s="440"/>
      <c r="E169" s="440"/>
      <c r="F169" s="440"/>
      <c r="G169" s="440"/>
      <c r="H169" s="440"/>
      <c r="I169" s="440"/>
      <c r="J169" s="440"/>
      <c r="K169" s="440"/>
      <c r="L169" s="440"/>
      <c r="M169" s="440"/>
      <c r="N169" s="440"/>
      <c r="O169" s="379"/>
      <c r="P169" s="379"/>
      <c r="Q169" s="379"/>
      <c r="R169" s="379">
        <v>15</v>
      </c>
      <c r="S169" s="441">
        <v>551</v>
      </c>
      <c r="T169" s="441"/>
      <c r="U169" s="466"/>
      <c r="V169" s="467"/>
      <c r="W169" s="6"/>
    </row>
    <row r="170" spans="1:23" ht="15.6">
      <c r="A170" s="465"/>
      <c r="B170" s="468" t="s">
        <v>69</v>
      </c>
      <c r="C170" s="469"/>
      <c r="D170" s="469"/>
      <c r="E170" s="469"/>
      <c r="F170" s="469"/>
      <c r="G170" s="469"/>
      <c r="H170" s="469"/>
      <c r="I170" s="469"/>
      <c r="J170" s="469"/>
      <c r="K170" s="469"/>
      <c r="L170" s="469"/>
      <c r="M170" s="469"/>
      <c r="N170" s="469"/>
      <c r="O170" s="454"/>
      <c r="P170" s="454"/>
      <c r="Q170" s="454"/>
      <c r="R170" s="379"/>
      <c r="S170" s="441">
        <v>0</v>
      </c>
      <c r="T170" s="454"/>
      <c r="U170" s="470"/>
      <c r="V170" s="471"/>
      <c r="W170" s="6"/>
    </row>
    <row r="171" spans="1:23" ht="15.6">
      <c r="A171" s="465"/>
      <c r="B171" s="468" t="s">
        <v>70</v>
      </c>
      <c r="C171" s="469"/>
      <c r="D171" s="469"/>
      <c r="E171" s="469"/>
      <c r="F171" s="469"/>
      <c r="G171" s="469"/>
      <c r="H171" s="469"/>
      <c r="I171" s="469"/>
      <c r="J171" s="469"/>
      <c r="K171" s="469"/>
      <c r="L171" s="469"/>
      <c r="M171" s="469"/>
      <c r="N171" s="469"/>
      <c r="O171" s="454"/>
      <c r="P171" s="454"/>
      <c r="Q171" s="454"/>
      <c r="R171" s="379"/>
      <c r="S171" s="441">
        <f>Q75</f>
        <v>0</v>
      </c>
      <c r="T171" s="454"/>
      <c r="U171" s="470"/>
      <c r="V171" s="471"/>
      <c r="W171" s="6"/>
    </row>
    <row r="172" spans="1:23" ht="15.6">
      <c r="A172" s="472"/>
      <c r="B172" s="468" t="s">
        <v>71</v>
      </c>
      <c r="C172" s="469"/>
      <c r="D172" s="469"/>
      <c r="E172" s="469"/>
      <c r="F172" s="469"/>
      <c r="G172" s="469"/>
      <c r="H172" s="469"/>
      <c r="I172" s="469"/>
      <c r="J172" s="469"/>
      <c r="K172" s="469"/>
      <c r="L172" s="469"/>
      <c r="M172" s="473"/>
      <c r="N172" s="473"/>
      <c r="O172" s="473"/>
      <c r="P172" s="454"/>
      <c r="Q172" s="454"/>
      <c r="R172" s="379"/>
      <c r="S172" s="500"/>
      <c r="T172" s="454"/>
      <c r="U172" s="470"/>
      <c r="V172" s="474"/>
      <c r="W172" s="6"/>
    </row>
    <row r="173" spans="1:23" ht="15.6">
      <c r="A173" s="465"/>
      <c r="B173" s="379" t="s">
        <v>72</v>
      </c>
      <c r="C173" s="469"/>
      <c r="D173" s="469"/>
      <c r="E173" s="469"/>
      <c r="F173" s="469"/>
      <c r="G173" s="469"/>
      <c r="H173" s="469"/>
      <c r="I173" s="469"/>
      <c r="J173" s="469"/>
      <c r="K173" s="469"/>
      <c r="L173" s="469"/>
      <c r="M173" s="469"/>
      <c r="N173" s="469"/>
      <c r="O173" s="469"/>
      <c r="P173" s="454"/>
      <c r="Q173" s="454"/>
      <c r="R173" s="379"/>
      <c r="S173" s="441">
        <f>U128</f>
        <v>1418</v>
      </c>
      <c r="T173" s="454"/>
      <c r="U173" s="470"/>
      <c r="V173" s="474"/>
      <c r="W173" s="6"/>
    </row>
    <row r="174" spans="1:23" ht="15.6">
      <c r="A174" s="465"/>
      <c r="B174" s="379" t="s">
        <v>73</v>
      </c>
      <c r="C174" s="469"/>
      <c r="D174" s="469"/>
      <c r="E174" s="469"/>
      <c r="F174" s="469"/>
      <c r="G174" s="469"/>
      <c r="H174" s="469"/>
      <c r="I174" s="469"/>
      <c r="J174" s="469"/>
      <c r="K174" s="469"/>
      <c r="L174" s="469"/>
      <c r="M174" s="469"/>
      <c r="N174" s="469"/>
      <c r="O174" s="469"/>
      <c r="P174" s="454"/>
      <c r="Q174" s="454"/>
      <c r="R174" s="379"/>
      <c r="S174" s="441">
        <f>'September 10'!S174+S173</f>
        <v>72137</v>
      </c>
      <c r="T174" s="454"/>
      <c r="U174" s="470"/>
      <c r="V174" s="474"/>
      <c r="W174" s="6"/>
    </row>
    <row r="175" spans="1:23" ht="15.6">
      <c r="A175" s="465"/>
      <c r="B175" s="379" t="s">
        <v>74</v>
      </c>
      <c r="C175" s="469"/>
      <c r="D175" s="469"/>
      <c r="E175" s="469"/>
      <c r="F175" s="469"/>
      <c r="G175" s="469"/>
      <c r="H175" s="469"/>
      <c r="I175" s="469"/>
      <c r="J175" s="469"/>
      <c r="K175" s="469"/>
      <c r="L175" s="469"/>
      <c r="M175" s="469"/>
      <c r="N175" s="469"/>
      <c r="O175" s="469"/>
      <c r="P175" s="454"/>
      <c r="Q175" s="454"/>
      <c r="R175" s="379"/>
      <c r="S175" s="441">
        <f>'September 10'!S175+630</f>
        <v>14769</v>
      </c>
      <c r="T175" s="454"/>
      <c r="U175" s="470"/>
      <c r="V175" s="474"/>
      <c r="W175" s="6"/>
    </row>
    <row r="176" spans="1:23" ht="15.6">
      <c r="A176" s="465"/>
      <c r="B176" s="473"/>
      <c r="C176" s="469"/>
      <c r="D176" s="469"/>
      <c r="E176" s="469"/>
      <c r="F176" s="469"/>
      <c r="G176" s="469"/>
      <c r="H176" s="469"/>
      <c r="I176" s="469"/>
      <c r="J176" s="469"/>
      <c r="K176" s="469"/>
      <c r="L176" s="469"/>
      <c r="M176" s="469"/>
      <c r="N176" s="469"/>
      <c r="O176" s="469"/>
      <c r="P176" s="454"/>
      <c r="Q176" s="454"/>
      <c r="R176" s="379"/>
      <c r="S176" s="441"/>
      <c r="T176" s="454"/>
      <c r="U176" s="470"/>
      <c r="V176" s="474"/>
      <c r="W176" s="6"/>
    </row>
    <row r="177" spans="1:23" ht="15.6">
      <c r="A177" s="472"/>
      <c r="B177" s="468" t="s">
        <v>259</v>
      </c>
      <c r="C177" s="469"/>
      <c r="D177" s="469"/>
      <c r="E177" s="469"/>
      <c r="F177" s="469"/>
      <c r="G177" s="469"/>
      <c r="H177" s="469"/>
      <c r="I177" s="469"/>
      <c r="J177" s="469"/>
      <c r="K177" s="469"/>
      <c r="L177" s="469"/>
      <c r="M177" s="473"/>
      <c r="N177" s="473"/>
      <c r="O177" s="473"/>
      <c r="P177" s="454"/>
      <c r="Q177" s="454"/>
      <c r="R177" s="379"/>
      <c r="S177" s="453"/>
      <c r="T177" s="454"/>
      <c r="U177" s="470"/>
      <c r="V177" s="474"/>
      <c r="W177" s="6"/>
    </row>
    <row r="178" spans="1:23" ht="15.6">
      <c r="A178" s="472"/>
      <c r="B178" s="379" t="s">
        <v>254</v>
      </c>
      <c r="C178" s="469"/>
      <c r="D178" s="469"/>
      <c r="E178" s="469"/>
      <c r="F178" s="469"/>
      <c r="G178" s="469"/>
      <c r="H178" s="469"/>
      <c r="I178" s="469"/>
      <c r="J178" s="469"/>
      <c r="K178" s="469"/>
      <c r="L178" s="469"/>
      <c r="M178" s="473"/>
      <c r="N178" s="473"/>
      <c r="O178" s="473"/>
      <c r="P178" s="454"/>
      <c r="Q178" s="454"/>
      <c r="R178" s="379"/>
      <c r="S178" s="453">
        <v>5</v>
      </c>
      <c r="T178" s="454"/>
      <c r="U178" s="470"/>
      <c r="V178" s="474"/>
      <c r="W178" s="6"/>
    </row>
    <row r="179" spans="1:23" ht="15.6">
      <c r="A179" s="465"/>
      <c r="B179" s="379" t="s">
        <v>75</v>
      </c>
      <c r="C179" s="469"/>
      <c r="D179" s="469"/>
      <c r="E179" s="469"/>
      <c r="F179" s="469"/>
      <c r="G179" s="469"/>
      <c r="H179" s="469"/>
      <c r="I179" s="469"/>
      <c r="J179" s="469"/>
      <c r="K179" s="469"/>
      <c r="L179" s="469"/>
      <c r="M179" s="475"/>
      <c r="N179" s="475"/>
      <c r="O179" s="476"/>
      <c r="P179" s="454"/>
      <c r="Q179" s="454"/>
      <c r="R179" s="379"/>
      <c r="S179" s="501">
        <v>13.52</v>
      </c>
      <c r="T179" s="454"/>
      <c r="U179" s="470"/>
      <c r="V179" s="474"/>
      <c r="W179" s="6"/>
    </row>
    <row r="180" spans="1:23" ht="15.6">
      <c r="A180" s="465"/>
      <c r="B180" s="379" t="s">
        <v>76</v>
      </c>
      <c r="C180" s="469"/>
      <c r="D180" s="469"/>
      <c r="E180" s="469"/>
      <c r="F180" s="469"/>
      <c r="G180" s="469"/>
      <c r="H180" s="469"/>
      <c r="I180" s="469"/>
      <c r="J180" s="469"/>
      <c r="K180" s="469"/>
      <c r="L180" s="469"/>
      <c r="M180" s="475"/>
      <c r="N180" s="475"/>
      <c r="O180" s="476"/>
      <c r="P180" s="454"/>
      <c r="Q180" s="454"/>
      <c r="R180" s="379"/>
      <c r="S180" s="501">
        <v>153</v>
      </c>
      <c r="T180" s="454"/>
      <c r="U180" s="470"/>
      <c r="V180" s="474"/>
      <c r="W180" s="6"/>
    </row>
    <row r="181" spans="1:23" ht="15.6">
      <c r="A181" s="465"/>
      <c r="B181" s="473"/>
      <c r="C181" s="469"/>
      <c r="D181" s="469"/>
      <c r="E181" s="469"/>
      <c r="F181" s="469"/>
      <c r="G181" s="469"/>
      <c r="H181" s="469"/>
      <c r="I181" s="469"/>
      <c r="J181" s="469"/>
      <c r="K181" s="469"/>
      <c r="L181" s="469"/>
      <c r="M181" s="477"/>
      <c r="N181" s="475"/>
      <c r="O181" s="476"/>
      <c r="P181" s="454"/>
      <c r="Q181" s="454"/>
      <c r="R181" s="379"/>
      <c r="S181" s="503"/>
      <c r="T181" s="454"/>
      <c r="U181" s="470"/>
      <c r="V181" s="474"/>
      <c r="W181" s="6"/>
    </row>
    <row r="182" spans="1:23" ht="15.6">
      <c r="A182" s="465"/>
      <c r="B182" s="468" t="s">
        <v>77</v>
      </c>
      <c r="C182" s="469"/>
      <c r="D182" s="469"/>
      <c r="E182" s="469"/>
      <c r="F182" s="469"/>
      <c r="G182" s="469"/>
      <c r="H182" s="469"/>
      <c r="I182" s="469"/>
      <c r="J182" s="469"/>
      <c r="K182" s="469"/>
      <c r="L182" s="469"/>
      <c r="M182" s="469"/>
      <c r="N182" s="477"/>
      <c r="O182" s="475"/>
      <c r="P182" s="476"/>
      <c r="Q182" s="454"/>
      <c r="R182" s="380"/>
      <c r="S182" s="504"/>
      <c r="T182" s="478"/>
      <c r="U182" s="390"/>
      <c r="V182" s="479"/>
      <c r="W182" s="6"/>
    </row>
    <row r="183" spans="1:23" ht="15.6">
      <c r="A183" s="465"/>
      <c r="B183" s="379" t="s">
        <v>78</v>
      </c>
      <c r="C183" s="469"/>
      <c r="D183" s="469"/>
      <c r="E183" s="469"/>
      <c r="F183" s="469"/>
      <c r="G183" s="469"/>
      <c r="H183" s="469"/>
      <c r="I183" s="469"/>
      <c r="J183" s="469"/>
      <c r="K183" s="469"/>
      <c r="L183" s="469"/>
      <c r="M183" s="469"/>
      <c r="N183" s="477"/>
      <c r="O183" s="475"/>
      <c r="P183" s="476"/>
      <c r="Q183" s="454"/>
      <c r="R183" s="380"/>
      <c r="S183" s="502">
        <v>94</v>
      </c>
      <c r="T183" s="480"/>
      <c r="U183" s="390"/>
      <c r="V183" s="479"/>
      <c r="W183" s="6"/>
    </row>
    <row r="184" spans="1:23" ht="15.6">
      <c r="A184" s="465"/>
      <c r="B184" s="379" t="s">
        <v>75</v>
      </c>
      <c r="C184" s="469"/>
      <c r="D184" s="469"/>
      <c r="E184" s="469"/>
      <c r="F184" s="469"/>
      <c r="G184" s="469"/>
      <c r="H184" s="469"/>
      <c r="I184" s="469"/>
      <c r="J184" s="469"/>
      <c r="K184" s="469"/>
      <c r="L184" s="469"/>
      <c r="M184" s="469"/>
      <c r="N184" s="477"/>
      <c r="O184" s="475"/>
      <c r="P184" s="476"/>
      <c r="Q184" s="454"/>
      <c r="R184" s="380"/>
      <c r="S184" s="502">
        <v>1.44</v>
      </c>
      <c r="T184" s="480"/>
      <c r="U184" s="390"/>
      <c r="V184" s="479"/>
      <c r="W184" s="6"/>
    </row>
    <row r="185" spans="1:23" ht="15.6">
      <c r="A185" s="465"/>
      <c r="B185" s="379" t="s">
        <v>79</v>
      </c>
      <c r="C185" s="469"/>
      <c r="D185" s="469"/>
      <c r="E185" s="469"/>
      <c r="F185" s="469"/>
      <c r="G185" s="469"/>
      <c r="H185" s="469"/>
      <c r="I185" s="469"/>
      <c r="J185" s="469"/>
      <c r="K185" s="469"/>
      <c r="L185" s="469"/>
      <c r="M185" s="469"/>
      <c r="N185" s="477"/>
      <c r="O185" s="475"/>
      <c r="P185" s="476"/>
      <c r="Q185" s="454"/>
      <c r="R185" s="380"/>
      <c r="S185" s="502">
        <v>56.99</v>
      </c>
      <c r="T185" s="480"/>
      <c r="U185" s="390"/>
      <c r="V185" s="479"/>
      <c r="W185" s="6"/>
    </row>
    <row r="186" spans="1:23" ht="15.6">
      <c r="A186" s="465"/>
      <c r="B186" s="473"/>
      <c r="C186" s="469"/>
      <c r="D186" s="469"/>
      <c r="E186" s="469"/>
      <c r="F186" s="469"/>
      <c r="G186" s="469"/>
      <c r="H186" s="469"/>
      <c r="I186" s="469"/>
      <c r="J186" s="469"/>
      <c r="K186" s="469"/>
      <c r="L186" s="469"/>
      <c r="M186" s="477"/>
      <c r="N186" s="475"/>
      <c r="O186" s="476"/>
      <c r="P186" s="454"/>
      <c r="Q186" s="454"/>
      <c r="R186" s="454"/>
      <c r="S186" s="481"/>
      <c r="T186" s="454"/>
      <c r="U186" s="470"/>
      <c r="V186" s="474"/>
      <c r="W186" s="6"/>
    </row>
    <row r="187" spans="1:23" ht="17.399999999999999">
      <c r="A187" s="465"/>
      <c r="B187" s="482" t="s">
        <v>196</v>
      </c>
      <c r="C187" s="469"/>
      <c r="D187" s="469"/>
      <c r="E187" s="469"/>
      <c r="F187" s="469"/>
      <c r="G187" s="469"/>
      <c r="H187" s="469"/>
      <c r="I187" s="469"/>
      <c r="J187" s="469"/>
      <c r="K187" s="483" t="s">
        <v>195</v>
      </c>
      <c r="L187" s="469"/>
      <c r="M187" s="477"/>
      <c r="N187" s="475"/>
      <c r="O187" s="476"/>
      <c r="P187" s="454"/>
      <c r="Q187" s="454"/>
      <c r="R187" s="454"/>
      <c r="S187" s="481"/>
      <c r="T187" s="454"/>
      <c r="U187" s="470"/>
      <c r="V187" s="474"/>
      <c r="W187" s="6"/>
    </row>
    <row r="188" spans="1:23" ht="15.6">
      <c r="A188" s="242"/>
      <c r="B188" s="460"/>
      <c r="C188" s="461"/>
      <c r="D188" s="461"/>
      <c r="E188" s="461"/>
      <c r="F188" s="461"/>
      <c r="G188" s="461"/>
      <c r="H188" s="461"/>
      <c r="I188" s="461"/>
      <c r="J188" s="461"/>
      <c r="K188" s="461"/>
      <c r="L188" s="461"/>
      <c r="M188" s="462"/>
      <c r="N188" s="461"/>
      <c r="O188" s="462"/>
      <c r="P188" s="461"/>
      <c r="Q188" s="462"/>
      <c r="R188" s="461"/>
      <c r="S188" s="462"/>
      <c r="T188" s="461"/>
      <c r="U188" s="463"/>
      <c r="V188" s="464"/>
      <c r="W188" s="6"/>
    </row>
    <row r="189" spans="1:23" ht="15.6">
      <c r="A189" s="348"/>
      <c r="B189" s="359" t="s">
        <v>80</v>
      </c>
      <c r="C189" s="343"/>
      <c r="D189" s="343"/>
      <c r="E189" s="343"/>
      <c r="F189" s="343"/>
      <c r="G189" s="343"/>
      <c r="H189" s="343"/>
      <c r="I189" s="343"/>
      <c r="J189" s="343"/>
      <c r="K189" s="343"/>
      <c r="L189" s="343"/>
      <c r="M189" s="359" t="s">
        <v>100</v>
      </c>
      <c r="N189" s="344"/>
      <c r="O189" s="345"/>
      <c r="P189" s="344"/>
      <c r="Q189" s="359" t="s">
        <v>26</v>
      </c>
      <c r="R189" s="344"/>
      <c r="S189" s="345"/>
      <c r="T189" s="344"/>
      <c r="U189" s="346"/>
      <c r="V189" s="347"/>
      <c r="W189" s="6"/>
    </row>
    <row r="190" spans="1:23" ht="15.6">
      <c r="A190" s="365"/>
      <c r="B190" s="366"/>
      <c r="C190" s="367"/>
      <c r="D190" s="367"/>
      <c r="E190" s="367"/>
      <c r="F190" s="367"/>
      <c r="G190" s="367"/>
      <c r="H190" s="367"/>
      <c r="I190" s="367"/>
      <c r="J190" s="367"/>
      <c r="K190" s="367"/>
      <c r="L190" s="367" t="s">
        <v>94</v>
      </c>
      <c r="M190" s="368" t="s">
        <v>101</v>
      </c>
      <c r="N190" s="367" t="s">
        <v>103</v>
      </c>
      <c r="O190" s="368" t="s">
        <v>101</v>
      </c>
      <c r="P190" s="368"/>
      <c r="Q190" s="367" t="s">
        <v>94</v>
      </c>
      <c r="R190" s="368" t="s">
        <v>101</v>
      </c>
      <c r="S190" s="367" t="s">
        <v>103</v>
      </c>
      <c r="T190" s="368" t="s">
        <v>101</v>
      </c>
      <c r="U190" s="369"/>
      <c r="V190" s="370"/>
      <c r="W190" s="6"/>
    </row>
    <row r="191" spans="1:23" ht="15.6">
      <c r="A191" s="316"/>
      <c r="B191" s="360" t="s">
        <v>81</v>
      </c>
      <c r="C191" s="361"/>
      <c r="D191" s="361"/>
      <c r="E191" s="361"/>
      <c r="F191" s="361"/>
      <c r="G191" s="361"/>
      <c r="H191" s="361"/>
      <c r="I191" s="361"/>
      <c r="J191" s="361"/>
      <c r="K191" s="361"/>
      <c r="L191" s="361">
        <v>1550</v>
      </c>
      <c r="M191" s="362">
        <f t="shared" ref="M191:M197" si="0">+L191/$L$198</f>
        <v>0.84193373166757202</v>
      </c>
      <c r="N191" s="361">
        <v>4060</v>
      </c>
      <c r="O191" s="362">
        <f t="shared" ref="O191:O197" si="1">N191/$N$198</f>
        <v>0.83299138284776364</v>
      </c>
      <c r="P191" s="363"/>
      <c r="Q191" s="361">
        <v>1578</v>
      </c>
      <c r="R191" s="362">
        <f t="shared" ref="R191:R197" si="2">+Q191/$Q$198</f>
        <v>0.82791185729275973</v>
      </c>
      <c r="S191" s="361">
        <v>1528</v>
      </c>
      <c r="T191" s="362">
        <f t="shared" ref="T191:T197" si="3">+S191/$S$198</f>
        <v>0.81623931623931623</v>
      </c>
      <c r="U191" s="364"/>
      <c r="V191" s="312"/>
      <c r="W191" s="6"/>
    </row>
    <row r="192" spans="1:23" ht="15.6">
      <c r="A192" s="444"/>
      <c r="B192" s="440" t="s">
        <v>82</v>
      </c>
      <c r="C192" s="489"/>
      <c r="D192" s="489"/>
      <c r="E192" s="489"/>
      <c r="F192" s="489"/>
      <c r="G192" s="489"/>
      <c r="H192" s="489"/>
      <c r="I192" s="489"/>
      <c r="J192" s="489"/>
      <c r="K192" s="489"/>
      <c r="L192" s="489">
        <v>18</v>
      </c>
      <c r="M192" s="427">
        <f t="shared" si="0"/>
        <v>9.7772949483976093E-3</v>
      </c>
      <c r="N192" s="489">
        <v>45</v>
      </c>
      <c r="O192" s="427">
        <f t="shared" si="1"/>
        <v>9.2326631103816174E-3</v>
      </c>
      <c r="P192" s="381"/>
      <c r="Q192" s="489">
        <v>21</v>
      </c>
      <c r="R192" s="427">
        <f t="shared" si="2"/>
        <v>1.1017838405036727E-2</v>
      </c>
      <c r="S192" s="489">
        <v>16</v>
      </c>
      <c r="T192" s="427">
        <f t="shared" si="3"/>
        <v>8.5470085470085479E-3</v>
      </c>
      <c r="U192" s="379"/>
      <c r="V192" s="435"/>
      <c r="W192" s="6"/>
    </row>
    <row r="193" spans="1:24" ht="15.6">
      <c r="A193" s="444"/>
      <c r="B193" s="440" t="s">
        <v>83</v>
      </c>
      <c r="C193" s="489"/>
      <c r="D193" s="489"/>
      <c r="E193" s="489"/>
      <c r="F193" s="489"/>
      <c r="G193" s="489"/>
      <c r="H193" s="489"/>
      <c r="I193" s="489"/>
      <c r="J193" s="489"/>
      <c r="K193" s="489"/>
      <c r="L193" s="489">
        <v>30</v>
      </c>
      <c r="M193" s="427">
        <f t="shared" si="0"/>
        <v>1.6295491580662683E-2</v>
      </c>
      <c r="N193" s="489">
        <v>86</v>
      </c>
      <c r="O193" s="427">
        <f t="shared" si="1"/>
        <v>1.764464505539598E-2</v>
      </c>
      <c r="P193" s="381"/>
      <c r="Q193" s="489">
        <v>23</v>
      </c>
      <c r="R193" s="427">
        <f t="shared" si="2"/>
        <v>1.2067156348373556E-2</v>
      </c>
      <c r="S193" s="489">
        <v>14</v>
      </c>
      <c r="T193" s="427">
        <f t="shared" si="3"/>
        <v>7.478632478632479E-3</v>
      </c>
      <c r="U193" s="379"/>
      <c r="V193" s="435"/>
      <c r="W193" s="6"/>
    </row>
    <row r="194" spans="1:24" ht="15.6">
      <c r="A194" s="444"/>
      <c r="B194" s="440" t="s">
        <v>186</v>
      </c>
      <c r="C194" s="489"/>
      <c r="D194" s="489"/>
      <c r="E194" s="489"/>
      <c r="F194" s="489"/>
      <c r="G194" s="489"/>
      <c r="H194" s="489"/>
      <c r="I194" s="489"/>
      <c r="J194" s="489"/>
      <c r="K194" s="489"/>
      <c r="L194" s="489">
        <v>28</v>
      </c>
      <c r="M194" s="427">
        <f t="shared" si="0"/>
        <v>1.5209125475285171E-2</v>
      </c>
      <c r="N194" s="489">
        <v>81</v>
      </c>
      <c r="O194" s="427">
        <f t="shared" si="1"/>
        <v>1.6618793598686909E-2</v>
      </c>
      <c r="P194" s="381"/>
      <c r="Q194" s="489">
        <v>26</v>
      </c>
      <c r="R194" s="427">
        <f t="shared" si="2"/>
        <v>1.3641133263378805E-2</v>
      </c>
      <c r="S194" s="489">
        <v>16</v>
      </c>
      <c r="T194" s="427">
        <f t="shared" si="3"/>
        <v>8.5470085470085479E-3</v>
      </c>
      <c r="U194" s="379"/>
      <c r="V194" s="435"/>
      <c r="W194" s="6"/>
    </row>
    <row r="195" spans="1:24" ht="15.6">
      <c r="A195" s="444"/>
      <c r="B195" s="440" t="s">
        <v>187</v>
      </c>
      <c r="C195" s="489"/>
      <c r="D195" s="489"/>
      <c r="E195" s="489"/>
      <c r="F195" s="489"/>
      <c r="G195" s="489"/>
      <c r="H195" s="489"/>
      <c r="I195" s="489"/>
      <c r="J195" s="489"/>
      <c r="K195" s="489"/>
      <c r="L195" s="489">
        <v>34</v>
      </c>
      <c r="M195" s="427">
        <f t="shared" si="0"/>
        <v>1.8468223791417708E-2</v>
      </c>
      <c r="N195" s="489">
        <v>44</v>
      </c>
      <c r="O195" s="427">
        <f t="shared" si="1"/>
        <v>9.0274928190398028E-3</v>
      </c>
      <c r="P195" s="381"/>
      <c r="Q195" s="489">
        <v>31</v>
      </c>
      <c r="R195" s="427">
        <f t="shared" si="2"/>
        <v>1.6264428121720881E-2</v>
      </c>
      <c r="S195" s="489">
        <v>28</v>
      </c>
      <c r="T195" s="427">
        <f t="shared" si="3"/>
        <v>1.4957264957264958E-2</v>
      </c>
      <c r="U195" s="379"/>
      <c r="V195" s="435"/>
      <c r="W195" s="6"/>
    </row>
    <row r="196" spans="1:24" ht="15.6">
      <c r="A196" s="444"/>
      <c r="B196" s="440" t="s">
        <v>188</v>
      </c>
      <c r="C196" s="489"/>
      <c r="D196" s="489"/>
      <c r="E196" s="489"/>
      <c r="F196" s="489"/>
      <c r="G196" s="489"/>
      <c r="H196" s="489"/>
      <c r="I196" s="489"/>
      <c r="J196" s="489"/>
      <c r="K196" s="489"/>
      <c r="L196" s="489">
        <v>22</v>
      </c>
      <c r="M196" s="427">
        <f t="shared" si="0"/>
        <v>1.1950027159152634E-2</v>
      </c>
      <c r="N196" s="489">
        <v>43</v>
      </c>
      <c r="O196" s="427">
        <f t="shared" si="1"/>
        <v>8.82232252769799E-3</v>
      </c>
      <c r="P196" s="381"/>
      <c r="Q196" s="489">
        <v>31</v>
      </c>
      <c r="R196" s="427">
        <f t="shared" si="2"/>
        <v>1.6264428121720881E-2</v>
      </c>
      <c r="S196" s="489">
        <v>22</v>
      </c>
      <c r="T196" s="427">
        <f t="shared" si="3"/>
        <v>1.1752136752136752E-2</v>
      </c>
      <c r="U196" s="379"/>
      <c r="V196" s="435"/>
      <c r="W196" s="6"/>
    </row>
    <row r="197" spans="1:24" ht="15.6">
      <c r="A197" s="444"/>
      <c r="B197" s="440" t="s">
        <v>189</v>
      </c>
      <c r="C197" s="489"/>
      <c r="D197" s="489"/>
      <c r="E197" s="489"/>
      <c r="F197" s="489"/>
      <c r="G197" s="489"/>
      <c r="H197" s="489"/>
      <c r="I197" s="489"/>
      <c r="J197" s="489"/>
      <c r="K197" s="489"/>
      <c r="L197" s="489">
        <v>159</v>
      </c>
      <c r="M197" s="427">
        <f t="shared" si="0"/>
        <v>8.6366105377512228E-2</v>
      </c>
      <c r="N197" s="489">
        <v>515</v>
      </c>
      <c r="O197" s="427">
        <f t="shared" si="1"/>
        <v>0.10566270004103406</v>
      </c>
      <c r="P197" s="381"/>
      <c r="Q197" s="489">
        <v>196</v>
      </c>
      <c r="R197" s="427">
        <f t="shared" si="2"/>
        <v>0.10283315844700944</v>
      </c>
      <c r="S197" s="489">
        <v>248</v>
      </c>
      <c r="T197" s="427">
        <f t="shared" si="3"/>
        <v>0.13247863247863248</v>
      </c>
      <c r="U197" s="379"/>
      <c r="V197" s="435"/>
      <c r="W197" s="6"/>
    </row>
    <row r="198" spans="1:24" ht="15.6">
      <c r="A198" s="444"/>
      <c r="B198" s="440" t="s">
        <v>84</v>
      </c>
      <c r="C198" s="489"/>
      <c r="D198" s="489"/>
      <c r="E198" s="489"/>
      <c r="F198" s="489"/>
      <c r="G198" s="489"/>
      <c r="H198" s="489"/>
      <c r="I198" s="489"/>
      <c r="J198" s="489"/>
      <c r="K198" s="489"/>
      <c r="L198" s="489">
        <f>SUM(L191:L197)</f>
        <v>1841</v>
      </c>
      <c r="M198" s="427">
        <f>SUM(M191:M197)</f>
        <v>1</v>
      </c>
      <c r="N198" s="489">
        <f>SUM(N191:N197)</f>
        <v>4874</v>
      </c>
      <c r="O198" s="427">
        <f>SUM(O191:O197)</f>
        <v>1</v>
      </c>
      <c r="P198" s="381"/>
      <c r="Q198" s="489">
        <f>SUM(Q191:Q197)</f>
        <v>1906</v>
      </c>
      <c r="R198" s="427">
        <f>SUM(R191:R197)</f>
        <v>1</v>
      </c>
      <c r="S198" s="489">
        <f>SUM(S191:S197)</f>
        <v>1872</v>
      </c>
      <c r="T198" s="427">
        <f>SUM(T191:T197)</f>
        <v>0.99999999999999978</v>
      </c>
      <c r="U198" s="379"/>
      <c r="V198" s="435"/>
      <c r="W198" s="6"/>
      <c r="X198" s="64"/>
    </row>
    <row r="199" spans="1:24" ht="15.6">
      <c r="A199" s="444"/>
      <c r="B199" s="440" t="s">
        <v>85</v>
      </c>
      <c r="C199" s="489"/>
      <c r="D199" s="489"/>
      <c r="E199" s="489"/>
      <c r="F199" s="489"/>
      <c r="G199" s="489"/>
      <c r="H199" s="489"/>
      <c r="I199" s="489"/>
      <c r="J199" s="489"/>
      <c r="K199" s="489"/>
      <c r="L199" s="489">
        <v>961</v>
      </c>
      <c r="M199" s="380"/>
      <c r="N199" s="489">
        <v>6022</v>
      </c>
      <c r="O199" s="380"/>
      <c r="P199" s="381"/>
      <c r="Q199" s="489">
        <v>593</v>
      </c>
      <c r="R199" s="380"/>
      <c r="S199" s="489">
        <v>1362</v>
      </c>
      <c r="T199" s="380"/>
      <c r="U199" s="379"/>
      <c r="V199" s="435"/>
      <c r="W199" s="6"/>
      <c r="X199" s="64"/>
    </row>
    <row r="200" spans="1:24" ht="15.6">
      <c r="A200" s="444"/>
      <c r="B200" s="440" t="s">
        <v>86</v>
      </c>
      <c r="C200" s="489"/>
      <c r="D200" s="489"/>
      <c r="E200" s="489"/>
      <c r="F200" s="489"/>
      <c r="G200" s="489"/>
      <c r="H200" s="489"/>
      <c r="I200" s="489"/>
      <c r="J200" s="489"/>
      <c r="K200" s="489"/>
      <c r="L200" s="489">
        <f>SUM(L198:L199)</f>
        <v>2802</v>
      </c>
      <c r="M200" s="450"/>
      <c r="N200" s="489">
        <f>SUM(N198:N199)</f>
        <v>10896</v>
      </c>
      <c r="O200" s="490"/>
      <c r="P200" s="450"/>
      <c r="Q200" s="489">
        <f>SUM(Q198:Q199)</f>
        <v>2499</v>
      </c>
      <c r="R200" s="450"/>
      <c r="S200" s="489">
        <f>SUM(S198:S199)</f>
        <v>3234</v>
      </c>
      <c r="T200" s="450"/>
      <c r="U200" s="450"/>
      <c r="V200" s="435"/>
      <c r="W200" s="6"/>
      <c r="X200" s="64"/>
    </row>
    <row r="201" spans="1:24" ht="15.6">
      <c r="A201" s="242"/>
      <c r="B201" s="484"/>
      <c r="C201" s="485"/>
      <c r="D201" s="485"/>
      <c r="E201" s="485"/>
      <c r="F201" s="485"/>
      <c r="G201" s="485"/>
      <c r="H201" s="485"/>
      <c r="I201" s="485"/>
      <c r="J201" s="485"/>
      <c r="K201" s="485"/>
      <c r="L201" s="486"/>
      <c r="M201" s="487"/>
      <c r="N201" s="486"/>
      <c r="O201" s="487"/>
      <c r="P201" s="488"/>
      <c r="Q201" s="486"/>
      <c r="R201" s="487"/>
      <c r="S201" s="486"/>
      <c r="T201" s="487"/>
      <c r="U201" s="463"/>
      <c r="V201" s="464"/>
      <c r="W201" s="6"/>
    </row>
    <row r="202" spans="1:24" ht="15.6">
      <c r="A202" s="349"/>
      <c r="B202" s="359" t="s">
        <v>80</v>
      </c>
      <c r="C202" s="344"/>
      <c r="D202" s="344"/>
      <c r="E202" s="344"/>
      <c r="F202" s="344"/>
      <c r="G202" s="344"/>
      <c r="H202" s="344"/>
      <c r="I202" s="344"/>
      <c r="J202" s="344"/>
      <c r="K202" s="344"/>
      <c r="L202" s="344"/>
      <c r="M202" s="359" t="s">
        <v>27</v>
      </c>
      <c r="N202" s="344"/>
      <c r="O202" s="345"/>
      <c r="P202" s="344"/>
      <c r="Q202" s="359" t="s">
        <v>28</v>
      </c>
      <c r="R202" s="344"/>
      <c r="S202" s="345"/>
      <c r="T202" s="344"/>
      <c r="U202" s="346"/>
      <c r="V202" s="347"/>
      <c r="W202" s="6"/>
    </row>
    <row r="203" spans="1:24" ht="15.6">
      <c r="A203" s="371"/>
      <c r="B203" s="372"/>
      <c r="C203" s="373"/>
      <c r="D203" s="373"/>
      <c r="E203" s="373"/>
      <c r="F203" s="373"/>
      <c r="G203" s="373"/>
      <c r="H203" s="373"/>
      <c r="I203" s="373"/>
      <c r="J203" s="373"/>
      <c r="K203" s="373"/>
      <c r="L203" s="373" t="s">
        <v>94</v>
      </c>
      <c r="M203" s="374" t="s">
        <v>101</v>
      </c>
      <c r="N203" s="373" t="s">
        <v>103</v>
      </c>
      <c r="O203" s="374" t="s">
        <v>101</v>
      </c>
      <c r="P203" s="374"/>
      <c r="Q203" s="373" t="s">
        <v>94</v>
      </c>
      <c r="R203" s="374" t="s">
        <v>101</v>
      </c>
      <c r="S203" s="373" t="s">
        <v>103</v>
      </c>
      <c r="T203" s="374" t="s">
        <v>101</v>
      </c>
      <c r="U203" s="375"/>
      <c r="V203" s="376"/>
      <c r="W203" s="6"/>
    </row>
    <row r="204" spans="1:24" ht="15.6">
      <c r="A204" s="315"/>
      <c r="B204" s="310" t="s">
        <v>81</v>
      </c>
      <c r="C204" s="351"/>
      <c r="D204" s="351"/>
      <c r="E204" s="351"/>
      <c r="F204" s="351"/>
      <c r="G204" s="351"/>
      <c r="H204" s="351"/>
      <c r="I204" s="351"/>
      <c r="J204" s="351"/>
      <c r="K204" s="351"/>
      <c r="L204" s="351">
        <v>7197</v>
      </c>
      <c r="M204" s="299">
        <f t="shared" ref="M204:M210" si="4">+L204/$L$211</f>
        <v>0.88295914611704085</v>
      </c>
      <c r="N204" s="351">
        <v>179124</v>
      </c>
      <c r="O204" s="299">
        <f t="shared" ref="O204:O210" si="5">+N204/$N$211</f>
        <v>0.86774793628647828</v>
      </c>
      <c r="P204" s="296"/>
      <c r="Q204" s="351">
        <v>1259</v>
      </c>
      <c r="R204" s="299">
        <f t="shared" ref="R204:R210" si="6">Q204/$Q$211</f>
        <v>0.92437591776798822</v>
      </c>
      <c r="S204" s="351">
        <v>13481</v>
      </c>
      <c r="T204" s="299">
        <f t="shared" ref="T204:T210" si="7">+S204/$S$211</f>
        <v>0.92266100882896451</v>
      </c>
      <c r="U204" s="294"/>
      <c r="V204" s="301"/>
      <c r="W204" s="6"/>
    </row>
    <row r="205" spans="1:24" ht="15.6">
      <c r="A205" s="444"/>
      <c r="B205" s="440" t="s">
        <v>82</v>
      </c>
      <c r="C205" s="489"/>
      <c r="D205" s="489"/>
      <c r="E205" s="489"/>
      <c r="F205" s="489"/>
      <c r="G205" s="489"/>
      <c r="H205" s="489"/>
      <c r="I205" s="489"/>
      <c r="J205" s="489"/>
      <c r="K205" s="489"/>
      <c r="L205" s="489">
        <v>304</v>
      </c>
      <c r="M205" s="427">
        <f t="shared" si="4"/>
        <v>3.7296037296037296E-2</v>
      </c>
      <c r="N205" s="489">
        <v>8400</v>
      </c>
      <c r="O205" s="427">
        <f t="shared" si="5"/>
        <v>4.0692942681083595E-2</v>
      </c>
      <c r="P205" s="381"/>
      <c r="Q205" s="489">
        <v>46</v>
      </c>
      <c r="R205" s="427">
        <f t="shared" si="6"/>
        <v>3.3773861967694566E-2</v>
      </c>
      <c r="S205" s="489">
        <v>461</v>
      </c>
      <c r="T205" s="427">
        <f t="shared" si="7"/>
        <v>3.1551570734378205E-2</v>
      </c>
      <c r="U205" s="379"/>
      <c r="V205" s="435"/>
      <c r="W205" s="6"/>
    </row>
    <row r="206" spans="1:24" ht="15.6">
      <c r="A206" s="444"/>
      <c r="B206" s="440" t="s">
        <v>83</v>
      </c>
      <c r="C206" s="489"/>
      <c r="D206" s="489"/>
      <c r="E206" s="489"/>
      <c r="F206" s="489"/>
      <c r="G206" s="489"/>
      <c r="H206" s="489"/>
      <c r="I206" s="489"/>
      <c r="J206" s="489"/>
      <c r="K206" s="489"/>
      <c r="L206" s="489">
        <v>161</v>
      </c>
      <c r="M206" s="427">
        <f t="shared" si="4"/>
        <v>1.975217764691449E-2</v>
      </c>
      <c r="N206" s="489">
        <v>4750</v>
      </c>
      <c r="O206" s="427">
        <f t="shared" si="5"/>
        <v>2.3010890206565129E-2</v>
      </c>
      <c r="P206" s="381"/>
      <c r="Q206" s="489">
        <v>23</v>
      </c>
      <c r="R206" s="427">
        <f t="shared" si="6"/>
        <v>1.6886930983847283E-2</v>
      </c>
      <c r="S206" s="489">
        <v>253</v>
      </c>
      <c r="T206" s="427">
        <f t="shared" si="7"/>
        <v>1.7315721032099104E-2</v>
      </c>
      <c r="U206" s="379"/>
      <c r="V206" s="435"/>
      <c r="W206" s="6"/>
      <c r="X206" s="182"/>
    </row>
    <row r="207" spans="1:24" ht="15.6">
      <c r="A207" s="444"/>
      <c r="B207" s="440" t="s">
        <v>186</v>
      </c>
      <c r="C207" s="489"/>
      <c r="D207" s="489"/>
      <c r="E207" s="489"/>
      <c r="F207" s="489"/>
      <c r="G207" s="489"/>
      <c r="H207" s="489"/>
      <c r="I207" s="489"/>
      <c r="J207" s="489"/>
      <c r="K207" s="489"/>
      <c r="L207" s="489">
        <v>131</v>
      </c>
      <c r="M207" s="427">
        <f t="shared" si="4"/>
        <v>1.607164765059502E-2</v>
      </c>
      <c r="N207" s="489">
        <v>3606</v>
      </c>
      <c r="O207" s="427">
        <f t="shared" si="5"/>
        <v>1.7468898965236599E-2</v>
      </c>
      <c r="P207" s="381"/>
      <c r="Q207" s="489">
        <v>4</v>
      </c>
      <c r="R207" s="427">
        <f t="shared" si="6"/>
        <v>2.936857562408223E-3</v>
      </c>
      <c r="S207" s="489">
        <v>35</v>
      </c>
      <c r="T207" s="427">
        <f t="shared" si="7"/>
        <v>2.3954554787488876E-3</v>
      </c>
      <c r="U207" s="379"/>
      <c r="V207" s="435"/>
      <c r="W207" s="6"/>
    </row>
    <row r="208" spans="1:24" ht="15.6">
      <c r="A208" s="444"/>
      <c r="B208" s="440" t="s">
        <v>187</v>
      </c>
      <c r="C208" s="489"/>
      <c r="D208" s="489"/>
      <c r="E208" s="489"/>
      <c r="F208" s="489"/>
      <c r="G208" s="489"/>
      <c r="H208" s="489"/>
      <c r="I208" s="489"/>
      <c r="J208" s="489"/>
      <c r="K208" s="489"/>
      <c r="L208" s="489">
        <v>87</v>
      </c>
      <c r="M208" s="427">
        <f t="shared" si="4"/>
        <v>1.0673536989326464E-2</v>
      </c>
      <c r="N208" s="489">
        <v>2551</v>
      </c>
      <c r="O208" s="427">
        <f t="shared" si="5"/>
        <v>1.235805914041003E-2</v>
      </c>
      <c r="P208" s="381"/>
      <c r="Q208" s="489">
        <v>6</v>
      </c>
      <c r="R208" s="427">
        <f t="shared" si="6"/>
        <v>4.4052863436123352E-3</v>
      </c>
      <c r="S208" s="489">
        <v>74</v>
      </c>
      <c r="T208" s="427">
        <f t="shared" si="7"/>
        <v>5.0646772979262202E-3</v>
      </c>
      <c r="U208" s="379"/>
      <c r="V208" s="435"/>
      <c r="W208" s="6"/>
    </row>
    <row r="209" spans="1:24" ht="15.6">
      <c r="A209" s="444"/>
      <c r="B209" s="440" t="s">
        <v>188</v>
      </c>
      <c r="C209" s="489"/>
      <c r="D209" s="489"/>
      <c r="E209" s="489"/>
      <c r="F209" s="489"/>
      <c r="G209" s="489"/>
      <c r="H209" s="489"/>
      <c r="I209" s="489"/>
      <c r="J209" s="489"/>
      <c r="K209" s="489"/>
      <c r="L209" s="489">
        <v>73</v>
      </c>
      <c r="M209" s="427">
        <f t="shared" si="4"/>
        <v>8.9559563243773767E-3</v>
      </c>
      <c r="N209" s="489">
        <v>2075</v>
      </c>
      <c r="O209" s="427">
        <f t="shared" si="5"/>
        <v>1.0052125721815294E-2</v>
      </c>
      <c r="P209" s="381"/>
      <c r="Q209" s="489">
        <v>6</v>
      </c>
      <c r="R209" s="427">
        <f t="shared" si="6"/>
        <v>4.4052863436123352E-3</v>
      </c>
      <c r="S209" s="489">
        <v>92</v>
      </c>
      <c r="T209" s="427">
        <f t="shared" si="7"/>
        <v>6.2966258298542193E-3</v>
      </c>
      <c r="U209" s="379"/>
      <c r="V209" s="435"/>
      <c r="W209" s="6"/>
    </row>
    <row r="210" spans="1:24" ht="15.6">
      <c r="A210" s="444"/>
      <c r="B210" s="440" t="s">
        <v>189</v>
      </c>
      <c r="C210" s="489"/>
      <c r="D210" s="489"/>
      <c r="E210" s="489"/>
      <c r="F210" s="489"/>
      <c r="G210" s="489"/>
      <c r="H210" s="489"/>
      <c r="I210" s="489"/>
      <c r="J210" s="489"/>
      <c r="K210" s="489"/>
      <c r="L210" s="489">
        <v>198</v>
      </c>
      <c r="M210" s="427">
        <f t="shared" si="4"/>
        <v>2.4291497975708502E-2</v>
      </c>
      <c r="N210" s="489">
        <v>5918</v>
      </c>
      <c r="O210" s="427">
        <f t="shared" si="5"/>
        <v>2.8669146998411037E-2</v>
      </c>
      <c r="P210" s="381"/>
      <c r="Q210" s="489">
        <v>18</v>
      </c>
      <c r="R210" s="427">
        <f t="shared" si="6"/>
        <v>1.3215859030837005E-2</v>
      </c>
      <c r="S210" s="489">
        <v>215</v>
      </c>
      <c r="T210" s="427">
        <f t="shared" si="7"/>
        <v>1.4714940798028882E-2</v>
      </c>
      <c r="U210" s="379"/>
      <c r="V210" s="435"/>
      <c r="W210" s="6"/>
    </row>
    <row r="211" spans="1:24" ht="15.6">
      <c r="A211" s="444"/>
      <c r="B211" s="440" t="str">
        <f>B198</f>
        <v>Total Performing  Assets</v>
      </c>
      <c r="C211" s="489"/>
      <c r="D211" s="489"/>
      <c r="E211" s="489"/>
      <c r="F211" s="489"/>
      <c r="G211" s="489"/>
      <c r="H211" s="489"/>
      <c r="I211" s="489"/>
      <c r="J211" s="489"/>
      <c r="K211" s="489"/>
      <c r="L211" s="489">
        <f>SUM(L204:L210)</f>
        <v>8151</v>
      </c>
      <c r="M211" s="427">
        <f>SUM(M204:M210)</f>
        <v>1</v>
      </c>
      <c r="N211" s="489">
        <f>SUM(N204:N210)</f>
        <v>206424</v>
      </c>
      <c r="O211" s="427">
        <f>SUM(O204:O210)</f>
        <v>0.99999999999999989</v>
      </c>
      <c r="P211" s="381"/>
      <c r="Q211" s="489">
        <f>SUM(Q204:Q210)</f>
        <v>1362</v>
      </c>
      <c r="R211" s="427">
        <f>SUM(R204:R210)</f>
        <v>1.0000000000000002</v>
      </c>
      <c r="S211" s="489">
        <f>SUM(S204:S210)</f>
        <v>14611</v>
      </c>
      <c r="T211" s="427">
        <f>SUM(T204:T210)</f>
        <v>1</v>
      </c>
      <c r="U211" s="379"/>
      <c r="V211" s="435"/>
      <c r="W211" s="6"/>
    </row>
    <row r="212" spans="1:24" ht="15.6">
      <c r="A212" s="444"/>
      <c r="B212" s="440" t="s">
        <v>85</v>
      </c>
      <c r="C212" s="489"/>
      <c r="D212" s="489"/>
      <c r="E212" s="489"/>
      <c r="F212" s="489"/>
      <c r="G212" s="489"/>
      <c r="H212" s="489"/>
      <c r="I212" s="489"/>
      <c r="J212" s="489"/>
      <c r="K212" s="489"/>
      <c r="L212" s="489">
        <v>109</v>
      </c>
      <c r="M212" s="381"/>
      <c r="N212" s="489">
        <v>3091</v>
      </c>
      <c r="O212" s="380"/>
      <c r="P212" s="381"/>
      <c r="Q212" s="489">
        <v>30</v>
      </c>
      <c r="R212" s="381"/>
      <c r="S212" s="489">
        <v>542</v>
      </c>
      <c r="T212" s="381"/>
      <c r="U212" s="379"/>
      <c r="V212" s="435"/>
      <c r="W212" s="6"/>
    </row>
    <row r="213" spans="1:24" ht="15.6">
      <c r="A213" s="444"/>
      <c r="B213" s="440" t="s">
        <v>86</v>
      </c>
      <c r="C213" s="489"/>
      <c r="D213" s="489"/>
      <c r="E213" s="489"/>
      <c r="F213" s="489"/>
      <c r="G213" s="489"/>
      <c r="H213" s="489"/>
      <c r="I213" s="489"/>
      <c r="J213" s="489"/>
      <c r="K213" s="489"/>
      <c r="L213" s="489">
        <f>SUM(L211:L212)</f>
        <v>8260</v>
      </c>
      <c r="M213" s="450"/>
      <c r="N213" s="489">
        <f>SUM(N211:N212)</f>
        <v>209515</v>
      </c>
      <c r="O213" s="427"/>
      <c r="P213" s="450"/>
      <c r="Q213" s="489">
        <f>SUM(Q211:Q212)</f>
        <v>1392</v>
      </c>
      <c r="R213" s="450"/>
      <c r="S213" s="489">
        <f>SUM(S211:S212)</f>
        <v>15153</v>
      </c>
      <c r="T213" s="450"/>
      <c r="U213" s="450"/>
      <c r="V213" s="492"/>
    </row>
    <row r="214" spans="1:24" ht="15.6">
      <c r="A214" s="444"/>
      <c r="B214" s="440"/>
      <c r="C214" s="381"/>
      <c r="D214" s="381"/>
      <c r="E214" s="381"/>
      <c r="F214" s="381"/>
      <c r="G214" s="381"/>
      <c r="H214" s="381"/>
      <c r="I214" s="381"/>
      <c r="J214" s="381"/>
      <c r="K214" s="381"/>
      <c r="L214" s="381"/>
      <c r="M214" s="493"/>
      <c r="N214" s="381"/>
      <c r="O214" s="493"/>
      <c r="P214" s="381"/>
      <c r="Q214" s="493"/>
      <c r="R214" s="381"/>
      <c r="S214" s="489"/>
      <c r="T214" s="381"/>
      <c r="U214" s="379"/>
      <c r="V214" s="435"/>
      <c r="W214" s="6"/>
    </row>
    <row r="215" spans="1:24" ht="15.6">
      <c r="A215" s="444"/>
      <c r="B215" s="440" t="s">
        <v>86</v>
      </c>
      <c r="C215" s="381"/>
      <c r="D215" s="381"/>
      <c r="E215" s="381"/>
      <c r="F215" s="381"/>
      <c r="G215" s="381"/>
      <c r="H215" s="381"/>
      <c r="I215" s="381"/>
      <c r="J215" s="381"/>
      <c r="K215" s="381"/>
      <c r="L215" s="493"/>
      <c r="M215" s="493"/>
      <c r="N215" s="493"/>
      <c r="O215" s="493"/>
      <c r="P215" s="381"/>
      <c r="Q215" s="493"/>
      <c r="R215" s="381"/>
      <c r="S215" s="489">
        <f>+N200+S200+N213+S213</f>
        <v>238798</v>
      </c>
      <c r="T215" s="490"/>
      <c r="U215" s="379"/>
      <c r="V215" s="435"/>
      <c r="W215" s="6"/>
      <c r="X215" s="182"/>
    </row>
    <row r="216" spans="1:24" ht="15.6">
      <c r="A216" s="316"/>
      <c r="B216" s="360"/>
      <c r="C216" s="363"/>
      <c r="D216" s="363"/>
      <c r="E216" s="363"/>
      <c r="F216" s="363"/>
      <c r="G216" s="363"/>
      <c r="H216" s="363"/>
      <c r="I216" s="363"/>
      <c r="J216" s="363"/>
      <c r="K216" s="363"/>
      <c r="L216" s="491"/>
      <c r="M216" s="491"/>
      <c r="N216" s="491"/>
      <c r="O216" s="491"/>
      <c r="P216" s="363"/>
      <c r="Q216" s="491"/>
      <c r="R216" s="363"/>
      <c r="S216" s="361"/>
      <c r="T216" s="363"/>
      <c r="U216" s="364"/>
      <c r="V216" s="312"/>
      <c r="W216" s="6"/>
    </row>
    <row r="217" spans="1:24" ht="15.6">
      <c r="A217" s="349"/>
      <c r="B217" s="357" t="s">
        <v>87</v>
      </c>
      <c r="C217" s="344"/>
      <c r="D217" s="344"/>
      <c r="E217" s="344"/>
      <c r="F217" s="344"/>
      <c r="G217" s="344"/>
      <c r="H217" s="344"/>
      <c r="I217" s="344"/>
      <c r="J217" s="344"/>
      <c r="K217" s="344"/>
      <c r="L217" s="344"/>
      <c r="M217" s="345"/>
      <c r="N217" s="344"/>
      <c r="O217" s="345"/>
      <c r="P217" s="344"/>
      <c r="Q217" s="345"/>
      <c r="R217" s="344"/>
      <c r="S217" s="358"/>
      <c r="T217" s="344"/>
      <c r="U217" s="350"/>
      <c r="V217" s="347"/>
      <c r="W217" s="6"/>
    </row>
    <row r="218" spans="1:24" ht="15.6">
      <c r="A218" s="315"/>
      <c r="B218" s="310"/>
      <c r="C218" s="296"/>
      <c r="D218" s="296"/>
      <c r="E218" s="296"/>
      <c r="F218" s="296"/>
      <c r="G218" s="296"/>
      <c r="H218" s="296"/>
      <c r="I218" s="296"/>
      <c r="J218" s="296"/>
      <c r="K218" s="296"/>
      <c r="L218" s="296"/>
      <c r="M218" s="352"/>
      <c r="N218" s="296"/>
      <c r="O218" s="352"/>
      <c r="P218" s="296"/>
      <c r="Q218" s="352"/>
      <c r="R218" s="296"/>
      <c r="S218" s="351"/>
      <c r="T218" s="296"/>
      <c r="U218" s="294"/>
      <c r="V218" s="301"/>
      <c r="W218" s="6"/>
    </row>
    <row r="219" spans="1:24" ht="15.6">
      <c r="A219" s="444"/>
      <c r="B219" s="440" t="s">
        <v>88</v>
      </c>
      <c r="C219" s="381"/>
      <c r="D219" s="381"/>
      <c r="E219" s="381"/>
      <c r="F219" s="381"/>
      <c r="G219" s="381"/>
      <c r="H219" s="381"/>
      <c r="I219" s="381"/>
      <c r="J219" s="381"/>
      <c r="K219" s="381"/>
      <c r="L219" s="381"/>
      <c r="M219" s="493"/>
      <c r="N219" s="381"/>
      <c r="O219" s="493"/>
      <c r="P219" s="381"/>
      <c r="Q219" s="493"/>
      <c r="R219" s="381"/>
      <c r="S219" s="489">
        <f>+N198+S198+N211+S211</f>
        <v>227781</v>
      </c>
      <c r="T219" s="381"/>
      <c r="U219" s="379"/>
      <c r="V219" s="435"/>
      <c r="W219" s="6"/>
      <c r="X219" s="182"/>
    </row>
    <row r="220" spans="1:24" ht="15.6">
      <c r="A220" s="444"/>
      <c r="B220" s="440" t="s">
        <v>89</v>
      </c>
      <c r="C220" s="381"/>
      <c r="D220" s="381"/>
      <c r="E220" s="381"/>
      <c r="F220" s="381"/>
      <c r="G220" s="381"/>
      <c r="H220" s="381"/>
      <c r="I220" s="381"/>
      <c r="J220" s="381"/>
      <c r="K220" s="381"/>
      <c r="L220" s="381"/>
      <c r="M220" s="493"/>
      <c r="N220" s="381"/>
      <c r="O220" s="493"/>
      <c r="P220" s="381"/>
      <c r="Q220" s="493"/>
      <c r="R220" s="381"/>
      <c r="S220" s="489">
        <f>+U78</f>
        <v>0</v>
      </c>
      <c r="T220" s="381"/>
      <c r="U220" s="379"/>
      <c r="V220" s="435"/>
      <c r="W220" s="119"/>
    </row>
    <row r="221" spans="1:24" ht="15.6">
      <c r="A221" s="444"/>
      <c r="B221" s="440" t="s">
        <v>90</v>
      </c>
      <c r="C221" s="381"/>
      <c r="D221" s="381"/>
      <c r="E221" s="381"/>
      <c r="F221" s="381"/>
      <c r="G221" s="381"/>
      <c r="H221" s="381"/>
      <c r="I221" s="381"/>
      <c r="J221" s="381"/>
      <c r="K221" s="381"/>
      <c r="L221" s="381"/>
      <c r="M221" s="493"/>
      <c r="N221" s="381"/>
      <c r="O221" s="493"/>
      <c r="P221" s="381"/>
      <c r="Q221" s="493"/>
      <c r="R221" s="381"/>
      <c r="S221" s="489">
        <f>S219+S220</f>
        <v>227781</v>
      </c>
      <c r="T221" s="381"/>
      <c r="U221" s="379"/>
      <c r="V221" s="435"/>
      <c r="W221" s="6"/>
    </row>
    <row r="222" spans="1:24" ht="15.6">
      <c r="A222" s="444"/>
      <c r="B222" s="440"/>
      <c r="C222" s="381"/>
      <c r="D222" s="381"/>
      <c r="E222" s="381"/>
      <c r="F222" s="381"/>
      <c r="G222" s="381"/>
      <c r="H222" s="381"/>
      <c r="I222" s="381"/>
      <c r="J222" s="381"/>
      <c r="K222" s="381"/>
      <c r="L222" s="381"/>
      <c r="M222" s="493"/>
      <c r="N222" s="381"/>
      <c r="O222" s="493"/>
      <c r="P222" s="381"/>
      <c r="Q222" s="493"/>
      <c r="R222" s="381"/>
      <c r="S222" s="489"/>
      <c r="T222" s="381"/>
      <c r="U222" s="379"/>
      <c r="V222" s="435"/>
      <c r="W222" s="6"/>
    </row>
    <row r="223" spans="1:24" ht="15.6">
      <c r="A223" s="444"/>
      <c r="B223" s="440" t="s">
        <v>91</v>
      </c>
      <c r="C223" s="381"/>
      <c r="D223" s="381"/>
      <c r="E223" s="381"/>
      <c r="F223" s="381"/>
      <c r="G223" s="381"/>
      <c r="H223" s="381"/>
      <c r="I223" s="381"/>
      <c r="J223" s="381"/>
      <c r="K223" s="381"/>
      <c r="L223" s="381"/>
      <c r="M223" s="493"/>
      <c r="N223" s="381"/>
      <c r="O223" s="493"/>
      <c r="P223" s="381"/>
      <c r="Q223" s="493"/>
      <c r="R223" s="381"/>
      <c r="S223" s="489">
        <f>U33</f>
        <v>227781.03599999999</v>
      </c>
      <c r="T223" s="381"/>
      <c r="U223" s="379"/>
      <c r="V223" s="435"/>
      <c r="W223" s="6"/>
    </row>
    <row r="224" spans="1:24" ht="15.6">
      <c r="A224" s="444"/>
      <c r="B224" s="440"/>
      <c r="C224" s="381"/>
      <c r="D224" s="381"/>
      <c r="E224" s="381"/>
      <c r="F224" s="381"/>
      <c r="G224" s="381"/>
      <c r="H224" s="381"/>
      <c r="I224" s="381"/>
      <c r="J224" s="381"/>
      <c r="K224" s="381"/>
      <c r="L224" s="381"/>
      <c r="M224" s="493"/>
      <c r="N224" s="381"/>
      <c r="O224" s="493"/>
      <c r="P224" s="381"/>
      <c r="Q224" s="493"/>
      <c r="R224" s="381"/>
      <c r="S224" s="489"/>
      <c r="T224" s="381"/>
      <c r="U224" s="379"/>
      <c r="V224" s="435"/>
      <c r="W224" s="6"/>
    </row>
    <row r="225" spans="1:23" ht="15.6">
      <c r="A225" s="444"/>
      <c r="B225" s="440" t="s">
        <v>92</v>
      </c>
      <c r="C225" s="381"/>
      <c r="D225" s="381"/>
      <c r="E225" s="381"/>
      <c r="F225" s="381"/>
      <c r="G225" s="381"/>
      <c r="H225" s="381"/>
      <c r="I225" s="381"/>
      <c r="J225" s="381"/>
      <c r="K225" s="381"/>
      <c r="L225" s="381"/>
      <c r="M225" s="493"/>
      <c r="N225" s="381"/>
      <c r="O225" s="493"/>
      <c r="P225" s="381"/>
      <c r="Q225" s="493"/>
      <c r="R225" s="381"/>
      <c r="S225" s="489">
        <f>S221/S223</f>
        <v>0.99999984195348035</v>
      </c>
      <c r="T225" s="381"/>
      <c r="U225" s="379"/>
      <c r="V225" s="435"/>
      <c r="W225" s="6"/>
    </row>
    <row r="226" spans="1:23" ht="15.6">
      <c r="A226" s="444"/>
      <c r="B226" s="379"/>
      <c r="C226" s="379"/>
      <c r="D226" s="379"/>
      <c r="E226" s="379"/>
      <c r="F226" s="379"/>
      <c r="G226" s="379"/>
      <c r="H226" s="379"/>
      <c r="I226" s="379"/>
      <c r="J226" s="379"/>
      <c r="K226" s="379"/>
      <c r="L226" s="379"/>
      <c r="M226" s="380"/>
      <c r="N226" s="379"/>
      <c r="O226" s="379"/>
      <c r="P226" s="379"/>
      <c r="Q226" s="440"/>
      <c r="R226" s="497"/>
      <c r="S226" s="441"/>
      <c r="T226" s="497"/>
      <c r="U226" s="466"/>
      <c r="V226" s="410"/>
      <c r="W226" s="6"/>
    </row>
    <row r="227" spans="1:23" ht="15.6">
      <c r="A227" s="353"/>
      <c r="B227" s="494" t="s">
        <v>127</v>
      </c>
      <c r="C227" s="495"/>
      <c r="D227" s="495"/>
      <c r="E227" s="495"/>
      <c r="F227" s="495"/>
      <c r="G227" s="495"/>
      <c r="H227" s="495"/>
      <c r="I227" s="495"/>
      <c r="J227" s="495"/>
      <c r="K227" s="495"/>
      <c r="L227" s="495"/>
      <c r="M227" s="363"/>
      <c r="N227" s="364"/>
      <c r="O227" s="494"/>
      <c r="P227" s="443"/>
      <c r="Q227" s="443"/>
      <c r="R227" s="443"/>
      <c r="S227" s="496"/>
      <c r="T227" s="443"/>
      <c r="U227" s="443"/>
      <c r="V227" s="355"/>
      <c r="W227" s="6"/>
    </row>
    <row r="228" spans="1:23" ht="15.6">
      <c r="A228" s="353"/>
      <c r="B228" s="287" t="s">
        <v>128</v>
      </c>
      <c r="C228" s="354"/>
      <c r="D228" s="354"/>
      <c r="E228" s="354"/>
      <c r="F228" s="354"/>
      <c r="G228" s="354"/>
      <c r="H228" s="354"/>
      <c r="I228" s="354"/>
      <c r="J228" s="354"/>
      <c r="K228" s="354"/>
      <c r="L228" s="354"/>
      <c r="M228" s="290"/>
      <c r="N228" s="287"/>
      <c r="O228" s="287"/>
      <c r="P228" s="354"/>
      <c r="Q228" s="354"/>
      <c r="R228" s="317"/>
      <c r="S228" s="317"/>
      <c r="T228" s="317"/>
      <c r="U228" s="317"/>
      <c r="V228" s="355"/>
      <c r="W228" s="6"/>
    </row>
    <row r="229" spans="1:23" ht="15.6">
      <c r="A229" s="353"/>
      <c r="B229" s="287" t="s">
        <v>246</v>
      </c>
      <c r="C229" s="287"/>
      <c r="D229" s="287"/>
      <c r="E229" s="287"/>
      <c r="F229" s="287"/>
      <c r="G229" s="287"/>
      <c r="H229" s="287"/>
      <c r="I229" s="287"/>
      <c r="J229" s="287"/>
      <c r="K229" s="287"/>
      <c r="L229" s="287"/>
      <c r="M229" s="287"/>
      <c r="N229" s="287"/>
      <c r="O229" s="287"/>
      <c r="P229" s="287"/>
      <c r="Q229" s="287"/>
      <c r="R229" s="287"/>
      <c r="S229" s="287"/>
      <c r="T229" s="287"/>
      <c r="U229" s="287"/>
      <c r="V229" s="355"/>
      <c r="W229" s="6"/>
    </row>
    <row r="230" spans="1:23" ht="15.6">
      <c r="A230" s="353"/>
      <c r="B230" s="287" t="s">
        <v>129</v>
      </c>
      <c r="C230" s="354"/>
      <c r="D230" s="354"/>
      <c r="E230" s="354"/>
      <c r="F230" s="354"/>
      <c r="G230" s="354"/>
      <c r="H230" s="354"/>
      <c r="I230" s="354"/>
      <c r="J230" s="354"/>
      <c r="K230" s="354"/>
      <c r="L230" s="354"/>
      <c r="M230" s="290"/>
      <c r="N230" s="287"/>
      <c r="O230" s="287"/>
      <c r="P230" s="354"/>
      <c r="Q230" s="354"/>
      <c r="R230" s="317"/>
      <c r="S230" s="317"/>
      <c r="T230" s="317"/>
      <c r="U230" s="317"/>
      <c r="V230" s="355"/>
      <c r="W230" s="6"/>
    </row>
    <row r="231" spans="1:23" ht="15.6">
      <c r="A231" s="353"/>
      <c r="B231" s="287"/>
      <c r="C231" s="354"/>
      <c r="D231" s="354"/>
      <c r="E231" s="354"/>
      <c r="F231" s="354"/>
      <c r="G231" s="354"/>
      <c r="H231" s="354"/>
      <c r="I231" s="354"/>
      <c r="J231" s="354"/>
      <c r="K231" s="354"/>
      <c r="L231" s="354"/>
      <c r="M231" s="290"/>
      <c r="N231" s="287"/>
      <c r="O231" s="287"/>
      <c r="P231" s="354"/>
      <c r="Q231" s="354"/>
      <c r="R231" s="317"/>
      <c r="S231" s="317"/>
      <c r="T231" s="317"/>
      <c r="U231" s="317"/>
      <c r="V231" s="355"/>
      <c r="W231" s="6"/>
    </row>
    <row r="232" spans="1:23" ht="15.6">
      <c r="A232" s="353"/>
      <c r="B232" s="287"/>
      <c r="C232" s="354"/>
      <c r="D232" s="354"/>
      <c r="E232" s="354"/>
      <c r="F232" s="354"/>
      <c r="G232" s="354"/>
      <c r="H232" s="354"/>
      <c r="I232" s="354"/>
      <c r="J232" s="354"/>
      <c r="K232" s="354"/>
      <c r="L232" s="354"/>
      <c r="M232" s="290"/>
      <c r="N232" s="287"/>
      <c r="O232" s="287"/>
      <c r="P232" s="354"/>
      <c r="Q232" s="354"/>
      <c r="R232" s="317"/>
      <c r="S232" s="317"/>
      <c r="T232" s="317"/>
      <c r="U232" s="317"/>
      <c r="V232" s="355"/>
      <c r="W232" s="6"/>
    </row>
    <row r="233" spans="1:23" ht="16.2" thickBot="1">
      <c r="A233" s="353"/>
      <c r="B233" s="287" t="str">
        <f>+B160</f>
        <v>PPAF3 INVESTOR REPORT QUARTER ENDING DECEMBER 2010</v>
      </c>
      <c r="C233" s="354"/>
      <c r="D233" s="354"/>
      <c r="E233" s="354"/>
      <c r="F233" s="354"/>
      <c r="G233" s="354"/>
      <c r="H233" s="354"/>
      <c r="I233" s="354"/>
      <c r="J233" s="354"/>
      <c r="K233" s="354"/>
      <c r="L233" s="354"/>
      <c r="M233" s="290"/>
      <c r="N233" s="287"/>
      <c r="O233" s="287"/>
      <c r="P233" s="354"/>
      <c r="Q233" s="354"/>
      <c r="R233" s="317"/>
      <c r="S233" s="317"/>
      <c r="T233" s="317"/>
      <c r="U233" s="317"/>
      <c r="V233" s="356"/>
      <c r="W233" s="6"/>
    </row>
    <row r="234" spans="1:2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row>
  </sheetData>
  <phoneticPr fontId="0" type="noConversion"/>
  <hyperlinks>
    <hyperlink ref="I9" r:id="rId1"/>
    <hyperlink ref="K187"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21" man="1"/>
    <brk id="109" max="16383" man="1"/>
    <brk id="160" max="21" man="1"/>
    <brk id="239" man="1"/>
  </rowBreaks>
  <colBreaks count="1" manualBreakCount="1">
    <brk id="23" max="1048575" man="1"/>
  </colBreaks>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23"/>
  </sheetPr>
  <dimension ref="A1:Y234"/>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38" t="s">
        <v>223</v>
      </c>
      <c r="B1" s="285" t="s">
        <v>123</v>
      </c>
      <c r="C1" s="239"/>
      <c r="D1" s="239"/>
      <c r="E1" s="239"/>
      <c r="F1" s="239"/>
      <c r="G1" s="239"/>
      <c r="H1" s="239"/>
      <c r="I1" s="239"/>
      <c r="J1" s="239"/>
      <c r="K1" s="239"/>
      <c r="L1" s="239"/>
      <c r="M1" s="240"/>
      <c r="N1" s="240"/>
      <c r="O1" s="240"/>
      <c r="P1" s="240"/>
      <c r="Q1" s="240"/>
      <c r="R1" s="240"/>
      <c r="S1" s="240"/>
      <c r="T1" s="240"/>
      <c r="U1" s="240"/>
      <c r="V1" s="241"/>
      <c r="W1" s="6"/>
    </row>
    <row r="2" spans="1:23" ht="15.6">
      <c r="A2" s="242"/>
      <c r="B2" s="243"/>
      <c r="C2" s="243"/>
      <c r="D2" s="243"/>
      <c r="E2" s="243"/>
      <c r="F2" s="243"/>
      <c r="G2" s="243"/>
      <c r="H2" s="243"/>
      <c r="I2" s="243"/>
      <c r="J2" s="243"/>
      <c r="K2" s="243"/>
      <c r="L2" s="243"/>
      <c r="M2" s="244"/>
      <c r="N2" s="244"/>
      <c r="O2" s="244"/>
      <c r="P2" s="244"/>
      <c r="Q2" s="244"/>
      <c r="R2" s="244"/>
      <c r="S2" s="244"/>
      <c r="T2" s="244"/>
      <c r="U2" s="244"/>
      <c r="V2" s="245"/>
      <c r="W2" s="6"/>
    </row>
    <row r="3" spans="1:23" ht="15.6">
      <c r="A3" s="246"/>
      <c r="B3" s="247" t="s">
        <v>125</v>
      </c>
      <c r="C3" s="244"/>
      <c r="D3" s="244"/>
      <c r="E3" s="244"/>
      <c r="F3" s="244"/>
      <c r="G3" s="244"/>
      <c r="H3" s="244"/>
      <c r="I3" s="244"/>
      <c r="J3" s="244"/>
      <c r="K3" s="244"/>
      <c r="L3" s="244"/>
      <c r="M3" s="244"/>
      <c r="N3" s="244"/>
      <c r="O3" s="244"/>
      <c r="P3" s="244"/>
      <c r="Q3" s="244"/>
      <c r="R3" s="244"/>
      <c r="S3" s="244"/>
      <c r="T3" s="244"/>
      <c r="U3" s="244"/>
      <c r="V3" s="245"/>
      <c r="W3" s="6"/>
    </row>
    <row r="4" spans="1:23" ht="15.6">
      <c r="A4" s="242"/>
      <c r="B4" s="243"/>
      <c r="C4" s="243"/>
      <c r="D4" s="243"/>
      <c r="E4" s="243"/>
      <c r="F4" s="243"/>
      <c r="G4" s="243"/>
      <c r="H4" s="243"/>
      <c r="I4" s="243"/>
      <c r="J4" s="243"/>
      <c r="K4" s="243"/>
      <c r="L4" s="243"/>
      <c r="M4" s="244"/>
      <c r="N4" s="244"/>
      <c r="O4" s="244"/>
      <c r="P4" s="244"/>
      <c r="Q4" s="244"/>
      <c r="R4" s="244"/>
      <c r="S4" s="244"/>
      <c r="T4" s="244"/>
      <c r="U4" s="244"/>
      <c r="V4" s="245"/>
      <c r="W4" s="6"/>
    </row>
    <row r="5" spans="1:23" ht="16.2">
      <c r="A5" s="242"/>
      <c r="B5" s="286" t="s">
        <v>0</v>
      </c>
      <c r="C5" s="248"/>
      <c r="D5" s="248"/>
      <c r="E5" s="248"/>
      <c r="F5" s="248"/>
      <c r="G5" s="248"/>
      <c r="H5" s="248"/>
      <c r="I5" s="248"/>
      <c r="J5" s="248"/>
      <c r="K5" s="248"/>
      <c r="L5" s="248"/>
      <c r="M5" s="244"/>
      <c r="N5" s="244"/>
      <c r="O5" s="244"/>
      <c r="P5" s="244"/>
      <c r="Q5" s="244"/>
      <c r="R5" s="244"/>
      <c r="S5" s="244"/>
      <c r="T5" s="244"/>
      <c r="U5" s="244"/>
      <c r="V5" s="245"/>
      <c r="W5" s="6"/>
    </row>
    <row r="6" spans="1:23" ht="16.2">
      <c r="A6" s="242"/>
      <c r="B6" s="286" t="s">
        <v>1</v>
      </c>
      <c r="C6" s="248"/>
      <c r="D6" s="248"/>
      <c r="E6" s="248"/>
      <c r="F6" s="248"/>
      <c r="G6" s="248"/>
      <c r="H6" s="248"/>
      <c r="I6" s="248"/>
      <c r="J6" s="248"/>
      <c r="K6" s="248"/>
      <c r="L6" s="248"/>
      <c r="M6" s="244"/>
      <c r="N6" s="244"/>
      <c r="O6" s="244"/>
      <c r="P6" s="244"/>
      <c r="Q6" s="244"/>
      <c r="R6" s="244"/>
      <c r="S6" s="244"/>
      <c r="T6" s="244"/>
      <c r="U6" s="244"/>
      <c r="V6" s="245"/>
      <c r="W6" s="6"/>
    </row>
    <row r="7" spans="1:23" ht="16.2">
      <c r="A7" s="242"/>
      <c r="B7" s="286" t="s">
        <v>2</v>
      </c>
      <c r="C7" s="248"/>
      <c r="D7" s="248"/>
      <c r="E7" s="248"/>
      <c r="F7" s="248"/>
      <c r="G7" s="248"/>
      <c r="H7" s="248"/>
      <c r="I7" s="248"/>
      <c r="J7" s="248"/>
      <c r="K7" s="248"/>
      <c r="L7" s="248"/>
      <c r="M7" s="244"/>
      <c r="N7" s="244"/>
      <c r="O7" s="244"/>
      <c r="P7" s="244"/>
      <c r="Q7" s="244"/>
      <c r="R7" s="244"/>
      <c r="S7" s="244"/>
      <c r="T7" s="244"/>
      <c r="U7" s="244"/>
      <c r="V7" s="245"/>
      <c r="W7" s="6"/>
    </row>
    <row r="8" spans="1:23" ht="16.2">
      <c r="A8" s="242"/>
      <c r="B8" s="249"/>
      <c r="C8" s="248"/>
      <c r="D8" s="248"/>
      <c r="E8" s="248"/>
      <c r="F8" s="248"/>
      <c r="G8" s="248"/>
      <c r="H8" s="248"/>
      <c r="I8" s="248"/>
      <c r="J8" s="248"/>
      <c r="K8" s="248"/>
      <c r="L8" s="248"/>
      <c r="M8" s="244"/>
      <c r="N8" s="244"/>
      <c r="O8" s="244"/>
      <c r="P8" s="244"/>
      <c r="Q8" s="244"/>
      <c r="R8" s="244"/>
      <c r="S8" s="244"/>
      <c r="T8" s="244"/>
      <c r="U8" s="244"/>
      <c r="V8" s="245"/>
      <c r="W8" s="6"/>
    </row>
    <row r="9" spans="1:23" ht="18">
      <c r="A9" s="242"/>
      <c r="B9" s="250" t="s">
        <v>194</v>
      </c>
      <c r="C9" s="248"/>
      <c r="D9" s="248"/>
      <c r="E9" s="248"/>
      <c r="F9" s="248"/>
      <c r="G9" s="248"/>
      <c r="H9" s="248"/>
      <c r="I9" s="251" t="s">
        <v>195</v>
      </c>
      <c r="J9" s="248"/>
      <c r="K9" s="248"/>
      <c r="L9" s="248"/>
      <c r="M9" s="244"/>
      <c r="N9" s="244"/>
      <c r="O9" s="244"/>
      <c r="P9" s="244"/>
      <c r="Q9" s="244"/>
      <c r="R9" s="244"/>
      <c r="S9" s="244"/>
      <c r="T9" s="244"/>
      <c r="U9" s="244"/>
      <c r="V9" s="245"/>
      <c r="W9" s="6"/>
    </row>
    <row r="10" spans="1:23" ht="16.2">
      <c r="A10" s="242"/>
      <c r="B10" s="248"/>
      <c r="C10" s="248"/>
      <c r="D10" s="248"/>
      <c r="E10" s="248"/>
      <c r="F10" s="248"/>
      <c r="G10" s="248"/>
      <c r="H10" s="248"/>
      <c r="I10" s="248"/>
      <c r="J10" s="248"/>
      <c r="K10" s="248"/>
      <c r="L10" s="248"/>
      <c r="M10" s="252"/>
      <c r="N10" s="252"/>
      <c r="O10" s="244"/>
      <c r="P10" s="244"/>
      <c r="Q10" s="244"/>
      <c r="R10" s="244"/>
      <c r="S10" s="244"/>
      <c r="T10" s="244"/>
      <c r="U10" s="244"/>
      <c r="V10" s="245"/>
      <c r="W10" s="6"/>
    </row>
    <row r="11" spans="1:23" ht="15.6">
      <c r="A11" s="242"/>
      <c r="B11" s="287" t="s">
        <v>3</v>
      </c>
      <c r="C11" s="252"/>
      <c r="D11" s="252"/>
      <c r="E11" s="252"/>
      <c r="F11" s="252"/>
      <c r="G11" s="252"/>
      <c r="H11" s="252"/>
      <c r="I11" s="252"/>
      <c r="J11" s="252"/>
      <c r="K11" s="252"/>
      <c r="L11" s="252"/>
      <c r="M11" s="244"/>
      <c r="N11" s="244"/>
      <c r="O11" s="244"/>
      <c r="P11" s="244"/>
      <c r="Q11" s="244"/>
      <c r="R11" s="244"/>
      <c r="S11" s="244"/>
      <c r="T11" s="244"/>
      <c r="U11" s="244"/>
      <c r="V11" s="245"/>
      <c r="W11" s="6"/>
    </row>
    <row r="12" spans="1:23" ht="16.2" thickBot="1">
      <c r="A12" s="242"/>
      <c r="B12" s="252"/>
      <c r="C12" s="252"/>
      <c r="D12" s="252"/>
      <c r="E12" s="252"/>
      <c r="F12" s="252"/>
      <c r="G12" s="252"/>
      <c r="H12" s="252"/>
      <c r="I12" s="252"/>
      <c r="J12" s="252"/>
      <c r="K12" s="252"/>
      <c r="L12" s="252"/>
      <c r="M12" s="244"/>
      <c r="N12" s="244"/>
      <c r="O12" s="244"/>
      <c r="P12" s="244"/>
      <c r="Q12" s="244"/>
      <c r="R12" s="244"/>
      <c r="S12" s="244"/>
      <c r="T12" s="244"/>
      <c r="U12" s="244"/>
      <c r="V12" s="245"/>
      <c r="W12" s="6"/>
    </row>
    <row r="13" spans="1:23" ht="15.6">
      <c r="A13" s="238"/>
      <c r="B13" s="240"/>
      <c r="C13" s="240"/>
      <c r="D13" s="240"/>
      <c r="E13" s="240"/>
      <c r="F13" s="240"/>
      <c r="G13" s="240"/>
      <c r="H13" s="240"/>
      <c r="I13" s="240"/>
      <c r="J13" s="240"/>
      <c r="K13" s="240"/>
      <c r="L13" s="240"/>
      <c r="M13" s="240"/>
      <c r="N13" s="240"/>
      <c r="O13" s="240"/>
      <c r="P13" s="240"/>
      <c r="Q13" s="240"/>
      <c r="R13" s="240"/>
      <c r="S13" s="240"/>
      <c r="T13" s="240"/>
      <c r="U13" s="240"/>
      <c r="V13" s="241"/>
      <c r="W13" s="6"/>
    </row>
    <row r="14" spans="1:23" ht="15.6">
      <c r="A14" s="242"/>
      <c r="B14" s="287" t="s">
        <v>4</v>
      </c>
      <c r="C14" s="253"/>
      <c r="D14" s="253"/>
      <c r="E14" s="253"/>
      <c r="F14" s="253"/>
      <c r="G14" s="253"/>
      <c r="H14" s="253"/>
      <c r="I14" s="253"/>
      <c r="J14" s="253"/>
      <c r="K14" s="253"/>
      <c r="L14" s="253"/>
      <c r="M14" s="288"/>
      <c r="N14" s="288"/>
      <c r="O14" s="288"/>
      <c r="P14" s="288"/>
      <c r="Q14" s="288"/>
      <c r="R14" s="288"/>
      <c r="S14" s="288"/>
      <c r="T14" s="288"/>
      <c r="U14" s="289" t="s">
        <v>126</v>
      </c>
      <c r="V14" s="245"/>
      <c r="W14" s="6"/>
    </row>
    <row r="15" spans="1:23" ht="15.6">
      <c r="A15" s="242"/>
      <c r="B15" s="287" t="s">
        <v>5</v>
      </c>
      <c r="C15" s="253"/>
      <c r="D15" s="253"/>
      <c r="E15" s="253"/>
      <c r="F15" s="253"/>
      <c r="G15" s="253"/>
      <c r="H15" s="253"/>
      <c r="I15" s="253"/>
      <c r="J15" s="253"/>
      <c r="K15" s="253"/>
      <c r="L15" s="253"/>
      <c r="M15" s="290" t="s">
        <v>93</v>
      </c>
      <c r="N15" s="291">
        <v>0.1492</v>
      </c>
      <c r="O15" s="290" t="s">
        <v>99</v>
      </c>
      <c r="P15" s="291">
        <v>5.4399999999999997E-2</v>
      </c>
      <c r="Q15" s="290" t="s">
        <v>102</v>
      </c>
      <c r="R15" s="291">
        <v>0.48899999999999999</v>
      </c>
      <c r="S15" s="290" t="s">
        <v>108</v>
      </c>
      <c r="T15" s="291">
        <v>0.30740000000000001</v>
      </c>
      <c r="U15" s="289"/>
      <c r="V15" s="254"/>
      <c r="W15" s="6"/>
    </row>
    <row r="16" spans="1:23" ht="15.6">
      <c r="A16" s="242"/>
      <c r="B16" s="287" t="s">
        <v>6</v>
      </c>
      <c r="C16" s="253"/>
      <c r="D16" s="253"/>
      <c r="E16" s="253"/>
      <c r="F16" s="253"/>
      <c r="G16" s="253"/>
      <c r="H16" s="253"/>
      <c r="I16" s="253"/>
      <c r="J16" s="253"/>
      <c r="K16" s="253"/>
      <c r="L16" s="253"/>
      <c r="M16" s="290" t="s">
        <v>93</v>
      </c>
      <c r="N16" s="291">
        <f>+N198/S221</f>
        <v>1.9877405612553366E-2</v>
      </c>
      <c r="O16" s="290" t="s">
        <v>99</v>
      </c>
      <c r="P16" s="291">
        <f>+S198/S221</f>
        <v>7.1528895255280949E-3</v>
      </c>
      <c r="Q16" s="290" t="s">
        <v>102</v>
      </c>
      <c r="R16" s="291">
        <f>+N211/S221</f>
        <v>0.92000669711373007</v>
      </c>
      <c r="S16" s="290" t="s">
        <v>108</v>
      </c>
      <c r="T16" s="291">
        <f>+S211/S221</f>
        <v>5.2963007748188524E-2</v>
      </c>
      <c r="U16" s="289"/>
      <c r="V16" s="254"/>
      <c r="W16" s="6"/>
    </row>
    <row r="17" spans="1:23" ht="15.6">
      <c r="A17" s="242"/>
      <c r="B17" s="287" t="s">
        <v>7</v>
      </c>
      <c r="C17" s="253"/>
      <c r="D17" s="253"/>
      <c r="E17" s="253"/>
      <c r="F17" s="253"/>
      <c r="G17" s="253"/>
      <c r="H17" s="253"/>
      <c r="I17" s="253"/>
      <c r="J17" s="253"/>
      <c r="K17" s="253"/>
      <c r="L17" s="253"/>
      <c r="M17" s="288"/>
      <c r="N17" s="288"/>
      <c r="O17" s="288"/>
      <c r="P17" s="288"/>
      <c r="Q17" s="288"/>
      <c r="R17" s="288"/>
      <c r="S17" s="288"/>
      <c r="T17" s="288"/>
      <c r="U17" s="292">
        <v>38491</v>
      </c>
      <c r="V17" s="245"/>
      <c r="W17" s="6"/>
    </row>
    <row r="18" spans="1:23" ht="15.6">
      <c r="A18" s="242"/>
      <c r="B18" s="287" t="s">
        <v>8</v>
      </c>
      <c r="C18" s="253"/>
      <c r="D18" s="253"/>
      <c r="E18" s="253"/>
      <c r="F18" s="253"/>
      <c r="G18" s="253"/>
      <c r="H18" s="253"/>
      <c r="I18" s="253"/>
      <c r="J18" s="253"/>
      <c r="K18" s="253"/>
      <c r="L18" s="253"/>
      <c r="M18" s="288"/>
      <c r="N18" s="288"/>
      <c r="O18" s="288"/>
      <c r="P18" s="288"/>
      <c r="Q18" s="288"/>
      <c r="R18" s="288"/>
      <c r="S18" s="288"/>
      <c r="T18" s="288"/>
      <c r="U18" s="292">
        <v>40651</v>
      </c>
      <c r="V18" s="245"/>
      <c r="W18" s="6"/>
    </row>
    <row r="19" spans="1:23" ht="15.6">
      <c r="A19" s="242"/>
      <c r="B19" s="288"/>
      <c r="C19" s="244"/>
      <c r="D19" s="244"/>
      <c r="E19" s="244"/>
      <c r="F19" s="244"/>
      <c r="G19" s="244"/>
      <c r="H19" s="244"/>
      <c r="I19" s="244"/>
      <c r="J19" s="244"/>
      <c r="K19" s="244"/>
      <c r="L19" s="244"/>
      <c r="M19" s="244"/>
      <c r="N19" s="244"/>
      <c r="O19" s="244"/>
      <c r="P19" s="244"/>
      <c r="Q19" s="244"/>
      <c r="R19" s="244"/>
      <c r="S19" s="244"/>
      <c r="T19" s="244"/>
      <c r="U19" s="255"/>
      <c r="V19" s="245"/>
      <c r="W19" s="6"/>
    </row>
    <row r="20" spans="1:23" ht="15.6">
      <c r="A20" s="242"/>
      <c r="B20" s="293" t="s">
        <v>9</v>
      </c>
      <c r="C20" s="244"/>
      <c r="D20" s="244"/>
      <c r="E20" s="244"/>
      <c r="F20" s="244"/>
      <c r="G20" s="244"/>
      <c r="H20" s="244"/>
      <c r="I20" s="244"/>
      <c r="J20" s="244"/>
      <c r="K20" s="244"/>
      <c r="L20" s="244"/>
      <c r="M20" s="244"/>
      <c r="N20" s="244"/>
      <c r="O20" s="244"/>
      <c r="P20" s="244"/>
      <c r="Q20" s="244"/>
      <c r="R20" s="244"/>
      <c r="S20" s="255"/>
      <c r="T20" s="244"/>
      <c r="U20" s="249"/>
      <c r="V20" s="245"/>
      <c r="W20" s="6"/>
    </row>
    <row r="21" spans="1:23" ht="15.6">
      <c r="A21" s="242"/>
      <c r="B21" s="244"/>
      <c r="C21" s="244"/>
      <c r="D21" s="244"/>
      <c r="E21" s="244"/>
      <c r="F21" s="244"/>
      <c r="G21" s="244"/>
      <c r="H21" s="244"/>
      <c r="I21" s="244"/>
      <c r="J21" s="244"/>
      <c r="K21" s="244"/>
      <c r="L21" s="244"/>
      <c r="M21" s="244"/>
      <c r="N21" s="244"/>
      <c r="O21" s="244"/>
      <c r="P21" s="244"/>
      <c r="Q21" s="244"/>
      <c r="R21" s="244"/>
      <c r="S21" s="244"/>
      <c r="T21" s="244"/>
      <c r="U21" s="256"/>
      <c r="V21" s="245"/>
      <c r="W21" s="6"/>
    </row>
    <row r="22" spans="1:23" ht="15.6">
      <c r="A22" s="230"/>
      <c r="B22" s="231"/>
      <c r="C22" s="232" t="s">
        <v>130</v>
      </c>
      <c r="D22" s="232"/>
      <c r="E22" s="232" t="s">
        <v>131</v>
      </c>
      <c r="F22" s="232"/>
      <c r="G22" s="232" t="s">
        <v>132</v>
      </c>
      <c r="H22" s="232"/>
      <c r="I22" s="232" t="s">
        <v>133</v>
      </c>
      <c r="J22" s="232"/>
      <c r="K22" s="232" t="s">
        <v>134</v>
      </c>
      <c r="L22" s="232"/>
      <c r="M22" s="233" t="s">
        <v>135</v>
      </c>
      <c r="N22" s="233"/>
      <c r="O22" s="233" t="s">
        <v>136</v>
      </c>
      <c r="P22" s="233"/>
      <c r="Q22" s="233" t="s">
        <v>137</v>
      </c>
      <c r="R22" s="234"/>
      <c r="S22" s="235"/>
      <c r="T22" s="236"/>
      <c r="U22" s="236"/>
      <c r="V22" s="237"/>
      <c r="W22" s="6"/>
    </row>
    <row r="23" spans="1:23" ht="15.6">
      <c r="A23" s="257"/>
      <c r="B23" s="294" t="s">
        <v>10</v>
      </c>
      <c r="C23" s="295" t="s">
        <v>96</v>
      </c>
      <c r="D23" s="295"/>
      <c r="E23" s="295" t="s">
        <v>96</v>
      </c>
      <c r="F23" s="295"/>
      <c r="G23" s="295" t="s">
        <v>138</v>
      </c>
      <c r="H23" s="295"/>
      <c r="I23" s="295" t="s">
        <v>138</v>
      </c>
      <c r="J23" s="295"/>
      <c r="K23" s="295" t="s">
        <v>104</v>
      </c>
      <c r="L23" s="296"/>
      <c r="M23" s="297" t="s">
        <v>104</v>
      </c>
      <c r="N23" s="297"/>
      <c r="O23" s="297" t="s">
        <v>109</v>
      </c>
      <c r="P23" s="297"/>
      <c r="Q23" s="297" t="s">
        <v>109</v>
      </c>
      <c r="R23" s="258"/>
      <c r="S23" s="258"/>
      <c r="T23" s="259"/>
      <c r="U23" s="259"/>
      <c r="V23" s="260"/>
      <c r="W23" s="6"/>
    </row>
    <row r="24" spans="1:23" ht="15.6">
      <c r="A24" s="378"/>
      <c r="B24" s="379" t="s">
        <v>11</v>
      </c>
      <c r="C24" s="380" t="s">
        <v>97</v>
      </c>
      <c r="D24" s="380"/>
      <c r="E24" s="380" t="s">
        <v>97</v>
      </c>
      <c r="F24" s="380"/>
      <c r="G24" s="380" t="s">
        <v>139</v>
      </c>
      <c r="H24" s="380"/>
      <c r="I24" s="380" t="s">
        <v>139</v>
      </c>
      <c r="J24" s="380"/>
      <c r="K24" s="380" t="s">
        <v>105</v>
      </c>
      <c r="L24" s="381"/>
      <c r="M24" s="382" t="s">
        <v>105</v>
      </c>
      <c r="N24" s="382"/>
      <c r="O24" s="382" t="s">
        <v>110</v>
      </c>
      <c r="P24" s="382"/>
      <c r="Q24" s="382" t="s">
        <v>110</v>
      </c>
      <c r="R24" s="383"/>
      <c r="S24" s="383"/>
      <c r="T24" s="384"/>
      <c r="U24" s="384"/>
      <c r="V24" s="385"/>
      <c r="W24" s="6"/>
    </row>
    <row r="25" spans="1:23" ht="15.6">
      <c r="A25" s="378"/>
      <c r="B25" s="386" t="s">
        <v>12</v>
      </c>
      <c r="C25" s="381" t="s">
        <v>96</v>
      </c>
      <c r="D25" s="381"/>
      <c r="E25" s="381" t="s">
        <v>96</v>
      </c>
      <c r="F25" s="381"/>
      <c r="G25" s="381" t="s">
        <v>138</v>
      </c>
      <c r="H25" s="381"/>
      <c r="I25" s="381" t="s">
        <v>138</v>
      </c>
      <c r="J25" s="386"/>
      <c r="K25" s="381" t="s">
        <v>104</v>
      </c>
      <c r="L25" s="386"/>
      <c r="M25" s="387" t="s">
        <v>104</v>
      </c>
      <c r="N25" s="382"/>
      <c r="O25" s="387" t="s">
        <v>109</v>
      </c>
      <c r="P25" s="382"/>
      <c r="Q25" s="387" t="s">
        <v>109</v>
      </c>
      <c r="R25" s="388"/>
      <c r="S25" s="388"/>
      <c r="T25" s="389"/>
      <c r="U25" s="384"/>
      <c r="V25" s="385"/>
      <c r="W25" s="6"/>
    </row>
    <row r="26" spans="1:23" ht="15.6">
      <c r="A26" s="378"/>
      <c r="B26" s="386" t="s">
        <v>13</v>
      </c>
      <c r="C26" s="381" t="s">
        <v>97</v>
      </c>
      <c r="D26" s="381"/>
      <c r="E26" s="381" t="s">
        <v>97</v>
      </c>
      <c r="F26" s="381"/>
      <c r="G26" s="381" t="s">
        <v>139</v>
      </c>
      <c r="H26" s="381"/>
      <c r="I26" s="381" t="s">
        <v>139</v>
      </c>
      <c r="J26" s="386"/>
      <c r="K26" s="381" t="s">
        <v>105</v>
      </c>
      <c r="L26" s="386"/>
      <c r="M26" s="387" t="s">
        <v>105</v>
      </c>
      <c r="N26" s="382"/>
      <c r="O26" s="387" t="s">
        <v>110</v>
      </c>
      <c r="P26" s="382"/>
      <c r="Q26" s="387" t="s">
        <v>110</v>
      </c>
      <c r="R26" s="388"/>
      <c r="S26" s="388"/>
      <c r="T26" s="389"/>
      <c r="U26" s="384"/>
      <c r="V26" s="385"/>
      <c r="W26" s="6"/>
    </row>
    <row r="27" spans="1:23" ht="15.6">
      <c r="A27" s="378"/>
      <c r="B27" s="379" t="s">
        <v>14</v>
      </c>
      <c r="C27" s="380" t="s">
        <v>140</v>
      </c>
      <c r="D27" s="379"/>
      <c r="E27" s="380" t="s">
        <v>141</v>
      </c>
      <c r="F27" s="379"/>
      <c r="G27" s="380" t="s">
        <v>142</v>
      </c>
      <c r="H27" s="379"/>
      <c r="I27" s="380" t="s">
        <v>258</v>
      </c>
      <c r="J27" s="379"/>
      <c r="K27" s="380" t="s">
        <v>143</v>
      </c>
      <c r="L27" s="379"/>
      <c r="M27" s="379" t="s">
        <v>144</v>
      </c>
      <c r="N27" s="382"/>
      <c r="O27" s="379" t="s">
        <v>145</v>
      </c>
      <c r="P27" s="382"/>
      <c r="Q27" s="379" t="s">
        <v>146</v>
      </c>
      <c r="R27" s="383"/>
      <c r="S27" s="390"/>
      <c r="T27" s="384"/>
      <c r="U27" s="384"/>
      <c r="V27" s="385"/>
      <c r="W27" s="6"/>
    </row>
    <row r="28" spans="1:23" ht="15.6">
      <c r="A28" s="378"/>
      <c r="B28" s="379" t="s">
        <v>147</v>
      </c>
      <c r="C28" s="391">
        <v>146000</v>
      </c>
      <c r="D28" s="380"/>
      <c r="E28" s="392">
        <v>259500</v>
      </c>
      <c r="F28" s="380"/>
      <c r="G28" s="391">
        <v>16000</v>
      </c>
      <c r="H28" s="380"/>
      <c r="I28" s="392">
        <v>35500</v>
      </c>
      <c r="J28" s="379"/>
      <c r="K28" s="391">
        <v>18000</v>
      </c>
      <c r="L28" s="379"/>
      <c r="M28" s="392">
        <v>33000</v>
      </c>
      <c r="N28" s="393"/>
      <c r="O28" s="394">
        <v>24500</v>
      </c>
      <c r="P28" s="394"/>
      <c r="Q28" s="392">
        <v>30000</v>
      </c>
      <c r="R28" s="395"/>
      <c r="S28" s="395"/>
      <c r="T28" s="396"/>
      <c r="U28" s="395"/>
      <c r="V28" s="397"/>
      <c r="W28" s="6"/>
    </row>
    <row r="29" spans="1:23" ht="15.6">
      <c r="A29" s="378"/>
      <c r="B29" s="379" t="s">
        <v>15</v>
      </c>
      <c r="C29" s="391">
        <f>C28*C35</f>
        <v>45864.294000000002</v>
      </c>
      <c r="D29" s="398"/>
      <c r="E29" s="392">
        <f>E28*E35</f>
        <v>81519.070500000002</v>
      </c>
      <c r="F29" s="398"/>
      <c r="G29" s="391">
        <f>G28*G35</f>
        <v>16000</v>
      </c>
      <c r="H29" s="398"/>
      <c r="I29" s="392">
        <f>I28*I35</f>
        <v>35500</v>
      </c>
      <c r="J29" s="399"/>
      <c r="K29" s="391">
        <f>K28*K35</f>
        <v>18000</v>
      </c>
      <c r="L29" s="399"/>
      <c r="M29" s="392">
        <f>M28*M35</f>
        <v>33000</v>
      </c>
      <c r="N29" s="393"/>
      <c r="O29" s="391">
        <f>O28*O35</f>
        <v>24500</v>
      </c>
      <c r="P29" s="394"/>
      <c r="Q29" s="392">
        <f>Q28*Q35</f>
        <v>30000</v>
      </c>
      <c r="R29" s="400"/>
      <c r="S29" s="395"/>
      <c r="T29" s="396"/>
      <c r="U29" s="395"/>
      <c r="V29" s="397"/>
      <c r="W29" s="6"/>
    </row>
    <row r="30" spans="1:23" ht="15.6">
      <c r="A30" s="401"/>
      <c r="B30" s="386" t="s">
        <v>148</v>
      </c>
      <c r="C30" s="402">
        <f>C34*C28</f>
        <v>42610.070800000001</v>
      </c>
      <c r="D30" s="403"/>
      <c r="E30" s="404">
        <f>E34*E28</f>
        <v>75735.023099999991</v>
      </c>
      <c r="F30" s="403"/>
      <c r="G30" s="402">
        <f>G34*G28</f>
        <v>15296.284800000001</v>
      </c>
      <c r="H30" s="403"/>
      <c r="I30" s="404">
        <f>I34*I28</f>
        <v>33938.6319</v>
      </c>
      <c r="J30" s="405"/>
      <c r="K30" s="402">
        <f>K34*K28</f>
        <v>17208.320400000001</v>
      </c>
      <c r="L30" s="399"/>
      <c r="M30" s="404">
        <f>M34*M28</f>
        <v>31548.5874</v>
      </c>
      <c r="N30" s="407"/>
      <c r="O30" s="402">
        <f>O34*O28</f>
        <v>23422.436099999999</v>
      </c>
      <c r="P30" s="408"/>
      <c r="Q30" s="404">
        <f>Q34*Q28</f>
        <v>28680.534</v>
      </c>
      <c r="R30" s="408"/>
      <c r="S30" s="408"/>
      <c r="T30" s="409"/>
      <c r="U30" s="408"/>
      <c r="V30" s="410"/>
      <c r="W30" s="6"/>
    </row>
    <row r="31" spans="1:23" ht="15.6">
      <c r="A31" s="401"/>
      <c r="B31" s="411" t="s">
        <v>260</v>
      </c>
      <c r="C31" s="391">
        <v>146000</v>
      </c>
      <c r="D31" s="398"/>
      <c r="E31" s="391">
        <v>178000</v>
      </c>
      <c r="F31" s="391"/>
      <c r="G31" s="391">
        <v>16000</v>
      </c>
      <c r="H31" s="391"/>
      <c r="I31" s="391">
        <v>24500</v>
      </c>
      <c r="J31" s="412"/>
      <c r="K31" s="391">
        <v>18000</v>
      </c>
      <c r="L31" s="412"/>
      <c r="M31" s="413">
        <v>22500</v>
      </c>
      <c r="N31" s="414"/>
      <c r="O31" s="413">
        <v>24500</v>
      </c>
      <c r="P31" s="415"/>
      <c r="Q31" s="413">
        <v>20500</v>
      </c>
      <c r="R31" s="408"/>
      <c r="S31" s="408"/>
      <c r="T31" s="409"/>
      <c r="U31" s="394">
        <f>+Q31+O31+M31+K31+I31+G31+E31+C31</f>
        <v>450000</v>
      </c>
      <c r="V31" s="410"/>
      <c r="W31" s="6"/>
    </row>
    <row r="32" spans="1:23" ht="15.6">
      <c r="A32" s="401"/>
      <c r="B32" s="411" t="s">
        <v>261</v>
      </c>
      <c r="C32" s="391">
        <f>C28*C35</f>
        <v>45864.294000000002</v>
      </c>
      <c r="D32" s="398"/>
      <c r="E32" s="391">
        <f>E31*E35</f>
        <v>55916.741999999998</v>
      </c>
      <c r="F32" s="391"/>
      <c r="G32" s="391">
        <f>G28*G35</f>
        <v>16000</v>
      </c>
      <c r="H32" s="391"/>
      <c r="I32" s="391">
        <f>I31*I35</f>
        <v>24500</v>
      </c>
      <c r="J32" s="412"/>
      <c r="K32" s="391">
        <f>K28*K35</f>
        <v>18000</v>
      </c>
      <c r="L32" s="412"/>
      <c r="M32" s="391">
        <f>M31*M35</f>
        <v>22500</v>
      </c>
      <c r="N32" s="414"/>
      <c r="O32" s="391">
        <f>O28*O35</f>
        <v>24500</v>
      </c>
      <c r="P32" s="415"/>
      <c r="Q32" s="391">
        <f>Q31*Q35</f>
        <v>20500</v>
      </c>
      <c r="R32" s="391"/>
      <c r="S32" s="408"/>
      <c r="T32" s="409"/>
      <c r="U32" s="394">
        <f>+Q32+O32+M32+K32+I32+G32+E32+C32</f>
        <v>227781.03599999999</v>
      </c>
      <c r="V32" s="410"/>
      <c r="W32" s="6"/>
    </row>
    <row r="33" spans="1:23" ht="15.6">
      <c r="A33" s="401"/>
      <c r="B33" s="386" t="s">
        <v>262</v>
      </c>
      <c r="C33" s="402">
        <f>C34*C28</f>
        <v>42610.070800000001</v>
      </c>
      <c r="D33" s="402"/>
      <c r="E33" s="402">
        <f>E34*E31</f>
        <v>51949.2644</v>
      </c>
      <c r="F33" s="402"/>
      <c r="G33" s="402">
        <f>G34*G28</f>
        <v>15296.284800000001</v>
      </c>
      <c r="H33" s="402"/>
      <c r="I33" s="402">
        <f>I34*I31</f>
        <v>23422.436099999999</v>
      </c>
      <c r="J33" s="416"/>
      <c r="K33" s="402">
        <f>K34*K28</f>
        <v>17208.320400000001</v>
      </c>
      <c r="L33" s="416"/>
      <c r="M33" s="402">
        <f>M34*M31</f>
        <v>21510.4005</v>
      </c>
      <c r="N33" s="416"/>
      <c r="O33" s="402">
        <f>O34*O28</f>
        <v>23422.436099999999</v>
      </c>
      <c r="P33" s="402"/>
      <c r="Q33" s="402">
        <f>Q34*Q31</f>
        <v>19598.3649</v>
      </c>
      <c r="R33" s="408"/>
      <c r="S33" s="408"/>
      <c r="T33" s="409"/>
      <c r="U33" s="408">
        <f>+Q33+O33+M33+K33+I33+G33+E33+C33</f>
        <v>215017.57799999998</v>
      </c>
      <c r="V33" s="410"/>
      <c r="W33" s="6"/>
    </row>
    <row r="34" spans="1:23" ht="15.6">
      <c r="A34" s="401"/>
      <c r="B34" s="417" t="s">
        <v>149</v>
      </c>
      <c r="C34" s="418">
        <v>0.29184979999999999</v>
      </c>
      <c r="D34" s="418"/>
      <c r="E34" s="418">
        <v>0.29184979999999999</v>
      </c>
      <c r="F34" s="418"/>
      <c r="G34" s="418">
        <v>0.95601780000000003</v>
      </c>
      <c r="H34" s="418"/>
      <c r="I34" s="418">
        <v>0.95601780000000003</v>
      </c>
      <c r="J34" s="418"/>
      <c r="K34" s="418">
        <v>0.95601780000000003</v>
      </c>
      <c r="L34" s="418"/>
      <c r="M34" s="418">
        <v>0.95601780000000003</v>
      </c>
      <c r="N34" s="418"/>
      <c r="O34" s="418">
        <v>0.95601780000000003</v>
      </c>
      <c r="P34" s="418"/>
      <c r="Q34" s="418">
        <v>0.95601780000000003</v>
      </c>
      <c r="R34" s="419"/>
      <c r="S34" s="420"/>
      <c r="T34" s="421"/>
      <c r="U34" s="420"/>
      <c r="V34" s="385"/>
      <c r="W34" s="6"/>
    </row>
    <row r="35" spans="1:23" ht="15.6">
      <c r="A35" s="401"/>
      <c r="B35" s="417" t="s">
        <v>150</v>
      </c>
      <c r="C35" s="418">
        <v>0.314139</v>
      </c>
      <c r="D35" s="418"/>
      <c r="E35" s="418">
        <v>0.314139</v>
      </c>
      <c r="F35" s="418"/>
      <c r="G35" s="418">
        <v>1</v>
      </c>
      <c r="H35" s="418"/>
      <c r="I35" s="418">
        <v>1</v>
      </c>
      <c r="J35" s="418"/>
      <c r="K35" s="418">
        <v>1</v>
      </c>
      <c r="L35" s="418"/>
      <c r="M35" s="418">
        <v>1</v>
      </c>
      <c r="N35" s="418"/>
      <c r="O35" s="418">
        <v>1</v>
      </c>
      <c r="P35" s="418"/>
      <c r="Q35" s="418">
        <v>1</v>
      </c>
      <c r="R35" s="419"/>
      <c r="S35" s="420"/>
      <c r="T35" s="421"/>
      <c r="U35" s="420"/>
      <c r="V35" s="385"/>
      <c r="W35" s="6"/>
    </row>
    <row r="36" spans="1:23" ht="15.6">
      <c r="A36" s="378"/>
      <c r="B36" s="379" t="s">
        <v>153</v>
      </c>
      <c r="C36" s="380" t="s">
        <v>163</v>
      </c>
      <c r="D36" s="380"/>
      <c r="E36" s="380" t="s">
        <v>163</v>
      </c>
      <c r="F36" s="380"/>
      <c r="G36" s="380" t="s">
        <v>164</v>
      </c>
      <c r="H36" s="380"/>
      <c r="I36" s="380" t="s">
        <v>164</v>
      </c>
      <c r="J36" s="380"/>
      <c r="K36" s="380" t="s">
        <v>106</v>
      </c>
      <c r="L36" s="380"/>
      <c r="M36" s="380" t="s">
        <v>165</v>
      </c>
      <c r="N36" s="380"/>
      <c r="O36" s="380" t="s">
        <v>166</v>
      </c>
      <c r="P36" s="380"/>
      <c r="Q36" s="380" t="s">
        <v>167</v>
      </c>
      <c r="R36" s="422"/>
      <c r="S36" s="422"/>
      <c r="T36" s="411"/>
      <c r="U36" s="424"/>
      <c r="V36" s="410"/>
      <c r="W36" s="6"/>
    </row>
    <row r="37" spans="1:23" ht="15.6">
      <c r="A37" s="378"/>
      <c r="B37" s="379" t="s">
        <v>151</v>
      </c>
      <c r="C37" s="425">
        <v>1.2075000000000001E-2</v>
      </c>
      <c r="D37" s="425"/>
      <c r="E37" s="425">
        <v>1.438E-2</v>
      </c>
      <c r="F37" s="425"/>
      <c r="G37" s="425">
        <v>1.4274999999999999E-2</v>
      </c>
      <c r="H37" s="425"/>
      <c r="I37" s="425">
        <v>1.6580000000000001E-2</v>
      </c>
      <c r="J37" s="425"/>
      <c r="K37" s="425">
        <v>1.9675000000000002E-2</v>
      </c>
      <c r="L37" s="425"/>
      <c r="M37" s="425">
        <v>2.138E-2</v>
      </c>
      <c r="N37" s="425"/>
      <c r="O37" s="425">
        <v>2.6675000000000001E-2</v>
      </c>
      <c r="P37" s="425"/>
      <c r="Q37" s="425">
        <v>2.7980000000000001E-2</v>
      </c>
      <c r="R37" s="426"/>
      <c r="S37" s="425"/>
      <c r="T37" s="411"/>
      <c r="U37" s="380"/>
      <c r="V37" s="410"/>
      <c r="W37" s="6"/>
    </row>
    <row r="38" spans="1:23" ht="15.6">
      <c r="A38" s="378"/>
      <c r="B38" s="379" t="s">
        <v>152</v>
      </c>
      <c r="C38" s="425">
        <v>1.1797500000000001E-2</v>
      </c>
      <c r="D38" s="425"/>
      <c r="E38" s="425">
        <v>1.4250000000000001E-2</v>
      </c>
      <c r="F38" s="425"/>
      <c r="G38" s="425">
        <v>1.39975E-2</v>
      </c>
      <c r="H38" s="425"/>
      <c r="I38" s="425">
        <v>1.6449999999999999E-2</v>
      </c>
      <c r="J38" s="425"/>
      <c r="K38" s="425">
        <v>1.9397500000000002E-2</v>
      </c>
      <c r="L38" s="425"/>
      <c r="M38" s="425">
        <v>2.1250000000000002E-2</v>
      </c>
      <c r="N38" s="425"/>
      <c r="O38" s="425">
        <v>2.6397500000000001E-2</v>
      </c>
      <c r="P38" s="425"/>
      <c r="Q38" s="425">
        <v>2.785E-2</v>
      </c>
      <c r="R38" s="426"/>
      <c r="S38" s="425"/>
      <c r="T38" s="411"/>
      <c r="U38" s="424"/>
      <c r="V38" s="410"/>
      <c r="W38" s="6"/>
    </row>
    <row r="39" spans="1:23" ht="15.6">
      <c r="A39" s="378"/>
      <c r="B39" s="379" t="s">
        <v>263</v>
      </c>
      <c r="C39" s="380" t="s">
        <v>163</v>
      </c>
      <c r="D39" s="379"/>
      <c r="E39" s="380" t="s">
        <v>228</v>
      </c>
      <c r="F39" s="379"/>
      <c r="G39" s="380" t="s">
        <v>164</v>
      </c>
      <c r="H39" s="379"/>
      <c r="I39" s="380" t="s">
        <v>226</v>
      </c>
      <c r="J39" s="379"/>
      <c r="K39" s="380" t="s">
        <v>106</v>
      </c>
      <c r="L39" s="379"/>
      <c r="M39" s="380" t="s">
        <v>227</v>
      </c>
      <c r="N39" s="379"/>
      <c r="O39" s="380" t="s">
        <v>166</v>
      </c>
      <c r="P39" s="380"/>
      <c r="Q39" s="380" t="s">
        <v>229</v>
      </c>
      <c r="R39" s="426"/>
      <c r="S39" s="425"/>
      <c r="T39" s="411"/>
      <c r="U39" s="424"/>
      <c r="V39" s="410"/>
      <c r="W39" s="6"/>
    </row>
    <row r="40" spans="1:23" ht="15.6">
      <c r="A40" s="378"/>
      <c r="B40" s="379" t="s">
        <v>264</v>
      </c>
      <c r="C40" s="425">
        <f>+C37</f>
        <v>1.2075000000000001E-2</v>
      </c>
      <c r="D40" s="425"/>
      <c r="E40" s="425">
        <v>1.2651000000000001E-2</v>
      </c>
      <c r="F40" s="425"/>
      <c r="G40" s="425">
        <f>+G37</f>
        <v>1.4274999999999999E-2</v>
      </c>
      <c r="H40" s="425"/>
      <c r="I40" s="425">
        <v>1.5008000000000001E-2</v>
      </c>
      <c r="J40" s="425"/>
      <c r="K40" s="425">
        <f>+K37</f>
        <v>1.9675000000000002E-2</v>
      </c>
      <c r="L40" s="423"/>
      <c r="M40" s="425">
        <v>2.0235400000000001E-2</v>
      </c>
      <c r="N40" s="423"/>
      <c r="O40" s="425">
        <f>+O37</f>
        <v>2.6675000000000001E-2</v>
      </c>
      <c r="P40" s="425"/>
      <c r="Q40" s="425">
        <v>2.7501399999999999E-2</v>
      </c>
      <c r="R40" s="426"/>
      <c r="S40" s="425"/>
      <c r="T40" s="411"/>
      <c r="U40" s="427">
        <f>SUMPRODUCT(C40:Q40,C32:Q32)/U32</f>
        <v>1.7051782805536101E-2</v>
      </c>
      <c r="V40" s="410"/>
      <c r="W40" s="6"/>
    </row>
    <row r="41" spans="1:23" ht="15.6">
      <c r="A41" s="378"/>
      <c r="B41" s="379" t="s">
        <v>265</v>
      </c>
      <c r="C41" s="425">
        <f>+C38</f>
        <v>1.1797500000000001E-2</v>
      </c>
      <c r="D41" s="425"/>
      <c r="E41" s="425">
        <v>1.2373500000000001E-2</v>
      </c>
      <c r="F41" s="425"/>
      <c r="G41" s="425">
        <f>+G38</f>
        <v>1.39975E-2</v>
      </c>
      <c r="H41" s="425"/>
      <c r="I41" s="425">
        <v>1.4730500000000001E-2</v>
      </c>
      <c r="J41" s="425"/>
      <c r="K41" s="425">
        <f>+K38</f>
        <v>1.9397500000000002E-2</v>
      </c>
      <c r="L41" s="423"/>
      <c r="M41" s="425">
        <v>1.9957900000000001E-2</v>
      </c>
      <c r="N41" s="423"/>
      <c r="O41" s="425">
        <f>+O38</f>
        <v>2.6397500000000001E-2</v>
      </c>
      <c r="P41" s="425"/>
      <c r="Q41" s="425">
        <v>2.7223899999999999E-2</v>
      </c>
      <c r="R41" s="426"/>
      <c r="S41" s="425"/>
      <c r="T41" s="411"/>
      <c r="U41" s="424"/>
      <c r="V41" s="410"/>
      <c r="W41" s="6"/>
    </row>
    <row r="42" spans="1:23" ht="15.6">
      <c r="A42" s="378"/>
      <c r="B42" s="379" t="s">
        <v>17</v>
      </c>
      <c r="C42" s="428">
        <v>39918</v>
      </c>
      <c r="D42" s="428"/>
      <c r="E42" s="428">
        <v>39918</v>
      </c>
      <c r="F42" s="428"/>
      <c r="G42" s="428">
        <v>39918</v>
      </c>
      <c r="H42" s="428"/>
      <c r="I42" s="428">
        <v>39918</v>
      </c>
      <c r="J42" s="428"/>
      <c r="K42" s="428">
        <v>39918</v>
      </c>
      <c r="L42" s="428"/>
      <c r="M42" s="428">
        <v>39918</v>
      </c>
      <c r="N42" s="428"/>
      <c r="O42" s="428">
        <v>39918</v>
      </c>
      <c r="P42" s="428"/>
      <c r="Q42" s="428">
        <v>39918</v>
      </c>
      <c r="R42" s="422"/>
      <c r="S42" s="422"/>
      <c r="T42" s="411"/>
      <c r="U42" s="424"/>
      <c r="V42" s="410"/>
      <c r="W42" s="6"/>
    </row>
    <row r="43" spans="1:23" ht="15.6">
      <c r="A43" s="378"/>
      <c r="B43" s="379" t="s">
        <v>18</v>
      </c>
      <c r="C43" s="429">
        <v>40283</v>
      </c>
      <c r="D43" s="430"/>
      <c r="E43" s="429">
        <v>40283</v>
      </c>
      <c r="F43" s="430"/>
      <c r="G43" s="429">
        <v>40283</v>
      </c>
      <c r="H43" s="430"/>
      <c r="I43" s="429">
        <v>40283</v>
      </c>
      <c r="J43" s="430"/>
      <c r="K43" s="429">
        <v>40283</v>
      </c>
      <c r="L43" s="430"/>
      <c r="M43" s="429">
        <v>40283</v>
      </c>
      <c r="N43" s="430"/>
      <c r="O43" s="429">
        <v>40283</v>
      </c>
      <c r="P43" s="429"/>
      <c r="Q43" s="429">
        <v>40283</v>
      </c>
      <c r="R43" s="380"/>
      <c r="S43" s="380"/>
      <c r="T43" s="424"/>
      <c r="U43" s="424"/>
      <c r="V43" s="410"/>
      <c r="W43" s="6"/>
    </row>
    <row r="44" spans="1:23" ht="15.6">
      <c r="A44" s="378"/>
      <c r="B44" s="379" t="s">
        <v>154</v>
      </c>
      <c r="C44" s="380" t="s">
        <v>163</v>
      </c>
      <c r="D44" s="380"/>
      <c r="E44" s="380" t="s">
        <v>163</v>
      </c>
      <c r="F44" s="380"/>
      <c r="G44" s="380" t="s">
        <v>164</v>
      </c>
      <c r="H44" s="380"/>
      <c r="I44" s="380" t="s">
        <v>164</v>
      </c>
      <c r="J44" s="380"/>
      <c r="K44" s="380" t="s">
        <v>106</v>
      </c>
      <c r="L44" s="380"/>
      <c r="M44" s="380" t="s">
        <v>165</v>
      </c>
      <c r="N44" s="380"/>
      <c r="O44" s="380" t="s">
        <v>166</v>
      </c>
      <c r="P44" s="380"/>
      <c r="Q44" s="380" t="s">
        <v>167</v>
      </c>
      <c r="R44" s="380"/>
      <c r="S44" s="380"/>
      <c r="T44" s="424"/>
      <c r="U44" s="424"/>
      <c r="V44" s="410"/>
      <c r="W44" s="6"/>
    </row>
    <row r="45" spans="1:23" ht="15.6">
      <c r="A45" s="378"/>
      <c r="B45" s="379" t="s">
        <v>266</v>
      </c>
      <c r="C45" s="380" t="s">
        <v>163</v>
      </c>
      <c r="D45" s="379"/>
      <c r="E45" s="380" t="s">
        <v>228</v>
      </c>
      <c r="F45" s="379"/>
      <c r="G45" s="380" t="s">
        <v>164</v>
      </c>
      <c r="H45" s="379"/>
      <c r="I45" s="380" t="s">
        <v>226</v>
      </c>
      <c r="J45" s="379"/>
      <c r="K45" s="380" t="s">
        <v>106</v>
      </c>
      <c r="L45" s="379"/>
      <c r="M45" s="380" t="s">
        <v>227</v>
      </c>
      <c r="N45" s="379"/>
      <c r="O45" s="380" t="s">
        <v>166</v>
      </c>
      <c r="P45" s="380"/>
      <c r="Q45" s="380" t="s">
        <v>229</v>
      </c>
      <c r="R45" s="380"/>
      <c r="S45" s="380"/>
      <c r="T45" s="424"/>
      <c r="U45" s="424"/>
      <c r="V45" s="410"/>
      <c r="W45" s="6"/>
    </row>
    <row r="46" spans="1:23" ht="15.6">
      <c r="A46" s="378"/>
      <c r="B46" s="379"/>
      <c r="C46" s="379"/>
      <c r="D46" s="379"/>
      <c r="E46" s="379"/>
      <c r="F46" s="379"/>
      <c r="G46" s="379"/>
      <c r="H46" s="379"/>
      <c r="I46" s="379"/>
      <c r="J46" s="379"/>
      <c r="K46" s="379"/>
      <c r="L46" s="379"/>
      <c r="M46" s="431"/>
      <c r="N46" s="431"/>
      <c r="O46" s="379"/>
      <c r="P46" s="431"/>
      <c r="Q46" s="431"/>
      <c r="R46" s="431"/>
      <c r="S46" s="431"/>
      <c r="T46" s="431"/>
      <c r="U46" s="431"/>
      <c r="V46" s="410"/>
      <c r="W46" s="6"/>
    </row>
    <row r="47" spans="1:23" ht="15.6">
      <c r="A47" s="378"/>
      <c r="B47" s="379" t="s">
        <v>201</v>
      </c>
      <c r="C47" s="379"/>
      <c r="D47" s="379"/>
      <c r="E47" s="379"/>
      <c r="F47" s="379"/>
      <c r="G47" s="379"/>
      <c r="H47" s="379"/>
      <c r="I47" s="379"/>
      <c r="J47" s="379"/>
      <c r="K47" s="379"/>
      <c r="L47" s="379"/>
      <c r="M47" s="379"/>
      <c r="N47" s="379"/>
      <c r="O47" s="379"/>
      <c r="P47" s="379"/>
      <c r="Q47" s="379"/>
      <c r="R47" s="379"/>
      <c r="S47" s="379"/>
      <c r="T47" s="379"/>
      <c r="U47" s="427">
        <f>SUM(G31:Q31)/(C31+E31)</f>
        <v>0.3888888888888889</v>
      </c>
      <c r="V47" s="410"/>
      <c r="W47" s="6"/>
    </row>
    <row r="48" spans="1:23" ht="15.6">
      <c r="A48" s="378"/>
      <c r="B48" s="379" t="s">
        <v>202</v>
      </c>
      <c r="C48" s="379"/>
      <c r="D48" s="379"/>
      <c r="E48" s="379"/>
      <c r="F48" s="379"/>
      <c r="G48" s="379"/>
      <c r="H48" s="379"/>
      <c r="I48" s="379"/>
      <c r="J48" s="379"/>
      <c r="K48" s="379"/>
      <c r="L48" s="379"/>
      <c r="M48" s="379"/>
      <c r="N48" s="379"/>
      <c r="O48" s="379"/>
      <c r="P48" s="379"/>
      <c r="Q48" s="379"/>
      <c r="R48" s="379"/>
      <c r="S48" s="379"/>
      <c r="T48" s="379"/>
      <c r="U48" s="427">
        <f>SUM(F33:Q33)/(C33+E33)</f>
        <v>1.2738905423269091</v>
      </c>
      <c r="V48" s="410"/>
      <c r="W48" s="6"/>
    </row>
    <row r="49" spans="1:23" ht="15.6">
      <c r="A49" s="378"/>
      <c r="B49" s="379" t="s">
        <v>203</v>
      </c>
      <c r="C49" s="379"/>
      <c r="D49" s="379"/>
      <c r="E49" s="379"/>
      <c r="F49" s="379"/>
      <c r="G49" s="379"/>
      <c r="H49" s="379"/>
      <c r="I49" s="379"/>
      <c r="J49" s="379"/>
      <c r="K49" s="379"/>
      <c r="L49" s="379"/>
      <c r="M49" s="379"/>
      <c r="N49" s="379"/>
      <c r="O49" s="379"/>
      <c r="P49" s="379"/>
      <c r="Q49" s="379"/>
      <c r="R49" s="379"/>
      <c r="S49" s="380" t="s">
        <v>95</v>
      </c>
      <c r="T49" s="380" t="s">
        <v>117</v>
      </c>
      <c r="U49" s="394">
        <v>99000</v>
      </c>
      <c r="V49" s="410"/>
      <c r="W49" s="6"/>
    </row>
    <row r="50" spans="1:23" ht="15.6">
      <c r="A50" s="378"/>
      <c r="B50" s="379"/>
      <c r="C50" s="379"/>
      <c r="D50" s="379"/>
      <c r="E50" s="379"/>
      <c r="F50" s="379"/>
      <c r="G50" s="379"/>
      <c r="H50" s="379"/>
      <c r="I50" s="379"/>
      <c r="J50" s="379"/>
      <c r="K50" s="379"/>
      <c r="L50" s="379"/>
      <c r="M50" s="379"/>
      <c r="N50" s="379"/>
      <c r="O50" s="379"/>
      <c r="P50" s="379"/>
      <c r="Q50" s="379"/>
      <c r="R50" s="379"/>
      <c r="S50" s="379" t="s">
        <v>213</v>
      </c>
      <c r="T50" s="379"/>
      <c r="U50" s="432"/>
      <c r="V50" s="410"/>
      <c r="W50" s="6"/>
    </row>
    <row r="51" spans="1:23" ht="15.6">
      <c r="A51" s="378"/>
      <c r="B51" s="379" t="s">
        <v>19</v>
      </c>
      <c r="C51" s="379"/>
      <c r="D51" s="379"/>
      <c r="E51" s="379"/>
      <c r="F51" s="379"/>
      <c r="G51" s="379"/>
      <c r="H51" s="379"/>
      <c r="I51" s="379"/>
      <c r="J51" s="379"/>
      <c r="K51" s="379"/>
      <c r="L51" s="379"/>
      <c r="M51" s="379"/>
      <c r="N51" s="379"/>
      <c r="O51" s="379"/>
      <c r="P51" s="379"/>
      <c r="Q51" s="379"/>
      <c r="R51" s="379"/>
      <c r="S51" s="380"/>
      <c r="T51" s="380"/>
      <c r="U51" s="380" t="s">
        <v>118</v>
      </c>
      <c r="V51" s="410"/>
      <c r="W51" s="6"/>
    </row>
    <row r="52" spans="1:23" ht="15.6">
      <c r="A52" s="401"/>
      <c r="B52" s="386" t="s">
        <v>20</v>
      </c>
      <c r="C52" s="386"/>
      <c r="D52" s="386"/>
      <c r="E52" s="386"/>
      <c r="F52" s="386"/>
      <c r="G52" s="386"/>
      <c r="H52" s="386"/>
      <c r="I52" s="386"/>
      <c r="J52" s="386"/>
      <c r="K52" s="386"/>
      <c r="L52" s="386"/>
      <c r="M52" s="386"/>
      <c r="N52" s="386"/>
      <c r="O52" s="386"/>
      <c r="P52" s="386"/>
      <c r="Q52" s="386"/>
      <c r="R52" s="386"/>
      <c r="S52" s="433"/>
      <c r="T52" s="433"/>
      <c r="U52" s="434">
        <v>40648</v>
      </c>
      <c r="V52" s="435"/>
      <c r="W52" s="6"/>
    </row>
    <row r="53" spans="1:23" ht="15.6">
      <c r="A53" s="378"/>
      <c r="B53" s="379" t="s">
        <v>155</v>
      </c>
      <c r="C53" s="379"/>
      <c r="D53" s="379"/>
      <c r="E53" s="379"/>
      <c r="F53" s="379"/>
      <c r="G53" s="379"/>
      <c r="H53" s="379"/>
      <c r="I53" s="379"/>
      <c r="J53" s="379"/>
      <c r="K53" s="379"/>
      <c r="L53" s="379"/>
      <c r="M53" s="379"/>
      <c r="N53" s="379"/>
      <c r="O53" s="379"/>
      <c r="P53" s="379"/>
      <c r="Q53" s="424"/>
      <c r="R53" s="379">
        <f>U53-S53+1</f>
        <v>94</v>
      </c>
      <c r="S53" s="436">
        <v>40466</v>
      </c>
      <c r="T53" s="429"/>
      <c r="U53" s="436">
        <v>40559</v>
      </c>
      <c r="V53" s="410"/>
      <c r="W53" s="6"/>
    </row>
    <row r="54" spans="1:23" ht="15.6">
      <c r="A54" s="378"/>
      <c r="B54" s="379" t="s">
        <v>156</v>
      </c>
      <c r="C54" s="379"/>
      <c r="D54" s="379"/>
      <c r="E54" s="379"/>
      <c r="F54" s="379"/>
      <c r="G54" s="379"/>
      <c r="H54" s="379"/>
      <c r="I54" s="379"/>
      <c r="J54" s="379"/>
      <c r="K54" s="379"/>
      <c r="L54" s="379"/>
      <c r="M54" s="379"/>
      <c r="N54" s="379"/>
      <c r="O54" s="379"/>
      <c r="P54" s="379"/>
      <c r="Q54" s="424"/>
      <c r="R54" s="379">
        <f>U54-S54+1</f>
        <v>88</v>
      </c>
      <c r="S54" s="436">
        <v>40560</v>
      </c>
      <c r="T54" s="429"/>
      <c r="U54" s="436">
        <v>40647</v>
      </c>
      <c r="V54" s="410"/>
      <c r="W54" s="6"/>
    </row>
    <row r="55" spans="1:23" ht="15.6">
      <c r="A55" s="378"/>
      <c r="B55" s="379" t="s">
        <v>21</v>
      </c>
      <c r="C55" s="379"/>
      <c r="D55" s="379"/>
      <c r="E55" s="379"/>
      <c r="F55" s="379"/>
      <c r="G55" s="379"/>
      <c r="H55" s="379"/>
      <c r="I55" s="379"/>
      <c r="J55" s="379"/>
      <c r="K55" s="379"/>
      <c r="L55" s="379"/>
      <c r="M55" s="379"/>
      <c r="N55" s="379"/>
      <c r="O55" s="379"/>
      <c r="P55" s="379"/>
      <c r="Q55" s="379"/>
      <c r="R55" s="379"/>
      <c r="S55" s="436"/>
      <c r="T55" s="429"/>
      <c r="U55" s="436" t="s">
        <v>119</v>
      </c>
      <c r="V55" s="410"/>
      <c r="W55" s="6"/>
    </row>
    <row r="56" spans="1:23" ht="15.6">
      <c r="A56" s="378"/>
      <c r="B56" s="379" t="s">
        <v>22</v>
      </c>
      <c r="C56" s="379"/>
      <c r="D56" s="379"/>
      <c r="E56" s="379"/>
      <c r="F56" s="379"/>
      <c r="G56" s="379"/>
      <c r="H56" s="379"/>
      <c r="I56" s="379"/>
      <c r="J56" s="379"/>
      <c r="K56" s="379"/>
      <c r="L56" s="379"/>
      <c r="M56" s="379"/>
      <c r="N56" s="379"/>
      <c r="O56" s="379"/>
      <c r="P56" s="379"/>
      <c r="Q56" s="379"/>
      <c r="R56" s="379"/>
      <c r="S56" s="436"/>
      <c r="T56" s="429"/>
      <c r="U56" s="436">
        <v>40634</v>
      </c>
      <c r="V56" s="410"/>
      <c r="W56" s="6"/>
    </row>
    <row r="57" spans="1:23" ht="15.6">
      <c r="A57" s="242"/>
      <c r="B57" s="364"/>
      <c r="C57" s="364"/>
      <c r="D57" s="364"/>
      <c r="E57" s="364"/>
      <c r="F57" s="364"/>
      <c r="G57" s="364"/>
      <c r="H57" s="364"/>
      <c r="I57" s="364"/>
      <c r="J57" s="364"/>
      <c r="K57" s="364"/>
      <c r="L57" s="364"/>
      <c r="M57" s="364"/>
      <c r="N57" s="364"/>
      <c r="O57" s="364"/>
      <c r="P57" s="364"/>
      <c r="Q57" s="364"/>
      <c r="R57" s="364"/>
      <c r="S57" s="364"/>
      <c r="T57" s="364"/>
      <c r="U57" s="377"/>
      <c r="V57" s="303"/>
      <c r="W57" s="6"/>
    </row>
    <row r="58" spans="1:23" ht="15.6">
      <c r="A58" s="242"/>
      <c r="B58" s="288"/>
      <c r="C58" s="288"/>
      <c r="D58" s="288"/>
      <c r="E58" s="288"/>
      <c r="F58" s="288"/>
      <c r="G58" s="288"/>
      <c r="H58" s="288"/>
      <c r="I58" s="288"/>
      <c r="J58" s="288"/>
      <c r="K58" s="288"/>
      <c r="L58" s="288"/>
      <c r="M58" s="288"/>
      <c r="N58" s="288"/>
      <c r="O58" s="288"/>
      <c r="P58" s="288"/>
      <c r="Q58" s="288"/>
      <c r="R58" s="288"/>
      <c r="S58" s="288"/>
      <c r="T58" s="288"/>
      <c r="U58" s="302"/>
      <c r="V58" s="303"/>
      <c r="W58" s="6"/>
    </row>
    <row r="59" spans="1:23" ht="16.2" thickBot="1">
      <c r="A59" s="261"/>
      <c r="B59" s="304" t="s">
        <v>273</v>
      </c>
      <c r="C59" s="305"/>
      <c r="D59" s="305"/>
      <c r="E59" s="305"/>
      <c r="F59" s="305"/>
      <c r="G59" s="305"/>
      <c r="H59" s="305"/>
      <c r="I59" s="305"/>
      <c r="J59" s="305"/>
      <c r="K59" s="305"/>
      <c r="L59" s="305"/>
      <c r="M59" s="305"/>
      <c r="N59" s="305"/>
      <c r="O59" s="305"/>
      <c r="P59" s="305"/>
      <c r="Q59" s="305"/>
      <c r="R59" s="305"/>
      <c r="S59" s="305"/>
      <c r="T59" s="305"/>
      <c r="U59" s="306"/>
      <c r="V59" s="307"/>
      <c r="W59" s="6"/>
    </row>
    <row r="60" spans="1:23" ht="15.6">
      <c r="A60" s="230"/>
      <c r="B60" s="308" t="s">
        <v>23</v>
      </c>
      <c r="C60" s="308"/>
      <c r="D60" s="308"/>
      <c r="E60" s="308"/>
      <c r="F60" s="308"/>
      <c r="G60" s="308"/>
      <c r="H60" s="308"/>
      <c r="I60" s="308"/>
      <c r="J60" s="308"/>
      <c r="K60" s="308"/>
      <c r="L60" s="308"/>
      <c r="M60" s="231"/>
      <c r="N60" s="231"/>
      <c r="O60" s="231"/>
      <c r="P60" s="231"/>
      <c r="Q60" s="231"/>
      <c r="R60" s="231"/>
      <c r="S60" s="231"/>
      <c r="T60" s="231"/>
      <c r="U60" s="309"/>
      <c r="V60" s="237"/>
      <c r="W60" s="6"/>
    </row>
    <row r="61" spans="1:23" ht="15.6">
      <c r="A61" s="242"/>
      <c r="B61" s="252"/>
      <c r="C61" s="252"/>
      <c r="D61" s="252"/>
      <c r="E61" s="252"/>
      <c r="F61" s="252"/>
      <c r="G61" s="252"/>
      <c r="H61" s="252"/>
      <c r="I61" s="252"/>
      <c r="J61" s="252"/>
      <c r="K61" s="252"/>
      <c r="L61" s="252"/>
      <c r="M61" s="244"/>
      <c r="N61" s="244"/>
      <c r="O61" s="244"/>
      <c r="P61" s="244"/>
      <c r="Q61" s="244"/>
      <c r="R61" s="244"/>
      <c r="S61" s="244"/>
      <c r="T61" s="244"/>
      <c r="U61" s="263"/>
      <c r="V61" s="245"/>
      <c r="W61" s="6"/>
    </row>
    <row r="62" spans="1:23" s="151" customFormat="1" ht="46.8">
      <c r="A62" s="264"/>
      <c r="B62" s="265"/>
      <c r="C62" s="266"/>
      <c r="D62" s="266"/>
      <c r="E62" s="266"/>
      <c r="F62" s="266"/>
      <c r="G62" s="266"/>
      <c r="H62" s="266"/>
      <c r="I62" s="266"/>
      <c r="J62" s="266"/>
      <c r="K62" s="266" t="s">
        <v>197</v>
      </c>
      <c r="L62" s="266"/>
      <c r="M62" s="266" t="s">
        <v>98</v>
      </c>
      <c r="N62" s="266"/>
      <c r="O62" s="266" t="s">
        <v>107</v>
      </c>
      <c r="P62" s="266"/>
      <c r="Q62" s="266" t="s">
        <v>111</v>
      </c>
      <c r="R62" s="266"/>
      <c r="S62" s="266" t="s">
        <v>113</v>
      </c>
      <c r="T62" s="266"/>
      <c r="U62" s="267" t="s">
        <v>120</v>
      </c>
      <c r="V62" s="268"/>
      <c r="W62" s="150"/>
    </row>
    <row r="63" spans="1:23" ht="15.6">
      <c r="A63" s="378"/>
      <c r="B63" s="379" t="s">
        <v>24</v>
      </c>
      <c r="C63" s="440"/>
      <c r="D63" s="440"/>
      <c r="E63" s="440"/>
      <c r="F63" s="440"/>
      <c r="G63" s="440"/>
      <c r="H63" s="440"/>
      <c r="I63" s="440"/>
      <c r="J63" s="440"/>
      <c r="K63" s="440">
        <f>265+63566+3306</f>
        <v>67137</v>
      </c>
      <c r="L63" s="440"/>
      <c r="M63" s="440">
        <v>10896</v>
      </c>
      <c r="N63" s="440"/>
      <c r="O63" s="440">
        <f>449+4+372</f>
        <v>825</v>
      </c>
      <c r="P63" s="440"/>
      <c r="Q63" s="440">
        <v>0</v>
      </c>
      <c r="R63" s="440"/>
      <c r="S63" s="440">
        <v>0</v>
      </c>
      <c r="T63" s="440"/>
      <c r="U63" s="441">
        <f>+M63-O63+Q63-S63</f>
        <v>10071</v>
      </c>
      <c r="V63" s="410"/>
      <c r="W63" s="6"/>
    </row>
    <row r="64" spans="1:23" ht="15.6">
      <c r="A64" s="378"/>
      <c r="B64" s="379" t="s">
        <v>25</v>
      </c>
      <c r="C64" s="440"/>
      <c r="D64" s="440"/>
      <c r="E64" s="440"/>
      <c r="F64" s="440"/>
      <c r="G64" s="440"/>
      <c r="H64" s="440"/>
      <c r="I64" s="440"/>
      <c r="J64" s="440"/>
      <c r="K64" s="440"/>
      <c r="L64" s="440"/>
      <c r="M64" s="440"/>
      <c r="N64" s="440"/>
      <c r="O64" s="440"/>
      <c r="P64" s="440"/>
      <c r="Q64" s="440">
        <v>0</v>
      </c>
      <c r="R64" s="440"/>
      <c r="S64" s="440">
        <v>0</v>
      </c>
      <c r="T64" s="440"/>
      <c r="U64" s="441">
        <f>M64-O64</f>
        <v>0</v>
      </c>
      <c r="V64" s="410"/>
      <c r="W64" s="6"/>
    </row>
    <row r="65" spans="1:24" ht="15.6">
      <c r="A65" s="378"/>
      <c r="B65" s="379"/>
      <c r="C65" s="440"/>
      <c r="D65" s="440"/>
      <c r="E65" s="440"/>
      <c r="F65" s="440"/>
      <c r="G65" s="440"/>
      <c r="H65" s="440"/>
      <c r="I65" s="440"/>
      <c r="J65" s="440"/>
      <c r="K65" s="440"/>
      <c r="L65" s="440"/>
      <c r="M65" s="440"/>
      <c r="N65" s="440"/>
      <c r="O65" s="440"/>
      <c r="P65" s="440"/>
      <c r="Q65" s="440"/>
      <c r="R65" s="440"/>
      <c r="S65" s="440"/>
      <c r="T65" s="440"/>
      <c r="U65" s="441"/>
      <c r="V65" s="410"/>
      <c r="W65" s="6"/>
    </row>
    <row r="66" spans="1:24" ht="15.6">
      <c r="A66" s="378"/>
      <c r="B66" s="379" t="s">
        <v>26</v>
      </c>
      <c r="C66" s="440"/>
      <c r="D66" s="440"/>
      <c r="E66" s="440"/>
      <c r="F66" s="440"/>
      <c r="G66" s="440"/>
      <c r="H66" s="440"/>
      <c r="I66" s="440"/>
      <c r="J66" s="440"/>
      <c r="K66" s="440">
        <v>24470</v>
      </c>
      <c r="L66" s="440"/>
      <c r="M66" s="440">
        <v>3234</v>
      </c>
      <c r="N66" s="440"/>
      <c r="O66" s="440">
        <f>360-34</f>
        <v>326</v>
      </c>
      <c r="P66" s="440"/>
      <c r="Q66" s="440">
        <v>0</v>
      </c>
      <c r="R66" s="440"/>
      <c r="S66" s="440">
        <f>SUM(S63:S65)</f>
        <v>0</v>
      </c>
      <c r="T66" s="440"/>
      <c r="U66" s="441">
        <f>+M66-O66+Q66-S66</f>
        <v>2908</v>
      </c>
      <c r="V66" s="410"/>
      <c r="W66" s="6"/>
    </row>
    <row r="67" spans="1:24" ht="15.6">
      <c r="A67" s="378"/>
      <c r="B67" s="379" t="s">
        <v>25</v>
      </c>
      <c r="C67" s="440"/>
      <c r="D67" s="440"/>
      <c r="E67" s="440"/>
      <c r="F67" s="440"/>
      <c r="G67" s="440"/>
      <c r="H67" s="440"/>
      <c r="I67" s="440"/>
      <c r="J67" s="440"/>
      <c r="K67" s="440"/>
      <c r="L67" s="440"/>
      <c r="M67" s="440"/>
      <c r="N67" s="440"/>
      <c r="O67" s="440"/>
      <c r="P67" s="440"/>
      <c r="Q67" s="440">
        <v>0</v>
      </c>
      <c r="R67" s="440"/>
      <c r="S67" s="440">
        <v>0</v>
      </c>
      <c r="T67" s="440"/>
      <c r="U67" s="440"/>
      <c r="V67" s="410"/>
      <c r="W67" s="6"/>
    </row>
    <row r="68" spans="1:24" ht="15.6">
      <c r="A68" s="378"/>
      <c r="B68" s="386"/>
      <c r="C68" s="440"/>
      <c r="D68" s="440"/>
      <c r="E68" s="440"/>
      <c r="F68" s="440"/>
      <c r="G68" s="440"/>
      <c r="H68" s="440"/>
      <c r="I68" s="440"/>
      <c r="J68" s="440"/>
      <c r="K68" s="440"/>
      <c r="L68" s="440"/>
      <c r="M68" s="440"/>
      <c r="N68" s="440"/>
      <c r="O68" s="442"/>
      <c r="P68" s="440"/>
      <c r="Q68" s="440"/>
      <c r="R68" s="440"/>
      <c r="S68" s="440"/>
      <c r="T68" s="440"/>
      <c r="U68" s="440"/>
      <c r="V68" s="410"/>
      <c r="W68" s="6"/>
    </row>
    <row r="69" spans="1:24" ht="15.6">
      <c r="A69" s="378"/>
      <c r="B69" s="379" t="s">
        <v>27</v>
      </c>
      <c r="C69" s="440"/>
      <c r="D69" s="440"/>
      <c r="E69" s="440"/>
      <c r="F69" s="440"/>
      <c r="G69" s="440"/>
      <c r="H69" s="440"/>
      <c r="I69" s="440"/>
      <c r="J69" s="440"/>
      <c r="K69" s="440">
        <v>220072</v>
      </c>
      <c r="L69" s="440"/>
      <c r="M69" s="440">
        <v>209515</v>
      </c>
      <c r="N69" s="440"/>
      <c r="O69" s="440">
        <f>7161+633</f>
        <v>7794</v>
      </c>
      <c r="P69" s="440"/>
      <c r="Q69" s="440">
        <v>0</v>
      </c>
      <c r="R69" s="440"/>
      <c r="S69" s="440">
        <v>0</v>
      </c>
      <c r="T69" s="440"/>
      <c r="U69" s="441">
        <f>+M69-O69+Q69-S69</f>
        <v>201721</v>
      </c>
      <c r="V69" s="410"/>
      <c r="W69" s="6"/>
    </row>
    <row r="70" spans="1:24" ht="15.6">
      <c r="A70" s="378"/>
      <c r="B70" s="379" t="s">
        <v>25</v>
      </c>
      <c r="C70" s="440"/>
      <c r="D70" s="440"/>
      <c r="E70" s="440"/>
      <c r="F70" s="440"/>
      <c r="G70" s="440"/>
      <c r="H70" s="440"/>
      <c r="I70" s="440"/>
      <c r="J70" s="440"/>
      <c r="K70" s="440"/>
      <c r="L70" s="440"/>
      <c r="M70" s="440"/>
      <c r="N70" s="440"/>
      <c r="O70" s="440"/>
      <c r="P70" s="440"/>
      <c r="Q70" s="440">
        <v>0</v>
      </c>
      <c r="R70" s="440"/>
      <c r="S70" s="440">
        <v>0</v>
      </c>
      <c r="T70" s="440"/>
      <c r="U70" s="441">
        <f>M70-O70+Q70-S70</f>
        <v>0</v>
      </c>
      <c r="V70" s="410"/>
      <c r="W70" s="6"/>
    </row>
    <row r="71" spans="1:24" ht="15.6">
      <c r="A71" s="378"/>
      <c r="B71" s="379"/>
      <c r="C71" s="440"/>
      <c r="D71" s="440"/>
      <c r="E71" s="440"/>
      <c r="F71" s="440"/>
      <c r="G71" s="440"/>
      <c r="H71" s="440"/>
      <c r="I71" s="440"/>
      <c r="J71" s="440"/>
      <c r="K71" s="440"/>
      <c r="L71" s="440"/>
      <c r="M71" s="440"/>
      <c r="N71" s="440"/>
      <c r="O71" s="440"/>
      <c r="P71" s="440"/>
      <c r="Q71" s="440"/>
      <c r="R71" s="440"/>
      <c r="S71" s="440"/>
      <c r="T71" s="440"/>
      <c r="U71" s="441"/>
      <c r="V71" s="410"/>
      <c r="W71" s="6"/>
    </row>
    <row r="72" spans="1:24" ht="15.6">
      <c r="A72" s="378"/>
      <c r="B72" s="379" t="s">
        <v>28</v>
      </c>
      <c r="C72" s="440"/>
      <c r="D72" s="440"/>
      <c r="E72" s="440"/>
      <c r="F72" s="440"/>
      <c r="G72" s="440"/>
      <c r="H72" s="440"/>
      <c r="I72" s="440"/>
      <c r="J72" s="440"/>
      <c r="K72" s="440">
        <v>138321</v>
      </c>
      <c r="L72" s="440"/>
      <c r="M72" s="440">
        <v>15153</v>
      </c>
      <c r="N72" s="440"/>
      <c r="O72" s="440">
        <f>2856+411</f>
        <v>3267</v>
      </c>
      <c r="P72" s="440"/>
      <c r="Q72" s="440">
        <v>0</v>
      </c>
      <c r="R72" s="440"/>
      <c r="S72" s="440">
        <v>0</v>
      </c>
      <c r="T72" s="440"/>
      <c r="U72" s="441">
        <f>+M72-O72+Q72-S72</f>
        <v>11886</v>
      </c>
      <c r="V72" s="410"/>
      <c r="W72" s="6"/>
    </row>
    <row r="73" spans="1:24" ht="15.6">
      <c r="A73" s="378"/>
      <c r="B73" s="379" t="s">
        <v>25</v>
      </c>
      <c r="C73" s="440"/>
      <c r="D73" s="440"/>
      <c r="E73" s="440"/>
      <c r="F73" s="440"/>
      <c r="G73" s="440"/>
      <c r="H73" s="440"/>
      <c r="I73" s="440"/>
      <c r="J73" s="440"/>
      <c r="K73" s="440"/>
      <c r="L73" s="440"/>
      <c r="M73" s="440"/>
      <c r="N73" s="440"/>
      <c r="O73" s="440"/>
      <c r="P73" s="440"/>
      <c r="Q73" s="440">
        <v>0</v>
      </c>
      <c r="R73" s="440"/>
      <c r="S73" s="440">
        <v>0</v>
      </c>
      <c r="T73" s="440"/>
      <c r="U73" s="441"/>
      <c r="V73" s="410"/>
      <c r="W73" s="6"/>
    </row>
    <row r="74" spans="1:24" ht="15.6">
      <c r="A74" s="378"/>
      <c r="B74" s="440"/>
      <c r="C74" s="440"/>
      <c r="D74" s="440"/>
      <c r="E74" s="440"/>
      <c r="F74" s="440"/>
      <c r="G74" s="440"/>
      <c r="H74" s="440"/>
      <c r="I74" s="440"/>
      <c r="J74" s="440"/>
      <c r="K74" s="440"/>
      <c r="L74" s="440"/>
      <c r="M74" s="440"/>
      <c r="N74" s="440"/>
      <c r="O74" s="440"/>
      <c r="P74" s="440"/>
      <c r="Q74" s="440"/>
      <c r="R74" s="440"/>
      <c r="S74" s="440"/>
      <c r="T74" s="440"/>
      <c r="U74" s="441"/>
      <c r="V74" s="410"/>
      <c r="W74" s="6"/>
    </row>
    <row r="75" spans="1:24" ht="15.6">
      <c r="A75" s="378"/>
      <c r="B75" s="379" t="s">
        <v>29</v>
      </c>
      <c r="C75" s="440"/>
      <c r="D75" s="440"/>
      <c r="E75" s="440"/>
      <c r="F75" s="440"/>
      <c r="G75" s="440"/>
      <c r="H75" s="440"/>
      <c r="I75" s="440"/>
      <c r="J75" s="440"/>
      <c r="K75" s="440">
        <f>SUM(K63:K72)</f>
        <v>450000</v>
      </c>
      <c r="L75" s="440"/>
      <c r="M75" s="440">
        <f>SUM(M63:M72)</f>
        <v>238798</v>
      </c>
      <c r="N75" s="440"/>
      <c r="O75" s="440">
        <f>SUM(O63:O73)</f>
        <v>12212</v>
      </c>
      <c r="P75" s="440"/>
      <c r="Q75" s="440">
        <f>SUM(Q63:Q73)</f>
        <v>0</v>
      </c>
      <c r="R75" s="440"/>
      <c r="S75" s="440">
        <f>SUM(S70:S74)</f>
        <v>0</v>
      </c>
      <c r="T75" s="440"/>
      <c r="U75" s="440">
        <f>SUM(U63:U73)</f>
        <v>226586</v>
      </c>
      <c r="V75" s="410"/>
      <c r="W75" s="6"/>
      <c r="X75" s="182"/>
    </row>
    <row r="76" spans="1:24" ht="15.6">
      <c r="A76" s="378"/>
      <c r="B76" s="379"/>
      <c r="C76" s="440"/>
      <c r="D76" s="440"/>
      <c r="E76" s="440"/>
      <c r="F76" s="440"/>
      <c r="G76" s="440"/>
      <c r="H76" s="440"/>
      <c r="I76" s="440"/>
      <c r="J76" s="440"/>
      <c r="K76" s="440"/>
      <c r="L76" s="440"/>
      <c r="M76" s="440"/>
      <c r="N76" s="440"/>
      <c r="O76" s="440"/>
      <c r="P76" s="440"/>
      <c r="Q76" s="440"/>
      <c r="R76" s="440"/>
      <c r="S76" s="440"/>
      <c r="T76" s="440"/>
      <c r="U76" s="440"/>
      <c r="V76" s="410"/>
      <c r="W76" s="6"/>
    </row>
    <row r="77" spans="1:24" ht="15.6">
      <c r="A77" s="378"/>
      <c r="B77" s="379" t="s">
        <v>214</v>
      </c>
      <c r="C77" s="440"/>
      <c r="D77" s="440"/>
      <c r="E77" s="440"/>
      <c r="F77" s="440"/>
      <c r="G77" s="440"/>
      <c r="H77" s="440"/>
      <c r="I77" s="440"/>
      <c r="J77" s="440"/>
      <c r="K77" s="440">
        <v>0</v>
      </c>
      <c r="L77" s="440"/>
      <c r="M77" s="440">
        <v>-11017</v>
      </c>
      <c r="N77" s="440"/>
      <c r="O77" s="440">
        <v>551</v>
      </c>
      <c r="P77" s="440"/>
      <c r="Q77" s="440"/>
      <c r="R77" s="440"/>
      <c r="S77" s="440"/>
      <c r="T77" s="440"/>
      <c r="U77" s="441">
        <f>+M77-O77</f>
        <v>-11568</v>
      </c>
      <c r="V77" s="410"/>
      <c r="W77" s="6"/>
    </row>
    <row r="78" spans="1:24" ht="15.6">
      <c r="A78" s="378"/>
      <c r="B78" s="379" t="s">
        <v>30</v>
      </c>
      <c r="C78" s="440"/>
      <c r="D78" s="440"/>
      <c r="E78" s="440"/>
      <c r="F78" s="440"/>
      <c r="G78" s="440"/>
      <c r="H78" s="440"/>
      <c r="I78" s="440"/>
      <c r="J78" s="440"/>
      <c r="K78" s="440">
        <v>0</v>
      </c>
      <c r="L78" s="440"/>
      <c r="M78" s="440">
        <v>0</v>
      </c>
      <c r="N78" s="440"/>
      <c r="O78" s="440">
        <v>0</v>
      </c>
      <c r="P78" s="440"/>
      <c r="Q78" s="440">
        <v>0</v>
      </c>
      <c r="R78" s="440"/>
      <c r="S78" s="440"/>
      <c r="T78" s="440"/>
      <c r="U78" s="440">
        <v>0</v>
      </c>
      <c r="V78" s="410"/>
      <c r="W78" s="6"/>
      <c r="X78" s="182"/>
    </row>
    <row r="79" spans="1:24" ht="15.6">
      <c r="A79" s="378"/>
      <c r="B79" s="379" t="s">
        <v>31</v>
      </c>
      <c r="C79" s="440"/>
      <c r="D79" s="440"/>
      <c r="E79" s="440"/>
      <c r="F79" s="440"/>
      <c r="G79" s="440"/>
      <c r="H79" s="440"/>
      <c r="I79" s="440"/>
      <c r="J79" s="440"/>
      <c r="K79" s="440">
        <v>0</v>
      </c>
      <c r="L79" s="440"/>
      <c r="M79" s="440">
        <v>0</v>
      </c>
      <c r="N79" s="440"/>
      <c r="O79" s="440"/>
      <c r="P79" s="440"/>
      <c r="Q79" s="440">
        <v>0</v>
      </c>
      <c r="R79" s="440"/>
      <c r="S79" s="440"/>
      <c r="T79" s="440"/>
      <c r="U79" s="440">
        <f>Q79+M79</f>
        <v>0</v>
      </c>
      <c r="V79" s="410"/>
      <c r="W79" s="6"/>
    </row>
    <row r="80" spans="1:24" ht="15.6">
      <c r="A80" s="378"/>
      <c r="B80" s="379" t="s">
        <v>16</v>
      </c>
      <c r="C80" s="440"/>
      <c r="D80" s="440"/>
      <c r="E80" s="440"/>
      <c r="F80" s="440"/>
      <c r="G80" s="440"/>
      <c r="H80" s="440"/>
      <c r="I80" s="440"/>
      <c r="J80" s="440"/>
      <c r="K80" s="440">
        <f>SUM(K75:K79)</f>
        <v>450000</v>
      </c>
      <c r="L80" s="440"/>
      <c r="M80" s="440">
        <f>SUM(M75:M79)</f>
        <v>227781</v>
      </c>
      <c r="N80" s="440"/>
      <c r="O80" s="440">
        <f>O78-O79</f>
        <v>0</v>
      </c>
      <c r="P80" s="440"/>
      <c r="Q80" s="440"/>
      <c r="R80" s="440"/>
      <c r="S80" s="440"/>
      <c r="T80" s="440"/>
      <c r="U80" s="440">
        <f>SUM(U75:U79)</f>
        <v>215018</v>
      </c>
      <c r="V80" s="410"/>
      <c r="W80" s="6"/>
    </row>
    <row r="81" spans="1:24" ht="15.6">
      <c r="A81" s="242"/>
      <c r="B81" s="437"/>
      <c r="C81" s="438"/>
      <c r="D81" s="438"/>
      <c r="E81" s="438"/>
      <c r="F81" s="438"/>
      <c r="G81" s="438"/>
      <c r="H81" s="438"/>
      <c r="I81" s="438"/>
      <c r="J81" s="438"/>
      <c r="K81" s="438"/>
      <c r="L81" s="438"/>
      <c r="M81" s="438"/>
      <c r="N81" s="438"/>
      <c r="O81" s="438"/>
      <c r="P81" s="438"/>
      <c r="Q81" s="438"/>
      <c r="R81" s="438"/>
      <c r="S81" s="439"/>
      <c r="T81" s="438"/>
      <c r="U81" s="439"/>
      <c r="V81" s="245"/>
      <c r="W81" s="6"/>
    </row>
    <row r="82" spans="1:24" ht="15.6">
      <c r="A82" s="230"/>
      <c r="B82" s="308" t="s">
        <v>32</v>
      </c>
      <c r="C82" s="308"/>
      <c r="D82" s="308"/>
      <c r="E82" s="308"/>
      <c r="F82" s="308"/>
      <c r="G82" s="308"/>
      <c r="H82" s="308"/>
      <c r="I82" s="308"/>
      <c r="J82" s="308"/>
      <c r="K82" s="308"/>
      <c r="L82" s="308"/>
      <c r="M82" s="308"/>
      <c r="N82" s="308"/>
      <c r="O82" s="308"/>
      <c r="P82" s="308"/>
      <c r="Q82" s="308"/>
      <c r="R82" s="313"/>
      <c r="S82" s="313"/>
      <c r="T82" s="313"/>
      <c r="U82" s="313" t="s">
        <v>121</v>
      </c>
      <c r="V82" s="314"/>
      <c r="W82" s="6"/>
    </row>
    <row r="83" spans="1:24" ht="15.6">
      <c r="A83" s="315"/>
      <c r="B83" s="294" t="s">
        <v>33</v>
      </c>
      <c r="C83" s="294"/>
      <c r="D83" s="294"/>
      <c r="E83" s="294"/>
      <c r="F83" s="294"/>
      <c r="G83" s="294"/>
      <c r="H83" s="294"/>
      <c r="I83" s="294"/>
      <c r="J83" s="294"/>
      <c r="K83" s="294"/>
      <c r="L83" s="294"/>
      <c r="M83" s="294"/>
      <c r="N83" s="294"/>
      <c r="O83" s="310"/>
      <c r="P83" s="294"/>
      <c r="Q83" s="294"/>
      <c r="R83" s="294"/>
      <c r="S83" s="310"/>
      <c r="T83" s="294"/>
      <c r="U83" s="311">
        <f>56915-18-1</f>
        <v>56896</v>
      </c>
      <c r="V83" s="298"/>
      <c r="W83" s="6"/>
    </row>
    <row r="84" spans="1:24" ht="15.6">
      <c r="A84" s="444"/>
      <c r="B84" s="379" t="s">
        <v>34</v>
      </c>
      <c r="C84" s="431"/>
      <c r="D84" s="431"/>
      <c r="E84" s="431"/>
      <c r="F84" s="431"/>
      <c r="G84" s="431"/>
      <c r="H84" s="431"/>
      <c r="I84" s="431"/>
      <c r="J84" s="431"/>
      <c r="K84" s="431"/>
      <c r="L84" s="431"/>
      <c r="M84" s="430"/>
      <c r="N84" s="379"/>
      <c r="O84" s="379"/>
      <c r="P84" s="379"/>
      <c r="Q84" s="379"/>
      <c r="R84" s="379"/>
      <c r="S84" s="440"/>
      <c r="T84" s="379"/>
      <c r="U84" s="441">
        <f>276+38+2</f>
        <v>316</v>
      </c>
      <c r="V84" s="410"/>
      <c r="W84" s="6"/>
    </row>
    <row r="85" spans="1:24" ht="15.6">
      <c r="A85" s="444"/>
      <c r="B85" s="379" t="s">
        <v>230</v>
      </c>
      <c r="C85" s="379"/>
      <c r="D85" s="379"/>
      <c r="E85" s="379"/>
      <c r="F85" s="379"/>
      <c r="G85" s="379"/>
      <c r="H85" s="379"/>
      <c r="I85" s="379"/>
      <c r="J85" s="379"/>
      <c r="K85" s="379"/>
      <c r="L85" s="379"/>
      <c r="M85" s="379"/>
      <c r="N85" s="379"/>
      <c r="O85" s="379"/>
      <c r="P85" s="379"/>
      <c r="Q85" s="379"/>
      <c r="R85" s="379"/>
      <c r="S85" s="440"/>
      <c r="T85" s="379"/>
      <c r="U85" s="441">
        <v>0</v>
      </c>
      <c r="V85" s="410"/>
      <c r="W85" s="6"/>
      <c r="X85" s="64"/>
    </row>
    <row r="86" spans="1:24" ht="15.6">
      <c r="A86" s="444"/>
      <c r="B86" s="379" t="s">
        <v>231</v>
      </c>
      <c r="C86" s="379"/>
      <c r="D86" s="379"/>
      <c r="E86" s="379"/>
      <c r="F86" s="379"/>
      <c r="G86" s="379"/>
      <c r="H86" s="379"/>
      <c r="I86" s="379"/>
      <c r="J86" s="379"/>
      <c r="K86" s="379"/>
      <c r="L86" s="379"/>
      <c r="M86" s="379"/>
      <c r="N86" s="379"/>
      <c r="O86" s="379"/>
      <c r="P86" s="379"/>
      <c r="Q86" s="379"/>
      <c r="R86" s="379"/>
      <c r="S86" s="440"/>
      <c r="T86" s="379"/>
      <c r="U86" s="441">
        <v>0</v>
      </c>
      <c r="V86" s="410"/>
      <c r="W86" s="6"/>
      <c r="X86" s="64"/>
    </row>
    <row r="87" spans="1:24" ht="15.6">
      <c r="A87" s="444"/>
      <c r="B87" s="379" t="s">
        <v>35</v>
      </c>
      <c r="C87" s="379"/>
      <c r="D87" s="379"/>
      <c r="E87" s="379"/>
      <c r="F87" s="379"/>
      <c r="G87" s="379"/>
      <c r="H87" s="379"/>
      <c r="I87" s="379"/>
      <c r="J87" s="379"/>
      <c r="K87" s="379"/>
      <c r="L87" s="379"/>
      <c r="M87" s="379"/>
      <c r="N87" s="379"/>
      <c r="O87" s="379"/>
      <c r="P87" s="379"/>
      <c r="Q87" s="379"/>
      <c r="R87" s="379"/>
      <c r="S87" s="440"/>
      <c r="T87" s="379"/>
      <c r="U87" s="441">
        <f>SUM(U83:U86)</f>
        <v>57212</v>
      </c>
      <c r="V87" s="410"/>
      <c r="W87" s="6"/>
      <c r="X87" s="64"/>
    </row>
    <row r="88" spans="1:24" ht="15.6">
      <c r="A88" s="444"/>
      <c r="B88" s="379"/>
      <c r="C88" s="379"/>
      <c r="D88" s="379"/>
      <c r="E88" s="379"/>
      <c r="F88" s="379"/>
      <c r="G88" s="379"/>
      <c r="H88" s="379"/>
      <c r="I88" s="379"/>
      <c r="J88" s="379"/>
      <c r="K88" s="379"/>
      <c r="L88" s="379"/>
      <c r="M88" s="379"/>
      <c r="N88" s="379"/>
      <c r="O88" s="379"/>
      <c r="P88" s="379"/>
      <c r="Q88" s="379"/>
      <c r="R88" s="379"/>
      <c r="S88" s="440"/>
      <c r="T88" s="379"/>
      <c r="U88" s="440"/>
      <c r="V88" s="410"/>
      <c r="W88" s="6"/>
    </row>
    <row r="89" spans="1:24" ht="15.6">
      <c r="A89" s="444"/>
      <c r="B89" s="445" t="s">
        <v>36</v>
      </c>
      <c r="C89" s="446"/>
      <c r="D89" s="446"/>
      <c r="E89" s="446"/>
      <c r="F89" s="446"/>
      <c r="G89" s="446"/>
      <c r="H89" s="446"/>
      <c r="I89" s="446"/>
      <c r="J89" s="446"/>
      <c r="K89" s="446"/>
      <c r="L89" s="446"/>
      <c r="M89" s="379"/>
      <c r="N89" s="379"/>
      <c r="O89" s="379"/>
      <c r="P89" s="379"/>
      <c r="Q89" s="379"/>
      <c r="R89" s="379"/>
      <c r="S89" s="440"/>
      <c r="T89" s="379"/>
      <c r="U89" s="441"/>
      <c r="V89" s="410"/>
      <c r="W89" s="6"/>
      <c r="X89" s="64"/>
    </row>
    <row r="90" spans="1:24" ht="15.6">
      <c r="A90" s="444">
        <v>1</v>
      </c>
      <c r="B90" s="379" t="s">
        <v>37</v>
      </c>
      <c r="C90" s="379"/>
      <c r="D90" s="379"/>
      <c r="E90" s="379"/>
      <c r="F90" s="379"/>
      <c r="G90" s="379"/>
      <c r="H90" s="379"/>
      <c r="I90" s="379"/>
      <c r="J90" s="379"/>
      <c r="K90" s="379"/>
      <c r="L90" s="379"/>
      <c r="M90" s="379"/>
      <c r="N90" s="379"/>
      <c r="O90" s="379"/>
      <c r="P90" s="379"/>
      <c r="Q90" s="379"/>
      <c r="R90" s="379"/>
      <c r="S90" s="379"/>
      <c r="T90" s="379"/>
      <c r="U90" s="441">
        <v>-2</v>
      </c>
      <c r="V90" s="410"/>
      <c r="W90" s="6"/>
    </row>
    <row r="91" spans="1:24" ht="15.6">
      <c r="A91" s="444">
        <f>A90+1</f>
        <v>2</v>
      </c>
      <c r="B91" s="379" t="s">
        <v>168</v>
      </c>
      <c r="C91" s="379"/>
      <c r="D91" s="379"/>
      <c r="E91" s="379"/>
      <c r="F91" s="379"/>
      <c r="G91" s="379"/>
      <c r="H91" s="379"/>
      <c r="I91" s="379"/>
      <c r="J91" s="379"/>
      <c r="K91" s="379"/>
      <c r="L91" s="379"/>
      <c r="M91" s="379"/>
      <c r="N91" s="379"/>
      <c r="O91" s="379"/>
      <c r="P91" s="379"/>
      <c r="Q91" s="379"/>
      <c r="R91" s="379"/>
      <c r="S91" s="379"/>
      <c r="T91" s="379"/>
      <c r="U91" s="441">
        <f>-225-101-3</f>
        <v>-329</v>
      </c>
      <c r="V91" s="410"/>
      <c r="W91" s="6"/>
      <c r="X91" s="64"/>
    </row>
    <row r="92" spans="1:24" ht="15.6">
      <c r="A92" s="444">
        <v>3</v>
      </c>
      <c r="B92" s="379" t="s">
        <v>38</v>
      </c>
      <c r="C92" s="379"/>
      <c r="D92" s="379"/>
      <c r="E92" s="379"/>
      <c r="F92" s="379"/>
      <c r="G92" s="379"/>
      <c r="H92" s="379"/>
      <c r="I92" s="379"/>
      <c r="J92" s="379"/>
      <c r="K92" s="379"/>
      <c r="L92" s="379"/>
      <c r="M92" s="379"/>
      <c r="N92" s="379"/>
      <c r="O92" s="379"/>
      <c r="P92" s="379"/>
      <c r="Q92" s="379"/>
      <c r="R92" s="379"/>
      <c r="S92" s="379"/>
      <c r="T92" s="379"/>
      <c r="U92" s="441">
        <v>-282</v>
      </c>
      <c r="V92" s="410"/>
      <c r="W92" s="6"/>
      <c r="X92" s="64"/>
    </row>
    <row r="93" spans="1:24" ht="15.6">
      <c r="A93" s="447" t="s">
        <v>190</v>
      </c>
      <c r="B93" s="379" t="s">
        <v>169</v>
      </c>
      <c r="C93" s="379"/>
      <c r="D93" s="379"/>
      <c r="E93" s="379"/>
      <c r="F93" s="379"/>
      <c r="G93" s="379"/>
      <c r="H93" s="379"/>
      <c r="I93" s="379"/>
      <c r="J93" s="379"/>
      <c r="K93" s="379"/>
      <c r="L93" s="379"/>
      <c r="M93" s="379"/>
      <c r="N93" s="379"/>
      <c r="O93" s="379"/>
      <c r="P93" s="379"/>
      <c r="Q93" s="379"/>
      <c r="R93" s="379"/>
      <c r="S93" s="379"/>
      <c r="T93" s="379"/>
      <c r="U93" s="441">
        <v>-134</v>
      </c>
      <c r="V93" s="410"/>
      <c r="W93" s="6"/>
      <c r="X93" s="64"/>
    </row>
    <row r="94" spans="1:24" ht="15.6">
      <c r="A94" s="447" t="s">
        <v>191</v>
      </c>
      <c r="B94" s="379" t="s">
        <v>170</v>
      </c>
      <c r="C94" s="379"/>
      <c r="D94" s="379"/>
      <c r="E94" s="379"/>
      <c r="F94" s="379"/>
      <c r="G94" s="379"/>
      <c r="H94" s="379"/>
      <c r="I94" s="379"/>
      <c r="J94" s="379"/>
      <c r="K94" s="379"/>
      <c r="L94" s="379"/>
      <c r="M94" s="379"/>
      <c r="N94" s="379"/>
      <c r="O94" s="379"/>
      <c r="P94" s="379"/>
      <c r="Q94" s="379"/>
      <c r="R94" s="379"/>
      <c r="S94" s="379"/>
      <c r="T94" s="379"/>
      <c r="U94" s="441">
        <v>-170</v>
      </c>
      <c r="V94" s="410"/>
      <c r="W94" s="6"/>
      <c r="X94" s="182"/>
    </row>
    <row r="95" spans="1:24" ht="15.6">
      <c r="A95" s="444">
        <v>5</v>
      </c>
      <c r="B95" s="379" t="s">
        <v>171</v>
      </c>
      <c r="C95" s="379"/>
      <c r="D95" s="379"/>
      <c r="E95" s="379"/>
      <c r="F95" s="379"/>
      <c r="G95" s="379"/>
      <c r="H95" s="379"/>
      <c r="I95" s="379"/>
      <c r="J95" s="379"/>
      <c r="K95" s="379"/>
      <c r="L95" s="379"/>
      <c r="M95" s="379"/>
      <c r="N95" s="379"/>
      <c r="O95" s="379"/>
      <c r="P95" s="379"/>
      <c r="Q95" s="379"/>
      <c r="R95" s="379"/>
      <c r="S95" s="379"/>
      <c r="T95" s="379"/>
      <c r="U95" s="441">
        <v>-7</v>
      </c>
      <c r="V95" s="410"/>
      <c r="W95" s="6"/>
    </row>
    <row r="96" spans="1:24" ht="15.6">
      <c r="A96" s="447" t="s">
        <v>174</v>
      </c>
      <c r="B96" s="379" t="s">
        <v>172</v>
      </c>
      <c r="C96" s="379"/>
      <c r="D96" s="379"/>
      <c r="E96" s="379"/>
      <c r="F96" s="379"/>
      <c r="G96" s="379"/>
      <c r="H96" s="379"/>
      <c r="I96" s="379"/>
      <c r="J96" s="379"/>
      <c r="K96" s="379"/>
      <c r="L96" s="379"/>
      <c r="M96" s="379"/>
      <c r="N96" s="379"/>
      <c r="O96" s="379"/>
      <c r="P96" s="379"/>
      <c r="Q96" s="379"/>
      <c r="R96" s="379"/>
      <c r="S96" s="379"/>
      <c r="T96" s="379"/>
      <c r="U96" s="441">
        <v>-55</v>
      </c>
      <c r="V96" s="410"/>
      <c r="W96" s="6"/>
      <c r="X96" s="182"/>
    </row>
    <row r="97" spans="1:24" ht="15.6">
      <c r="A97" s="447" t="s">
        <v>176</v>
      </c>
      <c r="B97" s="379" t="s">
        <v>173</v>
      </c>
      <c r="C97" s="379"/>
      <c r="D97" s="379"/>
      <c r="E97" s="379"/>
      <c r="F97" s="379"/>
      <c r="G97" s="379"/>
      <c r="H97" s="379"/>
      <c r="I97" s="379"/>
      <c r="J97" s="379"/>
      <c r="K97" s="379"/>
      <c r="L97" s="379"/>
      <c r="M97" s="379"/>
      <c r="N97" s="379"/>
      <c r="O97" s="379"/>
      <c r="P97" s="379"/>
      <c r="Q97" s="379"/>
      <c r="R97" s="379"/>
      <c r="S97" s="379"/>
      <c r="T97" s="379"/>
      <c r="U97" s="441">
        <v>-89</v>
      </c>
      <c r="V97" s="410"/>
      <c r="W97" s="119"/>
      <c r="X97" s="182"/>
    </row>
    <row r="98" spans="1:24" ht="15.6">
      <c r="A98" s="447" t="s">
        <v>178</v>
      </c>
      <c r="B98" s="379" t="s">
        <v>175</v>
      </c>
      <c r="C98" s="379"/>
      <c r="D98" s="379"/>
      <c r="E98" s="379"/>
      <c r="F98" s="379"/>
      <c r="G98" s="379"/>
      <c r="H98" s="379"/>
      <c r="I98" s="379"/>
      <c r="J98" s="379"/>
      <c r="K98" s="379"/>
      <c r="L98" s="379"/>
      <c r="M98" s="379"/>
      <c r="N98" s="379"/>
      <c r="O98" s="379"/>
      <c r="P98" s="379"/>
      <c r="Q98" s="379"/>
      <c r="R98" s="379"/>
      <c r="S98" s="379"/>
      <c r="T98" s="379"/>
      <c r="U98" s="441">
        <v>-85</v>
      </c>
      <c r="V98" s="410"/>
      <c r="W98" s="6"/>
      <c r="X98" s="182"/>
    </row>
    <row r="99" spans="1:24" ht="15.6">
      <c r="A99" s="447" t="s">
        <v>180</v>
      </c>
      <c r="B99" s="379" t="s">
        <v>177</v>
      </c>
      <c r="C99" s="379"/>
      <c r="D99" s="379"/>
      <c r="E99" s="379"/>
      <c r="F99" s="379"/>
      <c r="G99" s="379"/>
      <c r="H99" s="379"/>
      <c r="I99" s="379"/>
      <c r="J99" s="379"/>
      <c r="K99" s="379"/>
      <c r="L99" s="379"/>
      <c r="M99" s="379"/>
      <c r="N99" s="379"/>
      <c r="O99" s="379"/>
      <c r="P99" s="379"/>
      <c r="Q99" s="379"/>
      <c r="R99" s="379"/>
      <c r="S99" s="379"/>
      <c r="T99" s="379"/>
      <c r="U99" s="441">
        <v>-110</v>
      </c>
      <c r="V99" s="410"/>
      <c r="W99" s="119"/>
      <c r="X99" s="182"/>
    </row>
    <row r="100" spans="1:24" ht="15.6">
      <c r="A100" s="447" t="s">
        <v>192</v>
      </c>
      <c r="B100" s="379" t="s">
        <v>179</v>
      </c>
      <c r="C100" s="379"/>
      <c r="D100" s="379"/>
      <c r="E100" s="379"/>
      <c r="F100" s="379"/>
      <c r="G100" s="379"/>
      <c r="H100" s="379"/>
      <c r="I100" s="379"/>
      <c r="J100" s="379"/>
      <c r="K100" s="379"/>
      <c r="L100" s="379"/>
      <c r="M100" s="379"/>
      <c r="N100" s="379"/>
      <c r="O100" s="379"/>
      <c r="P100" s="379"/>
      <c r="Q100" s="379"/>
      <c r="R100" s="379"/>
      <c r="S100" s="379"/>
      <c r="T100" s="379"/>
      <c r="U100" s="441">
        <v>-158</v>
      </c>
      <c r="V100" s="410"/>
      <c r="W100" s="6"/>
      <c r="X100" s="182"/>
    </row>
    <row r="101" spans="1:24" ht="15.6">
      <c r="A101" s="447" t="s">
        <v>193</v>
      </c>
      <c r="B101" s="379" t="s">
        <v>181</v>
      </c>
      <c r="C101" s="379"/>
      <c r="D101" s="379"/>
      <c r="E101" s="379"/>
      <c r="F101" s="379"/>
      <c r="G101" s="379"/>
      <c r="H101" s="379"/>
      <c r="I101" s="379"/>
      <c r="J101" s="379"/>
      <c r="K101" s="379"/>
      <c r="L101" s="379"/>
      <c r="M101" s="379"/>
      <c r="N101" s="379"/>
      <c r="O101" s="379"/>
      <c r="P101" s="379"/>
      <c r="Q101" s="379"/>
      <c r="R101" s="379"/>
      <c r="S101" s="379"/>
      <c r="T101" s="379"/>
      <c r="U101" s="441">
        <v>-136</v>
      </c>
      <c r="V101" s="410"/>
      <c r="W101" s="119"/>
      <c r="X101" s="182"/>
    </row>
    <row r="102" spans="1:24" ht="15.6">
      <c r="A102" s="444">
        <v>9</v>
      </c>
      <c r="B102" s="379" t="s">
        <v>257</v>
      </c>
      <c r="C102" s="379"/>
      <c r="D102" s="379"/>
      <c r="E102" s="379"/>
      <c r="F102" s="379"/>
      <c r="G102" s="379"/>
      <c r="H102" s="379"/>
      <c r="I102" s="379"/>
      <c r="J102" s="379"/>
      <c r="K102" s="379"/>
      <c r="L102" s="379"/>
      <c r="M102" s="379"/>
      <c r="N102" s="379"/>
      <c r="O102" s="379"/>
      <c r="P102" s="379"/>
      <c r="Q102" s="379"/>
      <c r="R102" s="379"/>
      <c r="S102" s="379"/>
      <c r="T102" s="379"/>
      <c r="U102" s="441">
        <f>+S219-U32</f>
        <v>-12763.035999999993</v>
      </c>
      <c r="V102" s="410"/>
      <c r="W102" s="6"/>
      <c r="X102" s="182"/>
    </row>
    <row r="103" spans="1:24" ht="15.6">
      <c r="A103" s="444">
        <v>10</v>
      </c>
      <c r="B103" s="379" t="s">
        <v>234</v>
      </c>
      <c r="C103" s="379"/>
      <c r="D103" s="379"/>
      <c r="E103" s="379"/>
      <c r="F103" s="379"/>
      <c r="G103" s="379"/>
      <c r="H103" s="379"/>
      <c r="I103" s="379"/>
      <c r="J103" s="379"/>
      <c r="K103" s="379"/>
      <c r="L103" s="379"/>
      <c r="M103" s="379"/>
      <c r="N103" s="379"/>
      <c r="O103" s="379"/>
      <c r="P103" s="379"/>
      <c r="Q103" s="379"/>
      <c r="R103" s="379"/>
      <c r="S103" s="379"/>
      <c r="T103" s="379"/>
      <c r="U103" s="441">
        <v>-40500</v>
      </c>
      <c r="V103" s="410"/>
      <c r="W103" s="6"/>
      <c r="X103" s="64"/>
    </row>
    <row r="104" spans="1:24" ht="15.6">
      <c r="A104" s="444">
        <v>11</v>
      </c>
      <c r="B104" s="379" t="s">
        <v>183</v>
      </c>
      <c r="C104" s="379"/>
      <c r="D104" s="379"/>
      <c r="E104" s="379"/>
      <c r="F104" s="379"/>
      <c r="G104" s="379"/>
      <c r="H104" s="379"/>
      <c r="I104" s="379"/>
      <c r="J104" s="379"/>
      <c r="K104" s="379"/>
      <c r="L104" s="379"/>
      <c r="M104" s="379"/>
      <c r="N104" s="379"/>
      <c r="O104" s="379"/>
      <c r="P104" s="379"/>
      <c r="Q104" s="379"/>
      <c r="R104" s="379"/>
      <c r="S104" s="379"/>
      <c r="T104" s="379"/>
      <c r="U104" s="441">
        <v>0</v>
      </c>
      <c r="V104" s="410"/>
      <c r="W104" s="6"/>
      <c r="X104" s="64"/>
    </row>
    <row r="105" spans="1:24" ht="15.6">
      <c r="A105" s="444">
        <v>12</v>
      </c>
      <c r="B105" s="379" t="s">
        <v>184</v>
      </c>
      <c r="C105" s="379"/>
      <c r="D105" s="379"/>
      <c r="E105" s="379"/>
      <c r="F105" s="379"/>
      <c r="G105" s="379"/>
      <c r="H105" s="379"/>
      <c r="I105" s="379"/>
      <c r="J105" s="379"/>
      <c r="K105" s="379"/>
      <c r="L105" s="379"/>
      <c r="M105" s="379"/>
      <c r="N105" s="379"/>
      <c r="O105" s="379"/>
      <c r="P105" s="379"/>
      <c r="Q105" s="379"/>
      <c r="R105" s="379"/>
      <c r="S105" s="379"/>
      <c r="T105" s="379"/>
      <c r="U105" s="441">
        <v>-253</v>
      </c>
      <c r="V105" s="410"/>
      <c r="W105" s="6"/>
      <c r="X105" s="182"/>
    </row>
    <row r="106" spans="1:24" ht="15.6">
      <c r="A106" s="444">
        <v>13</v>
      </c>
      <c r="B106" s="379" t="s">
        <v>40</v>
      </c>
      <c r="C106" s="379"/>
      <c r="D106" s="379"/>
      <c r="E106" s="379"/>
      <c r="F106" s="379"/>
      <c r="G106" s="379"/>
      <c r="H106" s="379"/>
      <c r="I106" s="379"/>
      <c r="J106" s="379"/>
      <c r="K106" s="379"/>
      <c r="L106" s="379"/>
      <c r="M106" s="379"/>
      <c r="N106" s="379"/>
      <c r="O106" s="379"/>
      <c r="P106" s="379"/>
      <c r="Q106" s="379"/>
      <c r="R106" s="379"/>
      <c r="S106" s="379"/>
      <c r="T106" s="379"/>
      <c r="U106" s="441">
        <f>-SUM(U87:V105)</f>
        <v>-2138.9640000000072</v>
      </c>
      <c r="V106" s="410"/>
      <c r="W106" s="6"/>
      <c r="X106" s="182"/>
    </row>
    <row r="107" spans="1:24" ht="15.6">
      <c r="A107" s="316"/>
      <c r="B107" s="443"/>
      <c r="C107" s="364"/>
      <c r="D107" s="364"/>
      <c r="E107" s="364"/>
      <c r="F107" s="364"/>
      <c r="G107" s="364"/>
      <c r="H107" s="364"/>
      <c r="I107" s="364"/>
      <c r="J107" s="364"/>
      <c r="K107" s="364"/>
      <c r="L107" s="364"/>
      <c r="M107" s="364"/>
      <c r="N107" s="364"/>
      <c r="O107" s="364"/>
      <c r="P107" s="364"/>
      <c r="Q107" s="364"/>
      <c r="R107" s="364"/>
      <c r="S107" s="360"/>
      <c r="T107" s="360"/>
      <c r="U107" s="360"/>
      <c r="V107" s="303"/>
      <c r="W107" s="6"/>
      <c r="X107" s="182"/>
    </row>
    <row r="108" spans="1:24" ht="15.6">
      <c r="A108" s="316"/>
      <c r="B108" s="317"/>
      <c r="C108" s="288"/>
      <c r="D108" s="288"/>
      <c r="E108" s="288"/>
      <c r="F108" s="288"/>
      <c r="G108" s="288"/>
      <c r="H108" s="288"/>
      <c r="I108" s="288"/>
      <c r="J108" s="288"/>
      <c r="K108" s="288"/>
      <c r="L108" s="288"/>
      <c r="M108" s="288"/>
      <c r="N108" s="288"/>
      <c r="O108" s="288"/>
      <c r="P108" s="288"/>
      <c r="Q108" s="288"/>
      <c r="R108" s="288"/>
      <c r="S108" s="318"/>
      <c r="T108" s="318"/>
      <c r="U108" s="318"/>
      <c r="V108" s="303"/>
      <c r="W108" s="6"/>
    </row>
    <row r="109" spans="1:24" ht="16.2" thickBot="1">
      <c r="A109" s="319"/>
      <c r="B109" s="304" t="str">
        <f>+B59</f>
        <v>PPAF3 INVESTOR REPORT QUARTER ENDING MARCH 2011</v>
      </c>
      <c r="C109" s="305"/>
      <c r="D109" s="305"/>
      <c r="E109" s="305"/>
      <c r="F109" s="305"/>
      <c r="G109" s="305"/>
      <c r="H109" s="305"/>
      <c r="I109" s="305"/>
      <c r="J109" s="305"/>
      <c r="K109" s="305"/>
      <c r="L109" s="305"/>
      <c r="M109" s="305"/>
      <c r="N109" s="305"/>
      <c r="O109" s="305"/>
      <c r="P109" s="305"/>
      <c r="Q109" s="305"/>
      <c r="R109" s="305"/>
      <c r="S109" s="320"/>
      <c r="T109" s="320"/>
      <c r="U109" s="320"/>
      <c r="V109" s="307"/>
      <c r="W109" s="6"/>
    </row>
    <row r="110" spans="1:24" ht="15.6">
      <c r="A110" s="238"/>
      <c r="B110" s="240"/>
      <c r="C110" s="240"/>
      <c r="D110" s="240"/>
      <c r="E110" s="240"/>
      <c r="F110" s="240"/>
      <c r="G110" s="240"/>
      <c r="H110" s="240"/>
      <c r="I110" s="240"/>
      <c r="J110" s="240"/>
      <c r="K110" s="240"/>
      <c r="L110" s="240"/>
      <c r="M110" s="240"/>
      <c r="N110" s="240"/>
      <c r="O110" s="240"/>
      <c r="P110" s="240"/>
      <c r="Q110" s="240"/>
      <c r="R110" s="240"/>
      <c r="S110" s="269"/>
      <c r="T110" s="269"/>
      <c r="U110" s="269"/>
      <c r="V110" s="241"/>
      <c r="W110" s="6"/>
    </row>
    <row r="111" spans="1:24" ht="15.6">
      <c r="A111" s="321"/>
      <c r="B111" s="499" t="s">
        <v>41</v>
      </c>
      <c r="C111" s="322"/>
      <c r="D111" s="322"/>
      <c r="E111" s="322"/>
      <c r="F111" s="322"/>
      <c r="G111" s="322"/>
      <c r="H111" s="322"/>
      <c r="I111" s="322"/>
      <c r="J111" s="322"/>
      <c r="K111" s="322"/>
      <c r="L111" s="322"/>
      <c r="M111" s="322"/>
      <c r="N111" s="322"/>
      <c r="O111" s="322"/>
      <c r="P111" s="322"/>
      <c r="Q111" s="322"/>
      <c r="R111" s="322"/>
      <c r="S111" s="322"/>
      <c r="T111" s="322"/>
      <c r="U111" s="323"/>
      <c r="V111" s="324"/>
      <c r="W111" s="6"/>
    </row>
    <row r="112" spans="1:24" ht="15.6">
      <c r="A112" s="270"/>
      <c r="B112" s="271"/>
      <c r="C112" s="271"/>
      <c r="D112" s="271"/>
      <c r="E112" s="271"/>
      <c r="F112" s="271"/>
      <c r="G112" s="271"/>
      <c r="H112" s="271"/>
      <c r="I112" s="271"/>
      <c r="J112" s="271"/>
      <c r="K112" s="271"/>
      <c r="L112" s="271"/>
      <c r="M112" s="271"/>
      <c r="N112" s="271"/>
      <c r="O112" s="271"/>
      <c r="P112" s="271"/>
      <c r="Q112" s="271"/>
      <c r="R112" s="271"/>
      <c r="S112" s="271"/>
      <c r="T112" s="271"/>
      <c r="U112" s="272"/>
      <c r="V112" s="273"/>
      <c r="W112" s="6"/>
    </row>
    <row r="113" spans="1:23" ht="15.6">
      <c r="A113" s="242"/>
      <c r="B113" s="274" t="s">
        <v>42</v>
      </c>
      <c r="C113" s="252"/>
      <c r="D113" s="252"/>
      <c r="E113" s="252"/>
      <c r="F113" s="252"/>
      <c r="G113" s="252"/>
      <c r="H113" s="252"/>
      <c r="I113" s="252"/>
      <c r="J113" s="252"/>
      <c r="K113" s="252"/>
      <c r="L113" s="252"/>
      <c r="M113" s="244"/>
      <c r="N113" s="244"/>
      <c r="O113" s="244"/>
      <c r="P113" s="244"/>
      <c r="Q113" s="244"/>
      <c r="R113" s="244"/>
      <c r="S113" s="244"/>
      <c r="T113" s="244"/>
      <c r="U113" s="263"/>
      <c r="V113" s="245"/>
      <c r="W113" s="6"/>
    </row>
    <row r="114" spans="1:23" ht="15.6">
      <c r="A114" s="378"/>
      <c r="B114" s="379" t="s">
        <v>43</v>
      </c>
      <c r="C114" s="379"/>
      <c r="D114" s="379"/>
      <c r="E114" s="379"/>
      <c r="F114" s="379"/>
      <c r="G114" s="379"/>
      <c r="H114" s="379"/>
      <c r="I114" s="379"/>
      <c r="J114" s="379"/>
      <c r="K114" s="379"/>
      <c r="L114" s="379"/>
      <c r="M114" s="379"/>
      <c r="N114" s="379"/>
      <c r="O114" s="379"/>
      <c r="P114" s="379"/>
      <c r="Q114" s="379"/>
      <c r="R114" s="379"/>
      <c r="S114" s="379"/>
      <c r="T114" s="379"/>
      <c r="U114" s="441">
        <v>40500</v>
      </c>
      <c r="V114" s="410"/>
      <c r="W114" s="6"/>
    </row>
    <row r="115" spans="1:23" ht="15.6">
      <c r="A115" s="378"/>
      <c r="B115" s="379" t="s">
        <v>240</v>
      </c>
      <c r="C115" s="379"/>
      <c r="D115" s="379"/>
      <c r="E115" s="379"/>
      <c r="F115" s="379"/>
      <c r="G115" s="379"/>
      <c r="H115" s="379"/>
      <c r="I115" s="379"/>
      <c r="J115" s="379"/>
      <c r="K115" s="379"/>
      <c r="L115" s="379"/>
      <c r="M115" s="379"/>
      <c r="N115" s="379"/>
      <c r="O115" s="379"/>
      <c r="P115" s="379"/>
      <c r="Q115" s="379"/>
      <c r="R115" s="379"/>
      <c r="S115" s="379"/>
      <c r="T115" s="379"/>
      <c r="U115" s="441">
        <v>40500</v>
      </c>
      <c r="V115" s="410"/>
      <c r="W115" s="6"/>
    </row>
    <row r="116" spans="1:23" ht="15.6">
      <c r="A116" s="378"/>
      <c r="B116" s="379" t="s">
        <v>241</v>
      </c>
      <c r="C116" s="379"/>
      <c r="D116" s="379"/>
      <c r="E116" s="379"/>
      <c r="F116" s="379"/>
      <c r="G116" s="379"/>
      <c r="H116" s="379"/>
      <c r="I116" s="379"/>
      <c r="J116" s="379"/>
      <c r="K116" s="379"/>
      <c r="L116" s="379"/>
      <c r="M116" s="379"/>
      <c r="N116" s="379"/>
      <c r="O116" s="379"/>
      <c r="P116" s="379"/>
      <c r="Q116" s="379"/>
      <c r="R116" s="379"/>
      <c r="S116" s="379"/>
      <c r="T116" s="379"/>
      <c r="U116" s="441">
        <v>0</v>
      </c>
      <c r="V116" s="410"/>
      <c r="W116" s="6"/>
    </row>
    <row r="117" spans="1:23" ht="15.6">
      <c r="A117" s="378"/>
      <c r="B117" s="379" t="s">
        <v>209</v>
      </c>
      <c r="C117" s="379"/>
      <c r="D117" s="379"/>
      <c r="E117" s="379"/>
      <c r="F117" s="379"/>
      <c r="G117" s="379"/>
      <c r="H117" s="379"/>
      <c r="I117" s="379"/>
      <c r="J117" s="379"/>
      <c r="K117" s="379"/>
      <c r="L117" s="379"/>
      <c r="M117" s="379"/>
      <c r="N117" s="379"/>
      <c r="O117" s="379"/>
      <c r="P117" s="379"/>
      <c r="Q117" s="379"/>
      <c r="R117" s="379"/>
      <c r="S117" s="379"/>
      <c r="T117" s="379"/>
      <c r="U117" s="441">
        <v>0</v>
      </c>
      <c r="V117" s="410"/>
      <c r="W117" s="6"/>
    </row>
    <row r="118" spans="1:23" ht="15.6">
      <c r="A118" s="378"/>
      <c r="B118" s="379" t="s">
        <v>210</v>
      </c>
      <c r="C118" s="379"/>
      <c r="D118" s="379"/>
      <c r="E118" s="379"/>
      <c r="F118" s="379"/>
      <c r="G118" s="379"/>
      <c r="H118" s="379"/>
      <c r="I118" s="379"/>
      <c r="J118" s="379"/>
      <c r="K118" s="379"/>
      <c r="L118" s="379"/>
      <c r="M118" s="379"/>
      <c r="N118" s="379"/>
      <c r="O118" s="379"/>
      <c r="P118" s="379"/>
      <c r="Q118" s="379"/>
      <c r="R118" s="379"/>
      <c r="S118" s="379"/>
      <c r="T118" s="379"/>
      <c r="U118" s="441">
        <v>0</v>
      </c>
      <c r="V118" s="410"/>
      <c r="W118" s="6"/>
    </row>
    <row r="119" spans="1:23" ht="15.6">
      <c r="A119" s="378"/>
      <c r="B119" s="379" t="s">
        <v>211</v>
      </c>
      <c r="C119" s="379"/>
      <c r="D119" s="379"/>
      <c r="E119" s="379"/>
      <c r="F119" s="379"/>
      <c r="G119" s="379"/>
      <c r="H119" s="379"/>
      <c r="I119" s="379"/>
      <c r="J119" s="379"/>
      <c r="K119" s="379"/>
      <c r="L119" s="379"/>
      <c r="M119" s="379"/>
      <c r="N119" s="379"/>
      <c r="O119" s="379"/>
      <c r="P119" s="379"/>
      <c r="Q119" s="379"/>
      <c r="R119" s="379"/>
      <c r="S119" s="379"/>
      <c r="T119" s="379"/>
      <c r="U119" s="441">
        <v>0</v>
      </c>
      <c r="V119" s="410"/>
      <c r="W119" s="6"/>
    </row>
    <row r="120" spans="1:23" ht="15.6">
      <c r="A120" s="378"/>
      <c r="B120" s="379" t="s">
        <v>212</v>
      </c>
      <c r="C120" s="379"/>
      <c r="D120" s="379"/>
      <c r="E120" s="379"/>
      <c r="F120" s="379"/>
      <c r="G120" s="379"/>
      <c r="H120" s="379"/>
      <c r="I120" s="379"/>
      <c r="J120" s="379"/>
      <c r="K120" s="379"/>
      <c r="L120" s="379"/>
      <c r="M120" s="379"/>
      <c r="N120" s="379"/>
      <c r="O120" s="379"/>
      <c r="P120" s="379"/>
      <c r="Q120" s="379"/>
      <c r="R120" s="379"/>
      <c r="S120" s="379"/>
      <c r="T120" s="379"/>
      <c r="U120" s="441">
        <v>0</v>
      </c>
      <c r="V120" s="410"/>
      <c r="W120" s="6"/>
    </row>
    <row r="121" spans="1:23" ht="15.6">
      <c r="A121" s="378"/>
      <c r="B121" s="379" t="s">
        <v>242</v>
      </c>
      <c r="C121" s="379"/>
      <c r="D121" s="379"/>
      <c r="E121" s="379"/>
      <c r="F121" s="379"/>
      <c r="G121" s="379"/>
      <c r="H121" s="379"/>
      <c r="I121" s="379"/>
      <c r="J121" s="379"/>
      <c r="K121" s="379"/>
      <c r="L121" s="379"/>
      <c r="M121" s="379"/>
      <c r="N121" s="379"/>
      <c r="O121" s="379"/>
      <c r="P121" s="379"/>
      <c r="Q121" s="379"/>
      <c r="R121" s="379"/>
      <c r="S121" s="379"/>
      <c r="T121" s="379"/>
      <c r="U121" s="441">
        <v>0</v>
      </c>
      <c r="V121" s="410"/>
      <c r="W121" s="6"/>
    </row>
    <row r="122" spans="1:23" ht="15.6">
      <c r="A122" s="378"/>
      <c r="B122" s="379" t="s">
        <v>45</v>
      </c>
      <c r="C122" s="379"/>
      <c r="D122" s="379"/>
      <c r="E122" s="379"/>
      <c r="F122" s="379"/>
      <c r="G122" s="379"/>
      <c r="H122" s="379"/>
      <c r="I122" s="379"/>
      <c r="J122" s="379"/>
      <c r="K122" s="379"/>
      <c r="L122" s="379"/>
      <c r="M122" s="379"/>
      <c r="N122" s="379"/>
      <c r="O122" s="379"/>
      <c r="P122" s="379"/>
      <c r="Q122" s="379"/>
      <c r="R122" s="379"/>
      <c r="S122" s="379"/>
      <c r="T122" s="379"/>
      <c r="U122" s="441">
        <f>SUM(U115:U121)</f>
        <v>40500</v>
      </c>
      <c r="V122" s="410"/>
      <c r="W122" s="6"/>
    </row>
    <row r="123" spans="1:23" ht="15.6">
      <c r="A123" s="242"/>
      <c r="B123" s="438"/>
      <c r="C123" s="438"/>
      <c r="D123" s="438"/>
      <c r="E123" s="438"/>
      <c r="F123" s="438"/>
      <c r="G123" s="438"/>
      <c r="H123" s="438"/>
      <c r="I123" s="438"/>
      <c r="J123" s="438"/>
      <c r="K123" s="438"/>
      <c r="L123" s="438"/>
      <c r="M123" s="438"/>
      <c r="N123" s="438"/>
      <c r="O123" s="438"/>
      <c r="P123" s="438"/>
      <c r="Q123" s="438"/>
      <c r="R123" s="438"/>
      <c r="S123" s="438"/>
      <c r="T123" s="438"/>
      <c r="U123" s="448"/>
      <c r="V123" s="245"/>
      <c r="W123" s="6"/>
    </row>
    <row r="124" spans="1:23" ht="15.6">
      <c r="A124" s="242"/>
      <c r="B124" s="274" t="s">
        <v>46</v>
      </c>
      <c r="C124" s="252"/>
      <c r="D124" s="252"/>
      <c r="E124" s="252"/>
      <c r="F124" s="252"/>
      <c r="G124" s="252"/>
      <c r="H124" s="252"/>
      <c r="I124" s="252"/>
      <c r="J124" s="252"/>
      <c r="K124" s="252"/>
      <c r="L124" s="252"/>
      <c r="M124" s="244"/>
      <c r="N124" s="244"/>
      <c r="O124" s="244"/>
      <c r="P124" s="275"/>
      <c r="Q124" s="244"/>
      <c r="R124" s="244"/>
      <c r="S124" s="244"/>
      <c r="T124" s="244"/>
      <c r="U124" s="276"/>
      <c r="V124" s="245"/>
      <c r="W124" s="6"/>
    </row>
    <row r="125" spans="1:23" ht="15.6">
      <c r="A125" s="230"/>
      <c r="B125" s="308"/>
      <c r="C125" s="313" t="s">
        <v>185</v>
      </c>
      <c r="D125" s="313"/>
      <c r="E125" s="313" t="s">
        <v>99</v>
      </c>
      <c r="F125" s="313"/>
      <c r="G125" s="313" t="s">
        <v>102</v>
      </c>
      <c r="H125" s="313"/>
      <c r="I125" s="313" t="s">
        <v>108</v>
      </c>
      <c r="J125" s="313"/>
      <c r="K125" s="313"/>
      <c r="L125" s="313"/>
      <c r="M125" s="313"/>
      <c r="N125" s="313"/>
      <c r="O125" s="313"/>
      <c r="P125" s="326"/>
      <c r="Q125" s="326"/>
      <c r="R125" s="231"/>
      <c r="S125" s="231"/>
      <c r="T125" s="231"/>
      <c r="U125" s="309"/>
      <c r="V125" s="237"/>
      <c r="W125" s="6"/>
    </row>
    <row r="126" spans="1:23" ht="15.6">
      <c r="A126" s="257"/>
      <c r="B126" s="294" t="s">
        <v>122</v>
      </c>
      <c r="C126" s="310">
        <f>+N199-'Dec 10'!N199</f>
        <v>-225</v>
      </c>
      <c r="D126" s="294"/>
      <c r="E126" s="310">
        <f>+S199-'Dec 10'!S199</f>
        <v>8</v>
      </c>
      <c r="F126" s="294"/>
      <c r="G126" s="310">
        <f>+'March 11'!N212-'Dec 10'!N212</f>
        <v>812</v>
      </c>
      <c r="H126" s="294"/>
      <c r="I126" s="310">
        <f>+S212-'Dec 10'!S212</f>
        <v>-44</v>
      </c>
      <c r="J126" s="294"/>
      <c r="K126" s="294"/>
      <c r="L126" s="294"/>
      <c r="M126" s="294"/>
      <c r="N126" s="294"/>
      <c r="O126" s="294"/>
      <c r="P126" s="325"/>
      <c r="Q126" s="325"/>
      <c r="R126" s="294"/>
      <c r="S126" s="294"/>
      <c r="T126" s="294"/>
      <c r="U126" s="311">
        <f>SUM(C126:I126)</f>
        <v>551</v>
      </c>
      <c r="V126" s="298"/>
      <c r="W126" s="6"/>
    </row>
    <row r="127" spans="1:23" ht="15.6">
      <c r="A127" s="378"/>
      <c r="B127" s="379" t="s">
        <v>47</v>
      </c>
      <c r="C127" s="379">
        <v>372</v>
      </c>
      <c r="D127" s="379"/>
      <c r="E127" s="379">
        <v>0</v>
      </c>
      <c r="F127" s="379"/>
      <c r="G127" s="379">
        <v>633</v>
      </c>
      <c r="H127" s="379"/>
      <c r="I127" s="440">
        <v>411</v>
      </c>
      <c r="J127" s="379"/>
      <c r="K127" s="379"/>
      <c r="L127" s="379"/>
      <c r="M127" s="379"/>
      <c r="N127" s="379"/>
      <c r="O127" s="379"/>
      <c r="P127" s="450"/>
      <c r="Q127" s="450"/>
      <c r="R127" s="379"/>
      <c r="S127" s="379"/>
      <c r="T127" s="379"/>
      <c r="U127" s="441">
        <f>SUM(C127:I127)</f>
        <v>1416</v>
      </c>
      <c r="V127" s="410"/>
      <c r="W127" s="6"/>
    </row>
    <row r="128" spans="1:23" ht="15.6">
      <c r="A128" s="242"/>
      <c r="B128" s="364" t="s">
        <v>48</v>
      </c>
      <c r="C128" s="364"/>
      <c r="D128" s="364"/>
      <c r="E128" s="364"/>
      <c r="F128" s="364"/>
      <c r="G128" s="364"/>
      <c r="H128" s="364"/>
      <c r="I128" s="364"/>
      <c r="J128" s="364"/>
      <c r="K128" s="364"/>
      <c r="L128" s="364"/>
      <c r="M128" s="364"/>
      <c r="N128" s="364"/>
      <c r="O128" s="364"/>
      <c r="P128" s="364"/>
      <c r="Q128" s="364"/>
      <c r="R128" s="364"/>
      <c r="S128" s="364"/>
      <c r="T128" s="364"/>
      <c r="U128" s="449">
        <f>SUM(U126:U127)</f>
        <v>1967</v>
      </c>
      <c r="V128" s="303"/>
      <c r="W128" s="6"/>
    </row>
    <row r="129" spans="1:25" ht="15.6">
      <c r="A129" s="242"/>
      <c r="B129" s="274" t="s">
        <v>49</v>
      </c>
      <c r="C129" s="252"/>
      <c r="D129" s="252"/>
      <c r="E129" s="252"/>
      <c r="F129" s="252"/>
      <c r="G129" s="252"/>
      <c r="H129" s="252"/>
      <c r="I129" s="252"/>
      <c r="J129" s="252"/>
      <c r="K129" s="252"/>
      <c r="L129" s="252"/>
      <c r="M129" s="244"/>
      <c r="N129" s="244"/>
      <c r="O129" s="244"/>
      <c r="P129" s="244"/>
      <c r="Q129" s="244"/>
      <c r="R129" s="244"/>
      <c r="S129" s="244"/>
      <c r="T129" s="244"/>
      <c r="U129" s="263"/>
      <c r="V129" s="245"/>
      <c r="W129" s="6"/>
    </row>
    <row r="130" spans="1:25" ht="15.6">
      <c r="A130" s="444"/>
      <c r="B130" s="379" t="s">
        <v>50</v>
      </c>
      <c r="C130" s="386"/>
      <c r="D130" s="386"/>
      <c r="E130" s="386"/>
      <c r="F130" s="386"/>
      <c r="G130" s="386"/>
      <c r="H130" s="386"/>
      <c r="I130" s="386"/>
      <c r="J130" s="386"/>
      <c r="K130" s="386"/>
      <c r="L130" s="386"/>
      <c r="M130" s="379"/>
      <c r="N130" s="379"/>
      <c r="O130" s="379"/>
      <c r="P130" s="379"/>
      <c r="Q130" s="379"/>
      <c r="R130" s="379"/>
      <c r="S130" s="379"/>
      <c r="T130" s="379"/>
      <c r="U130" s="441">
        <f>U75+U77</f>
        <v>215018</v>
      </c>
      <c r="V130" s="410"/>
      <c r="W130" s="6"/>
      <c r="X130" s="182"/>
    </row>
    <row r="131" spans="1:25" ht="15.6">
      <c r="A131" s="444"/>
      <c r="B131" s="379" t="s">
        <v>51</v>
      </c>
      <c r="C131" s="386"/>
      <c r="D131" s="386"/>
      <c r="E131" s="386"/>
      <c r="F131" s="386"/>
      <c r="G131" s="386"/>
      <c r="H131" s="386"/>
      <c r="I131" s="386"/>
      <c r="J131" s="386"/>
      <c r="K131" s="386"/>
      <c r="L131" s="386"/>
      <c r="M131" s="379"/>
      <c r="N131" s="379"/>
      <c r="O131" s="379"/>
      <c r="P131" s="379"/>
      <c r="Q131" s="379"/>
      <c r="R131" s="379"/>
      <c r="S131" s="379"/>
      <c r="T131" s="379"/>
      <c r="U131" s="441">
        <v>0</v>
      </c>
      <c r="V131" s="410"/>
      <c r="W131" s="6"/>
      <c r="Y131" s="182"/>
    </row>
    <row r="132" spans="1:25" ht="15.6">
      <c r="A132" s="444"/>
      <c r="B132" s="379" t="s">
        <v>52</v>
      </c>
      <c r="C132" s="386"/>
      <c r="D132" s="386"/>
      <c r="E132" s="386"/>
      <c r="F132" s="386"/>
      <c r="G132" s="386"/>
      <c r="H132" s="386"/>
      <c r="I132" s="386"/>
      <c r="J132" s="386"/>
      <c r="K132" s="386"/>
      <c r="L132" s="386"/>
      <c r="M132" s="379"/>
      <c r="N132" s="379"/>
      <c r="O132" s="379"/>
      <c r="P132" s="379"/>
      <c r="Q132" s="379"/>
      <c r="R132" s="379"/>
      <c r="S132" s="379"/>
      <c r="T132" s="379"/>
      <c r="U132" s="441">
        <f>+U130+U131</f>
        <v>215018</v>
      </c>
      <c r="V132" s="410"/>
      <c r="W132" s="6"/>
    </row>
    <row r="133" spans="1:25" ht="15.6">
      <c r="A133" s="444"/>
      <c r="B133" s="379" t="s">
        <v>53</v>
      </c>
      <c r="C133" s="386"/>
      <c r="D133" s="386"/>
      <c r="E133" s="386"/>
      <c r="F133" s="386"/>
      <c r="G133" s="386"/>
      <c r="H133" s="386"/>
      <c r="I133" s="386"/>
      <c r="J133" s="386"/>
      <c r="K133" s="386"/>
      <c r="L133" s="386"/>
      <c r="M133" s="379"/>
      <c r="N133" s="379"/>
      <c r="O133" s="379"/>
      <c r="P133" s="379"/>
      <c r="Q133" s="379"/>
      <c r="R133" s="379"/>
      <c r="S133" s="379"/>
      <c r="T133" s="379"/>
      <c r="U133" s="441">
        <f>U80</f>
        <v>215018</v>
      </c>
      <c r="V133" s="410"/>
      <c r="W133" s="6"/>
      <c r="X133" s="64"/>
    </row>
    <row r="134" spans="1:25" ht="15.6">
      <c r="A134" s="242"/>
      <c r="B134" s="438"/>
      <c r="C134" s="438"/>
      <c r="D134" s="438"/>
      <c r="E134" s="438"/>
      <c r="F134" s="438"/>
      <c r="G134" s="438"/>
      <c r="H134" s="438"/>
      <c r="I134" s="438"/>
      <c r="J134" s="438"/>
      <c r="K134" s="438"/>
      <c r="L134" s="438"/>
      <c r="M134" s="438"/>
      <c r="N134" s="438"/>
      <c r="O134" s="438"/>
      <c r="P134" s="438"/>
      <c r="Q134" s="438"/>
      <c r="R134" s="438"/>
      <c r="S134" s="438"/>
      <c r="T134" s="438"/>
      <c r="U134" s="451"/>
      <c r="V134" s="245"/>
      <c r="W134" s="6"/>
    </row>
    <row r="135" spans="1:25" ht="15.6">
      <c r="A135" s="242"/>
      <c r="B135" s="274" t="s">
        <v>54</v>
      </c>
      <c r="C135" s="247"/>
      <c r="D135" s="247"/>
      <c r="E135" s="247"/>
      <c r="F135" s="247"/>
      <c r="G135" s="247"/>
      <c r="H135" s="247"/>
      <c r="I135" s="247"/>
      <c r="J135" s="247"/>
      <c r="K135" s="247"/>
      <c r="L135" s="247"/>
      <c r="M135" s="247"/>
      <c r="N135" s="247"/>
      <c r="O135" s="247"/>
      <c r="P135" s="247"/>
      <c r="Q135" s="277" t="s">
        <v>112</v>
      </c>
      <c r="R135" s="278"/>
      <c r="S135" s="277" t="s">
        <v>114</v>
      </c>
      <c r="T135" s="247"/>
      <c r="U135" s="279" t="s">
        <v>90</v>
      </c>
      <c r="V135" s="245"/>
      <c r="W135" s="6"/>
    </row>
    <row r="136" spans="1:25" ht="15.6">
      <c r="A136" s="378"/>
      <c r="B136" s="379" t="s">
        <v>55</v>
      </c>
      <c r="C136" s="379"/>
      <c r="D136" s="379"/>
      <c r="E136" s="379"/>
      <c r="F136" s="379"/>
      <c r="G136" s="379"/>
      <c r="H136" s="379"/>
      <c r="I136" s="379"/>
      <c r="J136" s="379"/>
      <c r="K136" s="379"/>
      <c r="L136" s="379"/>
      <c r="M136" s="379"/>
      <c r="N136" s="379"/>
      <c r="O136" s="379"/>
      <c r="P136" s="379"/>
      <c r="Q136" s="441">
        <v>0</v>
      </c>
      <c r="R136" s="379"/>
      <c r="S136" s="453" t="s">
        <v>115</v>
      </c>
      <c r="T136" s="379"/>
      <c r="U136" s="441">
        <f>Q136</f>
        <v>0</v>
      </c>
      <c r="V136" s="385"/>
      <c r="W136" s="6"/>
    </row>
    <row r="137" spans="1:25" ht="15.6">
      <c r="A137" s="378"/>
      <c r="B137" s="379" t="s">
        <v>56</v>
      </c>
      <c r="C137" s="379"/>
      <c r="D137" s="379"/>
      <c r="E137" s="379"/>
      <c r="F137" s="379"/>
      <c r="G137" s="379"/>
      <c r="H137" s="379"/>
      <c r="I137" s="379"/>
      <c r="J137" s="379"/>
      <c r="K137" s="379"/>
      <c r="L137" s="379"/>
      <c r="M137" s="379"/>
      <c r="N137" s="379"/>
      <c r="O137" s="379"/>
      <c r="P137" s="379"/>
      <c r="Q137" s="441">
        <f>+'Dec 10'!Q139</f>
        <v>4229</v>
      </c>
      <c r="R137" s="379"/>
      <c r="S137" s="453" t="s">
        <v>115</v>
      </c>
      <c r="T137" s="379"/>
      <c r="U137" s="441">
        <f>Q137</f>
        <v>4229</v>
      </c>
      <c r="V137" s="385"/>
      <c r="W137" s="6"/>
    </row>
    <row r="138" spans="1:25" ht="15.6">
      <c r="A138" s="378"/>
      <c r="B138" s="379" t="s">
        <v>57</v>
      </c>
      <c r="C138" s="379"/>
      <c r="D138" s="379"/>
      <c r="E138" s="379"/>
      <c r="F138" s="379"/>
      <c r="G138" s="379"/>
      <c r="H138" s="379"/>
      <c r="I138" s="379"/>
      <c r="J138" s="379"/>
      <c r="K138" s="379"/>
      <c r="L138" s="379"/>
      <c r="M138" s="379"/>
      <c r="N138" s="379"/>
      <c r="O138" s="379"/>
      <c r="P138" s="379"/>
      <c r="Q138" s="441">
        <v>0</v>
      </c>
      <c r="R138" s="379"/>
      <c r="S138" s="453" t="s">
        <v>115</v>
      </c>
      <c r="T138" s="379"/>
      <c r="U138" s="441">
        <f>Q138</f>
        <v>0</v>
      </c>
      <c r="V138" s="385"/>
      <c r="W138" s="6"/>
    </row>
    <row r="139" spans="1:25" ht="15.6">
      <c r="A139" s="378"/>
      <c r="B139" s="379" t="s">
        <v>58</v>
      </c>
      <c r="C139" s="379"/>
      <c r="D139" s="379"/>
      <c r="E139" s="379"/>
      <c r="F139" s="379"/>
      <c r="G139" s="379"/>
      <c r="H139" s="379"/>
      <c r="I139" s="379"/>
      <c r="J139" s="379"/>
      <c r="K139" s="379"/>
      <c r="L139" s="379"/>
      <c r="M139" s="379"/>
      <c r="N139" s="379"/>
      <c r="O139" s="379"/>
      <c r="P139" s="379"/>
      <c r="Q139" s="441">
        <f>SUM(Q137:Q138)</f>
        <v>4229</v>
      </c>
      <c r="R139" s="379"/>
      <c r="S139" s="453" t="s">
        <v>115</v>
      </c>
      <c r="T139" s="379"/>
      <c r="U139" s="441">
        <f>Q139</f>
        <v>4229</v>
      </c>
      <c r="V139" s="385"/>
      <c r="W139" s="6"/>
    </row>
    <row r="140" spans="1:25" ht="15.6">
      <c r="A140" s="378"/>
      <c r="B140" s="379" t="s">
        <v>215</v>
      </c>
      <c r="C140" s="379"/>
      <c r="D140" s="379"/>
      <c r="E140" s="379"/>
      <c r="F140" s="379"/>
      <c r="G140" s="379"/>
      <c r="H140" s="379"/>
      <c r="I140" s="379"/>
      <c r="J140" s="379"/>
      <c r="K140" s="379"/>
      <c r="L140" s="379"/>
      <c r="M140" s="379"/>
      <c r="N140" s="379"/>
      <c r="O140" s="379"/>
      <c r="P140" s="379"/>
      <c r="Q140" s="441"/>
      <c r="R140" s="379"/>
      <c r="S140" s="453"/>
      <c r="T140" s="379"/>
      <c r="U140" s="441"/>
      <c r="V140" s="385"/>
      <c r="W140" s="6"/>
    </row>
    <row r="141" spans="1:25" ht="15.6">
      <c r="A141" s="378"/>
      <c r="B141" s="454"/>
      <c r="C141" s="454"/>
      <c r="D141" s="454"/>
      <c r="E141" s="454"/>
      <c r="F141" s="454"/>
      <c r="G141" s="454"/>
      <c r="H141" s="454"/>
      <c r="I141" s="454"/>
      <c r="J141" s="454"/>
      <c r="K141" s="454"/>
      <c r="L141" s="454"/>
      <c r="M141" s="454"/>
      <c r="N141" s="454"/>
      <c r="O141" s="454"/>
      <c r="P141" s="454"/>
      <c r="Q141" s="454"/>
      <c r="R141" s="454"/>
      <c r="S141" s="454"/>
      <c r="T141" s="454"/>
      <c r="U141" s="454"/>
      <c r="V141" s="385"/>
      <c r="W141" s="6"/>
    </row>
    <row r="142" spans="1:25" ht="15.6">
      <c r="A142" s="242"/>
      <c r="B142" s="452"/>
      <c r="C142" s="452"/>
      <c r="D142" s="452"/>
      <c r="E142" s="452"/>
      <c r="F142" s="452"/>
      <c r="G142" s="452"/>
      <c r="H142" s="452"/>
      <c r="I142" s="452"/>
      <c r="J142" s="452"/>
      <c r="K142" s="452"/>
      <c r="L142" s="452"/>
      <c r="M142" s="452"/>
      <c r="N142" s="452"/>
      <c r="O142" s="452"/>
      <c r="P142" s="452"/>
      <c r="Q142" s="452"/>
      <c r="R142" s="452"/>
      <c r="S142" s="452"/>
      <c r="T142" s="452"/>
      <c r="U142" s="452"/>
      <c r="V142" s="284"/>
      <c r="W142" s="6"/>
    </row>
    <row r="143" spans="1:25" ht="15.6">
      <c r="A143" s="230"/>
      <c r="B143" s="308" t="s">
        <v>59</v>
      </c>
      <c r="C143" s="327"/>
      <c r="D143" s="327"/>
      <c r="E143" s="327"/>
      <c r="F143" s="327"/>
      <c r="G143" s="327"/>
      <c r="H143" s="327"/>
      <c r="I143" s="327"/>
      <c r="J143" s="327"/>
      <c r="K143" s="327"/>
      <c r="L143" s="327"/>
      <c r="M143" s="327"/>
      <c r="N143" s="327"/>
      <c r="O143" s="327"/>
      <c r="P143" s="328"/>
      <c r="Q143" s="328"/>
      <c r="R143" s="328"/>
      <c r="S143" s="328">
        <v>40633</v>
      </c>
      <c r="T143" s="231"/>
      <c r="U143" s="231"/>
      <c r="V143" s="237"/>
      <c r="W143" s="6"/>
    </row>
    <row r="144" spans="1:25" ht="15.6">
      <c r="A144" s="281"/>
      <c r="B144" s="294" t="s">
        <v>60</v>
      </c>
      <c r="C144" s="329"/>
      <c r="D144" s="329"/>
      <c r="E144" s="329"/>
      <c r="F144" s="329"/>
      <c r="G144" s="329"/>
      <c r="H144" s="329"/>
      <c r="I144" s="329"/>
      <c r="J144" s="329"/>
      <c r="K144" s="329"/>
      <c r="L144" s="329"/>
      <c r="M144" s="329"/>
      <c r="N144" s="329"/>
      <c r="O144" s="329"/>
      <c r="P144" s="300"/>
      <c r="Q144" s="300"/>
      <c r="R144" s="300"/>
      <c r="S144" s="299">
        <v>0.10630000000000001</v>
      </c>
      <c r="T144" s="294"/>
      <c r="U144" s="294"/>
      <c r="V144" s="260"/>
      <c r="W144" s="6"/>
    </row>
    <row r="145" spans="1:23" ht="15.6">
      <c r="A145" s="458"/>
      <c r="B145" s="379" t="s">
        <v>61</v>
      </c>
      <c r="C145" s="459"/>
      <c r="D145" s="459"/>
      <c r="E145" s="459"/>
      <c r="F145" s="459"/>
      <c r="G145" s="459"/>
      <c r="H145" s="459"/>
      <c r="I145" s="459"/>
      <c r="J145" s="459"/>
      <c r="K145" s="459"/>
      <c r="L145" s="459"/>
      <c r="M145" s="459"/>
      <c r="N145" s="459"/>
      <c r="O145" s="459"/>
      <c r="P145" s="433"/>
      <c r="Q145" s="433"/>
      <c r="R145" s="433"/>
      <c r="S145" s="427">
        <v>5.2200000000000003E-2</v>
      </c>
      <c r="T145" s="427"/>
      <c r="U145" s="379"/>
      <c r="V145" s="385"/>
      <c r="W145" s="6"/>
    </row>
    <row r="146" spans="1:23" ht="15.6">
      <c r="A146" s="458"/>
      <c r="B146" s="379" t="s">
        <v>62</v>
      </c>
      <c r="C146" s="459"/>
      <c r="D146" s="459"/>
      <c r="E146" s="459"/>
      <c r="F146" s="459"/>
      <c r="G146" s="459"/>
      <c r="H146" s="459"/>
      <c r="I146" s="459"/>
      <c r="J146" s="459"/>
      <c r="K146" s="459"/>
      <c r="L146" s="459"/>
      <c r="M146" s="459"/>
      <c r="N146" s="459"/>
      <c r="O146" s="459"/>
      <c r="P146" s="433"/>
      <c r="Q146" s="433"/>
      <c r="R146" s="433"/>
      <c r="S146" s="427">
        <f>S144-S145</f>
        <v>5.4100000000000002E-2</v>
      </c>
      <c r="T146" s="379"/>
      <c r="U146" s="379"/>
      <c r="V146" s="385"/>
      <c r="W146" s="6"/>
    </row>
    <row r="147" spans="1:23" ht="15.6">
      <c r="A147" s="458"/>
      <c r="B147" s="379" t="s">
        <v>63</v>
      </c>
      <c r="C147" s="459"/>
      <c r="D147" s="459"/>
      <c r="E147" s="459"/>
      <c r="F147" s="459"/>
      <c r="G147" s="459"/>
      <c r="H147" s="459"/>
      <c r="I147" s="459"/>
      <c r="J147" s="459"/>
      <c r="K147" s="459"/>
      <c r="L147" s="459"/>
      <c r="M147" s="459"/>
      <c r="N147" s="459"/>
      <c r="O147" s="459"/>
      <c r="P147" s="433"/>
      <c r="Q147" s="433"/>
      <c r="R147" s="433"/>
      <c r="S147" s="427">
        <v>9.2299999999999993E-2</v>
      </c>
      <c r="T147" s="379"/>
      <c r="U147" s="379"/>
      <c r="V147" s="385"/>
      <c r="W147" s="6"/>
    </row>
    <row r="148" spans="1:23" ht="15.6">
      <c r="A148" s="458"/>
      <c r="B148" s="379" t="s">
        <v>64</v>
      </c>
      <c r="C148" s="459"/>
      <c r="D148" s="459"/>
      <c r="E148" s="459"/>
      <c r="F148" s="459"/>
      <c r="G148" s="459"/>
      <c r="H148" s="459"/>
      <c r="I148" s="459"/>
      <c r="J148" s="459"/>
      <c r="K148" s="459"/>
      <c r="L148" s="459"/>
      <c r="M148" s="459"/>
      <c r="N148" s="459"/>
      <c r="O148" s="459"/>
      <c r="P148" s="433"/>
      <c r="Q148" s="433"/>
      <c r="R148" s="433"/>
      <c r="S148" s="427">
        <f>+U40</f>
        <v>1.7051782805536101E-2</v>
      </c>
      <c r="T148" s="379"/>
      <c r="U148" s="379"/>
      <c r="V148" s="385"/>
      <c r="W148" s="6"/>
    </row>
    <row r="149" spans="1:23" ht="15.6">
      <c r="A149" s="458"/>
      <c r="B149" s="379" t="s">
        <v>65</v>
      </c>
      <c r="C149" s="459"/>
      <c r="D149" s="459"/>
      <c r="E149" s="459"/>
      <c r="F149" s="459"/>
      <c r="G149" s="459"/>
      <c r="H149" s="459"/>
      <c r="I149" s="459"/>
      <c r="J149" s="459"/>
      <c r="K149" s="459"/>
      <c r="L149" s="459"/>
      <c r="M149" s="459"/>
      <c r="N149" s="459"/>
      <c r="O149" s="459"/>
      <c r="P149" s="433"/>
      <c r="Q149" s="433"/>
      <c r="R149" s="433"/>
      <c r="S149" s="427">
        <f>S147-S148</f>
        <v>7.5248217194463896E-2</v>
      </c>
      <c r="T149" s="379"/>
      <c r="U149" s="379"/>
      <c r="V149" s="385"/>
      <c r="W149" s="6"/>
    </row>
    <row r="150" spans="1:23" ht="15.6">
      <c r="A150" s="458"/>
      <c r="B150" s="379" t="s">
        <v>204</v>
      </c>
      <c r="C150" s="459"/>
      <c r="D150" s="459"/>
      <c r="E150" s="459"/>
      <c r="F150" s="459"/>
      <c r="G150" s="459"/>
      <c r="H150" s="459"/>
      <c r="I150" s="459"/>
      <c r="J150" s="459"/>
      <c r="K150" s="459"/>
      <c r="L150" s="459"/>
      <c r="M150" s="459"/>
      <c r="N150" s="459"/>
      <c r="O150" s="459"/>
      <c r="P150" s="433"/>
      <c r="Q150" s="433"/>
      <c r="R150" s="433"/>
      <c r="S150" s="429">
        <v>49780</v>
      </c>
      <c r="T150" s="379"/>
      <c r="U150" s="379"/>
      <c r="V150" s="385"/>
      <c r="W150" s="6"/>
    </row>
    <row r="151" spans="1:23" ht="15.6">
      <c r="A151" s="458"/>
      <c r="B151" s="379" t="s">
        <v>205</v>
      </c>
      <c r="C151" s="459"/>
      <c r="D151" s="459"/>
      <c r="E151" s="459"/>
      <c r="F151" s="459"/>
      <c r="G151" s="459"/>
      <c r="H151" s="459"/>
      <c r="I151" s="459"/>
      <c r="J151" s="459"/>
      <c r="K151" s="459"/>
      <c r="L151" s="459"/>
      <c r="M151" s="459"/>
      <c r="N151" s="459"/>
      <c r="O151" s="459"/>
      <c r="P151" s="433"/>
      <c r="Q151" s="433"/>
      <c r="R151" s="433"/>
      <c r="S151" s="429">
        <v>49780</v>
      </c>
      <c r="T151" s="379"/>
      <c r="U151" s="379"/>
      <c r="V151" s="385"/>
      <c r="W151" s="6"/>
    </row>
    <row r="152" spans="1:23" ht="15.6">
      <c r="A152" s="458"/>
      <c r="B152" s="379" t="s">
        <v>206</v>
      </c>
      <c r="C152" s="459"/>
      <c r="D152" s="459"/>
      <c r="E152" s="459"/>
      <c r="F152" s="459"/>
      <c r="G152" s="459"/>
      <c r="H152" s="459"/>
      <c r="I152" s="459"/>
      <c r="J152" s="459"/>
      <c r="K152" s="459"/>
      <c r="L152" s="459"/>
      <c r="M152" s="459"/>
      <c r="N152" s="459"/>
      <c r="O152" s="459"/>
      <c r="P152" s="433"/>
      <c r="Q152" s="433"/>
      <c r="R152" s="433"/>
      <c r="S152" s="429">
        <v>49780</v>
      </c>
      <c r="T152" s="379"/>
      <c r="U152" s="379"/>
      <c r="V152" s="385"/>
      <c r="W152" s="6"/>
    </row>
    <row r="153" spans="1:23" ht="15.6">
      <c r="A153" s="458"/>
      <c r="B153" s="379" t="s">
        <v>207</v>
      </c>
      <c r="C153" s="459"/>
      <c r="D153" s="459"/>
      <c r="E153" s="459"/>
      <c r="F153" s="459"/>
      <c r="G153" s="459"/>
      <c r="H153" s="459"/>
      <c r="I153" s="459"/>
      <c r="J153" s="459"/>
      <c r="K153" s="459"/>
      <c r="L153" s="459"/>
      <c r="M153" s="459"/>
      <c r="N153" s="459"/>
      <c r="O153" s="459"/>
      <c r="P153" s="433"/>
      <c r="Q153" s="433"/>
      <c r="R153" s="433"/>
      <c r="S153" s="429">
        <v>49780</v>
      </c>
      <c r="T153" s="379"/>
      <c r="U153" s="379"/>
      <c r="V153" s="385"/>
      <c r="W153" s="6"/>
    </row>
    <row r="154" spans="1:23" ht="15.6">
      <c r="A154" s="458"/>
      <c r="B154" s="379" t="s">
        <v>221</v>
      </c>
      <c r="C154" s="459"/>
      <c r="D154" s="459"/>
      <c r="E154" s="459"/>
      <c r="F154" s="459"/>
      <c r="G154" s="459"/>
      <c r="H154" s="459"/>
      <c r="I154" s="459"/>
      <c r="J154" s="459"/>
      <c r="K154" s="459"/>
      <c r="L154" s="459"/>
      <c r="M154" s="459"/>
      <c r="N154" s="459"/>
      <c r="O154" s="459"/>
      <c r="P154" s="433"/>
      <c r="Q154" s="433"/>
      <c r="R154" s="433"/>
      <c r="S154" s="432">
        <v>111.34</v>
      </c>
      <c r="T154" s="379"/>
      <c r="U154" s="379"/>
      <c r="V154" s="385"/>
      <c r="W154" s="6"/>
    </row>
    <row r="155" spans="1:23" ht="15.6">
      <c r="A155" s="458"/>
      <c r="B155" s="379" t="s">
        <v>222</v>
      </c>
      <c r="C155" s="459"/>
      <c r="D155" s="459"/>
      <c r="E155" s="459"/>
      <c r="F155" s="459"/>
      <c r="G155" s="459"/>
      <c r="H155" s="459"/>
      <c r="I155" s="459"/>
      <c r="J155" s="459"/>
      <c r="K155" s="459"/>
      <c r="L155" s="459"/>
      <c r="M155" s="459"/>
      <c r="N155" s="459"/>
      <c r="O155" s="459"/>
      <c r="P155" s="433"/>
      <c r="Q155" s="433"/>
      <c r="R155" s="433"/>
      <c r="S155" s="432">
        <v>156.66</v>
      </c>
      <c r="T155" s="379"/>
      <c r="U155" s="379"/>
      <c r="V155" s="385"/>
      <c r="W155" s="6"/>
    </row>
    <row r="156" spans="1:23" ht="15.6">
      <c r="A156" s="458" t="s">
        <v>223</v>
      </c>
      <c r="B156" s="379" t="s">
        <v>66</v>
      </c>
      <c r="C156" s="459"/>
      <c r="D156" s="459"/>
      <c r="E156" s="459"/>
      <c r="F156" s="459"/>
      <c r="G156" s="459"/>
      <c r="H156" s="459"/>
      <c r="I156" s="459"/>
      <c r="J156" s="459"/>
      <c r="K156" s="459"/>
      <c r="L156" s="459"/>
      <c r="M156" s="459"/>
      <c r="N156" s="459"/>
      <c r="O156" s="459"/>
      <c r="P156" s="433"/>
      <c r="Q156" s="433"/>
      <c r="R156" s="433"/>
      <c r="S156" s="427">
        <v>4.7500000000000001E-2</v>
      </c>
      <c r="T156" s="379"/>
      <c r="U156" s="379"/>
      <c r="V156" s="385"/>
      <c r="W156" s="6"/>
    </row>
    <row r="157" spans="1:23" ht="15.6">
      <c r="A157" s="458"/>
      <c r="B157" s="379" t="s">
        <v>67</v>
      </c>
      <c r="C157" s="459"/>
      <c r="D157" s="459"/>
      <c r="E157" s="459"/>
      <c r="F157" s="459"/>
      <c r="G157" s="459"/>
      <c r="H157" s="459"/>
      <c r="I157" s="459"/>
      <c r="J157" s="459"/>
      <c r="K157" s="459"/>
      <c r="L157" s="459"/>
      <c r="M157" s="459"/>
      <c r="N157" s="459"/>
      <c r="O157" s="459"/>
      <c r="P157" s="433"/>
      <c r="Q157" s="433"/>
      <c r="R157" s="433"/>
      <c r="S157" s="427">
        <v>0.32640000000000002</v>
      </c>
      <c r="T157" s="379"/>
      <c r="U157" s="379"/>
      <c r="V157" s="385"/>
      <c r="W157" s="6"/>
    </row>
    <row r="158" spans="1:23" ht="15.6">
      <c r="A158" s="280"/>
      <c r="B158" s="364"/>
      <c r="C158" s="364"/>
      <c r="D158" s="364"/>
      <c r="E158" s="364"/>
      <c r="F158" s="364"/>
      <c r="G158" s="364"/>
      <c r="H158" s="364"/>
      <c r="I158" s="364"/>
      <c r="J158" s="364"/>
      <c r="K158" s="364"/>
      <c r="L158" s="364"/>
      <c r="M158" s="364"/>
      <c r="N158" s="364"/>
      <c r="O158" s="364"/>
      <c r="P158" s="364"/>
      <c r="Q158" s="364"/>
      <c r="R158" s="455"/>
      <c r="S158" s="456"/>
      <c r="T158" s="364"/>
      <c r="U158" s="457"/>
      <c r="V158" s="245"/>
      <c r="W158" s="6"/>
    </row>
    <row r="159" spans="1:23" ht="15.6">
      <c r="A159" s="280"/>
      <c r="B159" s="288"/>
      <c r="C159" s="288"/>
      <c r="D159" s="288"/>
      <c r="E159" s="288"/>
      <c r="F159" s="288"/>
      <c r="G159" s="288"/>
      <c r="H159" s="288"/>
      <c r="I159" s="288"/>
      <c r="J159" s="288"/>
      <c r="K159" s="288"/>
      <c r="L159" s="288"/>
      <c r="M159" s="288"/>
      <c r="N159" s="288"/>
      <c r="O159" s="288"/>
      <c r="P159" s="288"/>
      <c r="Q159" s="288"/>
      <c r="R159" s="331"/>
      <c r="S159" s="332"/>
      <c r="T159" s="288"/>
      <c r="U159" s="333"/>
      <c r="V159" s="245"/>
      <c r="W159" s="6"/>
    </row>
    <row r="160" spans="1:23" ht="16.2" thickBot="1">
      <c r="A160" s="282"/>
      <c r="B160" s="304" t="str">
        <f>+B109</f>
        <v>PPAF3 INVESTOR REPORT QUARTER ENDING MARCH 2011</v>
      </c>
      <c r="C160" s="305"/>
      <c r="D160" s="305"/>
      <c r="E160" s="305"/>
      <c r="F160" s="305"/>
      <c r="G160" s="305"/>
      <c r="H160" s="305"/>
      <c r="I160" s="305"/>
      <c r="J160" s="305"/>
      <c r="K160" s="305"/>
      <c r="L160" s="305"/>
      <c r="M160" s="305"/>
      <c r="N160" s="305"/>
      <c r="O160" s="305"/>
      <c r="P160" s="305"/>
      <c r="Q160" s="305"/>
      <c r="R160" s="334"/>
      <c r="S160" s="335"/>
      <c r="T160" s="305"/>
      <c r="U160" s="336"/>
      <c r="V160" s="262"/>
      <c r="W160" s="6"/>
    </row>
    <row r="161" spans="1:23" ht="15.6">
      <c r="A161" s="337"/>
      <c r="B161" s="498" t="s">
        <v>68</v>
      </c>
      <c r="C161" s="338"/>
      <c r="D161" s="338"/>
      <c r="E161" s="338"/>
      <c r="F161" s="338"/>
      <c r="G161" s="338"/>
      <c r="H161" s="338"/>
      <c r="I161" s="338"/>
      <c r="J161" s="338"/>
      <c r="K161" s="338"/>
      <c r="L161" s="338"/>
      <c r="M161" s="339"/>
      <c r="N161" s="338"/>
      <c r="O161" s="339"/>
      <c r="P161" s="338"/>
      <c r="Q161" s="339"/>
      <c r="R161" s="338" t="s">
        <v>94</v>
      </c>
      <c r="S161" s="339" t="s">
        <v>116</v>
      </c>
      <c r="T161" s="340"/>
      <c r="U161" s="340"/>
      <c r="V161" s="341"/>
      <c r="W161" s="6"/>
    </row>
    <row r="162" spans="1:23" ht="15.6">
      <c r="A162" s="283"/>
      <c r="B162" s="294" t="s">
        <v>216</v>
      </c>
      <c r="C162" s="310"/>
      <c r="D162" s="310"/>
      <c r="E162" s="310"/>
      <c r="F162" s="310"/>
      <c r="G162" s="310"/>
      <c r="H162" s="310"/>
      <c r="I162" s="310"/>
      <c r="J162" s="310"/>
      <c r="K162" s="310"/>
      <c r="L162" s="310"/>
      <c r="M162" s="310"/>
      <c r="N162" s="310"/>
      <c r="O162" s="294"/>
      <c r="P162" s="294"/>
      <c r="Q162" s="294"/>
      <c r="R162" s="310">
        <v>932</v>
      </c>
      <c r="S162" s="311">
        <v>26452</v>
      </c>
      <c r="T162" s="311"/>
      <c r="U162" s="330"/>
      <c r="V162" s="342"/>
      <c r="W162" s="6"/>
    </row>
    <row r="163" spans="1:23" ht="15.6">
      <c r="A163" s="465"/>
      <c r="B163" s="379" t="s">
        <v>217</v>
      </c>
      <c r="C163" s="440"/>
      <c r="D163" s="440"/>
      <c r="E163" s="440"/>
      <c r="F163" s="440"/>
      <c r="G163" s="440"/>
      <c r="H163" s="440"/>
      <c r="I163" s="440"/>
      <c r="J163" s="440"/>
      <c r="K163" s="440"/>
      <c r="L163" s="440"/>
      <c r="M163" s="440"/>
      <c r="N163" s="440"/>
      <c r="O163" s="379"/>
      <c r="P163" s="379"/>
      <c r="Q163" s="379"/>
      <c r="R163" s="379">
        <v>35</v>
      </c>
      <c r="S163" s="441">
        <v>376</v>
      </c>
      <c r="T163" s="441"/>
      <c r="U163" s="466"/>
      <c r="V163" s="467"/>
      <c r="W163" s="6"/>
    </row>
    <row r="164" spans="1:23" ht="15.6">
      <c r="A164" s="465"/>
      <c r="B164" s="379" t="s">
        <v>218</v>
      </c>
      <c r="C164" s="440"/>
      <c r="D164" s="440"/>
      <c r="E164" s="440"/>
      <c r="F164" s="440"/>
      <c r="G164" s="440"/>
      <c r="H164" s="440"/>
      <c r="I164" s="440"/>
      <c r="J164" s="440"/>
      <c r="K164" s="440"/>
      <c r="L164" s="440"/>
      <c r="M164" s="440"/>
      <c r="N164" s="440"/>
      <c r="O164" s="379"/>
      <c r="P164" s="379"/>
      <c r="Q164" s="379"/>
      <c r="R164" s="379">
        <v>184</v>
      </c>
      <c r="S164" s="441">
        <v>205</v>
      </c>
      <c r="T164" s="441"/>
      <c r="U164" s="466"/>
      <c r="V164" s="467"/>
      <c r="W164" s="6"/>
    </row>
    <row r="165" spans="1:23" ht="15.6">
      <c r="A165" s="465"/>
      <c r="B165" s="379" t="s">
        <v>219</v>
      </c>
      <c r="C165" s="440"/>
      <c r="D165" s="440"/>
      <c r="E165" s="440"/>
      <c r="F165" s="440"/>
      <c r="G165" s="440"/>
      <c r="H165" s="440"/>
      <c r="I165" s="440"/>
      <c r="J165" s="440"/>
      <c r="K165" s="440"/>
      <c r="L165" s="440"/>
      <c r="M165" s="440"/>
      <c r="N165" s="440"/>
      <c r="O165" s="379"/>
      <c r="P165" s="379"/>
      <c r="Q165" s="379"/>
      <c r="R165" s="379">
        <v>153</v>
      </c>
      <c r="S165" s="441">
        <v>467</v>
      </c>
      <c r="T165" s="441"/>
      <c r="U165" s="466"/>
      <c r="V165" s="467"/>
      <c r="W165" s="6"/>
    </row>
    <row r="166" spans="1:23" ht="15.6">
      <c r="A166" s="465"/>
      <c r="B166" s="379" t="s">
        <v>90</v>
      </c>
      <c r="C166" s="440"/>
      <c r="D166" s="440"/>
      <c r="E166" s="440"/>
      <c r="F166" s="440"/>
      <c r="G166" s="440"/>
      <c r="H166" s="440"/>
      <c r="I166" s="440"/>
      <c r="J166" s="440"/>
      <c r="K166" s="440"/>
      <c r="L166" s="440"/>
      <c r="M166" s="440"/>
      <c r="N166" s="440"/>
      <c r="O166" s="379"/>
      <c r="P166" s="379"/>
      <c r="Q166" s="379"/>
      <c r="R166" s="440">
        <f>SUM(R162:R165)</f>
        <v>1304</v>
      </c>
      <c r="S166" s="441">
        <f>SUM(S162:S165)</f>
        <v>27500</v>
      </c>
      <c r="T166" s="441"/>
      <c r="U166" s="466"/>
      <c r="V166" s="467"/>
      <c r="W166" s="6"/>
    </row>
    <row r="167" spans="1:23" ht="15.6">
      <c r="A167" s="465"/>
      <c r="B167" s="379"/>
      <c r="C167" s="440"/>
      <c r="D167" s="440"/>
      <c r="E167" s="440"/>
      <c r="F167" s="440"/>
      <c r="G167" s="440"/>
      <c r="H167" s="440"/>
      <c r="I167" s="440"/>
      <c r="J167" s="440"/>
      <c r="K167" s="440"/>
      <c r="L167" s="440"/>
      <c r="M167" s="440"/>
      <c r="N167" s="440"/>
      <c r="O167" s="379"/>
      <c r="P167" s="379"/>
      <c r="Q167" s="379"/>
      <c r="R167" s="379"/>
      <c r="S167" s="441"/>
      <c r="T167" s="441"/>
      <c r="U167" s="466"/>
      <c r="V167" s="467"/>
      <c r="W167" s="6"/>
    </row>
    <row r="168" spans="1:23" ht="15.6">
      <c r="A168" s="465"/>
      <c r="B168" s="379" t="s">
        <v>220</v>
      </c>
      <c r="C168" s="440"/>
      <c r="D168" s="440"/>
      <c r="E168" s="440"/>
      <c r="F168" s="440"/>
      <c r="G168" s="440"/>
      <c r="H168" s="440"/>
      <c r="I168" s="440"/>
      <c r="J168" s="440"/>
      <c r="K168" s="440"/>
      <c r="L168" s="440"/>
      <c r="M168" s="440"/>
      <c r="N168" s="440"/>
      <c r="O168" s="379"/>
      <c r="P168" s="379"/>
      <c r="Q168" s="379"/>
      <c r="R168" s="379">
        <v>5</v>
      </c>
      <c r="S168" s="441">
        <v>75</v>
      </c>
      <c r="T168" s="441"/>
      <c r="U168" s="466"/>
      <c r="V168" s="467"/>
      <c r="W168" s="6"/>
    </row>
    <row r="169" spans="1:23" ht="15.6">
      <c r="A169" s="465"/>
      <c r="B169" s="379" t="s">
        <v>224</v>
      </c>
      <c r="C169" s="440"/>
      <c r="D169" s="440"/>
      <c r="E169" s="440"/>
      <c r="F169" s="440"/>
      <c r="G169" s="440"/>
      <c r="H169" s="440"/>
      <c r="I169" s="440"/>
      <c r="J169" s="440"/>
      <c r="K169" s="440"/>
      <c r="L169" s="440"/>
      <c r="M169" s="440"/>
      <c r="N169" s="440"/>
      <c r="O169" s="379"/>
      <c r="P169" s="379"/>
      <c r="Q169" s="379"/>
      <c r="R169" s="379">
        <v>13</v>
      </c>
      <c r="S169" s="441">
        <v>444</v>
      </c>
      <c r="T169" s="441"/>
      <c r="U169" s="466"/>
      <c r="V169" s="467"/>
      <c r="W169" s="6"/>
    </row>
    <row r="170" spans="1:23" ht="15.6">
      <c r="A170" s="465"/>
      <c r="B170" s="468" t="s">
        <v>69</v>
      </c>
      <c r="C170" s="469"/>
      <c r="D170" s="469"/>
      <c r="E170" s="469"/>
      <c r="F170" s="469"/>
      <c r="G170" s="469"/>
      <c r="H170" s="469"/>
      <c r="I170" s="469"/>
      <c r="J170" s="469"/>
      <c r="K170" s="469"/>
      <c r="L170" s="469"/>
      <c r="M170" s="469"/>
      <c r="N170" s="469"/>
      <c r="O170" s="454"/>
      <c r="P170" s="454"/>
      <c r="Q170" s="454"/>
      <c r="R170" s="379"/>
      <c r="S170" s="441">
        <v>0</v>
      </c>
      <c r="T170" s="454"/>
      <c r="U170" s="470"/>
      <c r="V170" s="471"/>
      <c r="W170" s="6"/>
    </row>
    <row r="171" spans="1:23" ht="15.6">
      <c r="A171" s="465"/>
      <c r="B171" s="468" t="s">
        <v>70</v>
      </c>
      <c r="C171" s="469"/>
      <c r="D171" s="469"/>
      <c r="E171" s="469"/>
      <c r="F171" s="469"/>
      <c r="G171" s="469"/>
      <c r="H171" s="469"/>
      <c r="I171" s="469"/>
      <c r="J171" s="469"/>
      <c r="K171" s="469"/>
      <c r="L171" s="469"/>
      <c r="M171" s="469"/>
      <c r="N171" s="469"/>
      <c r="O171" s="454"/>
      <c r="P171" s="454"/>
      <c r="Q171" s="454"/>
      <c r="R171" s="379"/>
      <c r="S171" s="441">
        <f>Q75</f>
        <v>0</v>
      </c>
      <c r="T171" s="454"/>
      <c r="U171" s="470"/>
      <c r="V171" s="471"/>
      <c r="W171" s="6"/>
    </row>
    <row r="172" spans="1:23" ht="15.6">
      <c r="A172" s="472"/>
      <c r="B172" s="468" t="s">
        <v>71</v>
      </c>
      <c r="C172" s="469"/>
      <c r="D172" s="469"/>
      <c r="E172" s="469"/>
      <c r="F172" s="469"/>
      <c r="G172" s="469"/>
      <c r="H172" s="469"/>
      <c r="I172" s="469"/>
      <c r="J172" s="469"/>
      <c r="K172" s="469"/>
      <c r="L172" s="469"/>
      <c r="M172" s="473"/>
      <c r="N172" s="473"/>
      <c r="O172" s="473"/>
      <c r="P172" s="454"/>
      <c r="Q172" s="454"/>
      <c r="R172" s="379"/>
      <c r="S172" s="500"/>
      <c r="T172" s="454"/>
      <c r="U172" s="470"/>
      <c r="V172" s="474"/>
      <c r="W172" s="6"/>
    </row>
    <row r="173" spans="1:23" ht="15.6">
      <c r="A173" s="465"/>
      <c r="B173" s="379" t="s">
        <v>72</v>
      </c>
      <c r="C173" s="469"/>
      <c r="D173" s="469"/>
      <c r="E173" s="469"/>
      <c r="F173" s="469"/>
      <c r="G173" s="469"/>
      <c r="H173" s="469"/>
      <c r="I173" s="469"/>
      <c r="J173" s="469"/>
      <c r="K173" s="469"/>
      <c r="L173" s="469"/>
      <c r="M173" s="469"/>
      <c r="N173" s="469"/>
      <c r="O173" s="469"/>
      <c r="P173" s="454"/>
      <c r="Q173" s="454"/>
      <c r="R173" s="379"/>
      <c r="S173" s="441">
        <f>U128</f>
        <v>1967</v>
      </c>
      <c r="T173" s="454"/>
      <c r="U173" s="470"/>
      <c r="V173" s="474"/>
      <c r="W173" s="6"/>
    </row>
    <row r="174" spans="1:23" ht="15.6">
      <c r="A174" s="465"/>
      <c r="B174" s="379" t="s">
        <v>73</v>
      </c>
      <c r="C174" s="469"/>
      <c r="D174" s="469"/>
      <c r="E174" s="469"/>
      <c r="F174" s="469"/>
      <c r="G174" s="469"/>
      <c r="H174" s="469"/>
      <c r="I174" s="469"/>
      <c r="J174" s="469"/>
      <c r="K174" s="469"/>
      <c r="L174" s="469"/>
      <c r="M174" s="469"/>
      <c r="N174" s="469"/>
      <c r="O174" s="469"/>
      <c r="P174" s="454"/>
      <c r="Q174" s="454"/>
      <c r="R174" s="379"/>
      <c r="S174" s="441">
        <f>'Dec 10'!S174+S173</f>
        <v>74104</v>
      </c>
      <c r="T174" s="454"/>
      <c r="U174" s="470"/>
      <c r="V174" s="474"/>
      <c r="W174" s="6"/>
    </row>
    <row r="175" spans="1:23" ht="15.6">
      <c r="A175" s="465"/>
      <c r="B175" s="379" t="s">
        <v>74</v>
      </c>
      <c r="C175" s="469"/>
      <c r="D175" s="469"/>
      <c r="E175" s="469"/>
      <c r="F175" s="469"/>
      <c r="G175" s="469"/>
      <c r="H175" s="469"/>
      <c r="I175" s="469"/>
      <c r="J175" s="469"/>
      <c r="K175" s="469"/>
      <c r="L175" s="469"/>
      <c r="M175" s="469"/>
      <c r="N175" s="469"/>
      <c r="O175" s="469"/>
      <c r="P175" s="454"/>
      <c r="Q175" s="454"/>
      <c r="R175" s="379"/>
      <c r="S175" s="441">
        <f>'Dec 10'!S175+544</f>
        <v>15313</v>
      </c>
      <c r="T175" s="454"/>
      <c r="U175" s="470"/>
      <c r="V175" s="474"/>
      <c r="W175" s="6"/>
    </row>
    <row r="176" spans="1:23" ht="15.6">
      <c r="A176" s="465"/>
      <c r="B176" s="473"/>
      <c r="C176" s="469"/>
      <c r="D176" s="469"/>
      <c r="E176" s="469"/>
      <c r="F176" s="469"/>
      <c r="G176" s="469"/>
      <c r="H176" s="469"/>
      <c r="I176" s="469"/>
      <c r="J176" s="469"/>
      <c r="K176" s="469"/>
      <c r="L176" s="469"/>
      <c r="M176" s="469"/>
      <c r="N176" s="469"/>
      <c r="O176" s="469"/>
      <c r="P176" s="454"/>
      <c r="Q176" s="454"/>
      <c r="R176" s="379"/>
      <c r="S176" s="441"/>
      <c r="T176" s="454"/>
      <c r="U176" s="470"/>
      <c r="V176" s="474"/>
      <c r="W176" s="6"/>
    </row>
    <row r="177" spans="1:23" ht="15.6">
      <c r="A177" s="472"/>
      <c r="B177" s="468" t="s">
        <v>259</v>
      </c>
      <c r="C177" s="469"/>
      <c r="D177" s="469"/>
      <c r="E177" s="469"/>
      <c r="F177" s="469"/>
      <c r="G177" s="469"/>
      <c r="H177" s="469"/>
      <c r="I177" s="469"/>
      <c r="J177" s="469"/>
      <c r="K177" s="469"/>
      <c r="L177" s="469"/>
      <c r="M177" s="473"/>
      <c r="N177" s="473"/>
      <c r="O177" s="473"/>
      <c r="P177" s="454"/>
      <c r="Q177" s="454"/>
      <c r="R177" s="379"/>
      <c r="S177" s="453"/>
      <c r="T177" s="454"/>
      <c r="U177" s="470"/>
      <c r="V177" s="474"/>
      <c r="W177" s="6"/>
    </row>
    <row r="178" spans="1:23" ht="15.6">
      <c r="A178" s="472"/>
      <c r="B178" s="379" t="s">
        <v>254</v>
      </c>
      <c r="C178" s="469"/>
      <c r="D178" s="469"/>
      <c r="E178" s="469"/>
      <c r="F178" s="469"/>
      <c r="G178" s="469"/>
      <c r="H178" s="469"/>
      <c r="I178" s="469"/>
      <c r="J178" s="469"/>
      <c r="K178" s="469"/>
      <c r="L178" s="469"/>
      <c r="M178" s="473"/>
      <c r="N178" s="473"/>
      <c r="O178" s="473"/>
      <c r="P178" s="454"/>
      <c r="Q178" s="454"/>
      <c r="R178" s="379"/>
      <c r="S178" s="453">
        <v>2</v>
      </c>
      <c r="T178" s="454"/>
      <c r="U178" s="470"/>
      <c r="V178" s="474"/>
      <c r="W178" s="6"/>
    </row>
    <row r="179" spans="1:23" ht="15.6">
      <c r="A179" s="465"/>
      <c r="B179" s="379" t="s">
        <v>75</v>
      </c>
      <c r="C179" s="469"/>
      <c r="D179" s="469"/>
      <c r="E179" s="469"/>
      <c r="F179" s="469"/>
      <c r="G179" s="469"/>
      <c r="H179" s="469"/>
      <c r="I179" s="469"/>
      <c r="J179" s="469"/>
      <c r="K179" s="469"/>
      <c r="L179" s="469"/>
      <c r="M179" s="475"/>
      <c r="N179" s="475"/>
      <c r="O179" s="476"/>
      <c r="P179" s="454"/>
      <c r="Q179" s="454"/>
      <c r="R179" s="379"/>
      <c r="S179" s="501">
        <v>14.4</v>
      </c>
      <c r="T179" s="454"/>
      <c r="U179" s="470"/>
      <c r="V179" s="474"/>
      <c r="W179" s="6"/>
    </row>
    <row r="180" spans="1:23" ht="15.6">
      <c r="A180" s="465"/>
      <c r="B180" s="379" t="s">
        <v>76</v>
      </c>
      <c r="C180" s="469"/>
      <c r="D180" s="469"/>
      <c r="E180" s="469"/>
      <c r="F180" s="469"/>
      <c r="G180" s="469"/>
      <c r="H180" s="469"/>
      <c r="I180" s="469"/>
      <c r="J180" s="469"/>
      <c r="K180" s="469"/>
      <c r="L180" s="469"/>
      <c r="M180" s="475"/>
      <c r="N180" s="475"/>
      <c r="O180" s="476"/>
      <c r="P180" s="454"/>
      <c r="Q180" s="454"/>
      <c r="R180" s="379"/>
      <c r="S180" s="501">
        <v>227</v>
      </c>
      <c r="T180" s="454"/>
      <c r="U180" s="470"/>
      <c r="V180" s="474"/>
      <c r="W180" s="6"/>
    </row>
    <row r="181" spans="1:23" ht="15.6">
      <c r="A181" s="465"/>
      <c r="B181" s="473"/>
      <c r="C181" s="469"/>
      <c r="D181" s="469"/>
      <c r="E181" s="469"/>
      <c r="F181" s="469"/>
      <c r="G181" s="469"/>
      <c r="H181" s="469"/>
      <c r="I181" s="469"/>
      <c r="J181" s="469"/>
      <c r="K181" s="469"/>
      <c r="L181" s="469"/>
      <c r="M181" s="477"/>
      <c r="N181" s="475"/>
      <c r="O181" s="476"/>
      <c r="P181" s="454"/>
      <c r="Q181" s="454"/>
      <c r="R181" s="379"/>
      <c r="S181" s="503"/>
      <c r="T181" s="454"/>
      <c r="U181" s="470"/>
      <c r="V181" s="474"/>
      <c r="W181" s="6"/>
    </row>
    <row r="182" spans="1:23" ht="15.6">
      <c r="A182" s="465"/>
      <c r="B182" s="468" t="s">
        <v>77</v>
      </c>
      <c r="C182" s="469"/>
      <c r="D182" s="469"/>
      <c r="E182" s="469"/>
      <c r="F182" s="469"/>
      <c r="G182" s="469"/>
      <c r="H182" s="469"/>
      <c r="I182" s="469"/>
      <c r="J182" s="469"/>
      <c r="K182" s="469"/>
      <c r="L182" s="469"/>
      <c r="M182" s="469"/>
      <c r="N182" s="477"/>
      <c r="O182" s="475"/>
      <c r="P182" s="476"/>
      <c r="Q182" s="454"/>
      <c r="R182" s="380"/>
      <c r="S182" s="504"/>
      <c r="T182" s="478"/>
      <c r="U182" s="390"/>
      <c r="V182" s="479"/>
      <c r="W182" s="6"/>
    </row>
    <row r="183" spans="1:23" ht="15.6">
      <c r="A183" s="465"/>
      <c r="B183" s="379" t="s">
        <v>78</v>
      </c>
      <c r="C183" s="469"/>
      <c r="D183" s="469"/>
      <c r="E183" s="469"/>
      <c r="F183" s="469"/>
      <c r="G183" s="469"/>
      <c r="H183" s="469"/>
      <c r="I183" s="469"/>
      <c r="J183" s="469"/>
      <c r="K183" s="469"/>
      <c r="L183" s="469"/>
      <c r="M183" s="469"/>
      <c r="N183" s="477"/>
      <c r="O183" s="475"/>
      <c r="P183" s="476"/>
      <c r="Q183" s="454"/>
      <c r="R183" s="380"/>
      <c r="S183" s="502">
        <v>67</v>
      </c>
      <c r="T183" s="480"/>
      <c r="U183" s="390"/>
      <c r="V183" s="479"/>
      <c r="W183" s="6"/>
    </row>
    <row r="184" spans="1:23" ht="15.6">
      <c r="A184" s="465"/>
      <c r="B184" s="379" t="s">
        <v>75</v>
      </c>
      <c r="C184" s="469"/>
      <c r="D184" s="469"/>
      <c r="E184" s="469"/>
      <c r="F184" s="469"/>
      <c r="G184" s="469"/>
      <c r="H184" s="469"/>
      <c r="I184" s="469"/>
      <c r="J184" s="469"/>
      <c r="K184" s="469"/>
      <c r="L184" s="469"/>
      <c r="M184" s="469"/>
      <c r="N184" s="477"/>
      <c r="O184" s="475"/>
      <c r="P184" s="476"/>
      <c r="Q184" s="454"/>
      <c r="R184" s="380"/>
      <c r="S184" s="502">
        <v>2.0699999999999998</v>
      </c>
      <c r="T184" s="480"/>
      <c r="U184" s="390"/>
      <c r="V184" s="479"/>
      <c r="W184" s="6"/>
    </row>
    <row r="185" spans="1:23" ht="15.6">
      <c r="A185" s="465"/>
      <c r="B185" s="379" t="s">
        <v>79</v>
      </c>
      <c r="C185" s="469"/>
      <c r="D185" s="469"/>
      <c r="E185" s="469"/>
      <c r="F185" s="469"/>
      <c r="G185" s="469"/>
      <c r="H185" s="469"/>
      <c r="I185" s="469"/>
      <c r="J185" s="469"/>
      <c r="K185" s="469"/>
      <c r="L185" s="469"/>
      <c r="M185" s="469"/>
      <c r="N185" s="477"/>
      <c r="O185" s="475"/>
      <c r="P185" s="476"/>
      <c r="Q185" s="454"/>
      <c r="R185" s="380"/>
      <c r="S185" s="502">
        <v>60.28</v>
      </c>
      <c r="T185" s="480"/>
      <c r="U185" s="390"/>
      <c r="V185" s="479"/>
      <c r="W185" s="6"/>
    </row>
    <row r="186" spans="1:23" ht="15.6">
      <c r="A186" s="465"/>
      <c r="B186" s="473"/>
      <c r="C186" s="469"/>
      <c r="D186" s="469"/>
      <c r="E186" s="469"/>
      <c r="F186" s="469"/>
      <c r="G186" s="469"/>
      <c r="H186" s="469"/>
      <c r="I186" s="469"/>
      <c r="J186" s="469"/>
      <c r="K186" s="469"/>
      <c r="L186" s="469"/>
      <c r="M186" s="477"/>
      <c r="N186" s="475"/>
      <c r="O186" s="476"/>
      <c r="P186" s="454"/>
      <c r="Q186" s="454"/>
      <c r="R186" s="454"/>
      <c r="S186" s="481"/>
      <c r="T186" s="454"/>
      <c r="U186" s="470"/>
      <c r="V186" s="474"/>
      <c r="W186" s="6"/>
    </row>
    <row r="187" spans="1:23" ht="17.399999999999999">
      <c r="A187" s="465"/>
      <c r="B187" s="482" t="s">
        <v>196</v>
      </c>
      <c r="C187" s="469"/>
      <c r="D187" s="469"/>
      <c r="E187" s="469"/>
      <c r="F187" s="469"/>
      <c r="G187" s="469"/>
      <c r="H187" s="469"/>
      <c r="I187" s="469"/>
      <c r="J187" s="469"/>
      <c r="K187" s="483" t="s">
        <v>195</v>
      </c>
      <c r="L187" s="469"/>
      <c r="M187" s="477"/>
      <c r="N187" s="475"/>
      <c r="O187" s="476"/>
      <c r="P187" s="454"/>
      <c r="Q187" s="454"/>
      <c r="R187" s="454"/>
      <c r="S187" s="481"/>
      <c r="T187" s="454"/>
      <c r="U187" s="470"/>
      <c r="V187" s="474"/>
      <c r="W187" s="6"/>
    </row>
    <row r="188" spans="1:23" ht="15.6">
      <c r="A188" s="242"/>
      <c r="B188" s="460"/>
      <c r="C188" s="461"/>
      <c r="D188" s="461"/>
      <c r="E188" s="461"/>
      <c r="F188" s="461"/>
      <c r="G188" s="461"/>
      <c r="H188" s="461"/>
      <c r="I188" s="461"/>
      <c r="J188" s="461"/>
      <c r="K188" s="461"/>
      <c r="L188" s="461"/>
      <c r="M188" s="462"/>
      <c r="N188" s="461"/>
      <c r="O188" s="462"/>
      <c r="P188" s="461"/>
      <c r="Q188" s="462"/>
      <c r="R188" s="461"/>
      <c r="S188" s="462"/>
      <c r="T188" s="461"/>
      <c r="U188" s="463"/>
      <c r="V188" s="464"/>
      <c r="W188" s="6"/>
    </row>
    <row r="189" spans="1:23" ht="15.6">
      <c r="A189" s="348"/>
      <c r="B189" s="359" t="s">
        <v>80</v>
      </c>
      <c r="C189" s="343"/>
      <c r="D189" s="343"/>
      <c r="E189" s="343"/>
      <c r="F189" s="343"/>
      <c r="G189" s="343"/>
      <c r="H189" s="343"/>
      <c r="I189" s="343"/>
      <c r="J189" s="343"/>
      <c r="K189" s="343"/>
      <c r="L189" s="343"/>
      <c r="M189" s="359" t="s">
        <v>100</v>
      </c>
      <c r="N189" s="344"/>
      <c r="O189" s="345"/>
      <c r="P189" s="344"/>
      <c r="Q189" s="359" t="s">
        <v>26</v>
      </c>
      <c r="R189" s="344"/>
      <c r="S189" s="345"/>
      <c r="T189" s="344"/>
      <c r="U189" s="346"/>
      <c r="V189" s="347"/>
      <c r="W189" s="6"/>
    </row>
    <row r="190" spans="1:23" ht="15.6">
      <c r="A190" s="365"/>
      <c r="B190" s="366"/>
      <c r="C190" s="367"/>
      <c r="D190" s="367"/>
      <c r="E190" s="367"/>
      <c r="F190" s="367"/>
      <c r="G190" s="367"/>
      <c r="H190" s="367"/>
      <c r="I190" s="367"/>
      <c r="J190" s="367"/>
      <c r="K190" s="367"/>
      <c r="L190" s="367" t="s">
        <v>94</v>
      </c>
      <c r="M190" s="368" t="s">
        <v>101</v>
      </c>
      <c r="N190" s="367" t="s">
        <v>103</v>
      </c>
      <c r="O190" s="368" t="s">
        <v>101</v>
      </c>
      <c r="P190" s="368"/>
      <c r="Q190" s="367" t="s">
        <v>94</v>
      </c>
      <c r="R190" s="368" t="s">
        <v>101</v>
      </c>
      <c r="S190" s="367" t="s">
        <v>103</v>
      </c>
      <c r="T190" s="368" t="s">
        <v>101</v>
      </c>
      <c r="U190" s="369"/>
      <c r="V190" s="370"/>
      <c r="W190" s="6"/>
    </row>
    <row r="191" spans="1:23" ht="15.6">
      <c r="A191" s="316"/>
      <c r="B191" s="360" t="s">
        <v>81</v>
      </c>
      <c r="C191" s="361"/>
      <c r="D191" s="361"/>
      <c r="E191" s="361"/>
      <c r="F191" s="361"/>
      <c r="G191" s="361"/>
      <c r="H191" s="361"/>
      <c r="I191" s="361"/>
      <c r="J191" s="361"/>
      <c r="K191" s="361"/>
      <c r="L191" s="361">
        <v>1314</v>
      </c>
      <c r="M191" s="362">
        <f t="shared" ref="M191:M197" si="0">+L191/$L$198</f>
        <v>0.82434127979924721</v>
      </c>
      <c r="N191" s="361">
        <v>3533</v>
      </c>
      <c r="O191" s="362">
        <f t="shared" ref="O191:O197" si="1">N191/$N$198</f>
        <v>0.826626111371081</v>
      </c>
      <c r="P191" s="363"/>
      <c r="Q191" s="361">
        <v>1201</v>
      </c>
      <c r="R191" s="362">
        <f t="shared" ref="R191:R197" si="2">+Q191/$Q$198</f>
        <v>0.79800664451827241</v>
      </c>
      <c r="S191" s="361">
        <v>1238</v>
      </c>
      <c r="T191" s="362">
        <f t="shared" ref="T191:T197" si="3">+S191/$S$198</f>
        <v>0.8049414824447334</v>
      </c>
      <c r="U191" s="364"/>
      <c r="V191" s="312"/>
      <c r="W191" s="6"/>
    </row>
    <row r="192" spans="1:23" ht="15.6">
      <c r="A192" s="444"/>
      <c r="B192" s="440" t="s">
        <v>82</v>
      </c>
      <c r="C192" s="489"/>
      <c r="D192" s="489"/>
      <c r="E192" s="489"/>
      <c r="F192" s="489"/>
      <c r="G192" s="489"/>
      <c r="H192" s="489"/>
      <c r="I192" s="489"/>
      <c r="J192" s="489"/>
      <c r="K192" s="489"/>
      <c r="L192" s="489">
        <v>29</v>
      </c>
      <c r="M192" s="427">
        <f t="shared" si="0"/>
        <v>1.8193224592220829E-2</v>
      </c>
      <c r="N192" s="489">
        <v>52</v>
      </c>
      <c r="O192" s="427">
        <f t="shared" si="1"/>
        <v>1.2166588675713618E-2</v>
      </c>
      <c r="P192" s="381"/>
      <c r="Q192" s="489">
        <v>22</v>
      </c>
      <c r="R192" s="427">
        <f t="shared" si="2"/>
        <v>1.4617940199335547E-2</v>
      </c>
      <c r="S192" s="489">
        <v>27</v>
      </c>
      <c r="T192" s="427">
        <f t="shared" si="3"/>
        <v>1.7555266579973992E-2</v>
      </c>
      <c r="U192" s="379"/>
      <c r="V192" s="435"/>
      <c r="W192" s="6"/>
    </row>
    <row r="193" spans="1:24" ht="15.6">
      <c r="A193" s="444"/>
      <c r="B193" s="440" t="s">
        <v>83</v>
      </c>
      <c r="C193" s="489"/>
      <c r="D193" s="489"/>
      <c r="E193" s="489"/>
      <c r="F193" s="489"/>
      <c r="G193" s="489"/>
      <c r="H193" s="489"/>
      <c r="I193" s="489"/>
      <c r="J193" s="489"/>
      <c r="K193" s="489"/>
      <c r="L193" s="489">
        <v>26</v>
      </c>
      <c r="M193" s="427">
        <f t="shared" si="0"/>
        <v>1.631116687578419E-2</v>
      </c>
      <c r="N193" s="489">
        <v>58</v>
      </c>
      <c r="O193" s="427">
        <f t="shared" si="1"/>
        <v>1.3570425830603651E-2</v>
      </c>
      <c r="P193" s="381"/>
      <c r="Q193" s="489">
        <v>22</v>
      </c>
      <c r="R193" s="427">
        <f t="shared" si="2"/>
        <v>1.4617940199335547E-2</v>
      </c>
      <c r="S193" s="489">
        <v>14</v>
      </c>
      <c r="T193" s="427">
        <f t="shared" si="3"/>
        <v>9.1027308192457735E-3</v>
      </c>
      <c r="U193" s="379"/>
      <c r="V193" s="435"/>
      <c r="W193" s="6"/>
    </row>
    <row r="194" spans="1:24" ht="15.6">
      <c r="A194" s="444"/>
      <c r="B194" s="440" t="s">
        <v>186</v>
      </c>
      <c r="C194" s="489"/>
      <c r="D194" s="489"/>
      <c r="E194" s="489"/>
      <c r="F194" s="489"/>
      <c r="G194" s="489"/>
      <c r="H194" s="489"/>
      <c r="I194" s="489"/>
      <c r="J194" s="489"/>
      <c r="K194" s="489"/>
      <c r="L194" s="489">
        <v>33</v>
      </c>
      <c r="M194" s="427">
        <f t="shared" si="0"/>
        <v>2.0702634880803011E-2</v>
      </c>
      <c r="N194" s="489">
        <v>79</v>
      </c>
      <c r="O194" s="427">
        <f t="shared" si="1"/>
        <v>1.8483855872718766E-2</v>
      </c>
      <c r="P194" s="381"/>
      <c r="Q194" s="489">
        <v>28</v>
      </c>
      <c r="R194" s="427">
        <f t="shared" si="2"/>
        <v>1.8604651162790697E-2</v>
      </c>
      <c r="S194" s="489">
        <v>21</v>
      </c>
      <c r="T194" s="427">
        <f t="shared" si="3"/>
        <v>1.3654096228868661E-2</v>
      </c>
      <c r="U194" s="379"/>
      <c r="V194" s="435"/>
      <c r="W194" s="6"/>
    </row>
    <row r="195" spans="1:24" ht="15.6">
      <c r="A195" s="444"/>
      <c r="B195" s="440" t="s">
        <v>187</v>
      </c>
      <c r="C195" s="489"/>
      <c r="D195" s="489"/>
      <c r="E195" s="489"/>
      <c r="F195" s="489"/>
      <c r="G195" s="489"/>
      <c r="H195" s="489"/>
      <c r="I195" s="489"/>
      <c r="J195" s="489"/>
      <c r="K195" s="489"/>
      <c r="L195" s="489">
        <v>27</v>
      </c>
      <c r="M195" s="427">
        <f t="shared" si="0"/>
        <v>1.6938519447929738E-2</v>
      </c>
      <c r="N195" s="489">
        <v>66</v>
      </c>
      <c r="O195" s="427">
        <f t="shared" si="1"/>
        <v>1.544220870379036E-2</v>
      </c>
      <c r="P195" s="381"/>
      <c r="Q195" s="489">
        <v>29</v>
      </c>
      <c r="R195" s="427">
        <f t="shared" si="2"/>
        <v>1.9269102990033222E-2</v>
      </c>
      <c r="S195" s="489">
        <v>20</v>
      </c>
      <c r="T195" s="427">
        <f t="shared" si="3"/>
        <v>1.3003901170351105E-2</v>
      </c>
      <c r="U195" s="379"/>
      <c r="V195" s="435"/>
      <c r="W195" s="6"/>
    </row>
    <row r="196" spans="1:24" ht="15.6">
      <c r="A196" s="444"/>
      <c r="B196" s="440" t="s">
        <v>188</v>
      </c>
      <c r="C196" s="489"/>
      <c r="D196" s="489"/>
      <c r="E196" s="489"/>
      <c r="F196" s="489"/>
      <c r="G196" s="489"/>
      <c r="H196" s="489"/>
      <c r="I196" s="489"/>
      <c r="J196" s="489"/>
      <c r="K196" s="489"/>
      <c r="L196" s="489">
        <v>19</v>
      </c>
      <c r="M196" s="427">
        <f t="shared" si="0"/>
        <v>1.1919698870765371E-2</v>
      </c>
      <c r="N196" s="489">
        <v>43</v>
      </c>
      <c r="O196" s="427">
        <f t="shared" si="1"/>
        <v>1.0060832943378568E-2</v>
      </c>
      <c r="P196" s="381"/>
      <c r="Q196" s="489">
        <v>29</v>
      </c>
      <c r="R196" s="427">
        <f t="shared" si="2"/>
        <v>1.9269102990033222E-2</v>
      </c>
      <c r="S196" s="489">
        <v>21</v>
      </c>
      <c r="T196" s="427">
        <f t="shared" si="3"/>
        <v>1.3654096228868661E-2</v>
      </c>
      <c r="U196" s="379"/>
      <c r="V196" s="435"/>
      <c r="W196" s="6"/>
    </row>
    <row r="197" spans="1:24" ht="15.6">
      <c r="A197" s="444"/>
      <c r="B197" s="440" t="s">
        <v>189</v>
      </c>
      <c r="C197" s="489"/>
      <c r="D197" s="489"/>
      <c r="E197" s="489"/>
      <c r="F197" s="489"/>
      <c r="G197" s="489"/>
      <c r="H197" s="489"/>
      <c r="I197" s="489"/>
      <c r="J197" s="489"/>
      <c r="K197" s="489"/>
      <c r="L197" s="489">
        <v>146</v>
      </c>
      <c r="M197" s="427">
        <f t="shared" si="0"/>
        <v>9.1593475533249688E-2</v>
      </c>
      <c r="N197" s="489">
        <v>443</v>
      </c>
      <c r="O197" s="427">
        <f t="shared" si="1"/>
        <v>0.10364997660271409</v>
      </c>
      <c r="P197" s="381"/>
      <c r="Q197" s="489">
        <v>174</v>
      </c>
      <c r="R197" s="427">
        <f t="shared" si="2"/>
        <v>0.11561461794019934</v>
      </c>
      <c r="S197" s="489">
        <v>197</v>
      </c>
      <c r="T197" s="427">
        <f t="shared" si="3"/>
        <v>0.12808842652795838</v>
      </c>
      <c r="U197" s="379"/>
      <c r="V197" s="435"/>
      <c r="W197" s="6"/>
    </row>
    <row r="198" spans="1:24" ht="15.6">
      <c r="A198" s="444"/>
      <c r="B198" s="440" t="s">
        <v>84</v>
      </c>
      <c r="C198" s="489"/>
      <c r="D198" s="489"/>
      <c r="E198" s="489"/>
      <c r="F198" s="489"/>
      <c r="G198" s="489"/>
      <c r="H198" s="489"/>
      <c r="I198" s="489"/>
      <c r="J198" s="489"/>
      <c r="K198" s="489"/>
      <c r="L198" s="489">
        <f>SUM(L191:L197)</f>
        <v>1594</v>
      </c>
      <c r="M198" s="427">
        <f>SUM(M191:M197)</f>
        <v>1</v>
      </c>
      <c r="N198" s="489">
        <f>SUM(N191:N197)</f>
        <v>4274</v>
      </c>
      <c r="O198" s="427">
        <f>SUM(O191:O197)</f>
        <v>1</v>
      </c>
      <c r="P198" s="381"/>
      <c r="Q198" s="489">
        <f>SUM(Q191:Q197)</f>
        <v>1505</v>
      </c>
      <c r="R198" s="427">
        <f>SUM(R191:R197)</f>
        <v>1.0000000000000002</v>
      </c>
      <c r="S198" s="489">
        <f>SUM(S191:S197)</f>
        <v>1538</v>
      </c>
      <c r="T198" s="427">
        <f>SUM(T191:T197)</f>
        <v>1</v>
      </c>
      <c r="U198" s="379"/>
      <c r="V198" s="435"/>
      <c r="W198" s="6"/>
      <c r="X198" s="64"/>
    </row>
    <row r="199" spans="1:24" ht="15.6">
      <c r="A199" s="444"/>
      <c r="B199" s="440" t="s">
        <v>85</v>
      </c>
      <c r="C199" s="489"/>
      <c r="D199" s="489"/>
      <c r="E199" s="489"/>
      <c r="F199" s="489"/>
      <c r="G199" s="489"/>
      <c r="H199" s="489"/>
      <c r="I199" s="489"/>
      <c r="J199" s="489"/>
      <c r="K199" s="489"/>
      <c r="L199" s="489">
        <v>926</v>
      </c>
      <c r="M199" s="380"/>
      <c r="N199" s="489">
        <v>5797</v>
      </c>
      <c r="O199" s="380"/>
      <c r="P199" s="381"/>
      <c r="Q199" s="489">
        <v>593</v>
      </c>
      <c r="R199" s="380"/>
      <c r="S199" s="489">
        <v>1370</v>
      </c>
      <c r="T199" s="380"/>
      <c r="U199" s="379"/>
      <c r="V199" s="435"/>
      <c r="W199" s="6"/>
      <c r="X199" s="64"/>
    </row>
    <row r="200" spans="1:24" ht="15.6">
      <c r="A200" s="444"/>
      <c r="B200" s="440" t="s">
        <v>86</v>
      </c>
      <c r="C200" s="489"/>
      <c r="D200" s="489"/>
      <c r="E200" s="489"/>
      <c r="F200" s="489"/>
      <c r="G200" s="489"/>
      <c r="H200" s="489"/>
      <c r="I200" s="489"/>
      <c r="J200" s="489"/>
      <c r="K200" s="489"/>
      <c r="L200" s="489">
        <f>SUM(L198:L199)</f>
        <v>2520</v>
      </c>
      <c r="M200" s="450"/>
      <c r="N200" s="489">
        <f>SUM(N198:N199)</f>
        <v>10071</v>
      </c>
      <c r="O200" s="490"/>
      <c r="P200" s="450"/>
      <c r="Q200" s="489">
        <f>SUM(Q198:Q199)</f>
        <v>2098</v>
      </c>
      <c r="R200" s="450"/>
      <c r="S200" s="489">
        <f>SUM(S198:S199)</f>
        <v>2908</v>
      </c>
      <c r="T200" s="450"/>
      <c r="U200" s="450"/>
      <c r="V200" s="435"/>
      <c r="W200" s="6"/>
      <c r="X200" s="64"/>
    </row>
    <row r="201" spans="1:24" ht="15.6">
      <c r="A201" s="242"/>
      <c r="B201" s="484"/>
      <c r="C201" s="485"/>
      <c r="D201" s="485"/>
      <c r="E201" s="485"/>
      <c r="F201" s="485"/>
      <c r="G201" s="485"/>
      <c r="H201" s="485"/>
      <c r="I201" s="485"/>
      <c r="J201" s="485"/>
      <c r="K201" s="485"/>
      <c r="L201" s="486"/>
      <c r="M201" s="487"/>
      <c r="N201" s="486"/>
      <c r="O201" s="487"/>
      <c r="P201" s="488"/>
      <c r="Q201" s="486"/>
      <c r="R201" s="487"/>
      <c r="S201" s="486"/>
      <c r="T201" s="487"/>
      <c r="U201" s="463"/>
      <c r="V201" s="464"/>
      <c r="W201" s="6"/>
    </row>
    <row r="202" spans="1:24" ht="15.6">
      <c r="A202" s="349"/>
      <c r="B202" s="359" t="s">
        <v>80</v>
      </c>
      <c r="C202" s="344"/>
      <c r="D202" s="344"/>
      <c r="E202" s="344"/>
      <c r="F202" s="344"/>
      <c r="G202" s="344"/>
      <c r="H202" s="344"/>
      <c r="I202" s="344"/>
      <c r="J202" s="344"/>
      <c r="K202" s="344"/>
      <c r="L202" s="344"/>
      <c r="M202" s="359" t="s">
        <v>27</v>
      </c>
      <c r="N202" s="344"/>
      <c r="O202" s="345"/>
      <c r="P202" s="344"/>
      <c r="Q202" s="359" t="s">
        <v>28</v>
      </c>
      <c r="R202" s="344"/>
      <c r="S202" s="345"/>
      <c r="T202" s="344"/>
      <c r="U202" s="346"/>
      <c r="V202" s="347"/>
      <c r="W202" s="6"/>
    </row>
    <row r="203" spans="1:24" ht="15.6">
      <c r="A203" s="371"/>
      <c r="B203" s="372"/>
      <c r="C203" s="373"/>
      <c r="D203" s="373"/>
      <c r="E203" s="373"/>
      <c r="F203" s="373"/>
      <c r="G203" s="373"/>
      <c r="H203" s="373"/>
      <c r="I203" s="373"/>
      <c r="J203" s="373"/>
      <c r="K203" s="373"/>
      <c r="L203" s="373" t="s">
        <v>94</v>
      </c>
      <c r="M203" s="374" t="s">
        <v>101</v>
      </c>
      <c r="N203" s="373" t="s">
        <v>103</v>
      </c>
      <c r="O203" s="374" t="s">
        <v>101</v>
      </c>
      <c r="P203" s="374"/>
      <c r="Q203" s="373" t="s">
        <v>94</v>
      </c>
      <c r="R203" s="374" t="s">
        <v>101</v>
      </c>
      <c r="S203" s="373" t="s">
        <v>103</v>
      </c>
      <c r="T203" s="374" t="s">
        <v>101</v>
      </c>
      <c r="U203" s="375"/>
      <c r="V203" s="376"/>
      <c r="W203" s="6"/>
    </row>
    <row r="204" spans="1:24" ht="15.6">
      <c r="A204" s="315"/>
      <c r="B204" s="310" t="s">
        <v>81</v>
      </c>
      <c r="C204" s="351"/>
      <c r="D204" s="351"/>
      <c r="E204" s="351"/>
      <c r="F204" s="351"/>
      <c r="G204" s="351"/>
      <c r="H204" s="351"/>
      <c r="I204" s="351"/>
      <c r="J204" s="351"/>
      <c r="K204" s="351"/>
      <c r="L204" s="351">
        <v>6955</v>
      </c>
      <c r="M204" s="299">
        <f t="shared" ref="M204:M210" si="4">+L204/$L$211</f>
        <v>0.88183086091035878</v>
      </c>
      <c r="N204" s="351">
        <v>171366</v>
      </c>
      <c r="O204" s="299">
        <f t="shared" ref="O204:O210" si="5">+N204/$N$211</f>
        <v>0.86628112709662419</v>
      </c>
      <c r="P204" s="296"/>
      <c r="Q204" s="351">
        <v>1000</v>
      </c>
      <c r="R204" s="299">
        <f t="shared" ref="R204:R210" si="6">Q204/$Q$211</f>
        <v>0.91407678244972579</v>
      </c>
      <c r="S204" s="351">
        <v>10413</v>
      </c>
      <c r="T204" s="299">
        <f t="shared" ref="T204:T210" si="7">+S204/$S$211</f>
        <v>0.91438356164383561</v>
      </c>
      <c r="U204" s="294"/>
      <c r="V204" s="301"/>
      <c r="W204" s="6"/>
    </row>
    <row r="205" spans="1:24" ht="15.6">
      <c r="A205" s="444"/>
      <c r="B205" s="440" t="s">
        <v>82</v>
      </c>
      <c r="C205" s="489"/>
      <c r="D205" s="489"/>
      <c r="E205" s="489"/>
      <c r="F205" s="489"/>
      <c r="G205" s="489"/>
      <c r="H205" s="489"/>
      <c r="I205" s="489"/>
      <c r="J205" s="489"/>
      <c r="K205" s="489"/>
      <c r="L205" s="489">
        <v>269</v>
      </c>
      <c r="M205" s="427">
        <f t="shared" si="4"/>
        <v>3.4106757956130343E-2</v>
      </c>
      <c r="N205" s="489">
        <v>7865</v>
      </c>
      <c r="O205" s="427">
        <f t="shared" si="5"/>
        <v>3.97587681606325E-2</v>
      </c>
      <c r="P205" s="381"/>
      <c r="Q205" s="489">
        <v>45</v>
      </c>
      <c r="R205" s="427">
        <f t="shared" si="6"/>
        <v>4.113345521023766E-2</v>
      </c>
      <c r="S205" s="489">
        <v>448</v>
      </c>
      <c r="T205" s="427">
        <f t="shared" si="7"/>
        <v>3.9339655778011941E-2</v>
      </c>
      <c r="U205" s="379"/>
      <c r="V205" s="435"/>
      <c r="W205" s="6"/>
    </row>
    <row r="206" spans="1:24" ht="15.6">
      <c r="A206" s="444"/>
      <c r="B206" s="440" t="s">
        <v>83</v>
      </c>
      <c r="C206" s="489"/>
      <c r="D206" s="489"/>
      <c r="E206" s="489"/>
      <c r="F206" s="489"/>
      <c r="G206" s="489"/>
      <c r="H206" s="489"/>
      <c r="I206" s="489"/>
      <c r="J206" s="489"/>
      <c r="K206" s="489"/>
      <c r="L206" s="489">
        <v>147</v>
      </c>
      <c r="M206" s="427">
        <f t="shared" si="4"/>
        <v>1.8638265500190185E-2</v>
      </c>
      <c r="N206" s="489">
        <v>3997</v>
      </c>
      <c r="O206" s="427">
        <f t="shared" si="5"/>
        <v>2.0205441365295371E-2</v>
      </c>
      <c r="P206" s="381"/>
      <c r="Q206" s="489">
        <v>15</v>
      </c>
      <c r="R206" s="427">
        <f t="shared" si="6"/>
        <v>1.3711151736745886E-2</v>
      </c>
      <c r="S206" s="489">
        <v>158</v>
      </c>
      <c r="T206" s="427">
        <f t="shared" si="7"/>
        <v>1.3874253600280998E-2</v>
      </c>
      <c r="U206" s="379"/>
      <c r="V206" s="435"/>
      <c r="W206" s="6"/>
      <c r="X206" s="182"/>
    </row>
    <row r="207" spans="1:24" ht="15.6">
      <c r="A207" s="444"/>
      <c r="B207" s="440" t="s">
        <v>186</v>
      </c>
      <c r="C207" s="489"/>
      <c r="D207" s="489"/>
      <c r="E207" s="489"/>
      <c r="F207" s="489"/>
      <c r="G207" s="489"/>
      <c r="H207" s="489"/>
      <c r="I207" s="489"/>
      <c r="J207" s="489"/>
      <c r="K207" s="489"/>
      <c r="L207" s="489">
        <v>140</v>
      </c>
      <c r="M207" s="427">
        <f t="shared" si="4"/>
        <v>1.7750729047800177E-2</v>
      </c>
      <c r="N207" s="489">
        <v>3871</v>
      </c>
      <c r="O207" s="427">
        <f t="shared" si="5"/>
        <v>1.9568492250452436E-2</v>
      </c>
      <c r="P207" s="381"/>
      <c r="Q207" s="489">
        <v>7</v>
      </c>
      <c r="R207" s="427">
        <f t="shared" si="6"/>
        <v>6.3985374771480807E-3</v>
      </c>
      <c r="S207" s="489">
        <v>52</v>
      </c>
      <c r="T207" s="427">
        <f t="shared" si="7"/>
        <v>4.5662100456621002E-3</v>
      </c>
      <c r="U207" s="379"/>
      <c r="V207" s="435"/>
      <c r="W207" s="6"/>
    </row>
    <row r="208" spans="1:24" ht="15.6">
      <c r="A208" s="444"/>
      <c r="B208" s="440" t="s">
        <v>187</v>
      </c>
      <c r="C208" s="489"/>
      <c r="D208" s="489"/>
      <c r="E208" s="489"/>
      <c r="F208" s="489"/>
      <c r="G208" s="489"/>
      <c r="H208" s="489"/>
      <c r="I208" s="489"/>
      <c r="J208" s="489"/>
      <c r="K208" s="489"/>
      <c r="L208" s="489">
        <v>106</v>
      </c>
      <c r="M208" s="427">
        <f t="shared" si="4"/>
        <v>1.3439837707620134E-2</v>
      </c>
      <c r="N208" s="489">
        <v>2873</v>
      </c>
      <c r="O208" s="427">
        <f t="shared" si="5"/>
        <v>1.4523450848759971E-2</v>
      </c>
      <c r="P208" s="381"/>
      <c r="Q208" s="489">
        <v>6</v>
      </c>
      <c r="R208" s="427">
        <f t="shared" si="6"/>
        <v>5.4844606946983544E-3</v>
      </c>
      <c r="S208" s="489">
        <v>62</v>
      </c>
      <c r="T208" s="427">
        <f t="shared" si="7"/>
        <v>5.4443273621355816E-3</v>
      </c>
      <c r="U208" s="379"/>
      <c r="V208" s="435"/>
      <c r="W208" s="6"/>
    </row>
    <row r="209" spans="1:24" ht="15.6">
      <c r="A209" s="444"/>
      <c r="B209" s="440" t="s">
        <v>188</v>
      </c>
      <c r="C209" s="489"/>
      <c r="D209" s="489"/>
      <c r="E209" s="489"/>
      <c r="F209" s="489"/>
      <c r="G209" s="489"/>
      <c r="H209" s="489"/>
      <c r="I209" s="489"/>
      <c r="J209" s="489"/>
      <c r="K209" s="489"/>
      <c r="L209" s="489">
        <v>72</v>
      </c>
      <c r="M209" s="427">
        <f t="shared" si="4"/>
        <v>9.1289463674400911E-3</v>
      </c>
      <c r="N209" s="489">
        <v>2106</v>
      </c>
      <c r="O209" s="427">
        <f t="shared" si="5"/>
        <v>1.0646149490946223E-2</v>
      </c>
      <c r="P209" s="381"/>
      <c r="Q209" s="489">
        <v>7</v>
      </c>
      <c r="R209" s="427">
        <f t="shared" si="6"/>
        <v>6.3985374771480807E-3</v>
      </c>
      <c r="S209" s="489">
        <v>71</v>
      </c>
      <c r="T209" s="427">
        <f t="shared" si="7"/>
        <v>6.2346329469617143E-3</v>
      </c>
      <c r="U209" s="379"/>
      <c r="V209" s="435"/>
      <c r="W209" s="6"/>
    </row>
    <row r="210" spans="1:24" ht="15.6">
      <c r="A210" s="444"/>
      <c r="B210" s="440" t="s">
        <v>189</v>
      </c>
      <c r="C210" s="489"/>
      <c r="D210" s="489"/>
      <c r="E210" s="489"/>
      <c r="F210" s="489"/>
      <c r="G210" s="489"/>
      <c r="H210" s="489"/>
      <c r="I210" s="489"/>
      <c r="J210" s="489"/>
      <c r="K210" s="489"/>
      <c r="L210" s="489">
        <v>198</v>
      </c>
      <c r="M210" s="427">
        <f t="shared" si="4"/>
        <v>2.5104602510460251E-2</v>
      </c>
      <c r="N210" s="489">
        <v>5740</v>
      </c>
      <c r="O210" s="427">
        <f t="shared" si="5"/>
        <v>2.9016570787289326E-2</v>
      </c>
      <c r="P210" s="381"/>
      <c r="Q210" s="489">
        <v>14</v>
      </c>
      <c r="R210" s="427">
        <f t="shared" si="6"/>
        <v>1.2797074954296161E-2</v>
      </c>
      <c r="S210" s="489">
        <v>184</v>
      </c>
      <c r="T210" s="427">
        <f t="shared" si="7"/>
        <v>1.6157358623112048E-2</v>
      </c>
      <c r="U210" s="379"/>
      <c r="V210" s="435"/>
      <c r="W210" s="6"/>
    </row>
    <row r="211" spans="1:24" ht="15.6">
      <c r="A211" s="444"/>
      <c r="B211" s="440" t="str">
        <f>B198</f>
        <v>Total Performing  Assets</v>
      </c>
      <c r="C211" s="489"/>
      <c r="D211" s="489"/>
      <c r="E211" s="489"/>
      <c r="F211" s="489"/>
      <c r="G211" s="489"/>
      <c r="H211" s="489"/>
      <c r="I211" s="489"/>
      <c r="J211" s="489"/>
      <c r="K211" s="489"/>
      <c r="L211" s="489">
        <f>SUM(L204:L210)</f>
        <v>7887</v>
      </c>
      <c r="M211" s="427">
        <f>SUM(M204:M210)</f>
        <v>1</v>
      </c>
      <c r="N211" s="489">
        <f>SUM(N204:N210)</f>
        <v>197818</v>
      </c>
      <c r="O211" s="427">
        <f>SUM(O204:O210)</f>
        <v>1</v>
      </c>
      <c r="P211" s="381"/>
      <c r="Q211" s="489">
        <f>SUM(Q204:Q210)</f>
        <v>1094</v>
      </c>
      <c r="R211" s="427">
        <f>SUM(R204:R210)</f>
        <v>1</v>
      </c>
      <c r="S211" s="489">
        <f>SUM(S204:S210)</f>
        <v>11388</v>
      </c>
      <c r="T211" s="427">
        <f>SUM(T204:T210)</f>
        <v>1</v>
      </c>
      <c r="U211" s="379"/>
      <c r="V211" s="435"/>
      <c r="W211" s="6"/>
    </row>
    <row r="212" spans="1:24" ht="15.6">
      <c r="A212" s="444"/>
      <c r="B212" s="440" t="s">
        <v>85</v>
      </c>
      <c r="C212" s="489"/>
      <c r="D212" s="489"/>
      <c r="E212" s="489"/>
      <c r="F212" s="489"/>
      <c r="G212" s="489"/>
      <c r="H212" s="489"/>
      <c r="I212" s="489"/>
      <c r="J212" s="489"/>
      <c r="K212" s="489"/>
      <c r="L212" s="489">
        <v>132</v>
      </c>
      <c r="M212" s="381"/>
      <c r="N212" s="489">
        <v>3903</v>
      </c>
      <c r="O212" s="380"/>
      <c r="P212" s="381"/>
      <c r="Q212" s="489">
        <v>26</v>
      </c>
      <c r="R212" s="381"/>
      <c r="S212" s="489">
        <v>498</v>
      </c>
      <c r="T212" s="381"/>
      <c r="U212" s="379"/>
      <c r="V212" s="435"/>
      <c r="W212" s="6"/>
    </row>
    <row r="213" spans="1:24" ht="15.6">
      <c r="A213" s="444"/>
      <c r="B213" s="440" t="s">
        <v>86</v>
      </c>
      <c r="C213" s="489"/>
      <c r="D213" s="489"/>
      <c r="E213" s="489"/>
      <c r="F213" s="489"/>
      <c r="G213" s="489"/>
      <c r="H213" s="489"/>
      <c r="I213" s="489"/>
      <c r="J213" s="489"/>
      <c r="K213" s="489"/>
      <c r="L213" s="489">
        <f>SUM(L211:L212)</f>
        <v>8019</v>
      </c>
      <c r="M213" s="450"/>
      <c r="N213" s="489">
        <f>SUM(N211:N212)</f>
        <v>201721</v>
      </c>
      <c r="O213" s="427"/>
      <c r="P213" s="450"/>
      <c r="Q213" s="489">
        <f>SUM(Q211:Q212)</f>
        <v>1120</v>
      </c>
      <c r="R213" s="450"/>
      <c r="S213" s="489">
        <f>SUM(S211:S212)</f>
        <v>11886</v>
      </c>
      <c r="T213" s="450"/>
      <c r="U213" s="450"/>
      <c r="V213" s="492"/>
    </row>
    <row r="214" spans="1:24" ht="15.6">
      <c r="A214" s="444"/>
      <c r="B214" s="440"/>
      <c r="C214" s="381"/>
      <c r="D214" s="381"/>
      <c r="E214" s="381"/>
      <c r="F214" s="381"/>
      <c r="G214" s="381"/>
      <c r="H214" s="381"/>
      <c r="I214" s="381"/>
      <c r="J214" s="381"/>
      <c r="K214" s="381"/>
      <c r="L214" s="381"/>
      <c r="M214" s="493"/>
      <c r="N214" s="381"/>
      <c r="O214" s="493"/>
      <c r="P214" s="381"/>
      <c r="Q214" s="493"/>
      <c r="R214" s="381"/>
      <c r="S214" s="489"/>
      <c r="T214" s="381"/>
      <c r="U214" s="379"/>
      <c r="V214" s="435"/>
      <c r="W214" s="6"/>
    </row>
    <row r="215" spans="1:24" ht="15.6">
      <c r="A215" s="444"/>
      <c r="B215" s="440" t="s">
        <v>86</v>
      </c>
      <c r="C215" s="381"/>
      <c r="D215" s="381"/>
      <c r="E215" s="381"/>
      <c r="F215" s="381"/>
      <c r="G215" s="381"/>
      <c r="H215" s="381"/>
      <c r="I215" s="381"/>
      <c r="J215" s="381"/>
      <c r="K215" s="381"/>
      <c r="L215" s="493"/>
      <c r="M215" s="493"/>
      <c r="N215" s="493"/>
      <c r="O215" s="493"/>
      <c r="P215" s="381"/>
      <c r="Q215" s="493"/>
      <c r="R215" s="381"/>
      <c r="S215" s="489">
        <f>+N200+S200+N213+S213</f>
        <v>226586</v>
      </c>
      <c r="T215" s="490"/>
      <c r="U215" s="379"/>
      <c r="V215" s="435"/>
      <c r="W215" s="6"/>
      <c r="X215" s="182"/>
    </row>
    <row r="216" spans="1:24" ht="15.6">
      <c r="A216" s="316"/>
      <c r="B216" s="360"/>
      <c r="C216" s="363"/>
      <c r="D216" s="363"/>
      <c r="E216" s="363"/>
      <c r="F216" s="363"/>
      <c r="G216" s="363"/>
      <c r="H216" s="363"/>
      <c r="I216" s="363"/>
      <c r="J216" s="363"/>
      <c r="K216" s="363"/>
      <c r="L216" s="491"/>
      <c r="M216" s="491"/>
      <c r="N216" s="491"/>
      <c r="O216" s="491"/>
      <c r="P216" s="363"/>
      <c r="Q216" s="491"/>
      <c r="R216" s="363"/>
      <c r="S216" s="361"/>
      <c r="T216" s="363"/>
      <c r="U216" s="364"/>
      <c r="V216" s="312"/>
      <c r="W216" s="6"/>
    </row>
    <row r="217" spans="1:24" ht="15.6">
      <c r="A217" s="349"/>
      <c r="B217" s="357" t="s">
        <v>87</v>
      </c>
      <c r="C217" s="344"/>
      <c r="D217" s="344"/>
      <c r="E217" s="344"/>
      <c r="F217" s="344"/>
      <c r="G217" s="344"/>
      <c r="H217" s="344"/>
      <c r="I217" s="344"/>
      <c r="J217" s="344"/>
      <c r="K217" s="344"/>
      <c r="L217" s="344"/>
      <c r="M217" s="345"/>
      <c r="N217" s="344"/>
      <c r="O217" s="345"/>
      <c r="P217" s="344"/>
      <c r="Q217" s="345"/>
      <c r="R217" s="344"/>
      <c r="S217" s="358"/>
      <c r="T217" s="344"/>
      <c r="U217" s="350"/>
      <c r="V217" s="347"/>
      <c r="W217" s="6"/>
    </row>
    <row r="218" spans="1:24" ht="15.6">
      <c r="A218" s="315"/>
      <c r="B218" s="310"/>
      <c r="C218" s="296"/>
      <c r="D218" s="296"/>
      <c r="E218" s="296"/>
      <c r="F218" s="296"/>
      <c r="G218" s="296"/>
      <c r="H218" s="296"/>
      <c r="I218" s="296"/>
      <c r="J218" s="296"/>
      <c r="K218" s="296"/>
      <c r="L218" s="296"/>
      <c r="M218" s="352"/>
      <c r="N218" s="296"/>
      <c r="O218" s="352"/>
      <c r="P218" s="296"/>
      <c r="Q218" s="352"/>
      <c r="R218" s="296"/>
      <c r="S218" s="351"/>
      <c r="T218" s="296"/>
      <c r="U218" s="294"/>
      <c r="V218" s="301"/>
      <c r="W218" s="6"/>
    </row>
    <row r="219" spans="1:24" ht="15.6">
      <c r="A219" s="444"/>
      <c r="B219" s="440" t="s">
        <v>88</v>
      </c>
      <c r="C219" s="381"/>
      <c r="D219" s="381"/>
      <c r="E219" s="381"/>
      <c r="F219" s="381"/>
      <c r="G219" s="381"/>
      <c r="H219" s="381"/>
      <c r="I219" s="381"/>
      <c r="J219" s="381"/>
      <c r="K219" s="381"/>
      <c r="L219" s="381"/>
      <c r="M219" s="493"/>
      <c r="N219" s="381"/>
      <c r="O219" s="493"/>
      <c r="P219" s="381"/>
      <c r="Q219" s="493"/>
      <c r="R219" s="381"/>
      <c r="S219" s="489">
        <f>+N198+S198+N211+S211</f>
        <v>215018</v>
      </c>
      <c r="T219" s="381"/>
      <c r="U219" s="379"/>
      <c r="V219" s="435"/>
      <c r="W219" s="6"/>
      <c r="X219" s="182"/>
    </row>
    <row r="220" spans="1:24" ht="15.6">
      <c r="A220" s="444"/>
      <c r="B220" s="440" t="s">
        <v>89</v>
      </c>
      <c r="C220" s="381"/>
      <c r="D220" s="381"/>
      <c r="E220" s="381"/>
      <c r="F220" s="381"/>
      <c r="G220" s="381"/>
      <c r="H220" s="381"/>
      <c r="I220" s="381"/>
      <c r="J220" s="381"/>
      <c r="K220" s="381"/>
      <c r="L220" s="381"/>
      <c r="M220" s="493"/>
      <c r="N220" s="381"/>
      <c r="O220" s="493"/>
      <c r="P220" s="381"/>
      <c r="Q220" s="493"/>
      <c r="R220" s="381"/>
      <c r="S220" s="489">
        <f>+U78</f>
        <v>0</v>
      </c>
      <c r="T220" s="381"/>
      <c r="U220" s="379"/>
      <c r="V220" s="435"/>
      <c r="W220" s="119"/>
    </row>
    <row r="221" spans="1:24" ht="15.6">
      <c r="A221" s="444"/>
      <c r="B221" s="440" t="s">
        <v>90</v>
      </c>
      <c r="C221" s="381"/>
      <c r="D221" s="381"/>
      <c r="E221" s="381"/>
      <c r="F221" s="381"/>
      <c r="G221" s="381"/>
      <c r="H221" s="381"/>
      <c r="I221" s="381"/>
      <c r="J221" s="381"/>
      <c r="K221" s="381"/>
      <c r="L221" s="381"/>
      <c r="M221" s="493"/>
      <c r="N221" s="381"/>
      <c r="O221" s="493"/>
      <c r="P221" s="381"/>
      <c r="Q221" s="493"/>
      <c r="R221" s="381"/>
      <c r="S221" s="489">
        <f>S219+S220</f>
        <v>215018</v>
      </c>
      <c r="T221" s="381"/>
      <c r="U221" s="379"/>
      <c r="V221" s="435"/>
      <c r="W221" s="6"/>
    </row>
    <row r="222" spans="1:24" ht="15.6">
      <c r="A222" s="444"/>
      <c r="B222" s="440"/>
      <c r="C222" s="381"/>
      <c r="D222" s="381"/>
      <c r="E222" s="381"/>
      <c r="F222" s="381"/>
      <c r="G222" s="381"/>
      <c r="H222" s="381"/>
      <c r="I222" s="381"/>
      <c r="J222" s="381"/>
      <c r="K222" s="381"/>
      <c r="L222" s="381"/>
      <c r="M222" s="493"/>
      <c r="N222" s="381"/>
      <c r="O222" s="493"/>
      <c r="P222" s="381"/>
      <c r="Q222" s="493"/>
      <c r="R222" s="381"/>
      <c r="S222" s="489"/>
      <c r="T222" s="381"/>
      <c r="U222" s="379"/>
      <c r="V222" s="435"/>
      <c r="W222" s="6"/>
    </row>
    <row r="223" spans="1:24" ht="15.6">
      <c r="A223" s="444"/>
      <c r="B223" s="440" t="s">
        <v>91</v>
      </c>
      <c r="C223" s="381"/>
      <c r="D223" s="381"/>
      <c r="E223" s="381"/>
      <c r="F223" s="381"/>
      <c r="G223" s="381"/>
      <c r="H223" s="381"/>
      <c r="I223" s="381"/>
      <c r="J223" s="381"/>
      <c r="K223" s="381"/>
      <c r="L223" s="381"/>
      <c r="M223" s="493"/>
      <c r="N223" s="381"/>
      <c r="O223" s="493"/>
      <c r="P223" s="381"/>
      <c r="Q223" s="493"/>
      <c r="R223" s="381"/>
      <c r="S223" s="489">
        <f>U33</f>
        <v>215017.57799999998</v>
      </c>
      <c r="T223" s="381"/>
      <c r="U223" s="379"/>
      <c r="V223" s="435"/>
      <c r="W223" s="6"/>
    </row>
    <row r="224" spans="1:24" ht="15.6">
      <c r="A224" s="444"/>
      <c r="B224" s="440"/>
      <c r="C224" s="381"/>
      <c r="D224" s="381"/>
      <c r="E224" s="381"/>
      <c r="F224" s="381"/>
      <c r="G224" s="381"/>
      <c r="H224" s="381"/>
      <c r="I224" s="381"/>
      <c r="J224" s="381"/>
      <c r="K224" s="381"/>
      <c r="L224" s="381"/>
      <c r="M224" s="493"/>
      <c r="N224" s="381"/>
      <c r="O224" s="493"/>
      <c r="P224" s="381"/>
      <c r="Q224" s="493"/>
      <c r="R224" s="381"/>
      <c r="S224" s="489"/>
      <c r="T224" s="381"/>
      <c r="U224" s="379"/>
      <c r="V224" s="435"/>
      <c r="W224" s="6"/>
    </row>
    <row r="225" spans="1:23" ht="15.6">
      <c r="A225" s="444"/>
      <c r="B225" s="440" t="s">
        <v>92</v>
      </c>
      <c r="C225" s="381"/>
      <c r="D225" s="381"/>
      <c r="E225" s="381"/>
      <c r="F225" s="381"/>
      <c r="G225" s="381"/>
      <c r="H225" s="381"/>
      <c r="I225" s="381"/>
      <c r="J225" s="381"/>
      <c r="K225" s="381"/>
      <c r="L225" s="381"/>
      <c r="M225" s="493"/>
      <c r="N225" s="381"/>
      <c r="O225" s="493"/>
      <c r="P225" s="381"/>
      <c r="Q225" s="493"/>
      <c r="R225" s="381"/>
      <c r="S225" s="489">
        <f>S221/S223</f>
        <v>1.0000019626302368</v>
      </c>
      <c r="T225" s="381"/>
      <c r="U225" s="379"/>
      <c r="V225" s="435"/>
      <c r="W225" s="6"/>
    </row>
    <row r="226" spans="1:23" ht="15.6">
      <c r="A226" s="444"/>
      <c r="B226" s="379"/>
      <c r="C226" s="379"/>
      <c r="D226" s="379"/>
      <c r="E226" s="379"/>
      <c r="F226" s="379"/>
      <c r="G226" s="379"/>
      <c r="H226" s="379"/>
      <c r="I226" s="379"/>
      <c r="J226" s="379"/>
      <c r="K226" s="379"/>
      <c r="L226" s="379"/>
      <c r="M226" s="380"/>
      <c r="N226" s="379"/>
      <c r="O226" s="379"/>
      <c r="P226" s="379"/>
      <c r="Q226" s="440"/>
      <c r="R226" s="497"/>
      <c r="S226" s="441"/>
      <c r="T226" s="497"/>
      <c r="U226" s="466"/>
      <c r="V226" s="410"/>
      <c r="W226" s="6"/>
    </row>
    <row r="227" spans="1:23" ht="15.6">
      <c r="A227" s="353"/>
      <c r="B227" s="494" t="s">
        <v>127</v>
      </c>
      <c r="C227" s="495"/>
      <c r="D227" s="495"/>
      <c r="E227" s="495"/>
      <c r="F227" s="495"/>
      <c r="G227" s="495"/>
      <c r="H227" s="495"/>
      <c r="I227" s="495"/>
      <c r="J227" s="495"/>
      <c r="K227" s="495"/>
      <c r="L227" s="495"/>
      <c r="M227" s="363"/>
      <c r="N227" s="364"/>
      <c r="O227" s="494"/>
      <c r="P227" s="443"/>
      <c r="Q227" s="443"/>
      <c r="R227" s="443"/>
      <c r="S227" s="496"/>
      <c r="T227" s="443"/>
      <c r="U227" s="443"/>
      <c r="V227" s="355"/>
      <c r="W227" s="6"/>
    </row>
    <row r="228" spans="1:23" ht="15.6">
      <c r="A228" s="353"/>
      <c r="B228" s="287" t="s">
        <v>128</v>
      </c>
      <c r="C228" s="354"/>
      <c r="D228" s="354"/>
      <c r="E228" s="354"/>
      <c r="F228" s="354"/>
      <c r="G228" s="354"/>
      <c r="H228" s="354"/>
      <c r="I228" s="354"/>
      <c r="J228" s="354"/>
      <c r="K228" s="354"/>
      <c r="L228" s="354"/>
      <c r="M228" s="290"/>
      <c r="N228" s="287"/>
      <c r="O228" s="287"/>
      <c r="P228" s="354"/>
      <c r="Q228" s="354"/>
      <c r="R228" s="317"/>
      <c r="S228" s="317"/>
      <c r="T228" s="317"/>
      <c r="U228" s="317"/>
      <c r="V228" s="355"/>
      <c r="W228" s="6"/>
    </row>
    <row r="229" spans="1:23" ht="15.6">
      <c r="A229" s="353"/>
      <c r="B229" s="287" t="s">
        <v>246</v>
      </c>
      <c r="C229" s="287"/>
      <c r="D229" s="287"/>
      <c r="E229" s="287"/>
      <c r="F229" s="287"/>
      <c r="G229" s="287"/>
      <c r="H229" s="287"/>
      <c r="I229" s="287"/>
      <c r="J229" s="287"/>
      <c r="K229" s="287"/>
      <c r="L229" s="287"/>
      <c r="M229" s="287"/>
      <c r="N229" s="287"/>
      <c r="O229" s="287"/>
      <c r="P229" s="287"/>
      <c r="Q229" s="287"/>
      <c r="R229" s="287"/>
      <c r="S229" s="287"/>
      <c r="T229" s="287"/>
      <c r="U229" s="287"/>
      <c r="V229" s="355"/>
      <c r="W229" s="6"/>
    </row>
    <row r="230" spans="1:23" ht="15.6">
      <c r="A230" s="353"/>
      <c r="B230" s="287" t="s">
        <v>129</v>
      </c>
      <c r="C230" s="354"/>
      <c r="D230" s="354"/>
      <c r="E230" s="354"/>
      <c r="F230" s="354"/>
      <c r="G230" s="354"/>
      <c r="H230" s="354"/>
      <c r="I230" s="354"/>
      <c r="J230" s="354"/>
      <c r="K230" s="354"/>
      <c r="L230" s="354"/>
      <c r="M230" s="290"/>
      <c r="N230" s="287"/>
      <c r="O230" s="287"/>
      <c r="P230" s="354"/>
      <c r="Q230" s="354"/>
      <c r="R230" s="317"/>
      <c r="S230" s="317"/>
      <c r="T230" s="317"/>
      <c r="U230" s="317"/>
      <c r="V230" s="355"/>
      <c r="W230" s="6"/>
    </row>
    <row r="231" spans="1:23" ht="15.6">
      <c r="A231" s="353"/>
      <c r="B231" s="287"/>
      <c r="C231" s="354"/>
      <c r="D231" s="354"/>
      <c r="E231" s="354"/>
      <c r="F231" s="354"/>
      <c r="G231" s="354"/>
      <c r="H231" s="354"/>
      <c r="I231" s="354"/>
      <c r="J231" s="354"/>
      <c r="K231" s="354"/>
      <c r="L231" s="354"/>
      <c r="M231" s="290"/>
      <c r="N231" s="287"/>
      <c r="O231" s="287"/>
      <c r="P231" s="354"/>
      <c r="Q231" s="354"/>
      <c r="R231" s="317"/>
      <c r="S231" s="317"/>
      <c r="T231" s="317"/>
      <c r="U231" s="317"/>
      <c r="V231" s="355"/>
      <c r="W231" s="6"/>
    </row>
    <row r="232" spans="1:23" ht="15.6">
      <c r="A232" s="353"/>
      <c r="B232" s="287"/>
      <c r="C232" s="354"/>
      <c r="D232" s="354"/>
      <c r="E232" s="354"/>
      <c r="F232" s="354"/>
      <c r="G232" s="354"/>
      <c r="H232" s="354"/>
      <c r="I232" s="354"/>
      <c r="J232" s="354"/>
      <c r="K232" s="354"/>
      <c r="L232" s="354"/>
      <c r="M232" s="290"/>
      <c r="N232" s="287"/>
      <c r="O232" s="287"/>
      <c r="P232" s="354"/>
      <c r="Q232" s="354"/>
      <c r="R232" s="317"/>
      <c r="S232" s="317"/>
      <c r="T232" s="317"/>
      <c r="U232" s="317"/>
      <c r="V232" s="355"/>
      <c r="W232" s="6"/>
    </row>
    <row r="233" spans="1:23" ht="16.2" thickBot="1">
      <c r="A233" s="353"/>
      <c r="B233" s="287" t="str">
        <f>+B160</f>
        <v>PPAF3 INVESTOR REPORT QUARTER ENDING MARCH 2011</v>
      </c>
      <c r="C233" s="354"/>
      <c r="D233" s="354"/>
      <c r="E233" s="354"/>
      <c r="F233" s="354"/>
      <c r="G233" s="354"/>
      <c r="H233" s="354"/>
      <c r="I233" s="354"/>
      <c r="J233" s="354"/>
      <c r="K233" s="354"/>
      <c r="L233" s="354"/>
      <c r="M233" s="290"/>
      <c r="N233" s="287"/>
      <c r="O233" s="287"/>
      <c r="P233" s="354"/>
      <c r="Q233" s="354"/>
      <c r="R233" s="317"/>
      <c r="S233" s="317"/>
      <c r="T233" s="317"/>
      <c r="U233" s="317"/>
      <c r="V233" s="356"/>
      <c r="W233" s="6"/>
    </row>
    <row r="234" spans="1:2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row>
  </sheetData>
  <phoneticPr fontId="0" type="noConversion"/>
  <hyperlinks>
    <hyperlink ref="I9" r:id="rId1"/>
    <hyperlink ref="K187"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21" man="1"/>
    <brk id="109" max="16383" man="1"/>
    <brk id="160" max="21" man="1"/>
    <brk id="239" man="1"/>
  </rowBreaks>
  <colBreaks count="1" manualBreakCount="1">
    <brk id="23" max="1048575" man="1"/>
  </colBreaks>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18"/>
  </sheetPr>
  <dimension ref="A1:Y234"/>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38" t="s">
        <v>223</v>
      </c>
      <c r="B1" s="285" t="s">
        <v>123</v>
      </c>
      <c r="C1" s="239"/>
      <c r="D1" s="239"/>
      <c r="E1" s="239"/>
      <c r="F1" s="239"/>
      <c r="G1" s="239"/>
      <c r="H1" s="239"/>
      <c r="I1" s="239"/>
      <c r="J1" s="239"/>
      <c r="K1" s="239"/>
      <c r="L1" s="239"/>
      <c r="M1" s="240"/>
      <c r="N1" s="240"/>
      <c r="O1" s="240"/>
      <c r="P1" s="240"/>
      <c r="Q1" s="240"/>
      <c r="R1" s="240"/>
      <c r="S1" s="240"/>
      <c r="T1" s="240"/>
      <c r="U1" s="240"/>
      <c r="V1" s="241"/>
      <c r="W1" s="6"/>
    </row>
    <row r="2" spans="1:23" ht="15.6">
      <c r="A2" s="242"/>
      <c r="B2" s="243"/>
      <c r="C2" s="243"/>
      <c r="D2" s="243"/>
      <c r="E2" s="243"/>
      <c r="F2" s="243"/>
      <c r="G2" s="243"/>
      <c r="H2" s="243"/>
      <c r="I2" s="243"/>
      <c r="J2" s="243"/>
      <c r="K2" s="243"/>
      <c r="L2" s="243"/>
      <c r="M2" s="244"/>
      <c r="N2" s="244"/>
      <c r="O2" s="244"/>
      <c r="P2" s="244"/>
      <c r="Q2" s="244"/>
      <c r="R2" s="244"/>
      <c r="S2" s="244"/>
      <c r="T2" s="244"/>
      <c r="U2" s="244"/>
      <c r="V2" s="245"/>
      <c r="W2" s="6"/>
    </row>
    <row r="3" spans="1:23" ht="15.6">
      <c r="A3" s="246"/>
      <c r="B3" s="247" t="s">
        <v>125</v>
      </c>
      <c r="C3" s="244"/>
      <c r="D3" s="244"/>
      <c r="E3" s="244"/>
      <c r="F3" s="244"/>
      <c r="G3" s="244"/>
      <c r="H3" s="244"/>
      <c r="I3" s="244"/>
      <c r="J3" s="244"/>
      <c r="K3" s="244"/>
      <c r="L3" s="244"/>
      <c r="M3" s="244"/>
      <c r="N3" s="244"/>
      <c r="O3" s="244"/>
      <c r="P3" s="244"/>
      <c r="Q3" s="244"/>
      <c r="R3" s="244"/>
      <c r="S3" s="244"/>
      <c r="T3" s="244"/>
      <c r="U3" s="244"/>
      <c r="V3" s="245"/>
      <c r="W3" s="6"/>
    </row>
    <row r="4" spans="1:23" ht="15.6">
      <c r="A4" s="242"/>
      <c r="B4" s="243"/>
      <c r="C4" s="243"/>
      <c r="D4" s="243"/>
      <c r="E4" s="243"/>
      <c r="F4" s="243"/>
      <c r="G4" s="243"/>
      <c r="H4" s="243"/>
      <c r="I4" s="243"/>
      <c r="J4" s="243"/>
      <c r="K4" s="243"/>
      <c r="L4" s="243"/>
      <c r="M4" s="244"/>
      <c r="N4" s="244"/>
      <c r="O4" s="244"/>
      <c r="P4" s="244"/>
      <c r="Q4" s="244"/>
      <c r="R4" s="244"/>
      <c r="S4" s="244"/>
      <c r="T4" s="244"/>
      <c r="U4" s="244"/>
      <c r="V4" s="245"/>
      <c r="W4" s="6"/>
    </row>
    <row r="5" spans="1:23" ht="16.2">
      <c r="A5" s="242"/>
      <c r="B5" s="286" t="s">
        <v>0</v>
      </c>
      <c r="C5" s="248"/>
      <c r="D5" s="248"/>
      <c r="E5" s="248"/>
      <c r="F5" s="248"/>
      <c r="G5" s="248"/>
      <c r="H5" s="248"/>
      <c r="I5" s="248"/>
      <c r="J5" s="248"/>
      <c r="K5" s="248"/>
      <c r="L5" s="248"/>
      <c r="M5" s="244"/>
      <c r="N5" s="244"/>
      <c r="O5" s="244"/>
      <c r="P5" s="244"/>
      <c r="Q5" s="244"/>
      <c r="R5" s="244"/>
      <c r="S5" s="244"/>
      <c r="T5" s="244"/>
      <c r="U5" s="244"/>
      <c r="V5" s="245"/>
      <c r="W5" s="6"/>
    </row>
    <row r="6" spans="1:23" ht="16.2">
      <c r="A6" s="242"/>
      <c r="B6" s="286" t="s">
        <v>1</v>
      </c>
      <c r="C6" s="248"/>
      <c r="D6" s="248"/>
      <c r="E6" s="248"/>
      <c r="F6" s="248"/>
      <c r="G6" s="248"/>
      <c r="H6" s="248"/>
      <c r="I6" s="248"/>
      <c r="J6" s="248"/>
      <c r="K6" s="248"/>
      <c r="L6" s="248"/>
      <c r="M6" s="244"/>
      <c r="N6" s="244"/>
      <c r="O6" s="244"/>
      <c r="P6" s="244"/>
      <c r="Q6" s="244"/>
      <c r="R6" s="244"/>
      <c r="S6" s="244"/>
      <c r="T6" s="244"/>
      <c r="U6" s="244"/>
      <c r="V6" s="245"/>
      <c r="W6" s="6"/>
    </row>
    <row r="7" spans="1:23" ht="16.2">
      <c r="A7" s="242"/>
      <c r="B7" s="286" t="s">
        <v>2</v>
      </c>
      <c r="C7" s="248"/>
      <c r="D7" s="248"/>
      <c r="E7" s="248"/>
      <c r="F7" s="248"/>
      <c r="G7" s="248"/>
      <c r="H7" s="248"/>
      <c r="I7" s="248"/>
      <c r="J7" s="248"/>
      <c r="K7" s="248"/>
      <c r="L7" s="248"/>
      <c r="M7" s="244"/>
      <c r="N7" s="244"/>
      <c r="O7" s="244"/>
      <c r="P7" s="244"/>
      <c r="Q7" s="244"/>
      <c r="R7" s="244"/>
      <c r="S7" s="244"/>
      <c r="T7" s="244"/>
      <c r="U7" s="244"/>
      <c r="V7" s="245"/>
      <c r="W7" s="6"/>
    </row>
    <row r="8" spans="1:23" ht="16.2">
      <c r="A8" s="242"/>
      <c r="B8" s="249"/>
      <c r="C8" s="248"/>
      <c r="D8" s="248"/>
      <c r="E8" s="248"/>
      <c r="F8" s="248"/>
      <c r="G8" s="248"/>
      <c r="H8" s="248"/>
      <c r="I8" s="248"/>
      <c r="J8" s="248"/>
      <c r="K8" s="248"/>
      <c r="L8" s="248"/>
      <c r="M8" s="244"/>
      <c r="N8" s="244"/>
      <c r="O8" s="244"/>
      <c r="P8" s="244"/>
      <c r="Q8" s="244"/>
      <c r="R8" s="244"/>
      <c r="S8" s="244"/>
      <c r="T8" s="244"/>
      <c r="U8" s="244"/>
      <c r="V8" s="245"/>
      <c r="W8" s="6"/>
    </row>
    <row r="9" spans="1:23" ht="18">
      <c r="A9" s="242"/>
      <c r="B9" s="250" t="s">
        <v>194</v>
      </c>
      <c r="C9" s="248"/>
      <c r="D9" s="248"/>
      <c r="E9" s="248"/>
      <c r="F9" s="248"/>
      <c r="G9" s="248"/>
      <c r="H9" s="248"/>
      <c r="I9" s="251" t="s">
        <v>195</v>
      </c>
      <c r="J9" s="248"/>
      <c r="K9" s="248"/>
      <c r="L9" s="248"/>
      <c r="M9" s="244"/>
      <c r="N9" s="244"/>
      <c r="O9" s="244"/>
      <c r="P9" s="244"/>
      <c r="Q9" s="244"/>
      <c r="R9" s="244"/>
      <c r="S9" s="244"/>
      <c r="T9" s="244"/>
      <c r="U9" s="244"/>
      <c r="V9" s="245"/>
      <c r="W9" s="6"/>
    </row>
    <row r="10" spans="1:23" ht="16.2">
      <c r="A10" s="242"/>
      <c r="B10" s="248"/>
      <c r="C10" s="248"/>
      <c r="D10" s="248"/>
      <c r="E10" s="248"/>
      <c r="F10" s="248"/>
      <c r="G10" s="248"/>
      <c r="H10" s="248"/>
      <c r="I10" s="248"/>
      <c r="J10" s="248"/>
      <c r="K10" s="248"/>
      <c r="L10" s="248"/>
      <c r="M10" s="252"/>
      <c r="N10" s="252"/>
      <c r="O10" s="244"/>
      <c r="P10" s="244"/>
      <c r="Q10" s="244"/>
      <c r="R10" s="244"/>
      <c r="S10" s="244"/>
      <c r="T10" s="244"/>
      <c r="U10" s="244"/>
      <c r="V10" s="245"/>
      <c r="W10" s="6"/>
    </row>
    <row r="11" spans="1:23" ht="15.6">
      <c r="A11" s="242"/>
      <c r="B11" s="287" t="s">
        <v>3</v>
      </c>
      <c r="C11" s="252"/>
      <c r="D11" s="252"/>
      <c r="E11" s="252"/>
      <c r="F11" s="252"/>
      <c r="G11" s="252"/>
      <c r="H11" s="252"/>
      <c r="I11" s="252"/>
      <c r="J11" s="252"/>
      <c r="K11" s="252"/>
      <c r="L11" s="252"/>
      <c r="M11" s="244"/>
      <c r="N11" s="244"/>
      <c r="O11" s="244"/>
      <c r="P11" s="244"/>
      <c r="Q11" s="244"/>
      <c r="R11" s="244"/>
      <c r="S11" s="244"/>
      <c r="T11" s="244"/>
      <c r="U11" s="244"/>
      <c r="V11" s="245"/>
      <c r="W11" s="6"/>
    </row>
    <row r="12" spans="1:23" ht="16.2" thickBot="1">
      <c r="A12" s="242"/>
      <c r="B12" s="252"/>
      <c r="C12" s="252"/>
      <c r="D12" s="252"/>
      <c r="E12" s="252"/>
      <c r="F12" s="252"/>
      <c r="G12" s="252"/>
      <c r="H12" s="252"/>
      <c r="I12" s="252"/>
      <c r="J12" s="252"/>
      <c r="K12" s="252"/>
      <c r="L12" s="252"/>
      <c r="M12" s="244"/>
      <c r="N12" s="244"/>
      <c r="O12" s="244"/>
      <c r="P12" s="244"/>
      <c r="Q12" s="244"/>
      <c r="R12" s="244"/>
      <c r="S12" s="244"/>
      <c r="T12" s="244"/>
      <c r="U12" s="244"/>
      <c r="V12" s="245"/>
      <c r="W12" s="6"/>
    </row>
    <row r="13" spans="1:23" ht="15.6">
      <c r="A13" s="238"/>
      <c r="B13" s="240"/>
      <c r="C13" s="240"/>
      <c r="D13" s="240"/>
      <c r="E13" s="240"/>
      <c r="F13" s="240"/>
      <c r="G13" s="240"/>
      <c r="H13" s="240"/>
      <c r="I13" s="240"/>
      <c r="J13" s="240"/>
      <c r="K13" s="240"/>
      <c r="L13" s="240"/>
      <c r="M13" s="240"/>
      <c r="N13" s="240"/>
      <c r="O13" s="240"/>
      <c r="P13" s="240"/>
      <c r="Q13" s="240"/>
      <c r="R13" s="240"/>
      <c r="S13" s="240"/>
      <c r="T13" s="240"/>
      <c r="U13" s="240"/>
      <c r="V13" s="241"/>
      <c r="W13" s="6"/>
    </row>
    <row r="14" spans="1:23" ht="15.6">
      <c r="A14" s="242"/>
      <c r="B14" s="287" t="s">
        <v>4</v>
      </c>
      <c r="C14" s="253"/>
      <c r="D14" s="253"/>
      <c r="E14" s="253"/>
      <c r="F14" s="253"/>
      <c r="G14" s="253"/>
      <c r="H14" s="253"/>
      <c r="I14" s="253"/>
      <c r="J14" s="253"/>
      <c r="K14" s="253"/>
      <c r="L14" s="253"/>
      <c r="M14" s="288"/>
      <c r="N14" s="288"/>
      <c r="O14" s="288"/>
      <c r="P14" s="288"/>
      <c r="Q14" s="288"/>
      <c r="R14" s="288"/>
      <c r="S14" s="288"/>
      <c r="T14" s="288"/>
      <c r="U14" s="289" t="s">
        <v>126</v>
      </c>
      <c r="V14" s="245"/>
      <c r="W14" s="6"/>
    </row>
    <row r="15" spans="1:23" ht="15.6">
      <c r="A15" s="242"/>
      <c r="B15" s="287" t="s">
        <v>5</v>
      </c>
      <c r="C15" s="253"/>
      <c r="D15" s="253"/>
      <c r="E15" s="253"/>
      <c r="F15" s="253"/>
      <c r="G15" s="253"/>
      <c r="H15" s="253"/>
      <c r="I15" s="253"/>
      <c r="J15" s="253"/>
      <c r="K15" s="253"/>
      <c r="L15" s="253"/>
      <c r="M15" s="290" t="s">
        <v>93</v>
      </c>
      <c r="N15" s="291">
        <v>0.1492</v>
      </c>
      <c r="O15" s="290" t="s">
        <v>99</v>
      </c>
      <c r="P15" s="291">
        <v>5.4399999999999997E-2</v>
      </c>
      <c r="Q15" s="290" t="s">
        <v>102</v>
      </c>
      <c r="R15" s="291">
        <v>0.48899999999999999</v>
      </c>
      <c r="S15" s="290" t="s">
        <v>108</v>
      </c>
      <c r="T15" s="291">
        <v>0.30740000000000001</v>
      </c>
      <c r="U15" s="289"/>
      <c r="V15" s="254"/>
      <c r="W15" s="6"/>
    </row>
    <row r="16" spans="1:23" ht="15.6">
      <c r="A16" s="242"/>
      <c r="B16" s="287" t="s">
        <v>6</v>
      </c>
      <c r="C16" s="253"/>
      <c r="D16" s="253"/>
      <c r="E16" s="253"/>
      <c r="F16" s="253"/>
      <c r="G16" s="253"/>
      <c r="H16" s="253"/>
      <c r="I16" s="253"/>
      <c r="J16" s="253"/>
      <c r="K16" s="253"/>
      <c r="L16" s="253"/>
      <c r="M16" s="290" t="s">
        <v>93</v>
      </c>
      <c r="N16" s="291">
        <f>+N198/S221</f>
        <v>1.8727999050745559E-2</v>
      </c>
      <c r="O16" s="290" t="s">
        <v>99</v>
      </c>
      <c r="P16" s="291">
        <f>+S198/S221</f>
        <v>6.2393703278883043E-3</v>
      </c>
      <c r="Q16" s="290" t="s">
        <v>102</v>
      </c>
      <c r="R16" s="291">
        <f>+N211/S221</f>
        <v>0.93298856939445474</v>
      </c>
      <c r="S16" s="290" t="s">
        <v>108</v>
      </c>
      <c r="T16" s="291">
        <f>+S211/S221</f>
        <v>4.2044061226911365E-2</v>
      </c>
      <c r="U16" s="289"/>
      <c r="V16" s="254"/>
      <c r="W16" s="6"/>
    </row>
    <row r="17" spans="1:23" ht="15.6">
      <c r="A17" s="242"/>
      <c r="B17" s="287" t="s">
        <v>7</v>
      </c>
      <c r="C17" s="253"/>
      <c r="D17" s="253"/>
      <c r="E17" s="253"/>
      <c r="F17" s="253"/>
      <c r="G17" s="253"/>
      <c r="H17" s="253"/>
      <c r="I17" s="253"/>
      <c r="J17" s="253"/>
      <c r="K17" s="253"/>
      <c r="L17" s="253"/>
      <c r="M17" s="288"/>
      <c r="N17" s="288"/>
      <c r="O17" s="288"/>
      <c r="P17" s="288"/>
      <c r="Q17" s="288"/>
      <c r="R17" s="288"/>
      <c r="S17" s="288"/>
      <c r="T17" s="288"/>
      <c r="U17" s="292">
        <v>38491</v>
      </c>
      <c r="V17" s="245"/>
      <c r="W17" s="6"/>
    </row>
    <row r="18" spans="1:23" ht="15.6">
      <c r="A18" s="242"/>
      <c r="B18" s="287" t="s">
        <v>8</v>
      </c>
      <c r="C18" s="253"/>
      <c r="D18" s="253"/>
      <c r="E18" s="253"/>
      <c r="F18" s="253"/>
      <c r="G18" s="253"/>
      <c r="H18" s="253"/>
      <c r="I18" s="253"/>
      <c r="J18" s="253"/>
      <c r="K18" s="253"/>
      <c r="L18" s="253"/>
      <c r="M18" s="288"/>
      <c r="N18" s="288"/>
      <c r="O18" s="288"/>
      <c r="P18" s="288"/>
      <c r="Q18" s="288"/>
      <c r="R18" s="288"/>
      <c r="S18" s="288"/>
      <c r="T18" s="288"/>
      <c r="U18" s="292">
        <v>40742</v>
      </c>
      <c r="V18" s="245"/>
      <c r="W18" s="6"/>
    </row>
    <row r="19" spans="1:23" ht="15.6">
      <c r="A19" s="242"/>
      <c r="B19" s="288"/>
      <c r="C19" s="244"/>
      <c r="D19" s="244"/>
      <c r="E19" s="244"/>
      <c r="F19" s="244"/>
      <c r="G19" s="244"/>
      <c r="H19" s="244"/>
      <c r="I19" s="244"/>
      <c r="J19" s="244"/>
      <c r="K19" s="244"/>
      <c r="L19" s="244"/>
      <c r="M19" s="244"/>
      <c r="N19" s="244"/>
      <c r="O19" s="244"/>
      <c r="P19" s="244"/>
      <c r="Q19" s="244"/>
      <c r="R19" s="244"/>
      <c r="S19" s="244"/>
      <c r="T19" s="244"/>
      <c r="U19" s="255"/>
      <c r="V19" s="245"/>
      <c r="W19" s="6"/>
    </row>
    <row r="20" spans="1:23" ht="15.6">
      <c r="A20" s="242"/>
      <c r="B20" s="293" t="s">
        <v>9</v>
      </c>
      <c r="C20" s="244"/>
      <c r="D20" s="244"/>
      <c r="E20" s="244"/>
      <c r="F20" s="244"/>
      <c r="G20" s="244"/>
      <c r="H20" s="244"/>
      <c r="I20" s="244"/>
      <c r="J20" s="244"/>
      <c r="K20" s="244"/>
      <c r="L20" s="244"/>
      <c r="M20" s="244"/>
      <c r="N20" s="244"/>
      <c r="O20" s="244"/>
      <c r="P20" s="244"/>
      <c r="Q20" s="244"/>
      <c r="R20" s="244"/>
      <c r="S20" s="255"/>
      <c r="T20" s="244"/>
      <c r="U20" s="249"/>
      <c r="V20" s="245"/>
      <c r="W20" s="6"/>
    </row>
    <row r="21" spans="1:23" ht="15.6">
      <c r="A21" s="242"/>
      <c r="B21" s="244"/>
      <c r="C21" s="244"/>
      <c r="D21" s="244"/>
      <c r="E21" s="244"/>
      <c r="F21" s="244"/>
      <c r="G21" s="244"/>
      <c r="H21" s="244"/>
      <c r="I21" s="244"/>
      <c r="J21" s="244"/>
      <c r="K21" s="244"/>
      <c r="L21" s="244"/>
      <c r="M21" s="244"/>
      <c r="N21" s="244"/>
      <c r="O21" s="244"/>
      <c r="P21" s="244"/>
      <c r="Q21" s="244"/>
      <c r="R21" s="244"/>
      <c r="S21" s="244"/>
      <c r="T21" s="244"/>
      <c r="U21" s="256"/>
      <c r="V21" s="245"/>
      <c r="W21" s="6"/>
    </row>
    <row r="22" spans="1:23" ht="15.6">
      <c r="A22" s="230"/>
      <c r="B22" s="231"/>
      <c r="C22" s="232" t="s">
        <v>130</v>
      </c>
      <c r="D22" s="232"/>
      <c r="E22" s="232" t="s">
        <v>131</v>
      </c>
      <c r="F22" s="232"/>
      <c r="G22" s="232" t="s">
        <v>132</v>
      </c>
      <c r="H22" s="232"/>
      <c r="I22" s="232" t="s">
        <v>133</v>
      </c>
      <c r="J22" s="232"/>
      <c r="K22" s="232" t="s">
        <v>134</v>
      </c>
      <c r="L22" s="232"/>
      <c r="M22" s="233" t="s">
        <v>135</v>
      </c>
      <c r="N22" s="233"/>
      <c r="O22" s="233" t="s">
        <v>136</v>
      </c>
      <c r="P22" s="233"/>
      <c r="Q22" s="233" t="s">
        <v>137</v>
      </c>
      <c r="R22" s="233"/>
      <c r="S22" s="235"/>
      <c r="T22" s="236"/>
      <c r="U22" s="236"/>
      <c r="V22" s="237"/>
      <c r="W22" s="6"/>
    </row>
    <row r="23" spans="1:23" ht="15.6">
      <c r="A23" s="257"/>
      <c r="B23" s="294" t="s">
        <v>10</v>
      </c>
      <c r="C23" s="295" t="s">
        <v>96</v>
      </c>
      <c r="D23" s="295"/>
      <c r="E23" s="295" t="s">
        <v>96</v>
      </c>
      <c r="F23" s="295"/>
      <c r="G23" s="295" t="s">
        <v>138</v>
      </c>
      <c r="H23" s="295"/>
      <c r="I23" s="295" t="s">
        <v>138</v>
      </c>
      <c r="J23" s="295"/>
      <c r="K23" s="295" t="s">
        <v>104</v>
      </c>
      <c r="L23" s="296"/>
      <c r="M23" s="297" t="s">
        <v>104</v>
      </c>
      <c r="N23" s="297"/>
      <c r="O23" s="297" t="s">
        <v>109</v>
      </c>
      <c r="P23" s="297"/>
      <c r="Q23" s="297" t="s">
        <v>109</v>
      </c>
      <c r="R23" s="258"/>
      <c r="S23" s="258"/>
      <c r="T23" s="259"/>
      <c r="U23" s="259"/>
      <c r="V23" s="260"/>
      <c r="W23" s="6"/>
    </row>
    <row r="24" spans="1:23" ht="15.6">
      <c r="A24" s="378"/>
      <c r="B24" s="379" t="s">
        <v>11</v>
      </c>
      <c r="C24" s="380" t="s">
        <v>97</v>
      </c>
      <c r="D24" s="380"/>
      <c r="E24" s="380" t="s">
        <v>97</v>
      </c>
      <c r="F24" s="380"/>
      <c r="G24" s="380" t="s">
        <v>139</v>
      </c>
      <c r="H24" s="380"/>
      <c r="I24" s="380" t="s">
        <v>139</v>
      </c>
      <c r="J24" s="380"/>
      <c r="K24" s="380" t="s">
        <v>105</v>
      </c>
      <c r="L24" s="381"/>
      <c r="M24" s="382" t="s">
        <v>105</v>
      </c>
      <c r="N24" s="382"/>
      <c r="O24" s="382" t="s">
        <v>110</v>
      </c>
      <c r="P24" s="382"/>
      <c r="Q24" s="382" t="s">
        <v>110</v>
      </c>
      <c r="R24" s="383"/>
      <c r="S24" s="383"/>
      <c r="T24" s="384"/>
      <c r="U24" s="384"/>
      <c r="V24" s="385"/>
      <c r="W24" s="6"/>
    </row>
    <row r="25" spans="1:23" ht="15.6">
      <c r="A25" s="378"/>
      <c r="B25" s="386" t="s">
        <v>12</v>
      </c>
      <c r="C25" s="381" t="s">
        <v>96</v>
      </c>
      <c r="D25" s="381"/>
      <c r="E25" s="381" t="s">
        <v>96</v>
      </c>
      <c r="F25" s="381"/>
      <c r="G25" s="381" t="s">
        <v>138</v>
      </c>
      <c r="H25" s="381"/>
      <c r="I25" s="381" t="s">
        <v>138</v>
      </c>
      <c r="J25" s="386"/>
      <c r="K25" s="381" t="s">
        <v>104</v>
      </c>
      <c r="L25" s="386"/>
      <c r="M25" s="387" t="s">
        <v>104</v>
      </c>
      <c r="N25" s="382"/>
      <c r="O25" s="387" t="s">
        <v>109</v>
      </c>
      <c r="P25" s="382"/>
      <c r="Q25" s="387" t="s">
        <v>109</v>
      </c>
      <c r="R25" s="388"/>
      <c r="S25" s="388"/>
      <c r="T25" s="389"/>
      <c r="U25" s="384"/>
      <c r="V25" s="385"/>
      <c r="W25" s="6"/>
    </row>
    <row r="26" spans="1:23" ht="15.6">
      <c r="A26" s="378"/>
      <c r="B26" s="386" t="s">
        <v>13</v>
      </c>
      <c r="C26" s="381" t="s">
        <v>275</v>
      </c>
      <c r="D26" s="381"/>
      <c r="E26" s="381" t="s">
        <v>275</v>
      </c>
      <c r="F26" s="381"/>
      <c r="G26" s="381" t="s">
        <v>275</v>
      </c>
      <c r="H26" s="381"/>
      <c r="I26" s="381" t="s">
        <v>275</v>
      </c>
      <c r="J26" s="386"/>
      <c r="K26" s="381" t="s">
        <v>105</v>
      </c>
      <c r="L26" s="386"/>
      <c r="M26" s="387" t="s">
        <v>105</v>
      </c>
      <c r="N26" s="382"/>
      <c r="O26" s="387" t="s">
        <v>110</v>
      </c>
      <c r="P26" s="382"/>
      <c r="Q26" s="387" t="s">
        <v>110</v>
      </c>
      <c r="R26" s="388"/>
      <c r="S26" s="388"/>
      <c r="T26" s="389"/>
      <c r="U26" s="384"/>
      <c r="V26" s="385"/>
      <c r="W26" s="6"/>
    </row>
    <row r="27" spans="1:23" ht="15.6">
      <c r="A27" s="378"/>
      <c r="B27" s="379" t="s">
        <v>14</v>
      </c>
      <c r="C27" s="380" t="s">
        <v>140</v>
      </c>
      <c r="D27" s="379"/>
      <c r="E27" s="380" t="s">
        <v>141</v>
      </c>
      <c r="F27" s="379"/>
      <c r="G27" s="380" t="s">
        <v>142</v>
      </c>
      <c r="H27" s="379"/>
      <c r="I27" s="380" t="s">
        <v>258</v>
      </c>
      <c r="J27" s="379"/>
      <c r="K27" s="380" t="s">
        <v>143</v>
      </c>
      <c r="L27" s="379"/>
      <c r="M27" s="379" t="s">
        <v>144</v>
      </c>
      <c r="N27" s="382"/>
      <c r="O27" s="379" t="s">
        <v>145</v>
      </c>
      <c r="P27" s="382"/>
      <c r="Q27" s="379" t="s">
        <v>146</v>
      </c>
      <c r="R27" s="383"/>
      <c r="S27" s="390"/>
      <c r="T27" s="384"/>
      <c r="U27" s="384"/>
      <c r="V27" s="385"/>
      <c r="W27" s="6"/>
    </row>
    <row r="28" spans="1:23" ht="15.6">
      <c r="A28" s="378"/>
      <c r="B28" s="379" t="s">
        <v>147</v>
      </c>
      <c r="C28" s="391">
        <v>146000</v>
      </c>
      <c r="D28" s="380"/>
      <c r="E28" s="392">
        <v>259500</v>
      </c>
      <c r="F28" s="380"/>
      <c r="G28" s="391">
        <v>16000</v>
      </c>
      <c r="H28" s="380"/>
      <c r="I28" s="392">
        <v>35500</v>
      </c>
      <c r="J28" s="379"/>
      <c r="K28" s="391">
        <v>18000</v>
      </c>
      <c r="L28" s="379"/>
      <c r="M28" s="392">
        <v>33000</v>
      </c>
      <c r="N28" s="393"/>
      <c r="O28" s="394">
        <v>24500</v>
      </c>
      <c r="P28" s="394"/>
      <c r="Q28" s="392">
        <v>30000</v>
      </c>
      <c r="R28" s="395"/>
      <c r="S28" s="395"/>
      <c r="T28" s="396"/>
      <c r="U28" s="395"/>
      <c r="V28" s="397"/>
      <c r="W28" s="6"/>
    </row>
    <row r="29" spans="1:23" ht="15.6">
      <c r="A29" s="378"/>
      <c r="B29" s="379" t="s">
        <v>15</v>
      </c>
      <c r="C29" s="391">
        <f>C28*C35</f>
        <v>42610.070800000001</v>
      </c>
      <c r="D29" s="398"/>
      <c r="E29" s="392">
        <f>E28*E35</f>
        <v>75735.023099999991</v>
      </c>
      <c r="F29" s="398"/>
      <c r="G29" s="391">
        <f>G28*G35</f>
        <v>15296.284800000001</v>
      </c>
      <c r="H29" s="398"/>
      <c r="I29" s="392">
        <f>I28*I35</f>
        <v>33938.6319</v>
      </c>
      <c r="J29" s="399"/>
      <c r="K29" s="391">
        <f>K28*K35</f>
        <v>17208.320400000001</v>
      </c>
      <c r="L29" s="399"/>
      <c r="M29" s="392">
        <f>M28*M35</f>
        <v>31548.5874</v>
      </c>
      <c r="N29" s="393"/>
      <c r="O29" s="391">
        <f>O28*O35</f>
        <v>23422.436099999999</v>
      </c>
      <c r="P29" s="394"/>
      <c r="Q29" s="392">
        <f>Q28*Q35</f>
        <v>28680.534</v>
      </c>
      <c r="R29" s="400"/>
      <c r="S29" s="395"/>
      <c r="T29" s="396"/>
      <c r="U29" s="395"/>
      <c r="V29" s="397"/>
      <c r="W29" s="6"/>
    </row>
    <row r="30" spans="1:23" ht="15.6">
      <c r="A30" s="401"/>
      <c r="B30" s="386" t="s">
        <v>148</v>
      </c>
      <c r="C30" s="415">
        <f>C34*C28</f>
        <v>40082.489600000001</v>
      </c>
      <c r="D30" s="505"/>
      <c r="E30" s="406">
        <f>E34*E28</f>
        <v>71242.507199999993</v>
      </c>
      <c r="F30" s="505"/>
      <c r="G30" s="415">
        <f>G34*G28</f>
        <v>14389.0208</v>
      </c>
      <c r="H30" s="505"/>
      <c r="I30" s="406">
        <f>I34*I28</f>
        <v>31925.639900000002</v>
      </c>
      <c r="J30" s="506"/>
      <c r="K30" s="415">
        <f>K34*K28</f>
        <v>16187.6484</v>
      </c>
      <c r="L30" s="399"/>
      <c r="M30" s="406">
        <f>M34*M28</f>
        <v>29677.3554</v>
      </c>
      <c r="N30" s="407"/>
      <c r="O30" s="415">
        <f>O34*O28</f>
        <v>22033.188100000003</v>
      </c>
      <c r="P30" s="408"/>
      <c r="Q30" s="406">
        <f>Q34*Q28</f>
        <v>26979.414000000001</v>
      </c>
      <c r="R30" s="408"/>
      <c r="S30" s="408"/>
      <c r="T30" s="409"/>
      <c r="U30" s="408"/>
      <c r="V30" s="410"/>
      <c r="W30" s="6"/>
    </row>
    <row r="31" spans="1:23" ht="15.6">
      <c r="A31" s="401"/>
      <c r="B31" s="379" t="s">
        <v>260</v>
      </c>
      <c r="C31" s="391">
        <v>146000</v>
      </c>
      <c r="D31" s="398"/>
      <c r="E31" s="391">
        <v>178000</v>
      </c>
      <c r="F31" s="391"/>
      <c r="G31" s="391">
        <v>16000</v>
      </c>
      <c r="H31" s="391"/>
      <c r="I31" s="391">
        <v>24500</v>
      </c>
      <c r="J31" s="412"/>
      <c r="K31" s="391">
        <v>18000</v>
      </c>
      <c r="L31" s="412"/>
      <c r="M31" s="391">
        <v>22500</v>
      </c>
      <c r="N31" s="414"/>
      <c r="O31" s="391">
        <v>24500</v>
      </c>
      <c r="P31" s="415"/>
      <c r="Q31" s="391">
        <v>20500</v>
      </c>
      <c r="R31" s="408"/>
      <c r="S31" s="408"/>
      <c r="T31" s="409"/>
      <c r="U31" s="394">
        <f>+Q31+O31+M31+K31+I31+G31+E31+C31</f>
        <v>450000</v>
      </c>
      <c r="V31" s="410"/>
      <c r="W31" s="6"/>
    </row>
    <row r="32" spans="1:23" ht="15.6">
      <c r="A32" s="401"/>
      <c r="B32" s="379" t="s">
        <v>261</v>
      </c>
      <c r="C32" s="391">
        <f>C28*C35</f>
        <v>42610.070800000001</v>
      </c>
      <c r="D32" s="398"/>
      <c r="E32" s="391">
        <f>E31*E35</f>
        <v>51949.2644</v>
      </c>
      <c r="F32" s="391"/>
      <c r="G32" s="391">
        <f>G28*G35</f>
        <v>15296.284800000001</v>
      </c>
      <c r="H32" s="391"/>
      <c r="I32" s="391">
        <f>I31*I35</f>
        <v>23422.436099999999</v>
      </c>
      <c r="J32" s="412"/>
      <c r="K32" s="391">
        <f>K28*K35</f>
        <v>17208.320400000001</v>
      </c>
      <c r="L32" s="412"/>
      <c r="M32" s="391">
        <f>M31*M35</f>
        <v>21510.4005</v>
      </c>
      <c r="N32" s="414"/>
      <c r="O32" s="391">
        <f>O28*O35</f>
        <v>23422.436099999999</v>
      </c>
      <c r="P32" s="415"/>
      <c r="Q32" s="391">
        <f>Q31*Q35</f>
        <v>19598.3649</v>
      </c>
      <c r="R32" s="391"/>
      <c r="S32" s="408"/>
      <c r="T32" s="409"/>
      <c r="U32" s="394">
        <f>+Q32+O32+M32+K32+I32+G32+E32+C32</f>
        <v>215017.57799999998</v>
      </c>
      <c r="V32" s="410"/>
      <c r="W32" s="6"/>
    </row>
    <row r="33" spans="1:23" ht="15.6">
      <c r="A33" s="401"/>
      <c r="B33" s="386" t="s">
        <v>262</v>
      </c>
      <c r="C33" s="415">
        <f>C34*C28</f>
        <v>40082.489600000001</v>
      </c>
      <c r="D33" s="415"/>
      <c r="E33" s="415">
        <f>E34*E31</f>
        <v>48867.692799999997</v>
      </c>
      <c r="F33" s="415"/>
      <c r="G33" s="415">
        <f>G34*G28</f>
        <v>14389.0208</v>
      </c>
      <c r="H33" s="415"/>
      <c r="I33" s="415">
        <f>I34*I31</f>
        <v>22033.188100000003</v>
      </c>
      <c r="J33" s="414"/>
      <c r="K33" s="415">
        <f>K34*K28</f>
        <v>16187.6484</v>
      </c>
      <c r="L33" s="414"/>
      <c r="M33" s="415">
        <f>M34*M31</f>
        <v>20234.5605</v>
      </c>
      <c r="N33" s="414"/>
      <c r="O33" s="415">
        <f>O34*O28</f>
        <v>22033.188100000003</v>
      </c>
      <c r="P33" s="415"/>
      <c r="Q33" s="415">
        <f>Q34*Q31</f>
        <v>18435.9329</v>
      </c>
      <c r="R33" s="408"/>
      <c r="S33" s="408"/>
      <c r="T33" s="409"/>
      <c r="U33" s="408">
        <f>+Q33+O33+M33+K33+I33+G33+E33+C33</f>
        <v>202263.7212</v>
      </c>
      <c r="V33" s="410"/>
      <c r="W33" s="6"/>
    </row>
    <row r="34" spans="1:23" ht="15.6">
      <c r="A34" s="401"/>
      <c r="B34" s="468" t="s">
        <v>149</v>
      </c>
      <c r="C34" s="507">
        <v>0.27453759999999999</v>
      </c>
      <c r="D34" s="507"/>
      <c r="E34" s="507">
        <v>0.27453759999999999</v>
      </c>
      <c r="F34" s="507"/>
      <c r="G34" s="507">
        <v>0.89931380000000005</v>
      </c>
      <c r="H34" s="507"/>
      <c r="I34" s="507">
        <v>0.89931380000000005</v>
      </c>
      <c r="J34" s="507"/>
      <c r="K34" s="507">
        <v>0.89931380000000005</v>
      </c>
      <c r="L34" s="507"/>
      <c r="M34" s="507">
        <v>0.89931380000000005</v>
      </c>
      <c r="N34" s="507"/>
      <c r="O34" s="507">
        <v>0.89931380000000005</v>
      </c>
      <c r="P34" s="507"/>
      <c r="Q34" s="507">
        <v>0.89931380000000005</v>
      </c>
      <c r="R34" s="508"/>
      <c r="S34" s="420"/>
      <c r="T34" s="421"/>
      <c r="U34" s="420"/>
      <c r="V34" s="385"/>
      <c r="W34" s="6"/>
    </row>
    <row r="35" spans="1:23" ht="15.6">
      <c r="A35" s="401"/>
      <c r="B35" s="468" t="s">
        <v>150</v>
      </c>
      <c r="C35" s="507">
        <v>0.29184979999999999</v>
      </c>
      <c r="D35" s="507"/>
      <c r="E35" s="507">
        <v>0.29184979999999999</v>
      </c>
      <c r="F35" s="507"/>
      <c r="G35" s="507">
        <v>0.95601780000000003</v>
      </c>
      <c r="H35" s="507"/>
      <c r="I35" s="507">
        <v>0.95601780000000003</v>
      </c>
      <c r="J35" s="507"/>
      <c r="K35" s="507">
        <v>0.95601780000000003</v>
      </c>
      <c r="L35" s="507"/>
      <c r="M35" s="507">
        <v>0.95601780000000003</v>
      </c>
      <c r="N35" s="507"/>
      <c r="O35" s="507">
        <v>0.95601780000000003</v>
      </c>
      <c r="P35" s="507"/>
      <c r="Q35" s="507">
        <v>0.95601780000000003</v>
      </c>
      <c r="R35" s="508"/>
      <c r="S35" s="420"/>
      <c r="T35" s="421"/>
      <c r="U35" s="420"/>
      <c r="V35" s="385"/>
      <c r="W35" s="6"/>
    </row>
    <row r="36" spans="1:23" ht="15.6">
      <c r="A36" s="378"/>
      <c r="B36" s="379" t="s">
        <v>153</v>
      </c>
      <c r="C36" s="380" t="s">
        <v>163</v>
      </c>
      <c r="D36" s="380"/>
      <c r="E36" s="380" t="s">
        <v>163</v>
      </c>
      <c r="F36" s="380"/>
      <c r="G36" s="380" t="s">
        <v>164</v>
      </c>
      <c r="H36" s="380"/>
      <c r="I36" s="380" t="s">
        <v>164</v>
      </c>
      <c r="J36" s="380"/>
      <c r="K36" s="380" t="s">
        <v>106</v>
      </c>
      <c r="L36" s="380"/>
      <c r="M36" s="380" t="s">
        <v>165</v>
      </c>
      <c r="N36" s="380"/>
      <c r="O36" s="380" t="s">
        <v>166</v>
      </c>
      <c r="P36" s="380"/>
      <c r="Q36" s="380" t="s">
        <v>167</v>
      </c>
      <c r="R36" s="380"/>
      <c r="S36" s="380"/>
      <c r="T36" s="379"/>
      <c r="U36" s="424"/>
      <c r="V36" s="410"/>
      <c r="W36" s="6"/>
    </row>
    <row r="37" spans="1:23" ht="15.6">
      <c r="A37" s="378"/>
      <c r="B37" s="379" t="s">
        <v>151</v>
      </c>
      <c r="C37" s="509">
        <v>1.25938E-2</v>
      </c>
      <c r="D37" s="509"/>
      <c r="E37" s="509">
        <v>1.7670000000000002E-2</v>
      </c>
      <c r="F37" s="509"/>
      <c r="G37" s="509">
        <v>1.4793799999999999E-2</v>
      </c>
      <c r="H37" s="509"/>
      <c r="I37" s="509">
        <v>1.9869999999999999E-2</v>
      </c>
      <c r="J37" s="509"/>
      <c r="K37" s="509">
        <v>2.0193800000000001E-2</v>
      </c>
      <c r="L37" s="509"/>
      <c r="M37" s="509">
        <v>2.4670000000000001E-2</v>
      </c>
      <c r="N37" s="509"/>
      <c r="O37" s="509">
        <v>2.7193800000000001E-2</v>
      </c>
      <c r="P37" s="509"/>
      <c r="Q37" s="509">
        <v>3.1269999999999999E-2</v>
      </c>
      <c r="R37" s="427"/>
      <c r="S37" s="509"/>
      <c r="T37" s="379"/>
      <c r="U37" s="380"/>
      <c r="V37" s="410"/>
      <c r="W37" s="6"/>
    </row>
    <row r="38" spans="1:23" ht="15.6">
      <c r="A38" s="378"/>
      <c r="B38" s="379" t="s">
        <v>152</v>
      </c>
      <c r="C38" s="509">
        <v>1.2075000000000001E-2</v>
      </c>
      <c r="D38" s="509"/>
      <c r="E38" s="509">
        <v>1.438E-2</v>
      </c>
      <c r="F38" s="509"/>
      <c r="G38" s="509">
        <v>1.4274999999999999E-2</v>
      </c>
      <c r="H38" s="509"/>
      <c r="I38" s="509">
        <v>1.6580000000000001E-2</v>
      </c>
      <c r="J38" s="509"/>
      <c r="K38" s="509">
        <v>1.9675000000000002E-2</v>
      </c>
      <c r="L38" s="509"/>
      <c r="M38" s="509">
        <v>2.138E-2</v>
      </c>
      <c r="N38" s="509"/>
      <c r="O38" s="509">
        <v>2.6675000000000001E-2</v>
      </c>
      <c r="P38" s="509"/>
      <c r="Q38" s="509">
        <v>2.7980000000000001E-2</v>
      </c>
      <c r="R38" s="427"/>
      <c r="S38" s="509"/>
      <c r="T38" s="379"/>
      <c r="U38" s="424"/>
      <c r="V38" s="410"/>
      <c r="W38" s="6"/>
    </row>
    <row r="39" spans="1:23" ht="15.6">
      <c r="A39" s="378"/>
      <c r="B39" s="379" t="s">
        <v>263</v>
      </c>
      <c r="C39" s="380" t="s">
        <v>163</v>
      </c>
      <c r="D39" s="379"/>
      <c r="E39" s="380" t="s">
        <v>228</v>
      </c>
      <c r="F39" s="379"/>
      <c r="G39" s="380" t="s">
        <v>164</v>
      </c>
      <c r="H39" s="379"/>
      <c r="I39" s="380" t="s">
        <v>226</v>
      </c>
      <c r="J39" s="379"/>
      <c r="K39" s="380" t="s">
        <v>106</v>
      </c>
      <c r="L39" s="379"/>
      <c r="M39" s="380" t="s">
        <v>227</v>
      </c>
      <c r="N39" s="379"/>
      <c r="O39" s="380" t="s">
        <v>166</v>
      </c>
      <c r="P39" s="380"/>
      <c r="Q39" s="380" t="s">
        <v>229</v>
      </c>
      <c r="R39" s="427"/>
      <c r="S39" s="509"/>
      <c r="T39" s="379"/>
      <c r="U39" s="424"/>
      <c r="V39" s="410"/>
      <c r="W39" s="6"/>
    </row>
    <row r="40" spans="1:23" ht="15.6">
      <c r="A40" s="378"/>
      <c r="B40" s="379" t="s">
        <v>264</v>
      </c>
      <c r="C40" s="509">
        <f>+C37</f>
        <v>1.25938E-2</v>
      </c>
      <c r="D40" s="509"/>
      <c r="E40" s="509">
        <v>1.3169800000000001E-2</v>
      </c>
      <c r="F40" s="509"/>
      <c r="G40" s="509">
        <f>+G37</f>
        <v>1.4793799999999999E-2</v>
      </c>
      <c r="H40" s="509"/>
      <c r="I40" s="509">
        <v>1.55268E-2</v>
      </c>
      <c r="J40" s="509"/>
      <c r="K40" s="509">
        <f>+K37</f>
        <v>2.0193800000000001E-2</v>
      </c>
      <c r="L40" s="510"/>
      <c r="M40" s="509">
        <v>2.07542E-2</v>
      </c>
      <c r="N40" s="510"/>
      <c r="O40" s="509">
        <f>+O37</f>
        <v>2.7193800000000001E-2</v>
      </c>
      <c r="P40" s="509"/>
      <c r="Q40" s="509">
        <v>2.8020199999999999E-2</v>
      </c>
      <c r="R40" s="427"/>
      <c r="S40" s="509"/>
      <c r="T40" s="379"/>
      <c r="U40" s="427">
        <f>SUMPRODUCT(C40:Q40,C32:Q32)/U32</f>
        <v>1.7630081724693505E-2</v>
      </c>
      <c r="V40" s="410"/>
      <c r="W40" s="6"/>
    </row>
    <row r="41" spans="1:23" ht="15.6">
      <c r="A41" s="378"/>
      <c r="B41" s="379" t="s">
        <v>265</v>
      </c>
      <c r="C41" s="509">
        <f>+C38</f>
        <v>1.2075000000000001E-2</v>
      </c>
      <c r="D41" s="509"/>
      <c r="E41" s="509">
        <v>1.2651000000000001E-2</v>
      </c>
      <c r="F41" s="509"/>
      <c r="G41" s="509">
        <f>+G38</f>
        <v>1.4274999999999999E-2</v>
      </c>
      <c r="H41" s="509"/>
      <c r="I41" s="509">
        <v>1.5008000000000001E-2</v>
      </c>
      <c r="J41" s="509"/>
      <c r="K41" s="509">
        <f>+K38</f>
        <v>1.9675000000000002E-2</v>
      </c>
      <c r="L41" s="510"/>
      <c r="M41" s="509">
        <v>2.0235400000000001E-2</v>
      </c>
      <c r="N41" s="510"/>
      <c r="O41" s="509">
        <f>+O38</f>
        <v>2.6675000000000001E-2</v>
      </c>
      <c r="P41" s="509"/>
      <c r="Q41" s="509">
        <v>2.7501399999999999E-2</v>
      </c>
      <c r="R41" s="427"/>
      <c r="S41" s="509"/>
      <c r="T41" s="379"/>
      <c r="U41" s="424"/>
      <c r="V41" s="410"/>
      <c r="W41" s="6"/>
    </row>
    <row r="42" spans="1:23" ht="15.6">
      <c r="A42" s="378"/>
      <c r="B42" s="379" t="s">
        <v>17</v>
      </c>
      <c r="C42" s="429">
        <v>39918</v>
      </c>
      <c r="D42" s="429"/>
      <c r="E42" s="429">
        <v>39918</v>
      </c>
      <c r="F42" s="429"/>
      <c r="G42" s="429">
        <v>39918</v>
      </c>
      <c r="H42" s="429"/>
      <c r="I42" s="429">
        <v>39918</v>
      </c>
      <c r="J42" s="429"/>
      <c r="K42" s="429">
        <v>39918</v>
      </c>
      <c r="L42" s="429"/>
      <c r="M42" s="429">
        <v>39918</v>
      </c>
      <c r="N42" s="429"/>
      <c r="O42" s="429">
        <v>39918</v>
      </c>
      <c r="P42" s="429"/>
      <c r="Q42" s="429">
        <v>39918</v>
      </c>
      <c r="R42" s="380"/>
      <c r="S42" s="380"/>
      <c r="T42" s="379"/>
      <c r="U42" s="424"/>
      <c r="V42" s="410"/>
      <c r="W42" s="6"/>
    </row>
    <row r="43" spans="1:23" ht="15.6">
      <c r="A43" s="378"/>
      <c r="B43" s="379" t="s">
        <v>18</v>
      </c>
      <c r="C43" s="429">
        <v>40283</v>
      </c>
      <c r="D43" s="430"/>
      <c r="E43" s="429">
        <v>40283</v>
      </c>
      <c r="F43" s="430"/>
      <c r="G43" s="429">
        <v>40283</v>
      </c>
      <c r="H43" s="430"/>
      <c r="I43" s="429">
        <v>40283</v>
      </c>
      <c r="J43" s="430"/>
      <c r="K43" s="429">
        <v>40283</v>
      </c>
      <c r="L43" s="430"/>
      <c r="M43" s="429">
        <v>40283</v>
      </c>
      <c r="N43" s="430"/>
      <c r="O43" s="429">
        <v>40283</v>
      </c>
      <c r="P43" s="429"/>
      <c r="Q43" s="429">
        <v>40283</v>
      </c>
      <c r="R43" s="380"/>
      <c r="S43" s="380"/>
      <c r="T43" s="424"/>
      <c r="U43" s="424"/>
      <c r="V43" s="410"/>
      <c r="W43" s="6"/>
    </row>
    <row r="44" spans="1:23" ht="15.6">
      <c r="A44" s="378"/>
      <c r="B44" s="379" t="s">
        <v>154</v>
      </c>
      <c r="C44" s="380" t="s">
        <v>163</v>
      </c>
      <c r="D44" s="380"/>
      <c r="E44" s="380" t="s">
        <v>163</v>
      </c>
      <c r="F44" s="380"/>
      <c r="G44" s="380" t="s">
        <v>164</v>
      </c>
      <c r="H44" s="380"/>
      <c r="I44" s="380" t="s">
        <v>164</v>
      </c>
      <c r="J44" s="380"/>
      <c r="K44" s="380" t="s">
        <v>106</v>
      </c>
      <c r="L44" s="380"/>
      <c r="M44" s="380" t="s">
        <v>165</v>
      </c>
      <c r="N44" s="380"/>
      <c r="O44" s="380" t="s">
        <v>166</v>
      </c>
      <c r="P44" s="380"/>
      <c r="Q44" s="380" t="s">
        <v>167</v>
      </c>
      <c r="R44" s="380"/>
      <c r="S44" s="380"/>
      <c r="T44" s="424"/>
      <c r="U44" s="424"/>
      <c r="V44" s="410"/>
      <c r="W44" s="6"/>
    </row>
    <row r="45" spans="1:23" ht="15.6">
      <c r="A45" s="378"/>
      <c r="B45" s="379" t="s">
        <v>266</v>
      </c>
      <c r="C45" s="380" t="s">
        <v>163</v>
      </c>
      <c r="D45" s="379"/>
      <c r="E45" s="380" t="s">
        <v>228</v>
      </c>
      <c r="F45" s="379"/>
      <c r="G45" s="380" t="s">
        <v>164</v>
      </c>
      <c r="H45" s="379"/>
      <c r="I45" s="380" t="s">
        <v>226</v>
      </c>
      <c r="J45" s="379"/>
      <c r="K45" s="380" t="s">
        <v>106</v>
      </c>
      <c r="L45" s="379"/>
      <c r="M45" s="380" t="s">
        <v>227</v>
      </c>
      <c r="N45" s="379"/>
      <c r="O45" s="380" t="s">
        <v>166</v>
      </c>
      <c r="P45" s="380"/>
      <c r="Q45" s="380" t="s">
        <v>229</v>
      </c>
      <c r="R45" s="380"/>
      <c r="S45" s="380"/>
      <c r="T45" s="424"/>
      <c r="U45" s="424"/>
      <c r="V45" s="410"/>
      <c r="W45" s="6"/>
    </row>
    <row r="46" spans="1:23" ht="15.6">
      <c r="A46" s="378"/>
      <c r="B46" s="379"/>
      <c r="C46" s="379"/>
      <c r="D46" s="379"/>
      <c r="E46" s="379"/>
      <c r="F46" s="379"/>
      <c r="G46" s="379"/>
      <c r="H46" s="379"/>
      <c r="I46" s="379"/>
      <c r="J46" s="379"/>
      <c r="K46" s="379"/>
      <c r="L46" s="379"/>
      <c r="M46" s="431"/>
      <c r="N46" s="431"/>
      <c r="O46" s="379"/>
      <c r="P46" s="431"/>
      <c r="Q46" s="431"/>
      <c r="R46" s="431"/>
      <c r="S46" s="431"/>
      <c r="T46" s="431"/>
      <c r="U46" s="431"/>
      <c r="V46" s="410"/>
      <c r="W46" s="6"/>
    </row>
    <row r="47" spans="1:23" ht="15.6">
      <c r="A47" s="378"/>
      <c r="B47" s="379" t="s">
        <v>201</v>
      </c>
      <c r="C47" s="379"/>
      <c r="D47" s="379"/>
      <c r="E47" s="379"/>
      <c r="F47" s="379"/>
      <c r="G47" s="379"/>
      <c r="H47" s="379"/>
      <c r="I47" s="379"/>
      <c r="J47" s="379"/>
      <c r="K47" s="379"/>
      <c r="L47" s="379"/>
      <c r="M47" s="379"/>
      <c r="N47" s="379"/>
      <c r="O47" s="379"/>
      <c r="P47" s="379"/>
      <c r="Q47" s="379"/>
      <c r="R47" s="379"/>
      <c r="S47" s="379"/>
      <c r="T47" s="379"/>
      <c r="U47" s="427">
        <f>SUM(G31:Q31)/(C31+E31)</f>
        <v>0.3888888888888889</v>
      </c>
      <c r="V47" s="410"/>
      <c r="W47" s="6"/>
    </row>
    <row r="48" spans="1:23" ht="15.6">
      <c r="A48" s="378"/>
      <c r="B48" s="379" t="s">
        <v>202</v>
      </c>
      <c r="C48" s="379"/>
      <c r="D48" s="379"/>
      <c r="E48" s="379"/>
      <c r="F48" s="379"/>
      <c r="G48" s="379"/>
      <c r="H48" s="379"/>
      <c r="I48" s="379"/>
      <c r="J48" s="379"/>
      <c r="K48" s="379"/>
      <c r="L48" s="379"/>
      <c r="M48" s="379"/>
      <c r="N48" s="379"/>
      <c r="O48" s="379"/>
      <c r="P48" s="379"/>
      <c r="Q48" s="379"/>
      <c r="R48" s="379"/>
      <c r="S48" s="379"/>
      <c r="T48" s="379"/>
      <c r="U48" s="427">
        <f>SUM(F33:Q33)/(C33+E33)</f>
        <v>1.2738988919712435</v>
      </c>
      <c r="V48" s="410"/>
      <c r="W48" s="6"/>
    </row>
    <row r="49" spans="1:23" ht="15.6">
      <c r="A49" s="378"/>
      <c r="B49" s="379" t="s">
        <v>203</v>
      </c>
      <c r="C49" s="379"/>
      <c r="D49" s="379"/>
      <c r="E49" s="379"/>
      <c r="F49" s="379"/>
      <c r="G49" s="379"/>
      <c r="H49" s="379"/>
      <c r="I49" s="379"/>
      <c r="J49" s="379"/>
      <c r="K49" s="379"/>
      <c r="L49" s="379"/>
      <c r="M49" s="379"/>
      <c r="N49" s="379"/>
      <c r="O49" s="379"/>
      <c r="P49" s="379"/>
      <c r="Q49" s="379"/>
      <c r="R49" s="379"/>
      <c r="S49" s="380" t="s">
        <v>95</v>
      </c>
      <c r="T49" s="380" t="s">
        <v>117</v>
      </c>
      <c r="U49" s="394">
        <v>99000</v>
      </c>
      <c r="V49" s="410"/>
      <c r="W49" s="6"/>
    </row>
    <row r="50" spans="1:23" ht="15.6">
      <c r="A50" s="378"/>
      <c r="B50" s="379"/>
      <c r="C50" s="379"/>
      <c r="D50" s="379"/>
      <c r="E50" s="379"/>
      <c r="F50" s="379"/>
      <c r="G50" s="379"/>
      <c r="H50" s="379"/>
      <c r="I50" s="379"/>
      <c r="J50" s="379"/>
      <c r="K50" s="379"/>
      <c r="L50" s="379"/>
      <c r="M50" s="379"/>
      <c r="N50" s="379"/>
      <c r="O50" s="379"/>
      <c r="P50" s="379"/>
      <c r="Q50" s="379"/>
      <c r="R50" s="379"/>
      <c r="S50" s="379" t="s">
        <v>213</v>
      </c>
      <c r="T50" s="379"/>
      <c r="U50" s="432"/>
      <c r="V50" s="410"/>
      <c r="W50" s="6"/>
    </row>
    <row r="51" spans="1:23" ht="15.6">
      <c r="A51" s="378"/>
      <c r="B51" s="379" t="s">
        <v>19</v>
      </c>
      <c r="C51" s="379"/>
      <c r="D51" s="379"/>
      <c r="E51" s="379"/>
      <c r="F51" s="379"/>
      <c r="G51" s="379"/>
      <c r="H51" s="379"/>
      <c r="I51" s="379"/>
      <c r="J51" s="379"/>
      <c r="K51" s="379"/>
      <c r="L51" s="379"/>
      <c r="M51" s="379"/>
      <c r="N51" s="379"/>
      <c r="O51" s="379"/>
      <c r="P51" s="379"/>
      <c r="Q51" s="379"/>
      <c r="R51" s="379"/>
      <c r="S51" s="380"/>
      <c r="T51" s="380"/>
      <c r="U51" s="380" t="s">
        <v>118</v>
      </c>
      <c r="V51" s="410"/>
      <c r="W51" s="6"/>
    </row>
    <row r="52" spans="1:23" ht="15.6">
      <c r="A52" s="401"/>
      <c r="B52" s="386" t="s">
        <v>20</v>
      </c>
      <c r="C52" s="386"/>
      <c r="D52" s="386"/>
      <c r="E52" s="386"/>
      <c r="F52" s="386"/>
      <c r="G52" s="386"/>
      <c r="H52" s="386"/>
      <c r="I52" s="386"/>
      <c r="J52" s="386"/>
      <c r="K52" s="386"/>
      <c r="L52" s="386"/>
      <c r="M52" s="386"/>
      <c r="N52" s="386"/>
      <c r="O52" s="386"/>
      <c r="P52" s="386"/>
      <c r="Q52" s="386"/>
      <c r="R52" s="386"/>
      <c r="S52" s="433"/>
      <c r="T52" s="433"/>
      <c r="U52" s="434">
        <v>40739</v>
      </c>
      <c r="V52" s="435"/>
      <c r="W52" s="6"/>
    </row>
    <row r="53" spans="1:23" ht="15.6">
      <c r="A53" s="378"/>
      <c r="B53" s="379" t="s">
        <v>155</v>
      </c>
      <c r="C53" s="379"/>
      <c r="D53" s="379"/>
      <c r="E53" s="379"/>
      <c r="F53" s="379"/>
      <c r="G53" s="379"/>
      <c r="H53" s="379"/>
      <c r="I53" s="379"/>
      <c r="J53" s="379"/>
      <c r="K53" s="379"/>
      <c r="L53" s="379"/>
      <c r="M53" s="379"/>
      <c r="N53" s="379"/>
      <c r="O53" s="379"/>
      <c r="P53" s="379"/>
      <c r="Q53" s="424"/>
      <c r="R53" s="379">
        <f>U53-S53+1</f>
        <v>88</v>
      </c>
      <c r="S53" s="436">
        <v>40560</v>
      </c>
      <c r="T53" s="429"/>
      <c r="U53" s="436">
        <v>40647</v>
      </c>
      <c r="V53" s="410"/>
      <c r="W53" s="6"/>
    </row>
    <row r="54" spans="1:23" ht="15.6">
      <c r="A54" s="378"/>
      <c r="B54" s="379" t="s">
        <v>156</v>
      </c>
      <c r="C54" s="379"/>
      <c r="D54" s="379"/>
      <c r="E54" s="379"/>
      <c r="F54" s="379"/>
      <c r="G54" s="379"/>
      <c r="H54" s="379"/>
      <c r="I54" s="379"/>
      <c r="J54" s="379"/>
      <c r="K54" s="379"/>
      <c r="L54" s="379"/>
      <c r="M54" s="379"/>
      <c r="N54" s="379"/>
      <c r="O54" s="379"/>
      <c r="P54" s="379"/>
      <c r="Q54" s="424"/>
      <c r="R54" s="379">
        <f>U54-S54+1</f>
        <v>91</v>
      </c>
      <c r="S54" s="436">
        <v>40648</v>
      </c>
      <c r="T54" s="429"/>
      <c r="U54" s="436">
        <v>40738</v>
      </c>
      <c r="V54" s="410"/>
      <c r="W54" s="6"/>
    </row>
    <row r="55" spans="1:23" ht="15.6">
      <c r="A55" s="378"/>
      <c r="B55" s="379" t="s">
        <v>21</v>
      </c>
      <c r="C55" s="379"/>
      <c r="D55" s="379"/>
      <c r="E55" s="379"/>
      <c r="F55" s="379"/>
      <c r="G55" s="379"/>
      <c r="H55" s="379"/>
      <c r="I55" s="379"/>
      <c r="J55" s="379"/>
      <c r="K55" s="379"/>
      <c r="L55" s="379"/>
      <c r="M55" s="379"/>
      <c r="N55" s="379"/>
      <c r="O55" s="379"/>
      <c r="P55" s="379"/>
      <c r="Q55" s="379"/>
      <c r="R55" s="379"/>
      <c r="S55" s="436"/>
      <c r="T55" s="429"/>
      <c r="U55" s="436" t="s">
        <v>119</v>
      </c>
      <c r="V55" s="410"/>
      <c r="W55" s="6"/>
    </row>
    <row r="56" spans="1:23" ht="15.6">
      <c r="A56" s="378"/>
      <c r="B56" s="379" t="s">
        <v>22</v>
      </c>
      <c r="C56" s="379"/>
      <c r="D56" s="379"/>
      <c r="E56" s="379"/>
      <c r="F56" s="379"/>
      <c r="G56" s="379"/>
      <c r="H56" s="379"/>
      <c r="I56" s="379"/>
      <c r="J56" s="379"/>
      <c r="K56" s="379"/>
      <c r="L56" s="379"/>
      <c r="M56" s="379"/>
      <c r="N56" s="379"/>
      <c r="O56" s="379"/>
      <c r="P56" s="379"/>
      <c r="Q56" s="379"/>
      <c r="R56" s="379"/>
      <c r="S56" s="436"/>
      <c r="T56" s="429"/>
      <c r="U56" s="436">
        <v>40725</v>
      </c>
      <c r="V56" s="410"/>
      <c r="W56" s="6"/>
    </row>
    <row r="57" spans="1:23" ht="15.6">
      <c r="A57" s="242"/>
      <c r="B57" s="364"/>
      <c r="C57" s="364"/>
      <c r="D57" s="364"/>
      <c r="E57" s="364"/>
      <c r="F57" s="364"/>
      <c r="G57" s="364"/>
      <c r="H57" s="364"/>
      <c r="I57" s="364"/>
      <c r="J57" s="364"/>
      <c r="K57" s="364"/>
      <c r="L57" s="364"/>
      <c r="M57" s="364"/>
      <c r="N57" s="364"/>
      <c r="O57" s="364"/>
      <c r="P57" s="364"/>
      <c r="Q57" s="364"/>
      <c r="R57" s="364"/>
      <c r="S57" s="364"/>
      <c r="T57" s="364"/>
      <c r="U57" s="377"/>
      <c r="V57" s="303"/>
      <c r="W57" s="6"/>
    </row>
    <row r="58" spans="1:23" ht="15.6">
      <c r="A58" s="242"/>
      <c r="B58" s="288"/>
      <c r="C58" s="288"/>
      <c r="D58" s="288"/>
      <c r="E58" s="288"/>
      <c r="F58" s="288"/>
      <c r="G58" s="288"/>
      <c r="H58" s="288"/>
      <c r="I58" s="288"/>
      <c r="J58" s="288"/>
      <c r="K58" s="288"/>
      <c r="L58" s="288"/>
      <c r="M58" s="288"/>
      <c r="N58" s="288"/>
      <c r="O58" s="288"/>
      <c r="P58" s="288"/>
      <c r="Q58" s="288"/>
      <c r="R58" s="288"/>
      <c r="S58" s="288"/>
      <c r="T58" s="288"/>
      <c r="U58" s="302"/>
      <c r="V58" s="303"/>
      <c r="W58" s="6"/>
    </row>
    <row r="59" spans="1:23" ht="16.2" thickBot="1">
      <c r="A59" s="261"/>
      <c r="B59" s="304" t="s">
        <v>274</v>
      </c>
      <c r="C59" s="305"/>
      <c r="D59" s="305"/>
      <c r="E59" s="305"/>
      <c r="F59" s="305"/>
      <c r="G59" s="305"/>
      <c r="H59" s="305"/>
      <c r="I59" s="305"/>
      <c r="J59" s="305"/>
      <c r="K59" s="305"/>
      <c r="L59" s="305"/>
      <c r="M59" s="305"/>
      <c r="N59" s="305"/>
      <c r="O59" s="305"/>
      <c r="P59" s="305"/>
      <c r="Q59" s="305"/>
      <c r="R59" s="305"/>
      <c r="S59" s="305"/>
      <c r="T59" s="305"/>
      <c r="U59" s="306"/>
      <c r="V59" s="307"/>
      <c r="W59" s="6"/>
    </row>
    <row r="60" spans="1:23" ht="15.6">
      <c r="A60" s="230"/>
      <c r="B60" s="511" t="s">
        <v>23</v>
      </c>
      <c r="C60" s="511"/>
      <c r="D60" s="511"/>
      <c r="E60" s="511"/>
      <c r="F60" s="511"/>
      <c r="G60" s="511"/>
      <c r="H60" s="511"/>
      <c r="I60" s="511"/>
      <c r="J60" s="511"/>
      <c r="K60" s="511"/>
      <c r="L60" s="511"/>
      <c r="M60" s="231"/>
      <c r="N60" s="231"/>
      <c r="O60" s="231"/>
      <c r="P60" s="231"/>
      <c r="Q60" s="231"/>
      <c r="R60" s="231"/>
      <c r="S60" s="231"/>
      <c r="T60" s="231"/>
      <c r="U60" s="309"/>
      <c r="V60" s="237"/>
      <c r="W60" s="6"/>
    </row>
    <row r="61" spans="1:23" ht="15.6">
      <c r="A61" s="242"/>
      <c r="B61" s="252"/>
      <c r="C61" s="252"/>
      <c r="D61" s="252"/>
      <c r="E61" s="252"/>
      <c r="F61" s="252"/>
      <c r="G61" s="252"/>
      <c r="H61" s="252"/>
      <c r="I61" s="252"/>
      <c r="J61" s="252"/>
      <c r="K61" s="252"/>
      <c r="L61" s="252"/>
      <c r="M61" s="244"/>
      <c r="N61" s="244"/>
      <c r="O61" s="244"/>
      <c r="P61" s="244"/>
      <c r="Q61" s="244"/>
      <c r="R61" s="244"/>
      <c r="S61" s="244"/>
      <c r="T61" s="244"/>
      <c r="U61" s="263"/>
      <c r="V61" s="245"/>
      <c r="W61" s="6"/>
    </row>
    <row r="62" spans="1:23" s="151" customFormat="1" ht="46.8">
      <c r="A62" s="264"/>
      <c r="B62" s="512"/>
      <c r="C62" s="513"/>
      <c r="D62" s="513"/>
      <c r="E62" s="513"/>
      <c r="F62" s="513"/>
      <c r="G62" s="513"/>
      <c r="H62" s="513"/>
      <c r="I62" s="513"/>
      <c r="J62" s="513"/>
      <c r="K62" s="513" t="s">
        <v>197</v>
      </c>
      <c r="L62" s="513"/>
      <c r="M62" s="513" t="s">
        <v>98</v>
      </c>
      <c r="N62" s="513"/>
      <c r="O62" s="513" t="s">
        <v>107</v>
      </c>
      <c r="P62" s="513"/>
      <c r="Q62" s="513" t="s">
        <v>111</v>
      </c>
      <c r="R62" s="513"/>
      <c r="S62" s="513" t="s">
        <v>113</v>
      </c>
      <c r="T62" s="513"/>
      <c r="U62" s="514" t="s">
        <v>120</v>
      </c>
      <c r="V62" s="515"/>
      <c r="W62" s="150"/>
    </row>
    <row r="63" spans="1:23" ht="15.6">
      <c r="A63" s="378"/>
      <c r="B63" s="379" t="s">
        <v>24</v>
      </c>
      <c r="C63" s="440"/>
      <c r="D63" s="440"/>
      <c r="E63" s="440"/>
      <c r="F63" s="440"/>
      <c r="G63" s="440"/>
      <c r="H63" s="440"/>
      <c r="I63" s="440"/>
      <c r="J63" s="440"/>
      <c r="K63" s="440">
        <f>265+63566+3306</f>
        <v>67137</v>
      </c>
      <c r="L63" s="440"/>
      <c r="M63" s="440">
        <v>10071</v>
      </c>
      <c r="N63" s="440"/>
      <c r="O63" s="440">
        <f>1+410+4+105+1</f>
        <v>521</v>
      </c>
      <c r="P63" s="440"/>
      <c r="Q63" s="440">
        <v>0</v>
      </c>
      <c r="R63" s="440"/>
      <c r="S63" s="440">
        <v>0</v>
      </c>
      <c r="T63" s="440"/>
      <c r="U63" s="441">
        <f>+M63-O63+Q63-S63</f>
        <v>9550</v>
      </c>
      <c r="V63" s="410"/>
      <c r="W63" s="6"/>
    </row>
    <row r="64" spans="1:23" ht="15.6">
      <c r="A64" s="378"/>
      <c r="B64" s="379" t="s">
        <v>25</v>
      </c>
      <c r="C64" s="440"/>
      <c r="D64" s="440"/>
      <c r="E64" s="440"/>
      <c r="F64" s="440"/>
      <c r="G64" s="440"/>
      <c r="H64" s="440"/>
      <c r="I64" s="440"/>
      <c r="J64" s="440"/>
      <c r="K64" s="440"/>
      <c r="L64" s="440"/>
      <c r="M64" s="440"/>
      <c r="N64" s="440"/>
      <c r="O64" s="440"/>
      <c r="P64" s="440"/>
      <c r="Q64" s="440">
        <v>0</v>
      </c>
      <c r="R64" s="440"/>
      <c r="S64" s="440">
        <v>0</v>
      </c>
      <c r="T64" s="440"/>
      <c r="U64" s="441">
        <f>M64-O64</f>
        <v>0</v>
      </c>
      <c r="V64" s="410"/>
      <c r="W64" s="6"/>
    </row>
    <row r="65" spans="1:24" ht="15.6">
      <c r="A65" s="378"/>
      <c r="B65" s="379"/>
      <c r="C65" s="440"/>
      <c r="D65" s="440"/>
      <c r="E65" s="440"/>
      <c r="F65" s="440"/>
      <c r="G65" s="440"/>
      <c r="H65" s="440"/>
      <c r="I65" s="440"/>
      <c r="J65" s="440"/>
      <c r="K65" s="440"/>
      <c r="L65" s="440"/>
      <c r="M65" s="440"/>
      <c r="N65" s="440"/>
      <c r="O65" s="440"/>
      <c r="P65" s="440"/>
      <c r="Q65" s="440"/>
      <c r="R65" s="440"/>
      <c r="S65" s="440"/>
      <c r="T65" s="440"/>
      <c r="U65" s="441"/>
      <c r="V65" s="410"/>
      <c r="W65" s="6"/>
    </row>
    <row r="66" spans="1:24" ht="15.6">
      <c r="A66" s="378"/>
      <c r="B66" s="379" t="s">
        <v>26</v>
      </c>
      <c r="C66" s="440"/>
      <c r="D66" s="440"/>
      <c r="E66" s="440"/>
      <c r="F66" s="440"/>
      <c r="G66" s="440"/>
      <c r="H66" s="440"/>
      <c r="I66" s="440"/>
      <c r="J66" s="440"/>
      <c r="K66" s="440">
        <v>24470</v>
      </c>
      <c r="L66" s="440"/>
      <c r="M66" s="440">
        <v>2908</v>
      </c>
      <c r="N66" s="440"/>
      <c r="O66" s="440">
        <f>204+30</f>
        <v>234</v>
      </c>
      <c r="P66" s="440"/>
      <c r="Q66" s="440">
        <v>0</v>
      </c>
      <c r="R66" s="440"/>
      <c r="S66" s="440">
        <f>SUM(S63:S65)</f>
        <v>0</v>
      </c>
      <c r="T66" s="440"/>
      <c r="U66" s="441">
        <f>+M66-O66+Q66-S66</f>
        <v>2674</v>
      </c>
      <c r="V66" s="410"/>
      <c r="W66" s="6"/>
    </row>
    <row r="67" spans="1:24" ht="15.6">
      <c r="A67" s="378"/>
      <c r="B67" s="379" t="s">
        <v>25</v>
      </c>
      <c r="C67" s="440"/>
      <c r="D67" s="440"/>
      <c r="E67" s="440"/>
      <c r="F67" s="440"/>
      <c r="G67" s="440"/>
      <c r="H67" s="440"/>
      <c r="I67" s="440"/>
      <c r="J67" s="440"/>
      <c r="K67" s="440"/>
      <c r="L67" s="440"/>
      <c r="M67" s="440"/>
      <c r="N67" s="440"/>
      <c r="O67" s="440"/>
      <c r="P67" s="440"/>
      <c r="Q67" s="440">
        <v>0</v>
      </c>
      <c r="R67" s="440"/>
      <c r="S67" s="440">
        <v>0</v>
      </c>
      <c r="T67" s="440"/>
      <c r="U67" s="440"/>
      <c r="V67" s="410"/>
      <c r="W67" s="6"/>
    </row>
    <row r="68" spans="1:24" ht="15.6">
      <c r="A68" s="378"/>
      <c r="B68" s="386"/>
      <c r="C68" s="440"/>
      <c r="D68" s="440"/>
      <c r="E68" s="440"/>
      <c r="F68" s="440"/>
      <c r="G68" s="440"/>
      <c r="H68" s="440"/>
      <c r="I68" s="440"/>
      <c r="J68" s="440"/>
      <c r="K68" s="440"/>
      <c r="L68" s="440"/>
      <c r="M68" s="440"/>
      <c r="N68" s="440"/>
      <c r="O68" s="442"/>
      <c r="P68" s="440"/>
      <c r="Q68" s="440"/>
      <c r="R68" s="440"/>
      <c r="S68" s="440"/>
      <c r="T68" s="440"/>
      <c r="U68" s="440"/>
      <c r="V68" s="410"/>
      <c r="W68" s="6"/>
    </row>
    <row r="69" spans="1:24" ht="15.6">
      <c r="A69" s="378"/>
      <c r="B69" s="379" t="s">
        <v>27</v>
      </c>
      <c r="C69" s="440"/>
      <c r="D69" s="440"/>
      <c r="E69" s="440"/>
      <c r="F69" s="440"/>
      <c r="G69" s="440"/>
      <c r="H69" s="440"/>
      <c r="I69" s="440"/>
      <c r="J69" s="440"/>
      <c r="K69" s="440">
        <v>220072</v>
      </c>
      <c r="L69" s="440"/>
      <c r="M69" s="440">
        <v>201721</v>
      </c>
      <c r="N69" s="440"/>
      <c r="O69" s="440">
        <f>7932+650-1</f>
        <v>8581</v>
      </c>
      <c r="P69" s="440"/>
      <c r="Q69" s="440">
        <v>0</v>
      </c>
      <c r="R69" s="440"/>
      <c r="S69" s="440">
        <v>0</v>
      </c>
      <c r="T69" s="440"/>
      <c r="U69" s="441">
        <f>+M69-O69+Q69-S69</f>
        <v>193140</v>
      </c>
      <c r="V69" s="410"/>
      <c r="W69" s="6"/>
    </row>
    <row r="70" spans="1:24" ht="15.6">
      <c r="A70" s="378"/>
      <c r="B70" s="379" t="s">
        <v>25</v>
      </c>
      <c r="C70" s="440"/>
      <c r="D70" s="440"/>
      <c r="E70" s="440"/>
      <c r="F70" s="440"/>
      <c r="G70" s="440"/>
      <c r="H70" s="440"/>
      <c r="I70" s="440"/>
      <c r="J70" s="440"/>
      <c r="K70" s="440"/>
      <c r="L70" s="440"/>
      <c r="M70" s="440"/>
      <c r="N70" s="440"/>
      <c r="O70" s="440"/>
      <c r="P70" s="440"/>
      <c r="Q70" s="440">
        <v>0</v>
      </c>
      <c r="R70" s="440"/>
      <c r="S70" s="440">
        <v>0</v>
      </c>
      <c r="T70" s="440"/>
      <c r="U70" s="441">
        <f>M70-O70+Q70-S70</f>
        <v>0</v>
      </c>
      <c r="V70" s="410"/>
      <c r="W70" s="6"/>
    </row>
    <row r="71" spans="1:24" ht="15.6">
      <c r="A71" s="378"/>
      <c r="B71" s="379"/>
      <c r="C71" s="440"/>
      <c r="D71" s="440"/>
      <c r="E71" s="440"/>
      <c r="F71" s="440"/>
      <c r="G71" s="440"/>
      <c r="H71" s="440"/>
      <c r="I71" s="440"/>
      <c r="J71" s="440"/>
      <c r="K71" s="440"/>
      <c r="L71" s="440"/>
      <c r="M71" s="440"/>
      <c r="N71" s="440"/>
      <c r="O71" s="440"/>
      <c r="P71" s="440"/>
      <c r="Q71" s="440"/>
      <c r="R71" s="440"/>
      <c r="S71" s="440"/>
      <c r="T71" s="440"/>
      <c r="U71" s="441"/>
      <c r="V71" s="410"/>
      <c r="W71" s="6"/>
    </row>
    <row r="72" spans="1:24" ht="15.6">
      <c r="A72" s="378"/>
      <c r="B72" s="379" t="s">
        <v>28</v>
      </c>
      <c r="C72" s="440"/>
      <c r="D72" s="440"/>
      <c r="E72" s="440"/>
      <c r="F72" s="440"/>
      <c r="G72" s="440"/>
      <c r="H72" s="440"/>
      <c r="I72" s="440"/>
      <c r="J72" s="440"/>
      <c r="K72" s="440">
        <v>138321</v>
      </c>
      <c r="L72" s="440"/>
      <c r="M72" s="440">
        <v>11886</v>
      </c>
      <c r="N72" s="440"/>
      <c r="O72" s="440">
        <f>2573+273</f>
        <v>2846</v>
      </c>
      <c r="P72" s="440"/>
      <c r="Q72" s="440">
        <v>0</v>
      </c>
      <c r="R72" s="440"/>
      <c r="S72" s="440">
        <v>0</v>
      </c>
      <c r="T72" s="440"/>
      <c r="U72" s="441">
        <f>+M72-O72+Q72-S72</f>
        <v>9040</v>
      </c>
      <c r="V72" s="410"/>
      <c r="W72" s="6"/>
    </row>
    <row r="73" spans="1:24" ht="15.6">
      <c r="A73" s="378"/>
      <c r="B73" s="379" t="s">
        <v>25</v>
      </c>
      <c r="C73" s="440"/>
      <c r="D73" s="440"/>
      <c r="E73" s="440"/>
      <c r="F73" s="440"/>
      <c r="G73" s="440"/>
      <c r="H73" s="440"/>
      <c r="I73" s="440"/>
      <c r="J73" s="440"/>
      <c r="K73" s="440"/>
      <c r="L73" s="440"/>
      <c r="M73" s="440"/>
      <c r="N73" s="440"/>
      <c r="O73" s="440"/>
      <c r="P73" s="440"/>
      <c r="Q73" s="440">
        <v>0</v>
      </c>
      <c r="R73" s="440"/>
      <c r="S73" s="440">
        <v>0</v>
      </c>
      <c r="T73" s="440"/>
      <c r="U73" s="441"/>
      <c r="V73" s="410"/>
      <c r="W73" s="6"/>
    </row>
    <row r="74" spans="1:24" ht="15.6">
      <c r="A74" s="378"/>
      <c r="B74" s="440"/>
      <c r="C74" s="440"/>
      <c r="D74" s="440"/>
      <c r="E74" s="440"/>
      <c r="F74" s="440"/>
      <c r="G74" s="440"/>
      <c r="H74" s="440"/>
      <c r="I74" s="440"/>
      <c r="J74" s="440"/>
      <c r="K74" s="440"/>
      <c r="L74" s="440"/>
      <c r="M74" s="440"/>
      <c r="N74" s="440"/>
      <c r="O74" s="440"/>
      <c r="P74" s="440"/>
      <c r="Q74" s="440"/>
      <c r="R74" s="440"/>
      <c r="S74" s="440"/>
      <c r="T74" s="440"/>
      <c r="U74" s="441"/>
      <c r="V74" s="410"/>
      <c r="W74" s="6"/>
    </row>
    <row r="75" spans="1:24" ht="15.6">
      <c r="A75" s="378"/>
      <c r="B75" s="379" t="s">
        <v>29</v>
      </c>
      <c r="C75" s="440"/>
      <c r="D75" s="440"/>
      <c r="E75" s="440"/>
      <c r="F75" s="440"/>
      <c r="G75" s="440"/>
      <c r="H75" s="440"/>
      <c r="I75" s="440"/>
      <c r="J75" s="440"/>
      <c r="K75" s="440">
        <f>SUM(K63:K72)</f>
        <v>450000</v>
      </c>
      <c r="L75" s="440"/>
      <c r="M75" s="440">
        <f>SUM(M63:M72)</f>
        <v>226586</v>
      </c>
      <c r="N75" s="440"/>
      <c r="O75" s="440">
        <f>SUM(O63:O73)</f>
        <v>12182</v>
      </c>
      <c r="P75" s="440"/>
      <c r="Q75" s="440">
        <f>SUM(Q63:Q73)</f>
        <v>0</v>
      </c>
      <c r="R75" s="440"/>
      <c r="S75" s="440">
        <f>SUM(S70:S74)</f>
        <v>0</v>
      </c>
      <c r="T75" s="440"/>
      <c r="U75" s="440">
        <f>SUM(U63:U73)</f>
        <v>214404</v>
      </c>
      <c r="V75" s="410"/>
      <c r="W75" s="6"/>
      <c r="X75" s="182"/>
    </row>
    <row r="76" spans="1:24" ht="15.6">
      <c r="A76" s="378"/>
      <c r="B76" s="379"/>
      <c r="C76" s="440"/>
      <c r="D76" s="440"/>
      <c r="E76" s="440"/>
      <c r="F76" s="440"/>
      <c r="G76" s="440"/>
      <c r="H76" s="440"/>
      <c r="I76" s="440"/>
      <c r="J76" s="440"/>
      <c r="K76" s="440"/>
      <c r="L76" s="440"/>
      <c r="M76" s="440"/>
      <c r="N76" s="440"/>
      <c r="O76" s="440"/>
      <c r="P76" s="440"/>
      <c r="Q76" s="440"/>
      <c r="R76" s="440"/>
      <c r="S76" s="440"/>
      <c r="T76" s="440"/>
      <c r="U76" s="440"/>
      <c r="V76" s="410"/>
      <c r="W76" s="6"/>
    </row>
    <row r="77" spans="1:24" ht="15.6">
      <c r="A77" s="378"/>
      <c r="B77" s="379" t="s">
        <v>214</v>
      </c>
      <c r="C77" s="440"/>
      <c r="D77" s="440"/>
      <c r="E77" s="440"/>
      <c r="F77" s="440"/>
      <c r="G77" s="440"/>
      <c r="H77" s="440"/>
      <c r="I77" s="440"/>
      <c r="J77" s="440"/>
      <c r="K77" s="440">
        <v>0</v>
      </c>
      <c r="L77" s="440"/>
      <c r="M77" s="440">
        <v>-11568</v>
      </c>
      <c r="N77" s="440"/>
      <c r="O77" s="440">
        <v>572</v>
      </c>
      <c r="P77" s="440"/>
      <c r="Q77" s="440"/>
      <c r="R77" s="440"/>
      <c r="S77" s="440"/>
      <c r="T77" s="440"/>
      <c r="U77" s="441">
        <f>+M77-O77</f>
        <v>-12140</v>
      </c>
      <c r="V77" s="410"/>
      <c r="W77" s="6"/>
    </row>
    <row r="78" spans="1:24" ht="15.6">
      <c r="A78" s="378"/>
      <c r="B78" s="379" t="s">
        <v>30</v>
      </c>
      <c r="C78" s="440"/>
      <c r="D78" s="440"/>
      <c r="E78" s="440"/>
      <c r="F78" s="440"/>
      <c r="G78" s="440"/>
      <c r="H78" s="440"/>
      <c r="I78" s="440"/>
      <c r="J78" s="440"/>
      <c r="K78" s="440">
        <v>0</v>
      </c>
      <c r="L78" s="440"/>
      <c r="M78" s="440">
        <v>0</v>
      </c>
      <c r="N78" s="440"/>
      <c r="O78" s="440">
        <v>0</v>
      </c>
      <c r="P78" s="440"/>
      <c r="Q78" s="440">
        <v>0</v>
      </c>
      <c r="R78" s="440"/>
      <c r="S78" s="440"/>
      <c r="T78" s="440"/>
      <c r="U78" s="440">
        <v>0</v>
      </c>
      <c r="V78" s="410"/>
      <c r="W78" s="6"/>
      <c r="X78" s="182"/>
    </row>
    <row r="79" spans="1:24" ht="15.6">
      <c r="A79" s="378"/>
      <c r="B79" s="379" t="s">
        <v>31</v>
      </c>
      <c r="C79" s="440"/>
      <c r="D79" s="440"/>
      <c r="E79" s="440"/>
      <c r="F79" s="440"/>
      <c r="G79" s="440"/>
      <c r="H79" s="440"/>
      <c r="I79" s="440"/>
      <c r="J79" s="440"/>
      <c r="K79" s="440">
        <v>0</v>
      </c>
      <c r="L79" s="440"/>
      <c r="M79" s="440">
        <v>0</v>
      </c>
      <c r="N79" s="440"/>
      <c r="O79" s="440"/>
      <c r="P79" s="440"/>
      <c r="Q79" s="440">
        <v>0</v>
      </c>
      <c r="R79" s="440"/>
      <c r="S79" s="440"/>
      <c r="T79" s="440"/>
      <c r="U79" s="440">
        <f>Q79+M79</f>
        <v>0</v>
      </c>
      <c r="V79" s="410"/>
      <c r="W79" s="6"/>
    </row>
    <row r="80" spans="1:24" ht="15.6">
      <c r="A80" s="378"/>
      <c r="B80" s="379" t="s">
        <v>16</v>
      </c>
      <c r="C80" s="440"/>
      <c r="D80" s="440"/>
      <c r="E80" s="440"/>
      <c r="F80" s="440"/>
      <c r="G80" s="440"/>
      <c r="H80" s="440"/>
      <c r="I80" s="440"/>
      <c r="J80" s="440"/>
      <c r="K80" s="440">
        <f>SUM(K75:K79)</f>
        <v>450000</v>
      </c>
      <c r="L80" s="440"/>
      <c r="M80" s="440">
        <f>SUM(M75:M79)</f>
        <v>215018</v>
      </c>
      <c r="N80" s="440"/>
      <c r="O80" s="440">
        <f>O78-O79</f>
        <v>0</v>
      </c>
      <c r="P80" s="440"/>
      <c r="Q80" s="440"/>
      <c r="R80" s="440"/>
      <c r="S80" s="440"/>
      <c r="T80" s="440"/>
      <c r="U80" s="440">
        <f>SUM(U75:U79)</f>
        <v>202264</v>
      </c>
      <c r="V80" s="410"/>
      <c r="W80" s="6"/>
    </row>
    <row r="81" spans="1:24" ht="15.6">
      <c r="A81" s="242"/>
      <c r="B81" s="437"/>
      <c r="C81" s="438"/>
      <c r="D81" s="438"/>
      <c r="E81" s="438"/>
      <c r="F81" s="438"/>
      <c r="G81" s="438"/>
      <c r="H81" s="438"/>
      <c r="I81" s="438"/>
      <c r="J81" s="438"/>
      <c r="K81" s="438"/>
      <c r="L81" s="438"/>
      <c r="M81" s="438"/>
      <c r="N81" s="438"/>
      <c r="O81" s="438"/>
      <c r="P81" s="438"/>
      <c r="Q81" s="438"/>
      <c r="R81" s="438"/>
      <c r="S81" s="439"/>
      <c r="T81" s="438"/>
      <c r="U81" s="439"/>
      <c r="V81" s="245"/>
      <c r="W81" s="6"/>
    </row>
    <row r="82" spans="1:24" ht="15.6">
      <c r="A82" s="230"/>
      <c r="B82" s="511" t="s">
        <v>32</v>
      </c>
      <c r="C82" s="511"/>
      <c r="D82" s="511"/>
      <c r="E82" s="511"/>
      <c r="F82" s="511"/>
      <c r="G82" s="511"/>
      <c r="H82" s="511"/>
      <c r="I82" s="511"/>
      <c r="J82" s="511"/>
      <c r="K82" s="511"/>
      <c r="L82" s="511"/>
      <c r="M82" s="511"/>
      <c r="N82" s="511"/>
      <c r="O82" s="511"/>
      <c r="P82" s="511"/>
      <c r="Q82" s="511"/>
      <c r="R82" s="232"/>
      <c r="S82" s="232"/>
      <c r="T82" s="232"/>
      <c r="U82" s="232" t="s">
        <v>121</v>
      </c>
      <c r="V82" s="516"/>
      <c r="W82" s="6"/>
    </row>
    <row r="83" spans="1:24" ht="15.6">
      <c r="A83" s="315"/>
      <c r="B83" s="294" t="s">
        <v>33</v>
      </c>
      <c r="C83" s="294"/>
      <c r="D83" s="294"/>
      <c r="E83" s="294"/>
      <c r="F83" s="294"/>
      <c r="G83" s="294"/>
      <c r="H83" s="294"/>
      <c r="I83" s="294"/>
      <c r="J83" s="294"/>
      <c r="K83" s="294"/>
      <c r="L83" s="294"/>
      <c r="M83" s="294"/>
      <c r="N83" s="294"/>
      <c r="O83" s="310"/>
      <c r="P83" s="294"/>
      <c r="Q83" s="294"/>
      <c r="R83" s="294"/>
      <c r="S83" s="310"/>
      <c r="T83" s="294"/>
      <c r="U83" s="311">
        <f>56921</f>
        <v>56921</v>
      </c>
      <c r="V83" s="298"/>
      <c r="W83" s="6"/>
    </row>
    <row r="84" spans="1:24" ht="15.6">
      <c r="A84" s="444"/>
      <c r="B84" s="379" t="s">
        <v>34</v>
      </c>
      <c r="C84" s="431"/>
      <c r="D84" s="431"/>
      <c r="E84" s="431"/>
      <c r="F84" s="431"/>
      <c r="G84" s="431"/>
      <c r="H84" s="431"/>
      <c r="I84" s="431"/>
      <c r="J84" s="431"/>
      <c r="K84" s="431"/>
      <c r="L84" s="431"/>
      <c r="M84" s="430"/>
      <c r="N84" s="379"/>
      <c r="O84" s="379"/>
      <c r="P84" s="379"/>
      <c r="Q84" s="379"/>
      <c r="R84" s="379"/>
      <c r="S84" s="440"/>
      <c r="T84" s="379"/>
      <c r="U84" s="441">
        <f>411+42+10-1-26</f>
        <v>436</v>
      </c>
      <c r="V84" s="410"/>
      <c r="W84" s="6"/>
    </row>
    <row r="85" spans="1:24" ht="15.6">
      <c r="A85" s="444"/>
      <c r="B85" s="379" t="s">
        <v>230</v>
      </c>
      <c r="C85" s="379"/>
      <c r="D85" s="379"/>
      <c r="E85" s="379"/>
      <c r="F85" s="379"/>
      <c r="G85" s="379"/>
      <c r="H85" s="379"/>
      <c r="I85" s="379"/>
      <c r="J85" s="379"/>
      <c r="K85" s="379"/>
      <c r="L85" s="379"/>
      <c r="M85" s="379"/>
      <c r="N85" s="379"/>
      <c r="O85" s="379"/>
      <c r="P85" s="379"/>
      <c r="Q85" s="379"/>
      <c r="R85" s="379"/>
      <c r="S85" s="440"/>
      <c r="T85" s="379"/>
      <c r="U85" s="441">
        <v>0</v>
      </c>
      <c r="V85" s="410"/>
      <c r="W85" s="6"/>
      <c r="X85" s="64"/>
    </row>
    <row r="86" spans="1:24" ht="15.6">
      <c r="A86" s="444"/>
      <c r="B86" s="379" t="s">
        <v>231</v>
      </c>
      <c r="C86" s="379"/>
      <c r="D86" s="379"/>
      <c r="E86" s="379"/>
      <c r="F86" s="379"/>
      <c r="G86" s="379"/>
      <c r="H86" s="379"/>
      <c r="I86" s="379"/>
      <c r="J86" s="379"/>
      <c r="K86" s="379"/>
      <c r="L86" s="379"/>
      <c r="M86" s="379"/>
      <c r="N86" s="379"/>
      <c r="O86" s="379"/>
      <c r="P86" s="379"/>
      <c r="Q86" s="379"/>
      <c r="R86" s="379"/>
      <c r="S86" s="440"/>
      <c r="T86" s="379"/>
      <c r="U86" s="441">
        <v>0</v>
      </c>
      <c r="V86" s="410"/>
      <c r="W86" s="6"/>
      <c r="X86" s="64"/>
    </row>
    <row r="87" spans="1:24" ht="15.6">
      <c r="A87" s="444"/>
      <c r="B87" s="379" t="s">
        <v>35</v>
      </c>
      <c r="C87" s="379"/>
      <c r="D87" s="379"/>
      <c r="E87" s="379"/>
      <c r="F87" s="379"/>
      <c r="G87" s="379"/>
      <c r="H87" s="379"/>
      <c r="I87" s="379"/>
      <c r="J87" s="379"/>
      <c r="K87" s="379"/>
      <c r="L87" s="379"/>
      <c r="M87" s="379"/>
      <c r="N87" s="379"/>
      <c r="O87" s="379"/>
      <c r="P87" s="379"/>
      <c r="Q87" s="379"/>
      <c r="R87" s="379"/>
      <c r="S87" s="440"/>
      <c r="T87" s="379"/>
      <c r="U87" s="441">
        <f>SUM(U83:U86)</f>
        <v>57357</v>
      </c>
      <c r="V87" s="410"/>
      <c r="W87" s="6"/>
      <c r="X87" s="64"/>
    </row>
    <row r="88" spans="1:24" ht="15.6">
      <c r="A88" s="444"/>
      <c r="B88" s="379"/>
      <c r="C88" s="379"/>
      <c r="D88" s="379"/>
      <c r="E88" s="379"/>
      <c r="F88" s="379"/>
      <c r="G88" s="379"/>
      <c r="H88" s="379"/>
      <c r="I88" s="379"/>
      <c r="J88" s="379"/>
      <c r="K88" s="379"/>
      <c r="L88" s="379"/>
      <c r="M88" s="379"/>
      <c r="N88" s="379"/>
      <c r="O88" s="379"/>
      <c r="P88" s="379"/>
      <c r="Q88" s="379"/>
      <c r="R88" s="379"/>
      <c r="S88" s="440"/>
      <c r="T88" s="379"/>
      <c r="U88" s="440"/>
      <c r="V88" s="410"/>
      <c r="W88" s="6"/>
    </row>
    <row r="89" spans="1:24" ht="15.6">
      <c r="A89" s="444"/>
      <c r="B89" s="446" t="s">
        <v>36</v>
      </c>
      <c r="C89" s="446"/>
      <c r="D89" s="446"/>
      <c r="E89" s="446"/>
      <c r="F89" s="446"/>
      <c r="G89" s="446"/>
      <c r="H89" s="446"/>
      <c r="I89" s="446"/>
      <c r="J89" s="446"/>
      <c r="K89" s="446"/>
      <c r="L89" s="446"/>
      <c r="M89" s="379"/>
      <c r="N89" s="379"/>
      <c r="O89" s="379"/>
      <c r="P89" s="379"/>
      <c r="Q89" s="379"/>
      <c r="R89" s="379"/>
      <c r="S89" s="440"/>
      <c r="T89" s="379"/>
      <c r="U89" s="441"/>
      <c r="V89" s="410"/>
      <c r="W89" s="6"/>
      <c r="X89" s="64"/>
    </row>
    <row r="90" spans="1:24" ht="15.6">
      <c r="A90" s="444">
        <v>1</v>
      </c>
      <c r="B90" s="379" t="s">
        <v>37</v>
      </c>
      <c r="C90" s="379"/>
      <c r="D90" s="379"/>
      <c r="E90" s="379"/>
      <c r="F90" s="379"/>
      <c r="G90" s="379"/>
      <c r="H90" s="379"/>
      <c r="I90" s="379"/>
      <c r="J90" s="379"/>
      <c r="K90" s="379"/>
      <c r="L90" s="379"/>
      <c r="M90" s="379"/>
      <c r="N90" s="379"/>
      <c r="O90" s="379"/>
      <c r="P90" s="379"/>
      <c r="Q90" s="379"/>
      <c r="R90" s="379"/>
      <c r="S90" s="379"/>
      <c r="T90" s="379"/>
      <c r="U90" s="441">
        <v>-2</v>
      </c>
      <c r="V90" s="410"/>
      <c r="W90" s="6"/>
    </row>
    <row r="91" spans="1:24" ht="15.6">
      <c r="A91" s="444">
        <f>A90+1</f>
        <v>2</v>
      </c>
      <c r="B91" s="379" t="s">
        <v>168</v>
      </c>
      <c r="C91" s="379"/>
      <c r="D91" s="379"/>
      <c r="E91" s="379"/>
      <c r="F91" s="379"/>
      <c r="G91" s="379"/>
      <c r="H91" s="379"/>
      <c r="I91" s="379"/>
      <c r="J91" s="379"/>
      <c r="K91" s="379"/>
      <c r="L91" s="379"/>
      <c r="M91" s="379"/>
      <c r="N91" s="379"/>
      <c r="O91" s="379"/>
      <c r="P91" s="379"/>
      <c r="Q91" s="379"/>
      <c r="R91" s="379"/>
      <c r="S91" s="379"/>
      <c r="T91" s="379"/>
      <c r="U91" s="441">
        <f>-215-87-3</f>
        <v>-305</v>
      </c>
      <c r="V91" s="410"/>
      <c r="W91" s="6"/>
      <c r="X91" s="64"/>
    </row>
    <row r="92" spans="1:24" ht="15.6">
      <c r="A92" s="444">
        <v>3</v>
      </c>
      <c r="B92" s="379" t="s">
        <v>38</v>
      </c>
      <c r="C92" s="379"/>
      <c r="D92" s="379"/>
      <c r="E92" s="379"/>
      <c r="F92" s="379"/>
      <c r="G92" s="379"/>
      <c r="H92" s="379"/>
      <c r="I92" s="379"/>
      <c r="J92" s="379"/>
      <c r="K92" s="379"/>
      <c r="L92" s="379"/>
      <c r="M92" s="379"/>
      <c r="N92" s="379"/>
      <c r="O92" s="379"/>
      <c r="P92" s="379"/>
      <c r="Q92" s="379"/>
      <c r="R92" s="379"/>
      <c r="S92" s="379"/>
      <c r="T92" s="379"/>
      <c r="U92" s="441">
        <v>-226</v>
      </c>
      <c r="V92" s="410"/>
      <c r="W92" s="6"/>
      <c r="X92" s="64"/>
    </row>
    <row r="93" spans="1:24" ht="15.6">
      <c r="A93" s="447" t="s">
        <v>190</v>
      </c>
      <c r="B93" s="379" t="s">
        <v>169</v>
      </c>
      <c r="C93" s="379"/>
      <c r="D93" s="379"/>
      <c r="E93" s="379"/>
      <c r="F93" s="379"/>
      <c r="G93" s="379"/>
      <c r="H93" s="379"/>
      <c r="I93" s="379"/>
      <c r="J93" s="379"/>
      <c r="K93" s="379"/>
      <c r="L93" s="379"/>
      <c r="M93" s="379"/>
      <c r="N93" s="379"/>
      <c r="O93" s="379"/>
      <c r="P93" s="379"/>
      <c r="Q93" s="379"/>
      <c r="R93" s="379"/>
      <c r="S93" s="379"/>
      <c r="T93" s="379"/>
      <c r="U93" s="441">
        <v>-134</v>
      </c>
      <c r="V93" s="410"/>
      <c r="W93" s="6"/>
      <c r="X93" s="64"/>
    </row>
    <row r="94" spans="1:24" ht="15.6">
      <c r="A94" s="447" t="s">
        <v>191</v>
      </c>
      <c r="B94" s="379" t="s">
        <v>170</v>
      </c>
      <c r="C94" s="379"/>
      <c r="D94" s="379"/>
      <c r="E94" s="379"/>
      <c r="F94" s="379"/>
      <c r="G94" s="379"/>
      <c r="H94" s="379"/>
      <c r="I94" s="379"/>
      <c r="J94" s="379"/>
      <c r="K94" s="379"/>
      <c r="L94" s="379"/>
      <c r="M94" s="379"/>
      <c r="N94" s="379"/>
      <c r="O94" s="379"/>
      <c r="P94" s="379"/>
      <c r="Q94" s="379"/>
      <c r="R94" s="379"/>
      <c r="S94" s="379"/>
      <c r="T94" s="379"/>
      <c r="U94" s="441">
        <v>-170</v>
      </c>
      <c r="V94" s="410"/>
      <c r="W94" s="6"/>
      <c r="X94" s="182"/>
    </row>
    <row r="95" spans="1:24" ht="15.6">
      <c r="A95" s="444">
        <v>5</v>
      </c>
      <c r="B95" s="379" t="s">
        <v>171</v>
      </c>
      <c r="C95" s="379"/>
      <c r="D95" s="379"/>
      <c r="E95" s="379"/>
      <c r="F95" s="379"/>
      <c r="G95" s="379"/>
      <c r="H95" s="379"/>
      <c r="I95" s="379"/>
      <c r="J95" s="379"/>
      <c r="K95" s="379"/>
      <c r="L95" s="379"/>
      <c r="M95" s="379"/>
      <c r="N95" s="379"/>
      <c r="O95" s="379"/>
      <c r="P95" s="379"/>
      <c r="Q95" s="379"/>
      <c r="R95" s="379"/>
      <c r="S95" s="379"/>
      <c r="T95" s="379"/>
      <c r="U95" s="441">
        <v>-7</v>
      </c>
      <c r="V95" s="410"/>
      <c r="W95" s="6"/>
    </row>
    <row r="96" spans="1:24" ht="15.6">
      <c r="A96" s="447" t="s">
        <v>174</v>
      </c>
      <c r="B96" s="379" t="s">
        <v>172</v>
      </c>
      <c r="C96" s="379"/>
      <c r="D96" s="379"/>
      <c r="E96" s="379"/>
      <c r="F96" s="379"/>
      <c r="G96" s="379"/>
      <c r="H96" s="379"/>
      <c r="I96" s="379"/>
      <c r="J96" s="379"/>
      <c r="K96" s="379"/>
      <c r="L96" s="379"/>
      <c r="M96" s="379"/>
      <c r="N96" s="379"/>
      <c r="O96" s="379"/>
      <c r="P96" s="379"/>
      <c r="Q96" s="379"/>
      <c r="R96" s="379"/>
      <c r="S96" s="379"/>
      <c r="T96" s="379"/>
      <c r="U96" s="441">
        <v>-56</v>
      </c>
      <c r="V96" s="410"/>
      <c r="W96" s="6"/>
      <c r="X96" s="182"/>
    </row>
    <row r="97" spans="1:24" ht="15.6">
      <c r="A97" s="447" t="s">
        <v>176</v>
      </c>
      <c r="B97" s="379" t="s">
        <v>173</v>
      </c>
      <c r="C97" s="379"/>
      <c r="D97" s="379"/>
      <c r="E97" s="379"/>
      <c r="F97" s="379"/>
      <c r="G97" s="379"/>
      <c r="H97" s="379"/>
      <c r="I97" s="379"/>
      <c r="J97" s="379"/>
      <c r="K97" s="379"/>
      <c r="L97" s="379"/>
      <c r="M97" s="379"/>
      <c r="N97" s="379"/>
      <c r="O97" s="379"/>
      <c r="P97" s="379"/>
      <c r="Q97" s="379"/>
      <c r="R97" s="379"/>
      <c r="S97" s="379"/>
      <c r="T97" s="379"/>
      <c r="U97" s="441">
        <v>-91</v>
      </c>
      <c r="V97" s="410"/>
      <c r="W97" s="119"/>
      <c r="X97" s="182"/>
    </row>
    <row r="98" spans="1:24" ht="15.6">
      <c r="A98" s="447" t="s">
        <v>178</v>
      </c>
      <c r="B98" s="379" t="s">
        <v>175</v>
      </c>
      <c r="C98" s="379"/>
      <c r="D98" s="379"/>
      <c r="E98" s="379"/>
      <c r="F98" s="379"/>
      <c r="G98" s="379"/>
      <c r="H98" s="379"/>
      <c r="I98" s="379"/>
      <c r="J98" s="379"/>
      <c r="K98" s="379"/>
      <c r="L98" s="379"/>
      <c r="M98" s="379"/>
      <c r="N98" s="379"/>
      <c r="O98" s="379"/>
      <c r="P98" s="379"/>
      <c r="Q98" s="379"/>
      <c r="R98" s="379"/>
      <c r="S98" s="379"/>
      <c r="T98" s="379"/>
      <c r="U98" s="441">
        <v>-87</v>
      </c>
      <c r="V98" s="410"/>
      <c r="W98" s="6"/>
      <c r="X98" s="182"/>
    </row>
    <row r="99" spans="1:24" ht="15.6">
      <c r="A99" s="447" t="s">
        <v>180</v>
      </c>
      <c r="B99" s="379" t="s">
        <v>177</v>
      </c>
      <c r="C99" s="379"/>
      <c r="D99" s="379"/>
      <c r="E99" s="379"/>
      <c r="F99" s="379"/>
      <c r="G99" s="379"/>
      <c r="H99" s="379"/>
      <c r="I99" s="379"/>
      <c r="J99" s="379"/>
      <c r="K99" s="379"/>
      <c r="L99" s="379"/>
      <c r="M99" s="379"/>
      <c r="N99" s="379"/>
      <c r="O99" s="379"/>
      <c r="P99" s="379"/>
      <c r="Q99" s="379"/>
      <c r="R99" s="379"/>
      <c r="S99" s="379"/>
      <c r="T99" s="379"/>
      <c r="U99" s="441">
        <v>-111</v>
      </c>
      <c r="V99" s="410"/>
      <c r="W99" s="119"/>
      <c r="X99" s="182"/>
    </row>
    <row r="100" spans="1:24" ht="15.6">
      <c r="A100" s="447" t="s">
        <v>192</v>
      </c>
      <c r="B100" s="379" t="s">
        <v>179</v>
      </c>
      <c r="C100" s="379"/>
      <c r="D100" s="379"/>
      <c r="E100" s="379"/>
      <c r="F100" s="379"/>
      <c r="G100" s="379"/>
      <c r="H100" s="379"/>
      <c r="I100" s="379"/>
      <c r="J100" s="379"/>
      <c r="K100" s="379"/>
      <c r="L100" s="379"/>
      <c r="M100" s="379"/>
      <c r="N100" s="379"/>
      <c r="O100" s="379"/>
      <c r="P100" s="379"/>
      <c r="Q100" s="379"/>
      <c r="R100" s="379"/>
      <c r="S100" s="379"/>
      <c r="T100" s="379"/>
      <c r="U100" s="441">
        <v>-159</v>
      </c>
      <c r="V100" s="410"/>
      <c r="W100" s="6"/>
      <c r="X100" s="182"/>
    </row>
    <row r="101" spans="1:24" ht="15.6">
      <c r="A101" s="447" t="s">
        <v>193</v>
      </c>
      <c r="B101" s="379" t="s">
        <v>181</v>
      </c>
      <c r="C101" s="379"/>
      <c r="D101" s="379"/>
      <c r="E101" s="379"/>
      <c r="F101" s="379"/>
      <c r="G101" s="379"/>
      <c r="H101" s="379"/>
      <c r="I101" s="379"/>
      <c r="J101" s="379"/>
      <c r="K101" s="379"/>
      <c r="L101" s="379"/>
      <c r="M101" s="379"/>
      <c r="N101" s="379"/>
      <c r="O101" s="379"/>
      <c r="P101" s="379"/>
      <c r="Q101" s="379"/>
      <c r="R101" s="379"/>
      <c r="S101" s="379"/>
      <c r="T101" s="379"/>
      <c r="U101" s="441">
        <v>-137</v>
      </c>
      <c r="V101" s="410"/>
      <c r="W101" s="119"/>
      <c r="X101" s="182"/>
    </row>
    <row r="102" spans="1:24" ht="15.6">
      <c r="A102" s="444">
        <v>9</v>
      </c>
      <c r="B102" s="379" t="s">
        <v>257</v>
      </c>
      <c r="C102" s="379"/>
      <c r="D102" s="379"/>
      <c r="E102" s="379"/>
      <c r="F102" s="379"/>
      <c r="G102" s="379"/>
      <c r="H102" s="379"/>
      <c r="I102" s="379"/>
      <c r="J102" s="379"/>
      <c r="K102" s="379"/>
      <c r="L102" s="379"/>
      <c r="M102" s="379"/>
      <c r="N102" s="379"/>
      <c r="O102" s="379"/>
      <c r="P102" s="379"/>
      <c r="Q102" s="379"/>
      <c r="R102" s="379"/>
      <c r="S102" s="379"/>
      <c r="T102" s="379"/>
      <c r="U102" s="441">
        <f>+S219-U32</f>
        <v>-12753.57799999998</v>
      </c>
      <c r="V102" s="410"/>
      <c r="W102" s="6"/>
      <c r="X102" s="182"/>
    </row>
    <row r="103" spans="1:24" ht="15.6">
      <c r="A103" s="444">
        <v>10</v>
      </c>
      <c r="B103" s="379" t="s">
        <v>234</v>
      </c>
      <c r="C103" s="379"/>
      <c r="D103" s="379"/>
      <c r="E103" s="379"/>
      <c r="F103" s="379"/>
      <c r="G103" s="379"/>
      <c r="H103" s="379"/>
      <c r="I103" s="379"/>
      <c r="J103" s="379"/>
      <c r="K103" s="379"/>
      <c r="L103" s="379"/>
      <c r="M103" s="379"/>
      <c r="N103" s="379"/>
      <c r="O103" s="379"/>
      <c r="P103" s="379"/>
      <c r="Q103" s="379"/>
      <c r="R103" s="379"/>
      <c r="S103" s="379"/>
      <c r="T103" s="379"/>
      <c r="U103" s="441">
        <v>-40500</v>
      </c>
      <c r="V103" s="410"/>
      <c r="W103" s="6"/>
      <c r="X103" s="64"/>
    </row>
    <row r="104" spans="1:24" ht="15.6">
      <c r="A104" s="444">
        <v>11</v>
      </c>
      <c r="B104" s="379" t="s">
        <v>183</v>
      </c>
      <c r="C104" s="379"/>
      <c r="D104" s="379"/>
      <c r="E104" s="379"/>
      <c r="F104" s="379"/>
      <c r="G104" s="379"/>
      <c r="H104" s="379"/>
      <c r="I104" s="379"/>
      <c r="J104" s="379"/>
      <c r="K104" s="379"/>
      <c r="L104" s="379"/>
      <c r="M104" s="379"/>
      <c r="N104" s="379"/>
      <c r="O104" s="379"/>
      <c r="P104" s="379"/>
      <c r="Q104" s="379"/>
      <c r="R104" s="379"/>
      <c r="S104" s="379"/>
      <c r="T104" s="379"/>
      <c r="U104" s="441">
        <v>0</v>
      </c>
      <c r="V104" s="410"/>
      <c r="W104" s="6"/>
      <c r="X104" s="64"/>
    </row>
    <row r="105" spans="1:24" ht="15.6">
      <c r="A105" s="444">
        <v>12</v>
      </c>
      <c r="B105" s="379" t="s">
        <v>184</v>
      </c>
      <c r="C105" s="379"/>
      <c r="D105" s="379"/>
      <c r="E105" s="379"/>
      <c r="F105" s="379"/>
      <c r="G105" s="379"/>
      <c r="H105" s="379"/>
      <c r="I105" s="379"/>
      <c r="J105" s="379"/>
      <c r="K105" s="379"/>
      <c r="L105" s="379"/>
      <c r="M105" s="379"/>
      <c r="N105" s="379"/>
      <c r="O105" s="379"/>
      <c r="P105" s="379"/>
      <c r="Q105" s="379"/>
      <c r="R105" s="379"/>
      <c r="S105" s="379"/>
      <c r="T105" s="379"/>
      <c r="U105" s="441">
        <v>-241</v>
      </c>
      <c r="V105" s="410"/>
      <c r="W105" s="6"/>
      <c r="X105" s="182"/>
    </row>
    <row r="106" spans="1:24" ht="15.6">
      <c r="A106" s="444">
        <v>13</v>
      </c>
      <c r="B106" s="379" t="s">
        <v>40</v>
      </c>
      <c r="C106" s="379"/>
      <c r="D106" s="379"/>
      <c r="E106" s="379"/>
      <c r="F106" s="379"/>
      <c r="G106" s="379"/>
      <c r="H106" s="379"/>
      <c r="I106" s="379"/>
      <c r="J106" s="379"/>
      <c r="K106" s="379"/>
      <c r="L106" s="379"/>
      <c r="M106" s="379"/>
      <c r="N106" s="379"/>
      <c r="O106" s="379"/>
      <c r="P106" s="379"/>
      <c r="Q106" s="379"/>
      <c r="R106" s="379"/>
      <c r="S106" s="379"/>
      <c r="T106" s="379"/>
      <c r="U106" s="441">
        <f>-SUM(U87:V105)</f>
        <v>-2377.4220000000205</v>
      </c>
      <c r="V106" s="410"/>
      <c r="W106" s="6"/>
      <c r="X106" s="182"/>
    </row>
    <row r="107" spans="1:24" ht="15.6">
      <c r="A107" s="316"/>
      <c r="B107" s="443"/>
      <c r="C107" s="364"/>
      <c r="D107" s="364"/>
      <c r="E107" s="364"/>
      <c r="F107" s="364"/>
      <c r="G107" s="364"/>
      <c r="H107" s="364"/>
      <c r="I107" s="364"/>
      <c r="J107" s="364"/>
      <c r="K107" s="364"/>
      <c r="L107" s="364"/>
      <c r="M107" s="364"/>
      <c r="N107" s="364"/>
      <c r="O107" s="364"/>
      <c r="P107" s="364"/>
      <c r="Q107" s="364"/>
      <c r="R107" s="364"/>
      <c r="S107" s="360"/>
      <c r="T107" s="360"/>
      <c r="U107" s="360"/>
      <c r="V107" s="303"/>
      <c r="W107" s="6"/>
      <c r="X107" s="182"/>
    </row>
    <row r="108" spans="1:24" ht="15.6">
      <c r="A108" s="316"/>
      <c r="B108" s="317"/>
      <c r="C108" s="288"/>
      <c r="D108" s="288"/>
      <c r="E108" s="288"/>
      <c r="F108" s="288"/>
      <c r="G108" s="288"/>
      <c r="H108" s="288"/>
      <c r="I108" s="288"/>
      <c r="J108" s="288"/>
      <c r="K108" s="288"/>
      <c r="L108" s="288"/>
      <c r="M108" s="288"/>
      <c r="N108" s="288"/>
      <c r="O108" s="288"/>
      <c r="P108" s="288"/>
      <c r="Q108" s="288"/>
      <c r="R108" s="288"/>
      <c r="S108" s="318"/>
      <c r="T108" s="318"/>
      <c r="U108" s="318"/>
      <c r="V108" s="303"/>
      <c r="W108" s="6"/>
    </row>
    <row r="109" spans="1:24" ht="16.2" thickBot="1">
      <c r="A109" s="319"/>
      <c r="B109" s="304" t="str">
        <f>+B59</f>
        <v>PPAF3 INVESTOR REPORT QUARTER ENDING JUNE 2011</v>
      </c>
      <c r="C109" s="305"/>
      <c r="D109" s="305"/>
      <c r="E109" s="305"/>
      <c r="F109" s="305"/>
      <c r="G109" s="305"/>
      <c r="H109" s="305"/>
      <c r="I109" s="305"/>
      <c r="J109" s="305"/>
      <c r="K109" s="305"/>
      <c r="L109" s="305"/>
      <c r="M109" s="305"/>
      <c r="N109" s="305"/>
      <c r="O109" s="305"/>
      <c r="P109" s="305"/>
      <c r="Q109" s="305"/>
      <c r="R109" s="305"/>
      <c r="S109" s="320"/>
      <c r="T109" s="320"/>
      <c r="U109" s="320"/>
      <c r="V109" s="307"/>
      <c r="W109" s="6"/>
    </row>
    <row r="110" spans="1:24" ht="15.6">
      <c r="A110" s="238"/>
      <c r="B110" s="240"/>
      <c r="C110" s="240"/>
      <c r="D110" s="240"/>
      <c r="E110" s="240"/>
      <c r="F110" s="240"/>
      <c r="G110" s="240"/>
      <c r="H110" s="240"/>
      <c r="I110" s="240"/>
      <c r="J110" s="240"/>
      <c r="K110" s="240"/>
      <c r="L110" s="240"/>
      <c r="M110" s="240"/>
      <c r="N110" s="240"/>
      <c r="O110" s="240"/>
      <c r="P110" s="240"/>
      <c r="Q110" s="240"/>
      <c r="R110" s="240"/>
      <c r="S110" s="269"/>
      <c r="T110" s="269"/>
      <c r="U110" s="269"/>
      <c r="V110" s="241"/>
      <c r="W110" s="6"/>
    </row>
    <row r="111" spans="1:24" ht="15.6">
      <c r="A111" s="321"/>
      <c r="B111" s="517" t="s">
        <v>41</v>
      </c>
      <c r="C111" s="322"/>
      <c r="D111" s="322"/>
      <c r="E111" s="322"/>
      <c r="F111" s="322"/>
      <c r="G111" s="322"/>
      <c r="H111" s="322"/>
      <c r="I111" s="322"/>
      <c r="J111" s="322"/>
      <c r="K111" s="322"/>
      <c r="L111" s="322"/>
      <c r="M111" s="322"/>
      <c r="N111" s="322"/>
      <c r="O111" s="322"/>
      <c r="P111" s="322"/>
      <c r="Q111" s="322"/>
      <c r="R111" s="322"/>
      <c r="S111" s="322"/>
      <c r="T111" s="322"/>
      <c r="U111" s="323"/>
      <c r="V111" s="324"/>
      <c r="W111" s="6"/>
    </row>
    <row r="112" spans="1:24" ht="15.6">
      <c r="A112" s="270"/>
      <c r="B112" s="271"/>
      <c r="C112" s="271"/>
      <c r="D112" s="271"/>
      <c r="E112" s="271"/>
      <c r="F112" s="271"/>
      <c r="G112" s="271"/>
      <c r="H112" s="271"/>
      <c r="I112" s="271"/>
      <c r="J112" s="271"/>
      <c r="K112" s="271"/>
      <c r="L112" s="271"/>
      <c r="M112" s="271"/>
      <c r="N112" s="271"/>
      <c r="O112" s="271"/>
      <c r="P112" s="271"/>
      <c r="Q112" s="271"/>
      <c r="R112" s="271"/>
      <c r="S112" s="271"/>
      <c r="T112" s="271"/>
      <c r="U112" s="272"/>
      <c r="V112" s="273"/>
      <c r="W112" s="6"/>
    </row>
    <row r="113" spans="1:23" ht="15.6">
      <c r="A113" s="242"/>
      <c r="B113" s="274" t="s">
        <v>42</v>
      </c>
      <c r="C113" s="252"/>
      <c r="D113" s="252"/>
      <c r="E113" s="252"/>
      <c r="F113" s="252"/>
      <c r="G113" s="252"/>
      <c r="H113" s="252"/>
      <c r="I113" s="252"/>
      <c r="J113" s="252"/>
      <c r="K113" s="252"/>
      <c r="L113" s="252"/>
      <c r="M113" s="244"/>
      <c r="N113" s="244"/>
      <c r="O113" s="244"/>
      <c r="P113" s="244"/>
      <c r="Q113" s="244"/>
      <c r="R113" s="244"/>
      <c r="S113" s="244"/>
      <c r="T113" s="244"/>
      <c r="U113" s="263"/>
      <c r="V113" s="245"/>
      <c r="W113" s="6"/>
    </row>
    <row r="114" spans="1:23" ht="15.6">
      <c r="A114" s="378"/>
      <c r="B114" s="379" t="s">
        <v>43</v>
      </c>
      <c r="C114" s="379"/>
      <c r="D114" s="379"/>
      <c r="E114" s="379"/>
      <c r="F114" s="379"/>
      <c r="G114" s="379"/>
      <c r="H114" s="379"/>
      <c r="I114" s="379"/>
      <c r="J114" s="379"/>
      <c r="K114" s="379"/>
      <c r="L114" s="379"/>
      <c r="M114" s="379"/>
      <c r="N114" s="379"/>
      <c r="O114" s="379"/>
      <c r="P114" s="379"/>
      <c r="Q114" s="379"/>
      <c r="R114" s="379"/>
      <c r="S114" s="379"/>
      <c r="T114" s="379"/>
      <c r="U114" s="441">
        <v>40500</v>
      </c>
      <c r="V114" s="410"/>
      <c r="W114" s="6"/>
    </row>
    <row r="115" spans="1:23" ht="15.6">
      <c r="A115" s="378"/>
      <c r="B115" s="379" t="s">
        <v>240</v>
      </c>
      <c r="C115" s="379"/>
      <c r="D115" s="379"/>
      <c r="E115" s="379"/>
      <c r="F115" s="379"/>
      <c r="G115" s="379"/>
      <c r="H115" s="379"/>
      <c r="I115" s="379"/>
      <c r="J115" s="379"/>
      <c r="K115" s="379"/>
      <c r="L115" s="379"/>
      <c r="M115" s="379"/>
      <c r="N115" s="379"/>
      <c r="O115" s="379"/>
      <c r="P115" s="379"/>
      <c r="Q115" s="379"/>
      <c r="R115" s="379"/>
      <c r="S115" s="379"/>
      <c r="T115" s="379"/>
      <c r="U115" s="441">
        <v>40500</v>
      </c>
      <c r="V115" s="410"/>
      <c r="W115" s="6"/>
    </row>
    <row r="116" spans="1:23" ht="15.6">
      <c r="A116" s="378"/>
      <c r="B116" s="379" t="s">
        <v>241</v>
      </c>
      <c r="C116" s="379"/>
      <c r="D116" s="379"/>
      <c r="E116" s="379"/>
      <c r="F116" s="379"/>
      <c r="G116" s="379"/>
      <c r="H116" s="379"/>
      <c r="I116" s="379"/>
      <c r="J116" s="379"/>
      <c r="K116" s="379"/>
      <c r="L116" s="379"/>
      <c r="M116" s="379"/>
      <c r="N116" s="379"/>
      <c r="O116" s="379"/>
      <c r="P116" s="379"/>
      <c r="Q116" s="379"/>
      <c r="R116" s="379"/>
      <c r="S116" s="379"/>
      <c r="T116" s="379"/>
      <c r="U116" s="441">
        <v>0</v>
      </c>
      <c r="V116" s="410"/>
      <c r="W116" s="6"/>
    </row>
    <row r="117" spans="1:23" ht="15.6">
      <c r="A117" s="378"/>
      <c r="B117" s="379" t="s">
        <v>209</v>
      </c>
      <c r="C117" s="379"/>
      <c r="D117" s="379"/>
      <c r="E117" s="379"/>
      <c r="F117" s="379"/>
      <c r="G117" s="379"/>
      <c r="H117" s="379"/>
      <c r="I117" s="379"/>
      <c r="J117" s="379"/>
      <c r="K117" s="379"/>
      <c r="L117" s="379"/>
      <c r="M117" s="379"/>
      <c r="N117" s="379"/>
      <c r="O117" s="379"/>
      <c r="P117" s="379"/>
      <c r="Q117" s="379"/>
      <c r="R117" s="379"/>
      <c r="S117" s="379"/>
      <c r="T117" s="379"/>
      <c r="U117" s="441">
        <v>0</v>
      </c>
      <c r="V117" s="410"/>
      <c r="W117" s="6"/>
    </row>
    <row r="118" spans="1:23" ht="15.6">
      <c r="A118" s="378"/>
      <c r="B118" s="379" t="s">
        <v>210</v>
      </c>
      <c r="C118" s="379"/>
      <c r="D118" s="379"/>
      <c r="E118" s="379"/>
      <c r="F118" s="379"/>
      <c r="G118" s="379"/>
      <c r="H118" s="379"/>
      <c r="I118" s="379"/>
      <c r="J118" s="379"/>
      <c r="K118" s="379"/>
      <c r="L118" s="379"/>
      <c r="M118" s="379"/>
      <c r="N118" s="379"/>
      <c r="O118" s="379"/>
      <c r="P118" s="379"/>
      <c r="Q118" s="379"/>
      <c r="R118" s="379"/>
      <c r="S118" s="379"/>
      <c r="T118" s="379"/>
      <c r="U118" s="441">
        <v>0</v>
      </c>
      <c r="V118" s="410"/>
      <c r="W118" s="6"/>
    </row>
    <row r="119" spans="1:23" ht="15.6">
      <c r="A119" s="378"/>
      <c r="B119" s="379" t="s">
        <v>211</v>
      </c>
      <c r="C119" s="379"/>
      <c r="D119" s="379"/>
      <c r="E119" s="379"/>
      <c r="F119" s="379"/>
      <c r="G119" s="379"/>
      <c r="H119" s="379"/>
      <c r="I119" s="379"/>
      <c r="J119" s="379"/>
      <c r="K119" s="379"/>
      <c r="L119" s="379"/>
      <c r="M119" s="379"/>
      <c r="N119" s="379"/>
      <c r="O119" s="379"/>
      <c r="P119" s="379"/>
      <c r="Q119" s="379"/>
      <c r="R119" s="379"/>
      <c r="S119" s="379"/>
      <c r="T119" s="379"/>
      <c r="U119" s="441">
        <v>0</v>
      </c>
      <c r="V119" s="410"/>
      <c r="W119" s="6"/>
    </row>
    <row r="120" spans="1:23" ht="15.6">
      <c r="A120" s="378"/>
      <c r="B120" s="379" t="s">
        <v>212</v>
      </c>
      <c r="C120" s="379"/>
      <c r="D120" s="379"/>
      <c r="E120" s="379"/>
      <c r="F120" s="379"/>
      <c r="G120" s="379"/>
      <c r="H120" s="379"/>
      <c r="I120" s="379"/>
      <c r="J120" s="379"/>
      <c r="K120" s="379"/>
      <c r="L120" s="379"/>
      <c r="M120" s="379"/>
      <c r="N120" s="379"/>
      <c r="O120" s="379"/>
      <c r="P120" s="379"/>
      <c r="Q120" s="379"/>
      <c r="R120" s="379"/>
      <c r="S120" s="379"/>
      <c r="T120" s="379"/>
      <c r="U120" s="441">
        <v>0</v>
      </c>
      <c r="V120" s="410"/>
      <c r="W120" s="6"/>
    </row>
    <row r="121" spans="1:23" ht="15.6">
      <c r="A121" s="378"/>
      <c r="B121" s="379" t="s">
        <v>242</v>
      </c>
      <c r="C121" s="379"/>
      <c r="D121" s="379"/>
      <c r="E121" s="379"/>
      <c r="F121" s="379"/>
      <c r="G121" s="379"/>
      <c r="H121" s="379"/>
      <c r="I121" s="379"/>
      <c r="J121" s="379"/>
      <c r="K121" s="379"/>
      <c r="L121" s="379"/>
      <c r="M121" s="379"/>
      <c r="N121" s="379"/>
      <c r="O121" s="379"/>
      <c r="P121" s="379"/>
      <c r="Q121" s="379"/>
      <c r="R121" s="379"/>
      <c r="S121" s="379"/>
      <c r="T121" s="379"/>
      <c r="U121" s="441">
        <v>0</v>
      </c>
      <c r="V121" s="410"/>
      <c r="W121" s="6"/>
    </row>
    <row r="122" spans="1:23" ht="15.6">
      <c r="A122" s="378"/>
      <c r="B122" s="379" t="s">
        <v>45</v>
      </c>
      <c r="C122" s="379"/>
      <c r="D122" s="379"/>
      <c r="E122" s="379"/>
      <c r="F122" s="379"/>
      <c r="G122" s="379"/>
      <c r="H122" s="379"/>
      <c r="I122" s="379"/>
      <c r="J122" s="379"/>
      <c r="K122" s="379"/>
      <c r="L122" s="379"/>
      <c r="M122" s="379"/>
      <c r="N122" s="379"/>
      <c r="O122" s="379"/>
      <c r="P122" s="379"/>
      <c r="Q122" s="379"/>
      <c r="R122" s="379"/>
      <c r="S122" s="379"/>
      <c r="T122" s="379"/>
      <c r="U122" s="441">
        <f>SUM(U115:U121)</f>
        <v>40500</v>
      </c>
      <c r="V122" s="410"/>
      <c r="W122" s="6"/>
    </row>
    <row r="123" spans="1:23" ht="15.6">
      <c r="A123" s="242"/>
      <c r="B123" s="438"/>
      <c r="C123" s="438"/>
      <c r="D123" s="438"/>
      <c r="E123" s="438"/>
      <c r="F123" s="438"/>
      <c r="G123" s="438"/>
      <c r="H123" s="438"/>
      <c r="I123" s="438"/>
      <c r="J123" s="438"/>
      <c r="K123" s="438"/>
      <c r="L123" s="438"/>
      <c r="M123" s="438"/>
      <c r="N123" s="438"/>
      <c r="O123" s="438"/>
      <c r="P123" s="438"/>
      <c r="Q123" s="438"/>
      <c r="R123" s="438"/>
      <c r="S123" s="438"/>
      <c r="T123" s="438"/>
      <c r="U123" s="448"/>
      <c r="V123" s="245"/>
      <c r="W123" s="6"/>
    </row>
    <row r="124" spans="1:23" ht="15.6">
      <c r="A124" s="242"/>
      <c r="B124" s="274" t="s">
        <v>46</v>
      </c>
      <c r="C124" s="252"/>
      <c r="D124" s="252"/>
      <c r="E124" s="252"/>
      <c r="F124" s="252"/>
      <c r="G124" s="252"/>
      <c r="H124" s="252"/>
      <c r="I124" s="252"/>
      <c r="J124" s="252"/>
      <c r="K124" s="252"/>
      <c r="L124" s="252"/>
      <c r="M124" s="244"/>
      <c r="N124" s="244"/>
      <c r="O124" s="244"/>
      <c r="P124" s="275"/>
      <c r="Q124" s="244"/>
      <c r="R124" s="244"/>
      <c r="S124" s="244"/>
      <c r="T124" s="244"/>
      <c r="U124" s="276"/>
      <c r="V124" s="245"/>
      <c r="W124" s="6"/>
    </row>
    <row r="125" spans="1:23" ht="15.6">
      <c r="A125" s="230"/>
      <c r="B125" s="511"/>
      <c r="C125" s="232" t="s">
        <v>185</v>
      </c>
      <c r="D125" s="232"/>
      <c r="E125" s="232" t="s">
        <v>99</v>
      </c>
      <c r="F125" s="232"/>
      <c r="G125" s="232" t="s">
        <v>102</v>
      </c>
      <c r="H125" s="232"/>
      <c r="I125" s="232" t="s">
        <v>108</v>
      </c>
      <c r="J125" s="232"/>
      <c r="K125" s="232"/>
      <c r="L125" s="232"/>
      <c r="M125" s="232"/>
      <c r="N125" s="232"/>
      <c r="O125" s="232"/>
      <c r="P125" s="326"/>
      <c r="Q125" s="326"/>
      <c r="R125" s="231"/>
      <c r="S125" s="231"/>
      <c r="T125" s="231"/>
      <c r="U125" s="309"/>
      <c r="V125" s="237"/>
      <c r="W125" s="6"/>
    </row>
    <row r="126" spans="1:23" ht="15.6">
      <c r="A126" s="257"/>
      <c r="B126" s="294" t="s">
        <v>122</v>
      </c>
      <c r="C126" s="310">
        <f>+N199-'March 11'!N199</f>
        <v>-35</v>
      </c>
      <c r="D126" s="294"/>
      <c r="E126" s="310">
        <f>+S199-'March 11'!S199</f>
        <v>42</v>
      </c>
      <c r="F126" s="294"/>
      <c r="G126" s="310">
        <f>+'June 11'!N212-'March 11'!N212</f>
        <v>527</v>
      </c>
      <c r="H126" s="294"/>
      <c r="I126" s="310">
        <f>+S212-'March 11'!S212</f>
        <v>38</v>
      </c>
      <c r="J126" s="294"/>
      <c r="K126" s="294"/>
      <c r="L126" s="294"/>
      <c r="M126" s="294"/>
      <c r="N126" s="294"/>
      <c r="O126" s="294"/>
      <c r="P126" s="325"/>
      <c r="Q126" s="325"/>
      <c r="R126" s="294"/>
      <c r="S126" s="294"/>
      <c r="T126" s="294"/>
      <c r="U126" s="311">
        <f>SUM(C126:I126)</f>
        <v>572</v>
      </c>
      <c r="V126" s="298"/>
      <c r="W126" s="6"/>
    </row>
    <row r="127" spans="1:23" ht="15.6">
      <c r="A127" s="378"/>
      <c r="B127" s="379" t="s">
        <v>47</v>
      </c>
      <c r="C127" s="379">
        <v>105</v>
      </c>
      <c r="D127" s="379"/>
      <c r="E127" s="379">
        <v>11</v>
      </c>
      <c r="F127" s="379"/>
      <c r="G127" s="379">
        <v>650</v>
      </c>
      <c r="H127" s="379"/>
      <c r="I127" s="440">
        <v>273</v>
      </c>
      <c r="J127" s="379"/>
      <c r="K127" s="379"/>
      <c r="L127" s="379"/>
      <c r="M127" s="379"/>
      <c r="N127" s="379"/>
      <c r="O127" s="379"/>
      <c r="P127" s="450"/>
      <c r="Q127" s="450"/>
      <c r="R127" s="379"/>
      <c r="S127" s="379"/>
      <c r="T127" s="379"/>
      <c r="U127" s="441">
        <f>SUM(C127:I127)</f>
        <v>1039</v>
      </c>
      <c r="V127" s="410"/>
      <c r="W127" s="6"/>
    </row>
    <row r="128" spans="1:23" ht="15.6">
      <c r="A128" s="242"/>
      <c r="B128" s="364" t="s">
        <v>48</v>
      </c>
      <c r="C128" s="364"/>
      <c r="D128" s="364"/>
      <c r="E128" s="364"/>
      <c r="F128" s="364"/>
      <c r="G128" s="364"/>
      <c r="H128" s="364"/>
      <c r="I128" s="364"/>
      <c r="J128" s="364"/>
      <c r="K128" s="364"/>
      <c r="L128" s="364"/>
      <c r="M128" s="364"/>
      <c r="N128" s="364"/>
      <c r="O128" s="364"/>
      <c r="P128" s="364"/>
      <c r="Q128" s="364"/>
      <c r="R128" s="364"/>
      <c r="S128" s="364"/>
      <c r="T128" s="364"/>
      <c r="U128" s="449">
        <f>SUM(U126:U127)</f>
        <v>1611</v>
      </c>
      <c r="V128" s="303"/>
      <c r="W128" s="6"/>
    </row>
    <row r="129" spans="1:25" ht="15.6">
      <c r="A129" s="242"/>
      <c r="B129" s="274" t="s">
        <v>49</v>
      </c>
      <c r="C129" s="252"/>
      <c r="D129" s="252"/>
      <c r="E129" s="252"/>
      <c r="F129" s="252"/>
      <c r="G129" s="252"/>
      <c r="H129" s="252"/>
      <c r="I129" s="252"/>
      <c r="J129" s="252"/>
      <c r="K129" s="252"/>
      <c r="L129" s="252"/>
      <c r="M129" s="244"/>
      <c r="N129" s="244"/>
      <c r="O129" s="244"/>
      <c r="P129" s="244"/>
      <c r="Q129" s="244"/>
      <c r="R129" s="244"/>
      <c r="S129" s="244"/>
      <c r="T129" s="244"/>
      <c r="U129" s="263"/>
      <c r="V129" s="245"/>
      <c r="W129" s="6"/>
    </row>
    <row r="130" spans="1:25" ht="15.6">
      <c r="A130" s="444"/>
      <c r="B130" s="379" t="s">
        <v>50</v>
      </c>
      <c r="C130" s="386"/>
      <c r="D130" s="386"/>
      <c r="E130" s="386"/>
      <c r="F130" s="386"/>
      <c r="G130" s="386"/>
      <c r="H130" s="386"/>
      <c r="I130" s="386"/>
      <c r="J130" s="386"/>
      <c r="K130" s="386"/>
      <c r="L130" s="386"/>
      <c r="M130" s="379"/>
      <c r="N130" s="379"/>
      <c r="O130" s="379"/>
      <c r="P130" s="379"/>
      <c r="Q130" s="379"/>
      <c r="R130" s="379"/>
      <c r="S130" s="379"/>
      <c r="T130" s="379"/>
      <c r="U130" s="441">
        <f>U75+U77</f>
        <v>202264</v>
      </c>
      <c r="V130" s="410"/>
      <c r="W130" s="6"/>
      <c r="X130" s="182"/>
    </row>
    <row r="131" spans="1:25" ht="15.6">
      <c r="A131" s="444"/>
      <c r="B131" s="379" t="s">
        <v>51</v>
      </c>
      <c r="C131" s="386"/>
      <c r="D131" s="386"/>
      <c r="E131" s="386"/>
      <c r="F131" s="386"/>
      <c r="G131" s="386"/>
      <c r="H131" s="386"/>
      <c r="I131" s="386"/>
      <c r="J131" s="386"/>
      <c r="K131" s="386"/>
      <c r="L131" s="386"/>
      <c r="M131" s="379"/>
      <c r="N131" s="379"/>
      <c r="O131" s="379"/>
      <c r="P131" s="379"/>
      <c r="Q131" s="379"/>
      <c r="R131" s="379"/>
      <c r="S131" s="379"/>
      <c r="T131" s="379"/>
      <c r="U131" s="441">
        <v>0</v>
      </c>
      <c r="V131" s="410"/>
      <c r="W131" s="6"/>
      <c r="Y131" s="182"/>
    </row>
    <row r="132" spans="1:25" ht="15.6">
      <c r="A132" s="444"/>
      <c r="B132" s="379" t="s">
        <v>52</v>
      </c>
      <c r="C132" s="386"/>
      <c r="D132" s="386"/>
      <c r="E132" s="386"/>
      <c r="F132" s="386"/>
      <c r="G132" s="386"/>
      <c r="H132" s="386"/>
      <c r="I132" s="386"/>
      <c r="J132" s="386"/>
      <c r="K132" s="386"/>
      <c r="L132" s="386"/>
      <c r="M132" s="379"/>
      <c r="N132" s="379"/>
      <c r="O132" s="379"/>
      <c r="P132" s="379"/>
      <c r="Q132" s="379"/>
      <c r="R132" s="379"/>
      <c r="S132" s="379"/>
      <c r="T132" s="379"/>
      <c r="U132" s="441">
        <f>+U130+U131</f>
        <v>202264</v>
      </c>
      <c r="V132" s="410"/>
      <c r="W132" s="6"/>
    </row>
    <row r="133" spans="1:25" ht="15.6">
      <c r="A133" s="444"/>
      <c r="B133" s="379" t="s">
        <v>53</v>
      </c>
      <c r="C133" s="386"/>
      <c r="D133" s="386"/>
      <c r="E133" s="386"/>
      <c r="F133" s="386"/>
      <c r="G133" s="386"/>
      <c r="H133" s="386"/>
      <c r="I133" s="386"/>
      <c r="J133" s="386"/>
      <c r="K133" s="386"/>
      <c r="L133" s="386"/>
      <c r="M133" s="379"/>
      <c r="N133" s="379"/>
      <c r="O133" s="379"/>
      <c r="P133" s="379"/>
      <c r="Q133" s="379"/>
      <c r="R133" s="379"/>
      <c r="S133" s="379"/>
      <c r="T133" s="379"/>
      <c r="U133" s="441">
        <f>U80</f>
        <v>202264</v>
      </c>
      <c r="V133" s="410"/>
      <c r="W133" s="6"/>
      <c r="X133" s="64"/>
    </row>
    <row r="134" spans="1:25" ht="15.6">
      <c r="A134" s="242"/>
      <c r="B134" s="438"/>
      <c r="C134" s="438"/>
      <c r="D134" s="438"/>
      <c r="E134" s="438"/>
      <c r="F134" s="438"/>
      <c r="G134" s="438"/>
      <c r="H134" s="438"/>
      <c r="I134" s="438"/>
      <c r="J134" s="438"/>
      <c r="K134" s="438"/>
      <c r="L134" s="438"/>
      <c r="M134" s="438"/>
      <c r="N134" s="438"/>
      <c r="O134" s="438"/>
      <c r="P134" s="438"/>
      <c r="Q134" s="438"/>
      <c r="R134" s="438"/>
      <c r="S134" s="438"/>
      <c r="T134" s="438"/>
      <c r="U134" s="451"/>
      <c r="V134" s="245"/>
      <c r="W134" s="6"/>
    </row>
    <row r="135" spans="1:25" ht="15.6">
      <c r="A135" s="242"/>
      <c r="B135" s="274" t="s">
        <v>54</v>
      </c>
      <c r="C135" s="247"/>
      <c r="D135" s="247"/>
      <c r="E135" s="247"/>
      <c r="F135" s="247"/>
      <c r="G135" s="247"/>
      <c r="H135" s="247"/>
      <c r="I135" s="247"/>
      <c r="J135" s="247"/>
      <c r="K135" s="247"/>
      <c r="L135" s="247"/>
      <c r="M135" s="247"/>
      <c r="N135" s="247"/>
      <c r="O135" s="247"/>
      <c r="P135" s="247"/>
      <c r="Q135" s="277" t="s">
        <v>112</v>
      </c>
      <c r="R135" s="278"/>
      <c r="S135" s="277" t="s">
        <v>114</v>
      </c>
      <c r="T135" s="247"/>
      <c r="U135" s="279" t="s">
        <v>90</v>
      </c>
      <c r="V135" s="245"/>
      <c r="W135" s="6"/>
    </row>
    <row r="136" spans="1:25" ht="15.6">
      <c r="A136" s="378"/>
      <c r="B136" s="379" t="s">
        <v>55</v>
      </c>
      <c r="C136" s="379"/>
      <c r="D136" s="379"/>
      <c r="E136" s="379"/>
      <c r="F136" s="379"/>
      <c r="G136" s="379"/>
      <c r="H136" s="379"/>
      <c r="I136" s="379"/>
      <c r="J136" s="379"/>
      <c r="K136" s="379"/>
      <c r="L136" s="379"/>
      <c r="M136" s="379"/>
      <c r="N136" s="379"/>
      <c r="O136" s="379"/>
      <c r="P136" s="379"/>
      <c r="Q136" s="441">
        <v>0</v>
      </c>
      <c r="R136" s="379"/>
      <c r="S136" s="453" t="s">
        <v>115</v>
      </c>
      <c r="T136" s="379"/>
      <c r="U136" s="441">
        <f>Q136</f>
        <v>0</v>
      </c>
      <c r="V136" s="385"/>
      <c r="W136" s="6"/>
    </row>
    <row r="137" spans="1:25" ht="15.6">
      <c r="A137" s="378"/>
      <c r="B137" s="379" t="s">
        <v>56</v>
      </c>
      <c r="C137" s="379"/>
      <c r="D137" s="379"/>
      <c r="E137" s="379"/>
      <c r="F137" s="379"/>
      <c r="G137" s="379"/>
      <c r="H137" s="379"/>
      <c r="I137" s="379"/>
      <c r="J137" s="379"/>
      <c r="K137" s="379"/>
      <c r="L137" s="379"/>
      <c r="M137" s="379"/>
      <c r="N137" s="379"/>
      <c r="O137" s="379"/>
      <c r="P137" s="379"/>
      <c r="Q137" s="441">
        <f>+'March 11'!Q139</f>
        <v>4229</v>
      </c>
      <c r="R137" s="379"/>
      <c r="S137" s="453" t="s">
        <v>115</v>
      </c>
      <c r="T137" s="379"/>
      <c r="U137" s="441">
        <f>Q137</f>
        <v>4229</v>
      </c>
      <c r="V137" s="385"/>
      <c r="W137" s="6"/>
    </row>
    <row r="138" spans="1:25" ht="15.6">
      <c r="A138" s="378"/>
      <c r="B138" s="379" t="s">
        <v>57</v>
      </c>
      <c r="C138" s="379"/>
      <c r="D138" s="379"/>
      <c r="E138" s="379"/>
      <c r="F138" s="379"/>
      <c r="G138" s="379"/>
      <c r="H138" s="379"/>
      <c r="I138" s="379"/>
      <c r="J138" s="379"/>
      <c r="K138" s="379"/>
      <c r="L138" s="379"/>
      <c r="M138" s="379"/>
      <c r="N138" s="379"/>
      <c r="O138" s="379"/>
      <c r="P138" s="379"/>
      <c r="Q138" s="441">
        <v>0</v>
      </c>
      <c r="R138" s="379"/>
      <c r="S138" s="453" t="s">
        <v>115</v>
      </c>
      <c r="T138" s="379"/>
      <c r="U138" s="441">
        <f>Q138</f>
        <v>0</v>
      </c>
      <c r="V138" s="385"/>
      <c r="W138" s="6"/>
    </row>
    <row r="139" spans="1:25" ht="15.6">
      <c r="A139" s="378"/>
      <c r="B139" s="379" t="s">
        <v>58</v>
      </c>
      <c r="C139" s="379"/>
      <c r="D139" s="379"/>
      <c r="E139" s="379"/>
      <c r="F139" s="379"/>
      <c r="G139" s="379"/>
      <c r="H139" s="379"/>
      <c r="I139" s="379"/>
      <c r="J139" s="379"/>
      <c r="K139" s="379"/>
      <c r="L139" s="379"/>
      <c r="M139" s="379"/>
      <c r="N139" s="379"/>
      <c r="O139" s="379"/>
      <c r="P139" s="379"/>
      <c r="Q139" s="441">
        <f>SUM(Q137:Q138)</f>
        <v>4229</v>
      </c>
      <c r="R139" s="379"/>
      <c r="S139" s="453" t="s">
        <v>115</v>
      </c>
      <c r="T139" s="379"/>
      <c r="U139" s="441">
        <f>Q139</f>
        <v>4229</v>
      </c>
      <c r="V139" s="385"/>
      <c r="W139" s="6"/>
    </row>
    <row r="140" spans="1:25" ht="15.6">
      <c r="A140" s="378"/>
      <c r="B140" s="379" t="s">
        <v>215</v>
      </c>
      <c r="C140" s="379"/>
      <c r="D140" s="379"/>
      <c r="E140" s="379"/>
      <c r="F140" s="379"/>
      <c r="G140" s="379"/>
      <c r="H140" s="379"/>
      <c r="I140" s="379"/>
      <c r="J140" s="379"/>
      <c r="K140" s="379"/>
      <c r="L140" s="379"/>
      <c r="M140" s="379"/>
      <c r="N140" s="379"/>
      <c r="O140" s="379"/>
      <c r="P140" s="379"/>
      <c r="Q140" s="441"/>
      <c r="R140" s="379"/>
      <c r="S140" s="453"/>
      <c r="T140" s="379"/>
      <c r="U140" s="441"/>
      <c r="V140" s="385"/>
      <c r="W140" s="6"/>
    </row>
    <row r="141" spans="1:25" ht="15.6">
      <c r="A141" s="378"/>
      <c r="B141" s="454"/>
      <c r="C141" s="454"/>
      <c r="D141" s="454"/>
      <c r="E141" s="454"/>
      <c r="F141" s="454"/>
      <c r="G141" s="454"/>
      <c r="H141" s="454"/>
      <c r="I141" s="454"/>
      <c r="J141" s="454"/>
      <c r="K141" s="454"/>
      <c r="L141" s="454"/>
      <c r="M141" s="454"/>
      <c r="N141" s="454"/>
      <c r="O141" s="454"/>
      <c r="P141" s="454"/>
      <c r="Q141" s="454"/>
      <c r="R141" s="454"/>
      <c r="S141" s="454"/>
      <c r="T141" s="454"/>
      <c r="U141" s="454"/>
      <c r="V141" s="385"/>
      <c r="W141" s="6"/>
    </row>
    <row r="142" spans="1:25" ht="15.6">
      <c r="A142" s="242"/>
      <c r="B142" s="452"/>
      <c r="C142" s="452"/>
      <c r="D142" s="452"/>
      <c r="E142" s="452"/>
      <c r="F142" s="452"/>
      <c r="G142" s="452"/>
      <c r="H142" s="452"/>
      <c r="I142" s="452"/>
      <c r="J142" s="452"/>
      <c r="K142" s="452"/>
      <c r="L142" s="452"/>
      <c r="M142" s="452"/>
      <c r="N142" s="452"/>
      <c r="O142" s="452"/>
      <c r="P142" s="452"/>
      <c r="Q142" s="452"/>
      <c r="R142" s="452"/>
      <c r="S142" s="452"/>
      <c r="T142" s="452"/>
      <c r="U142" s="452"/>
      <c r="V142" s="284"/>
      <c r="W142" s="6"/>
    </row>
    <row r="143" spans="1:25" ht="15.6">
      <c r="A143" s="230"/>
      <c r="B143" s="511" t="s">
        <v>59</v>
      </c>
      <c r="C143" s="518"/>
      <c r="D143" s="518"/>
      <c r="E143" s="518"/>
      <c r="F143" s="518"/>
      <c r="G143" s="518"/>
      <c r="H143" s="518"/>
      <c r="I143" s="518"/>
      <c r="J143" s="518"/>
      <c r="K143" s="518"/>
      <c r="L143" s="518"/>
      <c r="M143" s="518"/>
      <c r="N143" s="518"/>
      <c r="O143" s="518"/>
      <c r="P143" s="519"/>
      <c r="Q143" s="519"/>
      <c r="R143" s="519"/>
      <c r="S143" s="519">
        <v>40724</v>
      </c>
      <c r="T143" s="231"/>
      <c r="U143" s="231"/>
      <c r="V143" s="237"/>
      <c r="W143" s="6"/>
    </row>
    <row r="144" spans="1:25" ht="15.6">
      <c r="A144" s="281"/>
      <c r="B144" s="294" t="s">
        <v>60</v>
      </c>
      <c r="C144" s="329"/>
      <c r="D144" s="329"/>
      <c r="E144" s="329"/>
      <c r="F144" s="329"/>
      <c r="G144" s="329"/>
      <c r="H144" s="329"/>
      <c r="I144" s="329"/>
      <c r="J144" s="329"/>
      <c r="K144" s="329"/>
      <c r="L144" s="329"/>
      <c r="M144" s="329"/>
      <c r="N144" s="329"/>
      <c r="O144" s="329"/>
      <c r="P144" s="300"/>
      <c r="Q144" s="300"/>
      <c r="R144" s="300"/>
      <c r="S144" s="299">
        <v>0.10630000000000001</v>
      </c>
      <c r="T144" s="294"/>
      <c r="U144" s="294"/>
      <c r="V144" s="260"/>
      <c r="W144" s="6"/>
    </row>
    <row r="145" spans="1:23" ht="15.6">
      <c r="A145" s="458"/>
      <c r="B145" s="379" t="s">
        <v>61</v>
      </c>
      <c r="C145" s="459"/>
      <c r="D145" s="459"/>
      <c r="E145" s="459"/>
      <c r="F145" s="459"/>
      <c r="G145" s="459"/>
      <c r="H145" s="459"/>
      <c r="I145" s="459"/>
      <c r="J145" s="459"/>
      <c r="K145" s="459"/>
      <c r="L145" s="459"/>
      <c r="M145" s="459"/>
      <c r="N145" s="459"/>
      <c r="O145" s="459"/>
      <c r="P145" s="433"/>
      <c r="Q145" s="433"/>
      <c r="R145" s="433"/>
      <c r="S145" s="427">
        <v>5.2200000000000003E-2</v>
      </c>
      <c r="T145" s="427"/>
      <c r="U145" s="379"/>
      <c r="V145" s="385"/>
      <c r="W145" s="6"/>
    </row>
    <row r="146" spans="1:23" ht="15.6">
      <c r="A146" s="458"/>
      <c r="B146" s="379" t="s">
        <v>62</v>
      </c>
      <c r="C146" s="459"/>
      <c r="D146" s="459"/>
      <c r="E146" s="459"/>
      <c r="F146" s="459"/>
      <c r="G146" s="459"/>
      <c r="H146" s="459"/>
      <c r="I146" s="459"/>
      <c r="J146" s="459"/>
      <c r="K146" s="459"/>
      <c r="L146" s="459"/>
      <c r="M146" s="459"/>
      <c r="N146" s="459"/>
      <c r="O146" s="459"/>
      <c r="P146" s="433"/>
      <c r="Q146" s="433"/>
      <c r="R146" s="433"/>
      <c r="S146" s="427">
        <f>S144-S145</f>
        <v>5.4100000000000002E-2</v>
      </c>
      <c r="T146" s="379"/>
      <c r="U146" s="379"/>
      <c r="V146" s="385"/>
      <c r="W146" s="6"/>
    </row>
    <row r="147" spans="1:23" ht="15.6">
      <c r="A147" s="458"/>
      <c r="B147" s="379" t="s">
        <v>63</v>
      </c>
      <c r="C147" s="459"/>
      <c r="D147" s="459"/>
      <c r="E147" s="459"/>
      <c r="F147" s="459"/>
      <c r="G147" s="459"/>
      <c r="H147" s="459"/>
      <c r="I147" s="459"/>
      <c r="J147" s="459"/>
      <c r="K147" s="459"/>
      <c r="L147" s="459"/>
      <c r="M147" s="459"/>
      <c r="N147" s="459"/>
      <c r="O147" s="459"/>
      <c r="P147" s="433"/>
      <c r="Q147" s="433"/>
      <c r="R147" s="433"/>
      <c r="S147" s="427">
        <v>9.2100000000000001E-2</v>
      </c>
      <c r="T147" s="379"/>
      <c r="U147" s="379"/>
      <c r="V147" s="385"/>
      <c r="W147" s="6"/>
    </row>
    <row r="148" spans="1:23" ht="15.6">
      <c r="A148" s="458"/>
      <c r="B148" s="379" t="s">
        <v>64</v>
      </c>
      <c r="C148" s="459"/>
      <c r="D148" s="459"/>
      <c r="E148" s="459"/>
      <c r="F148" s="459"/>
      <c r="G148" s="459"/>
      <c r="H148" s="459"/>
      <c r="I148" s="459"/>
      <c r="J148" s="459"/>
      <c r="K148" s="459"/>
      <c r="L148" s="459"/>
      <c r="M148" s="459"/>
      <c r="N148" s="459"/>
      <c r="O148" s="459"/>
      <c r="P148" s="433"/>
      <c r="Q148" s="433"/>
      <c r="R148" s="433"/>
      <c r="S148" s="427">
        <f>+U40</f>
        <v>1.7630081724693505E-2</v>
      </c>
      <c r="T148" s="379"/>
      <c r="U148" s="379"/>
      <c r="V148" s="385"/>
      <c r="W148" s="6"/>
    </row>
    <row r="149" spans="1:23" ht="15.6">
      <c r="A149" s="458"/>
      <c r="B149" s="379" t="s">
        <v>65</v>
      </c>
      <c r="C149" s="459"/>
      <c r="D149" s="459"/>
      <c r="E149" s="459"/>
      <c r="F149" s="459"/>
      <c r="G149" s="459"/>
      <c r="H149" s="459"/>
      <c r="I149" s="459"/>
      <c r="J149" s="459"/>
      <c r="K149" s="459"/>
      <c r="L149" s="459"/>
      <c r="M149" s="459"/>
      <c r="N149" s="459"/>
      <c r="O149" s="459"/>
      <c r="P149" s="433"/>
      <c r="Q149" s="433"/>
      <c r="R149" s="433"/>
      <c r="S149" s="427">
        <f>S147-S148</f>
        <v>7.4469918275306496E-2</v>
      </c>
      <c r="T149" s="379"/>
      <c r="U149" s="379"/>
      <c r="V149" s="385"/>
      <c r="W149" s="6"/>
    </row>
    <row r="150" spans="1:23" ht="15.6">
      <c r="A150" s="458"/>
      <c r="B150" s="379" t="s">
        <v>204</v>
      </c>
      <c r="C150" s="459"/>
      <c r="D150" s="459"/>
      <c r="E150" s="459"/>
      <c r="F150" s="459"/>
      <c r="G150" s="459"/>
      <c r="H150" s="459"/>
      <c r="I150" s="459"/>
      <c r="J150" s="459"/>
      <c r="K150" s="459"/>
      <c r="L150" s="459"/>
      <c r="M150" s="459"/>
      <c r="N150" s="459"/>
      <c r="O150" s="459"/>
      <c r="P150" s="433"/>
      <c r="Q150" s="433"/>
      <c r="R150" s="433"/>
      <c r="S150" s="429">
        <v>49780</v>
      </c>
      <c r="T150" s="379"/>
      <c r="U150" s="379"/>
      <c r="V150" s="385"/>
      <c r="W150" s="6"/>
    </row>
    <row r="151" spans="1:23" ht="15.6">
      <c r="A151" s="458"/>
      <c r="B151" s="379" t="s">
        <v>205</v>
      </c>
      <c r="C151" s="459"/>
      <c r="D151" s="459"/>
      <c r="E151" s="459"/>
      <c r="F151" s="459"/>
      <c r="G151" s="459"/>
      <c r="H151" s="459"/>
      <c r="I151" s="459"/>
      <c r="J151" s="459"/>
      <c r="K151" s="459"/>
      <c r="L151" s="459"/>
      <c r="M151" s="459"/>
      <c r="N151" s="459"/>
      <c r="O151" s="459"/>
      <c r="P151" s="433"/>
      <c r="Q151" s="433"/>
      <c r="R151" s="433"/>
      <c r="S151" s="429">
        <v>49780</v>
      </c>
      <c r="T151" s="379"/>
      <c r="U151" s="379"/>
      <c r="V151" s="385"/>
      <c r="W151" s="6"/>
    </row>
    <row r="152" spans="1:23" ht="15.6">
      <c r="A152" s="458"/>
      <c r="B152" s="379" t="s">
        <v>206</v>
      </c>
      <c r="C152" s="459"/>
      <c r="D152" s="459"/>
      <c r="E152" s="459"/>
      <c r="F152" s="459"/>
      <c r="G152" s="459"/>
      <c r="H152" s="459"/>
      <c r="I152" s="459"/>
      <c r="J152" s="459"/>
      <c r="K152" s="459"/>
      <c r="L152" s="459"/>
      <c r="M152" s="459"/>
      <c r="N152" s="459"/>
      <c r="O152" s="459"/>
      <c r="P152" s="433"/>
      <c r="Q152" s="433"/>
      <c r="R152" s="433"/>
      <c r="S152" s="429">
        <v>49780</v>
      </c>
      <c r="T152" s="379"/>
      <c r="U152" s="379"/>
      <c r="V152" s="385"/>
      <c r="W152" s="6"/>
    </row>
    <row r="153" spans="1:23" ht="15.6">
      <c r="A153" s="458"/>
      <c r="B153" s="379" t="s">
        <v>207</v>
      </c>
      <c r="C153" s="459"/>
      <c r="D153" s="459"/>
      <c r="E153" s="459"/>
      <c r="F153" s="459"/>
      <c r="G153" s="459"/>
      <c r="H153" s="459"/>
      <c r="I153" s="459"/>
      <c r="J153" s="459"/>
      <c r="K153" s="459"/>
      <c r="L153" s="459"/>
      <c r="M153" s="459"/>
      <c r="N153" s="459"/>
      <c r="O153" s="459"/>
      <c r="P153" s="433"/>
      <c r="Q153" s="433"/>
      <c r="R153" s="433"/>
      <c r="S153" s="429">
        <v>49780</v>
      </c>
      <c r="T153" s="379"/>
      <c r="U153" s="379"/>
      <c r="V153" s="385"/>
      <c r="W153" s="6"/>
    </row>
    <row r="154" spans="1:23" ht="15.6">
      <c r="A154" s="458"/>
      <c r="B154" s="379" t="s">
        <v>221</v>
      </c>
      <c r="C154" s="459"/>
      <c r="D154" s="459"/>
      <c r="E154" s="459"/>
      <c r="F154" s="459"/>
      <c r="G154" s="459"/>
      <c r="H154" s="459"/>
      <c r="I154" s="459"/>
      <c r="J154" s="459"/>
      <c r="K154" s="459"/>
      <c r="L154" s="459"/>
      <c r="M154" s="459"/>
      <c r="N154" s="459"/>
      <c r="O154" s="459"/>
      <c r="P154" s="433"/>
      <c r="Q154" s="433"/>
      <c r="R154" s="433"/>
      <c r="S154" s="432">
        <v>111.34</v>
      </c>
      <c r="T154" s="379"/>
      <c r="U154" s="379"/>
      <c r="V154" s="385"/>
      <c r="W154" s="6"/>
    </row>
    <row r="155" spans="1:23" ht="15.6">
      <c r="A155" s="458"/>
      <c r="B155" s="379" t="s">
        <v>222</v>
      </c>
      <c r="C155" s="459"/>
      <c r="D155" s="459"/>
      <c r="E155" s="459"/>
      <c r="F155" s="459"/>
      <c r="G155" s="459"/>
      <c r="H155" s="459"/>
      <c r="I155" s="459"/>
      <c r="J155" s="459"/>
      <c r="K155" s="459"/>
      <c r="L155" s="459"/>
      <c r="M155" s="459"/>
      <c r="N155" s="459"/>
      <c r="O155" s="459"/>
      <c r="P155" s="433"/>
      <c r="Q155" s="433"/>
      <c r="R155" s="433"/>
      <c r="S155" s="432">
        <v>156.76</v>
      </c>
      <c r="T155" s="379"/>
      <c r="U155" s="379"/>
      <c r="V155" s="385"/>
      <c r="W155" s="6"/>
    </row>
    <row r="156" spans="1:23" ht="15.6">
      <c r="A156" s="458" t="s">
        <v>223</v>
      </c>
      <c r="B156" s="379" t="s">
        <v>66</v>
      </c>
      <c r="C156" s="459"/>
      <c r="D156" s="459"/>
      <c r="E156" s="459"/>
      <c r="F156" s="459"/>
      <c r="G156" s="459"/>
      <c r="H156" s="459"/>
      <c r="I156" s="459"/>
      <c r="J156" s="459"/>
      <c r="K156" s="459"/>
      <c r="L156" s="459"/>
      <c r="M156" s="459"/>
      <c r="N156" s="459"/>
      <c r="O156" s="459"/>
      <c r="P156" s="433"/>
      <c r="Q156" s="433"/>
      <c r="R156" s="433"/>
      <c r="S156" s="427">
        <v>5.1700000000000003E-2</v>
      </c>
      <c r="T156" s="379"/>
      <c r="U156" s="379"/>
      <c r="V156" s="385"/>
      <c r="W156" s="6"/>
    </row>
    <row r="157" spans="1:23" ht="15.6">
      <c r="A157" s="458"/>
      <c r="B157" s="379" t="s">
        <v>67</v>
      </c>
      <c r="C157" s="459"/>
      <c r="D157" s="459"/>
      <c r="E157" s="459"/>
      <c r="F157" s="459"/>
      <c r="G157" s="459"/>
      <c r="H157" s="459"/>
      <c r="I157" s="459"/>
      <c r="J157" s="459"/>
      <c r="K157" s="459"/>
      <c r="L157" s="459"/>
      <c r="M157" s="459"/>
      <c r="N157" s="459"/>
      <c r="O157" s="459"/>
      <c r="P157" s="433"/>
      <c r="Q157" s="433"/>
      <c r="R157" s="433"/>
      <c r="S157" s="427">
        <v>0.32140000000000002</v>
      </c>
      <c r="T157" s="379"/>
      <c r="U157" s="379"/>
      <c r="V157" s="385"/>
      <c r="W157" s="6"/>
    </row>
    <row r="158" spans="1:23" ht="15.6">
      <c r="A158" s="280"/>
      <c r="B158" s="364"/>
      <c r="C158" s="364"/>
      <c r="D158" s="364"/>
      <c r="E158" s="364"/>
      <c r="F158" s="364"/>
      <c r="G158" s="364"/>
      <c r="H158" s="364"/>
      <c r="I158" s="364"/>
      <c r="J158" s="364"/>
      <c r="K158" s="364"/>
      <c r="L158" s="364"/>
      <c r="M158" s="364"/>
      <c r="N158" s="364"/>
      <c r="O158" s="364"/>
      <c r="P158" s="364"/>
      <c r="Q158" s="364"/>
      <c r="R158" s="455"/>
      <c r="S158" s="456"/>
      <c r="T158" s="364"/>
      <c r="U158" s="457"/>
      <c r="V158" s="245"/>
      <c r="W158" s="6"/>
    </row>
    <row r="159" spans="1:23" ht="15.6">
      <c r="A159" s="280"/>
      <c r="B159" s="288"/>
      <c r="C159" s="288"/>
      <c r="D159" s="288"/>
      <c r="E159" s="288"/>
      <c r="F159" s="288"/>
      <c r="G159" s="288"/>
      <c r="H159" s="288"/>
      <c r="I159" s="288"/>
      <c r="J159" s="288"/>
      <c r="K159" s="288"/>
      <c r="L159" s="288"/>
      <c r="M159" s="288"/>
      <c r="N159" s="288"/>
      <c r="O159" s="288"/>
      <c r="P159" s="288"/>
      <c r="Q159" s="288"/>
      <c r="R159" s="331"/>
      <c r="S159" s="332"/>
      <c r="T159" s="288"/>
      <c r="U159" s="333"/>
      <c r="V159" s="245"/>
      <c r="W159" s="6"/>
    </row>
    <row r="160" spans="1:23" ht="16.2" thickBot="1">
      <c r="A160" s="282"/>
      <c r="B160" s="304" t="str">
        <f>+B109</f>
        <v>PPAF3 INVESTOR REPORT QUARTER ENDING JUNE 2011</v>
      </c>
      <c r="C160" s="305"/>
      <c r="D160" s="305"/>
      <c r="E160" s="305"/>
      <c r="F160" s="305"/>
      <c r="G160" s="305"/>
      <c r="H160" s="305"/>
      <c r="I160" s="305"/>
      <c r="J160" s="305"/>
      <c r="K160" s="305"/>
      <c r="L160" s="305"/>
      <c r="M160" s="305"/>
      <c r="N160" s="305"/>
      <c r="O160" s="305"/>
      <c r="P160" s="305"/>
      <c r="Q160" s="305"/>
      <c r="R160" s="334"/>
      <c r="S160" s="335"/>
      <c r="T160" s="305"/>
      <c r="U160" s="336"/>
      <c r="V160" s="262"/>
      <c r="W160" s="6"/>
    </row>
    <row r="161" spans="1:23" ht="15.6">
      <c r="A161" s="337"/>
      <c r="B161" s="520" t="s">
        <v>68</v>
      </c>
      <c r="C161" s="521"/>
      <c r="D161" s="521"/>
      <c r="E161" s="521"/>
      <c r="F161" s="521"/>
      <c r="G161" s="521"/>
      <c r="H161" s="521"/>
      <c r="I161" s="521"/>
      <c r="J161" s="521"/>
      <c r="K161" s="521"/>
      <c r="L161" s="521"/>
      <c r="M161" s="522"/>
      <c r="N161" s="521"/>
      <c r="O161" s="522"/>
      <c r="P161" s="521"/>
      <c r="Q161" s="522"/>
      <c r="R161" s="521" t="s">
        <v>94</v>
      </c>
      <c r="S161" s="522" t="s">
        <v>116</v>
      </c>
      <c r="T161" s="340"/>
      <c r="U161" s="340"/>
      <c r="V161" s="341"/>
      <c r="W161" s="6"/>
    </row>
    <row r="162" spans="1:23" ht="15.6">
      <c r="A162" s="283"/>
      <c r="B162" s="294" t="s">
        <v>216</v>
      </c>
      <c r="C162" s="310"/>
      <c r="D162" s="310"/>
      <c r="E162" s="310"/>
      <c r="F162" s="310"/>
      <c r="G162" s="310"/>
      <c r="H162" s="310"/>
      <c r="I162" s="310"/>
      <c r="J162" s="310"/>
      <c r="K162" s="310"/>
      <c r="L162" s="310"/>
      <c r="M162" s="310"/>
      <c r="N162" s="310"/>
      <c r="O162" s="294"/>
      <c r="P162" s="294"/>
      <c r="Q162" s="294"/>
      <c r="R162" s="310">
        <v>916</v>
      </c>
      <c r="S162" s="311">
        <v>25412</v>
      </c>
      <c r="T162" s="311"/>
      <c r="U162" s="330"/>
      <c r="V162" s="342"/>
      <c r="W162" s="6"/>
    </row>
    <row r="163" spans="1:23" ht="15.6">
      <c r="A163" s="465"/>
      <c r="B163" s="379" t="s">
        <v>217</v>
      </c>
      <c r="C163" s="440"/>
      <c r="D163" s="440"/>
      <c r="E163" s="440"/>
      <c r="F163" s="440"/>
      <c r="G163" s="440"/>
      <c r="H163" s="440"/>
      <c r="I163" s="440"/>
      <c r="J163" s="440"/>
      <c r="K163" s="440"/>
      <c r="L163" s="440"/>
      <c r="M163" s="440"/>
      <c r="N163" s="440"/>
      <c r="O163" s="379"/>
      <c r="P163" s="379"/>
      <c r="Q163" s="379"/>
      <c r="R163" s="379">
        <v>33</v>
      </c>
      <c r="S163" s="441">
        <v>304</v>
      </c>
      <c r="T163" s="441"/>
      <c r="U163" s="466"/>
      <c r="V163" s="467"/>
      <c r="W163" s="6"/>
    </row>
    <row r="164" spans="1:23" ht="15.6">
      <c r="A164" s="465"/>
      <c r="B164" s="379" t="s">
        <v>218</v>
      </c>
      <c r="C164" s="440"/>
      <c r="D164" s="440"/>
      <c r="E164" s="440"/>
      <c r="F164" s="440"/>
      <c r="G164" s="440"/>
      <c r="H164" s="440"/>
      <c r="I164" s="440"/>
      <c r="J164" s="440"/>
      <c r="K164" s="440"/>
      <c r="L164" s="440"/>
      <c r="M164" s="440"/>
      <c r="N164" s="440"/>
      <c r="O164" s="379"/>
      <c r="P164" s="379"/>
      <c r="Q164" s="379"/>
      <c r="R164" s="379">
        <v>168</v>
      </c>
      <c r="S164" s="441">
        <v>162</v>
      </c>
      <c r="T164" s="441"/>
      <c r="U164" s="466"/>
      <c r="V164" s="467"/>
      <c r="W164" s="6"/>
    </row>
    <row r="165" spans="1:23" ht="15.6">
      <c r="A165" s="465"/>
      <c r="B165" s="379" t="s">
        <v>219</v>
      </c>
      <c r="C165" s="440"/>
      <c r="D165" s="440"/>
      <c r="E165" s="440"/>
      <c r="F165" s="440"/>
      <c r="G165" s="440"/>
      <c r="H165" s="440"/>
      <c r="I165" s="440"/>
      <c r="J165" s="440"/>
      <c r="K165" s="440"/>
      <c r="L165" s="440"/>
      <c r="M165" s="440"/>
      <c r="N165" s="440"/>
      <c r="O165" s="379"/>
      <c r="P165" s="379"/>
      <c r="Q165" s="379"/>
      <c r="R165" s="379">
        <v>146</v>
      </c>
      <c r="S165" s="441">
        <v>409</v>
      </c>
      <c r="T165" s="441"/>
      <c r="U165" s="466"/>
      <c r="V165" s="467"/>
      <c r="W165" s="6"/>
    </row>
    <row r="166" spans="1:23" ht="15.6">
      <c r="A166" s="465"/>
      <c r="B166" s="379" t="s">
        <v>90</v>
      </c>
      <c r="C166" s="440"/>
      <c r="D166" s="440"/>
      <c r="E166" s="440"/>
      <c r="F166" s="440"/>
      <c r="G166" s="440"/>
      <c r="H166" s="440"/>
      <c r="I166" s="440"/>
      <c r="J166" s="440"/>
      <c r="K166" s="440"/>
      <c r="L166" s="440"/>
      <c r="M166" s="440"/>
      <c r="N166" s="440"/>
      <c r="O166" s="379"/>
      <c r="P166" s="379"/>
      <c r="Q166" s="379"/>
      <c r="R166" s="440">
        <f>SUM(R162:R165)</f>
        <v>1263</v>
      </c>
      <c r="S166" s="441">
        <f>SUM(S162:S165)</f>
        <v>26287</v>
      </c>
      <c r="T166" s="441"/>
      <c r="U166" s="466"/>
      <c r="V166" s="467"/>
      <c r="W166" s="6"/>
    </row>
    <row r="167" spans="1:23" ht="15.6">
      <c r="A167" s="465"/>
      <c r="B167" s="379"/>
      <c r="C167" s="440"/>
      <c r="D167" s="440"/>
      <c r="E167" s="440"/>
      <c r="F167" s="440"/>
      <c r="G167" s="440"/>
      <c r="H167" s="440"/>
      <c r="I167" s="440"/>
      <c r="J167" s="440"/>
      <c r="K167" s="440"/>
      <c r="L167" s="440"/>
      <c r="M167" s="440"/>
      <c r="N167" s="440"/>
      <c r="O167" s="379"/>
      <c r="P167" s="379"/>
      <c r="Q167" s="379"/>
      <c r="R167" s="379"/>
      <c r="S167" s="441"/>
      <c r="T167" s="441"/>
      <c r="U167" s="466"/>
      <c r="V167" s="467"/>
      <c r="W167" s="6"/>
    </row>
    <row r="168" spans="1:23" ht="15.6">
      <c r="A168" s="465"/>
      <c r="B168" s="379" t="s">
        <v>220</v>
      </c>
      <c r="C168" s="440"/>
      <c r="D168" s="440"/>
      <c r="E168" s="440"/>
      <c r="F168" s="440"/>
      <c r="G168" s="440"/>
      <c r="H168" s="440"/>
      <c r="I168" s="440"/>
      <c r="J168" s="440"/>
      <c r="K168" s="440"/>
      <c r="L168" s="440"/>
      <c r="M168" s="440"/>
      <c r="N168" s="440"/>
      <c r="O168" s="379"/>
      <c r="P168" s="379"/>
      <c r="Q168" s="379"/>
      <c r="R168" s="379">
        <v>4</v>
      </c>
      <c r="S168" s="441">
        <v>38</v>
      </c>
      <c r="T168" s="441"/>
      <c r="U168" s="466"/>
      <c r="V168" s="467"/>
      <c r="W168" s="6"/>
    </row>
    <row r="169" spans="1:23" ht="15.6">
      <c r="A169" s="465"/>
      <c r="B169" s="379" t="s">
        <v>224</v>
      </c>
      <c r="C169" s="440"/>
      <c r="D169" s="440"/>
      <c r="E169" s="440"/>
      <c r="F169" s="440"/>
      <c r="G169" s="440"/>
      <c r="H169" s="440"/>
      <c r="I169" s="440"/>
      <c r="J169" s="440"/>
      <c r="K169" s="440"/>
      <c r="L169" s="440"/>
      <c r="M169" s="440"/>
      <c r="N169" s="440"/>
      <c r="O169" s="379"/>
      <c r="P169" s="379"/>
      <c r="Q169" s="379"/>
      <c r="R169" s="379">
        <v>8</v>
      </c>
      <c r="S169" s="441">
        <v>237</v>
      </c>
      <c r="T169" s="441"/>
      <c r="U169" s="466"/>
      <c r="V169" s="467"/>
      <c r="W169" s="6"/>
    </row>
    <row r="170" spans="1:23" ht="15.6">
      <c r="A170" s="465"/>
      <c r="B170" s="468" t="s">
        <v>69</v>
      </c>
      <c r="C170" s="469"/>
      <c r="D170" s="469"/>
      <c r="E170" s="469"/>
      <c r="F170" s="469"/>
      <c r="G170" s="469"/>
      <c r="H170" s="469"/>
      <c r="I170" s="469"/>
      <c r="J170" s="469"/>
      <c r="K170" s="469"/>
      <c r="L170" s="469"/>
      <c r="M170" s="469"/>
      <c r="N170" s="469"/>
      <c r="O170" s="454"/>
      <c r="P170" s="454"/>
      <c r="Q170" s="454"/>
      <c r="R170" s="379"/>
      <c r="S170" s="441">
        <v>0</v>
      </c>
      <c r="T170" s="454"/>
      <c r="U170" s="470"/>
      <c r="V170" s="471"/>
      <c r="W170" s="6"/>
    </row>
    <row r="171" spans="1:23" ht="15.6">
      <c r="A171" s="465"/>
      <c r="B171" s="468" t="s">
        <v>70</v>
      </c>
      <c r="C171" s="469"/>
      <c r="D171" s="469"/>
      <c r="E171" s="469"/>
      <c r="F171" s="469"/>
      <c r="G171" s="469"/>
      <c r="H171" s="469"/>
      <c r="I171" s="469"/>
      <c r="J171" s="469"/>
      <c r="K171" s="469"/>
      <c r="L171" s="469"/>
      <c r="M171" s="469"/>
      <c r="N171" s="469"/>
      <c r="O171" s="454"/>
      <c r="P171" s="454"/>
      <c r="Q171" s="454"/>
      <c r="R171" s="379"/>
      <c r="S171" s="441">
        <f>Q75</f>
        <v>0</v>
      </c>
      <c r="T171" s="454"/>
      <c r="U171" s="470"/>
      <c r="V171" s="471"/>
      <c r="W171" s="6"/>
    </row>
    <row r="172" spans="1:23" ht="15.6">
      <c r="A172" s="472"/>
      <c r="B172" s="468" t="s">
        <v>71</v>
      </c>
      <c r="C172" s="469"/>
      <c r="D172" s="469"/>
      <c r="E172" s="469"/>
      <c r="F172" s="469"/>
      <c r="G172" s="469"/>
      <c r="H172" s="469"/>
      <c r="I172" s="469"/>
      <c r="J172" s="469"/>
      <c r="K172" s="469"/>
      <c r="L172" s="469"/>
      <c r="M172" s="473"/>
      <c r="N172" s="473"/>
      <c r="O172" s="473"/>
      <c r="P172" s="454"/>
      <c r="Q172" s="454"/>
      <c r="R172" s="379"/>
      <c r="S172" s="500"/>
      <c r="T172" s="454"/>
      <c r="U172" s="470"/>
      <c r="V172" s="474"/>
      <c r="W172" s="6"/>
    </row>
    <row r="173" spans="1:23" ht="15.6">
      <c r="A173" s="465"/>
      <c r="B173" s="379" t="s">
        <v>72</v>
      </c>
      <c r="C173" s="469"/>
      <c r="D173" s="469"/>
      <c r="E173" s="469"/>
      <c r="F173" s="469"/>
      <c r="G173" s="469"/>
      <c r="H173" s="469"/>
      <c r="I173" s="469"/>
      <c r="J173" s="469"/>
      <c r="K173" s="469"/>
      <c r="L173" s="469"/>
      <c r="M173" s="469"/>
      <c r="N173" s="469"/>
      <c r="O173" s="469"/>
      <c r="P173" s="454"/>
      <c r="Q173" s="454"/>
      <c r="R173" s="379"/>
      <c r="S173" s="441">
        <f>U128</f>
        <v>1611</v>
      </c>
      <c r="T173" s="454"/>
      <c r="U173" s="470"/>
      <c r="V173" s="474"/>
      <c r="W173" s="6"/>
    </row>
    <row r="174" spans="1:23" ht="15.6">
      <c r="A174" s="465"/>
      <c r="B174" s="379" t="s">
        <v>73</v>
      </c>
      <c r="C174" s="469"/>
      <c r="D174" s="469"/>
      <c r="E174" s="469"/>
      <c r="F174" s="469"/>
      <c r="G174" s="469"/>
      <c r="H174" s="469"/>
      <c r="I174" s="469"/>
      <c r="J174" s="469"/>
      <c r="K174" s="469"/>
      <c r="L174" s="469"/>
      <c r="M174" s="469"/>
      <c r="N174" s="469"/>
      <c r="O174" s="469"/>
      <c r="P174" s="454"/>
      <c r="Q174" s="454"/>
      <c r="R174" s="379"/>
      <c r="S174" s="441">
        <f>'March 11'!S174+S173</f>
        <v>75715</v>
      </c>
      <c r="T174" s="454"/>
      <c r="U174" s="470"/>
      <c r="V174" s="474"/>
      <c r="W174" s="6"/>
    </row>
    <row r="175" spans="1:23" ht="15.6">
      <c r="A175" s="465"/>
      <c r="B175" s="379" t="s">
        <v>74</v>
      </c>
      <c r="C175" s="469"/>
      <c r="D175" s="469"/>
      <c r="E175" s="469"/>
      <c r="F175" s="469"/>
      <c r="G175" s="469"/>
      <c r="H175" s="469"/>
      <c r="I175" s="469"/>
      <c r="J175" s="469"/>
      <c r="K175" s="469"/>
      <c r="L175" s="469"/>
      <c r="M175" s="469"/>
      <c r="N175" s="469"/>
      <c r="O175" s="469"/>
      <c r="P175" s="454"/>
      <c r="Q175" s="454"/>
      <c r="R175" s="379"/>
      <c r="S175" s="441">
        <f>'March 11'!S175+624</f>
        <v>15937</v>
      </c>
      <c r="T175" s="454"/>
      <c r="U175" s="470"/>
      <c r="V175" s="474"/>
      <c r="W175" s="6"/>
    </row>
    <row r="176" spans="1:23" ht="15.6">
      <c r="A176" s="465"/>
      <c r="B176" s="473"/>
      <c r="C176" s="469"/>
      <c r="D176" s="469"/>
      <c r="E176" s="469"/>
      <c r="F176" s="469"/>
      <c r="G176" s="469"/>
      <c r="H176" s="469"/>
      <c r="I176" s="469"/>
      <c r="J176" s="469"/>
      <c r="K176" s="469"/>
      <c r="L176" s="469"/>
      <c r="M176" s="469"/>
      <c r="N176" s="469"/>
      <c r="O176" s="469"/>
      <c r="P176" s="454"/>
      <c r="Q176" s="454"/>
      <c r="R176" s="379"/>
      <c r="S176" s="441"/>
      <c r="T176" s="454"/>
      <c r="U176" s="470"/>
      <c r="V176" s="474"/>
      <c r="W176" s="6"/>
    </row>
    <row r="177" spans="1:23" ht="15.6">
      <c r="A177" s="472"/>
      <c r="B177" s="468" t="s">
        <v>259</v>
      </c>
      <c r="C177" s="469"/>
      <c r="D177" s="469"/>
      <c r="E177" s="469"/>
      <c r="F177" s="469"/>
      <c r="G177" s="469"/>
      <c r="H177" s="469"/>
      <c r="I177" s="469"/>
      <c r="J177" s="469"/>
      <c r="K177" s="469"/>
      <c r="L177" s="469"/>
      <c r="M177" s="473"/>
      <c r="N177" s="473"/>
      <c r="O177" s="473"/>
      <c r="P177" s="454"/>
      <c r="Q177" s="454"/>
      <c r="R177" s="379"/>
      <c r="S177" s="453"/>
      <c r="T177" s="454"/>
      <c r="U177" s="470"/>
      <c r="V177" s="474"/>
      <c r="W177" s="6"/>
    </row>
    <row r="178" spans="1:23" ht="15.6">
      <c r="A178" s="472"/>
      <c r="B178" s="379" t="s">
        <v>254</v>
      </c>
      <c r="C178" s="469"/>
      <c r="D178" s="469"/>
      <c r="E178" s="469"/>
      <c r="F178" s="469"/>
      <c r="G178" s="469"/>
      <c r="H178" s="469"/>
      <c r="I178" s="469"/>
      <c r="J178" s="469"/>
      <c r="K178" s="469"/>
      <c r="L178" s="469"/>
      <c r="M178" s="473"/>
      <c r="N178" s="473"/>
      <c r="O178" s="473"/>
      <c r="P178" s="454"/>
      <c r="Q178" s="454"/>
      <c r="R178" s="379"/>
      <c r="S178" s="453">
        <v>4</v>
      </c>
      <c r="T178" s="454"/>
      <c r="U178" s="470"/>
      <c r="V178" s="474"/>
      <c r="W178" s="6"/>
    </row>
    <row r="179" spans="1:23" ht="15.6">
      <c r="A179" s="465"/>
      <c r="B179" s="379" t="s">
        <v>75</v>
      </c>
      <c r="C179" s="469"/>
      <c r="D179" s="469"/>
      <c r="E179" s="469"/>
      <c r="F179" s="469"/>
      <c r="G179" s="469"/>
      <c r="H179" s="469"/>
      <c r="I179" s="469"/>
      <c r="J179" s="469"/>
      <c r="K179" s="469"/>
      <c r="L179" s="469"/>
      <c r="M179" s="475"/>
      <c r="N179" s="475"/>
      <c r="O179" s="476"/>
      <c r="P179" s="454"/>
      <c r="Q179" s="454"/>
      <c r="R179" s="379"/>
      <c r="S179" s="501">
        <v>19.100000000000001</v>
      </c>
      <c r="T179" s="454"/>
      <c r="U179" s="470"/>
      <c r="V179" s="474"/>
      <c r="W179" s="6"/>
    </row>
    <row r="180" spans="1:23" ht="15.6">
      <c r="A180" s="465"/>
      <c r="B180" s="379" t="s">
        <v>76</v>
      </c>
      <c r="C180" s="469"/>
      <c r="D180" s="469"/>
      <c r="E180" s="469"/>
      <c r="F180" s="469"/>
      <c r="G180" s="469"/>
      <c r="H180" s="469"/>
      <c r="I180" s="469"/>
      <c r="J180" s="469"/>
      <c r="K180" s="469"/>
      <c r="L180" s="469"/>
      <c r="M180" s="475"/>
      <c r="N180" s="475"/>
      <c r="O180" s="476"/>
      <c r="P180" s="454"/>
      <c r="Q180" s="454"/>
      <c r="R180" s="379"/>
      <c r="S180" s="501">
        <v>237</v>
      </c>
      <c r="T180" s="454"/>
      <c r="U180" s="470"/>
      <c r="V180" s="474"/>
      <c r="W180" s="6"/>
    </row>
    <row r="181" spans="1:23" ht="15.6">
      <c r="A181" s="465"/>
      <c r="B181" s="473"/>
      <c r="C181" s="469"/>
      <c r="D181" s="469"/>
      <c r="E181" s="469"/>
      <c r="F181" s="469"/>
      <c r="G181" s="469"/>
      <c r="H181" s="469"/>
      <c r="I181" s="469"/>
      <c r="J181" s="469"/>
      <c r="K181" s="469"/>
      <c r="L181" s="469"/>
      <c r="M181" s="477"/>
      <c r="N181" s="475"/>
      <c r="O181" s="476"/>
      <c r="P181" s="454"/>
      <c r="Q181" s="454"/>
      <c r="R181" s="379"/>
      <c r="S181" s="523"/>
      <c r="T181" s="454"/>
      <c r="U181" s="470"/>
      <c r="V181" s="474"/>
      <c r="W181" s="6"/>
    </row>
    <row r="182" spans="1:23" ht="15.6">
      <c r="A182" s="465"/>
      <c r="B182" s="468" t="s">
        <v>77</v>
      </c>
      <c r="C182" s="469"/>
      <c r="D182" s="469"/>
      <c r="E182" s="469"/>
      <c r="F182" s="469"/>
      <c r="G182" s="469"/>
      <c r="H182" s="469"/>
      <c r="I182" s="469"/>
      <c r="J182" s="469"/>
      <c r="K182" s="469"/>
      <c r="L182" s="469"/>
      <c r="M182" s="469"/>
      <c r="N182" s="477"/>
      <c r="O182" s="475"/>
      <c r="P182" s="476"/>
      <c r="Q182" s="454"/>
      <c r="R182" s="380"/>
      <c r="S182" s="524"/>
      <c r="T182" s="478"/>
      <c r="U182" s="390"/>
      <c r="V182" s="479"/>
      <c r="W182" s="6"/>
    </row>
    <row r="183" spans="1:23" ht="15.6">
      <c r="A183" s="465"/>
      <c r="B183" s="379" t="s">
        <v>78</v>
      </c>
      <c r="C183" s="469"/>
      <c r="D183" s="469"/>
      <c r="E183" s="469"/>
      <c r="F183" s="469"/>
      <c r="G183" s="469"/>
      <c r="H183" s="469"/>
      <c r="I183" s="469"/>
      <c r="J183" s="469"/>
      <c r="K183" s="469"/>
      <c r="L183" s="469"/>
      <c r="M183" s="469"/>
      <c r="N183" s="477"/>
      <c r="O183" s="475"/>
      <c r="P183" s="476"/>
      <c r="Q183" s="454"/>
      <c r="R183" s="380"/>
      <c r="S183" s="502">
        <v>50</v>
      </c>
      <c r="T183" s="480"/>
      <c r="U183" s="390"/>
      <c r="V183" s="479"/>
      <c r="W183" s="6"/>
    </row>
    <row r="184" spans="1:23" ht="15.6">
      <c r="A184" s="465"/>
      <c r="B184" s="379" t="s">
        <v>75</v>
      </c>
      <c r="C184" s="469"/>
      <c r="D184" s="469"/>
      <c r="E184" s="469"/>
      <c r="F184" s="469"/>
      <c r="G184" s="469"/>
      <c r="H184" s="469"/>
      <c r="I184" s="469"/>
      <c r="J184" s="469"/>
      <c r="K184" s="469"/>
      <c r="L184" s="469"/>
      <c r="M184" s="469"/>
      <c r="N184" s="477"/>
      <c r="O184" s="475"/>
      <c r="P184" s="476"/>
      <c r="Q184" s="454"/>
      <c r="R184" s="380"/>
      <c r="S184" s="502">
        <v>2.4700000000000002</v>
      </c>
      <c r="T184" s="480"/>
      <c r="U184" s="390"/>
      <c r="V184" s="479"/>
      <c r="W184" s="6"/>
    </row>
    <row r="185" spans="1:23" ht="15.6">
      <c r="A185" s="465"/>
      <c r="B185" s="379" t="s">
        <v>79</v>
      </c>
      <c r="C185" s="469"/>
      <c r="D185" s="469"/>
      <c r="E185" s="469"/>
      <c r="F185" s="469"/>
      <c r="G185" s="469"/>
      <c r="H185" s="469"/>
      <c r="I185" s="469"/>
      <c r="J185" s="469"/>
      <c r="K185" s="469"/>
      <c r="L185" s="469"/>
      <c r="M185" s="469"/>
      <c r="N185" s="477"/>
      <c r="O185" s="475"/>
      <c r="P185" s="476"/>
      <c r="Q185" s="454"/>
      <c r="R185" s="380"/>
      <c r="S185" s="502">
        <v>71</v>
      </c>
      <c r="T185" s="480"/>
      <c r="U185" s="390"/>
      <c r="V185" s="479"/>
      <c r="W185" s="6"/>
    </row>
    <row r="186" spans="1:23" ht="15.6">
      <c r="A186" s="465"/>
      <c r="B186" s="473"/>
      <c r="C186" s="469"/>
      <c r="D186" s="469"/>
      <c r="E186" s="469"/>
      <c r="F186" s="469"/>
      <c r="G186" s="469"/>
      <c r="H186" s="469"/>
      <c r="I186" s="469"/>
      <c r="J186" s="469"/>
      <c r="K186" s="469"/>
      <c r="L186" s="469"/>
      <c r="M186" s="477"/>
      <c r="N186" s="475"/>
      <c r="O186" s="476"/>
      <c r="P186" s="454"/>
      <c r="Q186" s="454"/>
      <c r="R186" s="454"/>
      <c r="S186" s="481"/>
      <c r="T186" s="454"/>
      <c r="U186" s="470"/>
      <c r="V186" s="474"/>
      <c r="W186" s="6"/>
    </row>
    <row r="187" spans="1:23" ht="17.399999999999999">
      <c r="A187" s="465"/>
      <c r="B187" s="482" t="s">
        <v>196</v>
      </c>
      <c r="C187" s="469"/>
      <c r="D187" s="469"/>
      <c r="E187" s="469"/>
      <c r="F187" s="469"/>
      <c r="G187" s="469"/>
      <c r="H187" s="469"/>
      <c r="I187" s="469"/>
      <c r="J187" s="469"/>
      <c r="K187" s="483" t="s">
        <v>195</v>
      </c>
      <c r="L187" s="469"/>
      <c r="M187" s="477"/>
      <c r="N187" s="475"/>
      <c r="O187" s="476"/>
      <c r="P187" s="454"/>
      <c r="Q187" s="454"/>
      <c r="R187" s="454"/>
      <c r="S187" s="481"/>
      <c r="T187" s="454"/>
      <c r="U187" s="470"/>
      <c r="V187" s="474"/>
      <c r="W187" s="6"/>
    </row>
    <row r="188" spans="1:23" ht="15.6">
      <c r="A188" s="242"/>
      <c r="B188" s="460"/>
      <c r="C188" s="461"/>
      <c r="D188" s="461"/>
      <c r="E188" s="461"/>
      <c r="F188" s="461"/>
      <c r="G188" s="461"/>
      <c r="H188" s="461"/>
      <c r="I188" s="461"/>
      <c r="J188" s="461"/>
      <c r="K188" s="461"/>
      <c r="L188" s="461"/>
      <c r="M188" s="462"/>
      <c r="N188" s="461"/>
      <c r="O188" s="462"/>
      <c r="P188" s="461"/>
      <c r="Q188" s="462"/>
      <c r="R188" s="461"/>
      <c r="S188" s="462"/>
      <c r="T188" s="461"/>
      <c r="U188" s="463"/>
      <c r="V188" s="464"/>
      <c r="W188" s="6"/>
    </row>
    <row r="189" spans="1:23" ht="15.6">
      <c r="A189" s="348"/>
      <c r="B189" s="525" t="s">
        <v>80</v>
      </c>
      <c r="C189" s="343"/>
      <c r="D189" s="343"/>
      <c r="E189" s="343"/>
      <c r="F189" s="343"/>
      <c r="G189" s="343"/>
      <c r="H189" s="343"/>
      <c r="I189" s="343"/>
      <c r="J189" s="343"/>
      <c r="K189" s="343"/>
      <c r="L189" s="343"/>
      <c r="M189" s="525" t="s">
        <v>100</v>
      </c>
      <c r="N189" s="526"/>
      <c r="O189" s="527"/>
      <c r="P189" s="526"/>
      <c r="Q189" s="525" t="s">
        <v>26</v>
      </c>
      <c r="R189" s="526"/>
      <c r="S189" s="527"/>
      <c r="T189" s="526"/>
      <c r="U189" s="346"/>
      <c r="V189" s="528"/>
      <c r="W189" s="6"/>
    </row>
    <row r="190" spans="1:23" ht="15.6">
      <c r="A190" s="365"/>
      <c r="B190" s="366"/>
      <c r="C190" s="529"/>
      <c r="D190" s="529"/>
      <c r="E190" s="529"/>
      <c r="F190" s="529"/>
      <c r="G190" s="529"/>
      <c r="H190" s="529"/>
      <c r="I190" s="529"/>
      <c r="J190" s="529"/>
      <c r="K190" s="529"/>
      <c r="L190" s="529" t="s">
        <v>94</v>
      </c>
      <c r="M190" s="530" t="s">
        <v>101</v>
      </c>
      <c r="N190" s="529" t="s">
        <v>103</v>
      </c>
      <c r="O190" s="530" t="s">
        <v>101</v>
      </c>
      <c r="P190" s="530"/>
      <c r="Q190" s="529" t="s">
        <v>94</v>
      </c>
      <c r="R190" s="530" t="s">
        <v>101</v>
      </c>
      <c r="S190" s="529" t="s">
        <v>103</v>
      </c>
      <c r="T190" s="530" t="s">
        <v>101</v>
      </c>
      <c r="U190" s="369"/>
      <c r="V190" s="531"/>
      <c r="W190" s="6"/>
    </row>
    <row r="191" spans="1:23" ht="15.6">
      <c r="A191" s="316"/>
      <c r="B191" s="360" t="s">
        <v>81</v>
      </c>
      <c r="C191" s="361"/>
      <c r="D191" s="361"/>
      <c r="E191" s="361"/>
      <c r="F191" s="361"/>
      <c r="G191" s="361"/>
      <c r="H191" s="361"/>
      <c r="I191" s="361"/>
      <c r="J191" s="361"/>
      <c r="K191" s="361"/>
      <c r="L191" s="361">
        <v>1096</v>
      </c>
      <c r="M191" s="362">
        <f t="shared" ref="M191:M197" si="0">+L191/$L$198</f>
        <v>0.80588235294117649</v>
      </c>
      <c r="N191" s="361">
        <v>3131</v>
      </c>
      <c r="O191" s="362">
        <f t="shared" ref="O191:O197" si="1">N191/$N$198</f>
        <v>0.82655755015839494</v>
      </c>
      <c r="P191" s="363"/>
      <c r="Q191" s="361">
        <v>963</v>
      </c>
      <c r="R191" s="362">
        <f t="shared" ref="R191:R197" si="2">+Q191/$Q$198</f>
        <v>0.77473853580048269</v>
      </c>
      <c r="S191" s="361">
        <v>1014</v>
      </c>
      <c r="T191" s="362">
        <f t="shared" ref="T191:T197" si="3">+S191/$S$198</f>
        <v>0.80348652931854203</v>
      </c>
      <c r="U191" s="364"/>
      <c r="V191" s="312"/>
      <c r="W191" s="6"/>
    </row>
    <row r="192" spans="1:23" ht="15.6">
      <c r="A192" s="444"/>
      <c r="B192" s="440" t="s">
        <v>82</v>
      </c>
      <c r="C192" s="489"/>
      <c r="D192" s="489"/>
      <c r="E192" s="489"/>
      <c r="F192" s="489"/>
      <c r="G192" s="489"/>
      <c r="H192" s="489"/>
      <c r="I192" s="489"/>
      <c r="J192" s="489"/>
      <c r="K192" s="489"/>
      <c r="L192" s="489">
        <v>21</v>
      </c>
      <c r="M192" s="427">
        <f t="shared" si="0"/>
        <v>1.5441176470588236E-2</v>
      </c>
      <c r="N192" s="489">
        <v>35</v>
      </c>
      <c r="O192" s="427">
        <f t="shared" si="1"/>
        <v>9.2397043294614577E-3</v>
      </c>
      <c r="P192" s="381"/>
      <c r="Q192" s="489">
        <v>14</v>
      </c>
      <c r="R192" s="427">
        <f t="shared" si="2"/>
        <v>1.1263073209975865E-2</v>
      </c>
      <c r="S192" s="489">
        <v>3</v>
      </c>
      <c r="T192" s="427">
        <f t="shared" si="3"/>
        <v>2.3771790808240888E-3</v>
      </c>
      <c r="U192" s="379"/>
      <c r="V192" s="435"/>
      <c r="W192" s="6"/>
    </row>
    <row r="193" spans="1:24" ht="15.6">
      <c r="A193" s="444"/>
      <c r="B193" s="440" t="s">
        <v>83</v>
      </c>
      <c r="C193" s="489"/>
      <c r="D193" s="489"/>
      <c r="E193" s="489"/>
      <c r="F193" s="489"/>
      <c r="G193" s="489"/>
      <c r="H193" s="489"/>
      <c r="I193" s="489"/>
      <c r="J193" s="489"/>
      <c r="K193" s="489"/>
      <c r="L193" s="489">
        <v>27</v>
      </c>
      <c r="M193" s="427">
        <f t="shared" si="0"/>
        <v>1.9852941176470587E-2</v>
      </c>
      <c r="N193" s="489">
        <v>71</v>
      </c>
      <c r="O193" s="427">
        <f t="shared" si="1"/>
        <v>1.874340021119324E-2</v>
      </c>
      <c r="P193" s="381"/>
      <c r="Q193" s="489">
        <v>19</v>
      </c>
      <c r="R193" s="427">
        <f t="shared" si="2"/>
        <v>1.5285599356395816E-2</v>
      </c>
      <c r="S193" s="489">
        <v>6</v>
      </c>
      <c r="T193" s="427">
        <f t="shared" si="3"/>
        <v>4.7543581616481777E-3</v>
      </c>
      <c r="U193" s="379"/>
      <c r="V193" s="435"/>
      <c r="W193" s="6"/>
    </row>
    <row r="194" spans="1:24" ht="15.6">
      <c r="A194" s="444"/>
      <c r="B194" s="440" t="s">
        <v>186</v>
      </c>
      <c r="C194" s="489"/>
      <c r="D194" s="489"/>
      <c r="E194" s="489"/>
      <c r="F194" s="489"/>
      <c r="G194" s="489"/>
      <c r="H194" s="489"/>
      <c r="I194" s="489"/>
      <c r="J194" s="489"/>
      <c r="K194" s="489"/>
      <c r="L194" s="489">
        <v>32</v>
      </c>
      <c r="M194" s="427">
        <f t="shared" si="0"/>
        <v>2.3529411764705882E-2</v>
      </c>
      <c r="N194" s="489">
        <v>63</v>
      </c>
      <c r="O194" s="427">
        <f t="shared" si="1"/>
        <v>1.6631467793030624E-2</v>
      </c>
      <c r="P194" s="381"/>
      <c r="Q194" s="489">
        <v>24</v>
      </c>
      <c r="R194" s="427">
        <f t="shared" si="2"/>
        <v>1.9308125502815767E-2</v>
      </c>
      <c r="S194" s="489">
        <v>20</v>
      </c>
      <c r="T194" s="427">
        <f t="shared" si="3"/>
        <v>1.5847860538827259E-2</v>
      </c>
      <c r="U194" s="379"/>
      <c r="V194" s="435"/>
      <c r="W194" s="6"/>
    </row>
    <row r="195" spans="1:24" ht="15.6">
      <c r="A195" s="444"/>
      <c r="B195" s="440" t="s">
        <v>187</v>
      </c>
      <c r="C195" s="489"/>
      <c r="D195" s="489"/>
      <c r="E195" s="489"/>
      <c r="F195" s="489"/>
      <c r="G195" s="489"/>
      <c r="H195" s="489"/>
      <c r="I195" s="489"/>
      <c r="J195" s="489"/>
      <c r="K195" s="489"/>
      <c r="L195" s="489">
        <v>24</v>
      </c>
      <c r="M195" s="427">
        <f t="shared" si="0"/>
        <v>1.7647058823529412E-2</v>
      </c>
      <c r="N195" s="489">
        <v>43</v>
      </c>
      <c r="O195" s="427">
        <f t="shared" si="1"/>
        <v>1.1351636747624076E-2</v>
      </c>
      <c r="P195" s="381"/>
      <c r="Q195" s="489">
        <v>31</v>
      </c>
      <c r="R195" s="427">
        <f t="shared" si="2"/>
        <v>2.4939662107803701E-2</v>
      </c>
      <c r="S195" s="489">
        <v>36</v>
      </c>
      <c r="T195" s="427">
        <f t="shared" si="3"/>
        <v>2.8526148969889066E-2</v>
      </c>
      <c r="U195" s="379"/>
      <c r="V195" s="435"/>
      <c r="W195" s="6"/>
    </row>
    <row r="196" spans="1:24" ht="15.6">
      <c r="A196" s="444"/>
      <c r="B196" s="440" t="s">
        <v>188</v>
      </c>
      <c r="C196" s="489"/>
      <c r="D196" s="489"/>
      <c r="E196" s="489"/>
      <c r="F196" s="489"/>
      <c r="G196" s="489"/>
      <c r="H196" s="489"/>
      <c r="I196" s="489"/>
      <c r="J196" s="489"/>
      <c r="K196" s="489"/>
      <c r="L196" s="489">
        <v>22</v>
      </c>
      <c r="M196" s="427">
        <f t="shared" si="0"/>
        <v>1.6176470588235296E-2</v>
      </c>
      <c r="N196" s="489">
        <v>65</v>
      </c>
      <c r="O196" s="427">
        <f t="shared" si="1"/>
        <v>1.7159450897571277E-2</v>
      </c>
      <c r="P196" s="381"/>
      <c r="Q196" s="489">
        <v>34</v>
      </c>
      <c r="R196" s="427">
        <f t="shared" si="2"/>
        <v>2.7353177795655673E-2</v>
      </c>
      <c r="S196" s="489">
        <v>27</v>
      </c>
      <c r="T196" s="427">
        <f t="shared" si="3"/>
        <v>2.1394611727416798E-2</v>
      </c>
      <c r="U196" s="379"/>
      <c r="V196" s="435"/>
      <c r="W196" s="6"/>
    </row>
    <row r="197" spans="1:24" ht="15.6">
      <c r="A197" s="444"/>
      <c r="B197" s="440" t="s">
        <v>189</v>
      </c>
      <c r="C197" s="489"/>
      <c r="D197" s="489"/>
      <c r="E197" s="489"/>
      <c r="F197" s="489"/>
      <c r="G197" s="489"/>
      <c r="H197" s="489"/>
      <c r="I197" s="489"/>
      <c r="J197" s="489"/>
      <c r="K197" s="489"/>
      <c r="L197" s="489">
        <v>138</v>
      </c>
      <c r="M197" s="427">
        <f t="shared" si="0"/>
        <v>0.10147058823529412</v>
      </c>
      <c r="N197" s="489">
        <v>380</v>
      </c>
      <c r="O197" s="427">
        <f t="shared" si="1"/>
        <v>0.1003167898627244</v>
      </c>
      <c r="P197" s="381"/>
      <c r="Q197" s="489">
        <v>158</v>
      </c>
      <c r="R197" s="427">
        <f t="shared" si="2"/>
        <v>0.12711182622687048</v>
      </c>
      <c r="S197" s="489">
        <v>156</v>
      </c>
      <c r="T197" s="427">
        <f t="shared" si="3"/>
        <v>0.12361331220285261</v>
      </c>
      <c r="U197" s="379"/>
      <c r="V197" s="435"/>
      <c r="W197" s="6"/>
    </row>
    <row r="198" spans="1:24" ht="15.6">
      <c r="A198" s="444"/>
      <c r="B198" s="440" t="s">
        <v>84</v>
      </c>
      <c r="C198" s="489"/>
      <c r="D198" s="489"/>
      <c r="E198" s="489"/>
      <c r="F198" s="489"/>
      <c r="G198" s="489"/>
      <c r="H198" s="489"/>
      <c r="I198" s="489"/>
      <c r="J198" s="489"/>
      <c r="K198" s="489"/>
      <c r="L198" s="489">
        <f>SUM(L191:L197)</f>
        <v>1360</v>
      </c>
      <c r="M198" s="427">
        <f>SUM(M191:M197)</f>
        <v>1.0000000000000002</v>
      </c>
      <c r="N198" s="489">
        <f>SUM(N191:N197)</f>
        <v>3788</v>
      </c>
      <c r="O198" s="427">
        <f>SUM(O191:O197)</f>
        <v>1</v>
      </c>
      <c r="P198" s="381"/>
      <c r="Q198" s="489">
        <f>SUM(Q191:Q197)</f>
        <v>1243</v>
      </c>
      <c r="R198" s="427">
        <f>SUM(R191:R197)</f>
        <v>1.0000000000000002</v>
      </c>
      <c r="S198" s="489">
        <f>SUM(S191:S197)</f>
        <v>1262</v>
      </c>
      <c r="T198" s="427">
        <f>SUM(T191:T197)</f>
        <v>1</v>
      </c>
      <c r="U198" s="379"/>
      <c r="V198" s="435"/>
      <c r="W198" s="6"/>
      <c r="X198" s="64"/>
    </row>
    <row r="199" spans="1:24" ht="15.6">
      <c r="A199" s="444"/>
      <c r="B199" s="440" t="s">
        <v>85</v>
      </c>
      <c r="C199" s="489"/>
      <c r="D199" s="489"/>
      <c r="E199" s="489"/>
      <c r="F199" s="489"/>
      <c r="G199" s="489"/>
      <c r="H199" s="489"/>
      <c r="I199" s="489"/>
      <c r="J199" s="489"/>
      <c r="K199" s="489"/>
      <c r="L199" s="489">
        <v>927</v>
      </c>
      <c r="M199" s="380"/>
      <c r="N199" s="489">
        <v>5762</v>
      </c>
      <c r="O199" s="380"/>
      <c r="P199" s="381"/>
      <c r="Q199" s="489">
        <v>606</v>
      </c>
      <c r="R199" s="380"/>
      <c r="S199" s="489">
        <v>1412</v>
      </c>
      <c r="T199" s="380"/>
      <c r="U199" s="379"/>
      <c r="V199" s="435"/>
      <c r="W199" s="6"/>
      <c r="X199" s="64"/>
    </row>
    <row r="200" spans="1:24" ht="15.6">
      <c r="A200" s="444"/>
      <c r="B200" s="440" t="s">
        <v>86</v>
      </c>
      <c r="C200" s="489"/>
      <c r="D200" s="489"/>
      <c r="E200" s="489"/>
      <c r="F200" s="489"/>
      <c r="G200" s="489"/>
      <c r="H200" s="489"/>
      <c r="I200" s="489"/>
      <c r="J200" s="489"/>
      <c r="K200" s="489"/>
      <c r="L200" s="489">
        <f>SUM(L198:L199)</f>
        <v>2287</v>
      </c>
      <c r="M200" s="450"/>
      <c r="N200" s="489">
        <f>SUM(N198:N199)</f>
        <v>9550</v>
      </c>
      <c r="O200" s="490"/>
      <c r="P200" s="450"/>
      <c r="Q200" s="489">
        <f>SUM(Q198:Q199)</f>
        <v>1849</v>
      </c>
      <c r="R200" s="450"/>
      <c r="S200" s="489">
        <f>SUM(S198:S199)</f>
        <v>2674</v>
      </c>
      <c r="T200" s="450"/>
      <c r="U200" s="450"/>
      <c r="V200" s="435"/>
      <c r="W200" s="6"/>
      <c r="X200" s="64"/>
    </row>
    <row r="201" spans="1:24" ht="15.6">
      <c r="A201" s="242"/>
      <c r="B201" s="484"/>
      <c r="C201" s="485"/>
      <c r="D201" s="485"/>
      <c r="E201" s="485"/>
      <c r="F201" s="485"/>
      <c r="G201" s="485"/>
      <c r="H201" s="485"/>
      <c r="I201" s="485"/>
      <c r="J201" s="485"/>
      <c r="K201" s="485"/>
      <c r="L201" s="532"/>
      <c r="M201" s="533"/>
      <c r="N201" s="532"/>
      <c r="O201" s="533"/>
      <c r="P201" s="488"/>
      <c r="Q201" s="532"/>
      <c r="R201" s="533"/>
      <c r="S201" s="532"/>
      <c r="T201" s="533"/>
      <c r="U201" s="463"/>
      <c r="V201" s="464"/>
      <c r="W201" s="6"/>
    </row>
    <row r="202" spans="1:24" ht="15.6">
      <c r="A202" s="349"/>
      <c r="B202" s="525" t="s">
        <v>80</v>
      </c>
      <c r="C202" s="526"/>
      <c r="D202" s="526"/>
      <c r="E202" s="526"/>
      <c r="F202" s="526"/>
      <c r="G202" s="526"/>
      <c r="H202" s="526"/>
      <c r="I202" s="526"/>
      <c r="J202" s="526"/>
      <c r="K202" s="526"/>
      <c r="L202" s="526"/>
      <c r="M202" s="525" t="s">
        <v>27</v>
      </c>
      <c r="N202" s="526"/>
      <c r="O202" s="527"/>
      <c r="P202" s="526"/>
      <c r="Q202" s="525" t="s">
        <v>28</v>
      </c>
      <c r="R202" s="526"/>
      <c r="S202" s="527"/>
      <c r="T202" s="526"/>
      <c r="U202" s="346"/>
      <c r="V202" s="528"/>
      <c r="W202" s="6"/>
    </row>
    <row r="203" spans="1:24" ht="15.6">
      <c r="A203" s="371"/>
      <c r="B203" s="372"/>
      <c r="C203" s="534"/>
      <c r="D203" s="534"/>
      <c r="E203" s="534"/>
      <c r="F203" s="534"/>
      <c r="G203" s="534"/>
      <c r="H203" s="534"/>
      <c r="I203" s="534"/>
      <c r="J203" s="534"/>
      <c r="K203" s="534"/>
      <c r="L203" s="534" t="s">
        <v>94</v>
      </c>
      <c r="M203" s="535" t="s">
        <v>101</v>
      </c>
      <c r="N203" s="534" t="s">
        <v>103</v>
      </c>
      <c r="O203" s="535" t="s">
        <v>101</v>
      </c>
      <c r="P203" s="535"/>
      <c r="Q203" s="534" t="s">
        <v>94</v>
      </c>
      <c r="R203" s="535" t="s">
        <v>101</v>
      </c>
      <c r="S203" s="534" t="s">
        <v>103</v>
      </c>
      <c r="T203" s="535" t="s">
        <v>101</v>
      </c>
      <c r="U203" s="375"/>
      <c r="V203" s="536"/>
      <c r="W203" s="6"/>
    </row>
    <row r="204" spans="1:24" ht="15.6">
      <c r="A204" s="315"/>
      <c r="B204" s="310" t="s">
        <v>81</v>
      </c>
      <c r="C204" s="351"/>
      <c r="D204" s="351"/>
      <c r="E204" s="351"/>
      <c r="F204" s="351"/>
      <c r="G204" s="351"/>
      <c r="H204" s="351"/>
      <c r="I204" s="351"/>
      <c r="J204" s="351"/>
      <c r="K204" s="351"/>
      <c r="L204" s="351">
        <v>6710</v>
      </c>
      <c r="M204" s="299">
        <f t="shared" ref="M204:M210" si="4">+L204/$L$211</f>
        <v>0.87988460529766588</v>
      </c>
      <c r="N204" s="351">
        <v>163298</v>
      </c>
      <c r="O204" s="299">
        <f t="shared" ref="O204:O210" si="5">+N204/$N$211</f>
        <v>0.86533834984897462</v>
      </c>
      <c r="P204" s="296"/>
      <c r="Q204" s="351">
        <v>759</v>
      </c>
      <c r="R204" s="299">
        <f t="shared" ref="R204:R210" si="6">Q204/$Q$211</f>
        <v>0.91225961538461542</v>
      </c>
      <c r="S204" s="351">
        <v>7743</v>
      </c>
      <c r="T204" s="299">
        <f t="shared" ref="T204:T210" si="7">+S204/$S$211</f>
        <v>0.91051269990592665</v>
      </c>
      <c r="U204" s="294"/>
      <c r="V204" s="301"/>
      <c r="W204" s="6"/>
    </row>
    <row r="205" spans="1:24" ht="15.6">
      <c r="A205" s="444"/>
      <c r="B205" s="440" t="s">
        <v>82</v>
      </c>
      <c r="C205" s="489"/>
      <c r="D205" s="489"/>
      <c r="E205" s="489"/>
      <c r="F205" s="489"/>
      <c r="G205" s="489"/>
      <c r="H205" s="489"/>
      <c r="I205" s="489"/>
      <c r="J205" s="489"/>
      <c r="K205" s="489"/>
      <c r="L205" s="489">
        <v>234</v>
      </c>
      <c r="M205" s="427">
        <f t="shared" si="4"/>
        <v>3.0684500393391032E-2</v>
      </c>
      <c r="N205" s="489">
        <v>6230</v>
      </c>
      <c r="O205" s="427">
        <f t="shared" si="5"/>
        <v>3.3013618780138837E-2</v>
      </c>
      <c r="P205" s="381"/>
      <c r="Q205" s="489">
        <v>35</v>
      </c>
      <c r="R205" s="427">
        <f t="shared" si="6"/>
        <v>4.2067307692307696E-2</v>
      </c>
      <c r="S205" s="489">
        <v>364</v>
      </c>
      <c r="T205" s="427">
        <f t="shared" si="7"/>
        <v>4.2803386641580433E-2</v>
      </c>
      <c r="U205" s="379"/>
      <c r="V205" s="435"/>
      <c r="W205" s="6"/>
    </row>
    <row r="206" spans="1:24" ht="15.6">
      <c r="A206" s="444"/>
      <c r="B206" s="440" t="s">
        <v>83</v>
      </c>
      <c r="C206" s="489"/>
      <c r="D206" s="489"/>
      <c r="E206" s="489"/>
      <c r="F206" s="489"/>
      <c r="G206" s="489"/>
      <c r="H206" s="489"/>
      <c r="I206" s="489"/>
      <c r="J206" s="489"/>
      <c r="K206" s="489"/>
      <c r="L206" s="489">
        <v>155</v>
      </c>
      <c r="M206" s="427">
        <f t="shared" si="4"/>
        <v>2.032520325203252E-2</v>
      </c>
      <c r="N206" s="489">
        <v>4336</v>
      </c>
      <c r="O206" s="427">
        <f t="shared" si="5"/>
        <v>2.2977054740077368E-2</v>
      </c>
      <c r="P206" s="381"/>
      <c r="Q206" s="489">
        <v>14</v>
      </c>
      <c r="R206" s="427">
        <f t="shared" si="6"/>
        <v>1.6826923076923076E-2</v>
      </c>
      <c r="S206" s="489">
        <v>157</v>
      </c>
      <c r="T206" s="427">
        <f t="shared" si="7"/>
        <v>1.8461900282220133E-2</v>
      </c>
      <c r="U206" s="379"/>
      <c r="V206" s="435"/>
      <c r="W206" s="6"/>
      <c r="X206" s="182"/>
    </row>
    <row r="207" spans="1:24" ht="15.6">
      <c r="A207" s="444"/>
      <c r="B207" s="440" t="s">
        <v>186</v>
      </c>
      <c r="C207" s="489"/>
      <c r="D207" s="489"/>
      <c r="E207" s="489"/>
      <c r="F207" s="489"/>
      <c r="G207" s="489"/>
      <c r="H207" s="489"/>
      <c r="I207" s="489"/>
      <c r="J207" s="489"/>
      <c r="K207" s="489"/>
      <c r="L207" s="489">
        <v>124</v>
      </c>
      <c r="M207" s="427">
        <f t="shared" si="4"/>
        <v>1.6260162601626018E-2</v>
      </c>
      <c r="N207" s="489">
        <v>3556</v>
      </c>
      <c r="O207" s="427">
        <f t="shared" si="5"/>
        <v>1.8843728472259021E-2</v>
      </c>
      <c r="P207" s="381"/>
      <c r="Q207" s="489">
        <v>1</v>
      </c>
      <c r="R207" s="427">
        <f t="shared" si="6"/>
        <v>1.201923076923077E-3</v>
      </c>
      <c r="S207" s="489">
        <v>2</v>
      </c>
      <c r="T207" s="427">
        <f t="shared" si="7"/>
        <v>2.3518344308560678E-4</v>
      </c>
      <c r="U207" s="379"/>
      <c r="V207" s="435"/>
      <c r="W207" s="6"/>
    </row>
    <row r="208" spans="1:24" ht="15.6">
      <c r="A208" s="444"/>
      <c r="B208" s="440" t="s">
        <v>187</v>
      </c>
      <c r="C208" s="489"/>
      <c r="D208" s="489"/>
      <c r="E208" s="489"/>
      <c r="F208" s="489"/>
      <c r="G208" s="489"/>
      <c r="H208" s="489"/>
      <c r="I208" s="489"/>
      <c r="J208" s="489"/>
      <c r="K208" s="489"/>
      <c r="L208" s="489">
        <v>85</v>
      </c>
      <c r="M208" s="427">
        <f t="shared" si="4"/>
        <v>1.1146079202727512E-2</v>
      </c>
      <c r="N208" s="489">
        <v>2306</v>
      </c>
      <c r="O208" s="427">
        <f t="shared" si="5"/>
        <v>1.2219808171268083E-2</v>
      </c>
      <c r="P208" s="381"/>
      <c r="Q208" s="489">
        <v>6</v>
      </c>
      <c r="R208" s="427">
        <f t="shared" si="6"/>
        <v>7.2115384615384619E-3</v>
      </c>
      <c r="S208" s="489">
        <v>60</v>
      </c>
      <c r="T208" s="427">
        <f t="shared" si="7"/>
        <v>7.0555032925682035E-3</v>
      </c>
      <c r="U208" s="379"/>
      <c r="V208" s="435"/>
      <c r="W208" s="6"/>
    </row>
    <row r="209" spans="1:24" ht="15.6">
      <c r="A209" s="444"/>
      <c r="B209" s="440" t="s">
        <v>188</v>
      </c>
      <c r="C209" s="489"/>
      <c r="D209" s="489"/>
      <c r="E209" s="489"/>
      <c r="F209" s="489"/>
      <c r="G209" s="489"/>
      <c r="H209" s="489"/>
      <c r="I209" s="489"/>
      <c r="J209" s="489"/>
      <c r="K209" s="489"/>
      <c r="L209" s="489">
        <v>76</v>
      </c>
      <c r="M209" s="427">
        <f t="shared" si="4"/>
        <v>9.96590611067401E-3</v>
      </c>
      <c r="N209" s="489">
        <v>2172</v>
      </c>
      <c r="O209" s="427">
        <f t="shared" si="5"/>
        <v>1.1509723915001855E-2</v>
      </c>
      <c r="P209" s="381"/>
      <c r="Q209" s="489">
        <v>5</v>
      </c>
      <c r="R209" s="427">
        <f t="shared" si="6"/>
        <v>6.0096153846153849E-3</v>
      </c>
      <c r="S209" s="489">
        <v>49</v>
      </c>
      <c r="T209" s="427">
        <f t="shared" si="7"/>
        <v>5.7619943555973661E-3</v>
      </c>
      <c r="U209" s="379"/>
      <c r="V209" s="435"/>
      <c r="W209" s="6"/>
    </row>
    <row r="210" spans="1:24" ht="15.6">
      <c r="A210" s="444"/>
      <c r="B210" s="440" t="s">
        <v>189</v>
      </c>
      <c r="C210" s="489"/>
      <c r="D210" s="489"/>
      <c r="E210" s="489"/>
      <c r="F210" s="489"/>
      <c r="G210" s="489"/>
      <c r="H210" s="489"/>
      <c r="I210" s="489"/>
      <c r="J210" s="489"/>
      <c r="K210" s="489"/>
      <c r="L210" s="489">
        <v>242</v>
      </c>
      <c r="M210" s="427">
        <f t="shared" si="4"/>
        <v>3.1733543141883029E-2</v>
      </c>
      <c r="N210" s="489">
        <v>6812</v>
      </c>
      <c r="O210" s="427">
        <f t="shared" si="5"/>
        <v>3.6097716072280218E-2</v>
      </c>
      <c r="P210" s="381"/>
      <c r="Q210" s="489">
        <v>12</v>
      </c>
      <c r="R210" s="427">
        <f t="shared" si="6"/>
        <v>1.4423076923076924E-2</v>
      </c>
      <c r="S210" s="489">
        <v>129</v>
      </c>
      <c r="T210" s="427">
        <f t="shared" si="7"/>
        <v>1.5169332079021637E-2</v>
      </c>
      <c r="U210" s="379"/>
      <c r="V210" s="435"/>
      <c r="W210" s="6"/>
    </row>
    <row r="211" spans="1:24" ht="15.6">
      <c r="A211" s="444"/>
      <c r="B211" s="440" t="str">
        <f>B198</f>
        <v>Total Performing  Assets</v>
      </c>
      <c r="C211" s="489"/>
      <c r="D211" s="489"/>
      <c r="E211" s="489"/>
      <c r="F211" s="489"/>
      <c r="G211" s="489"/>
      <c r="H211" s="489"/>
      <c r="I211" s="489"/>
      <c r="J211" s="489"/>
      <c r="K211" s="489"/>
      <c r="L211" s="489">
        <f>SUM(L204:L210)</f>
        <v>7626</v>
      </c>
      <c r="M211" s="427">
        <f>SUM(M204:M210)</f>
        <v>1</v>
      </c>
      <c r="N211" s="489">
        <f>SUM(N204:N210)</f>
        <v>188710</v>
      </c>
      <c r="O211" s="427">
        <f>SUM(O204:O210)</f>
        <v>1</v>
      </c>
      <c r="P211" s="381"/>
      <c r="Q211" s="489">
        <f>SUM(Q204:Q210)</f>
        <v>832</v>
      </c>
      <c r="R211" s="427">
        <f>SUM(R204:R210)</f>
        <v>1.0000000000000002</v>
      </c>
      <c r="S211" s="489">
        <f>SUM(S204:S210)</f>
        <v>8504</v>
      </c>
      <c r="T211" s="427">
        <f>SUM(T204:T210)</f>
        <v>1</v>
      </c>
      <c r="U211" s="379"/>
      <c r="V211" s="435"/>
      <c r="W211" s="6"/>
    </row>
    <row r="212" spans="1:24" ht="15.6">
      <c r="A212" s="444"/>
      <c r="B212" s="440" t="s">
        <v>85</v>
      </c>
      <c r="C212" s="489"/>
      <c r="D212" s="489"/>
      <c r="E212" s="489"/>
      <c r="F212" s="489"/>
      <c r="G212" s="489"/>
      <c r="H212" s="489"/>
      <c r="I212" s="489"/>
      <c r="J212" s="489"/>
      <c r="K212" s="489"/>
      <c r="L212" s="489">
        <v>153</v>
      </c>
      <c r="M212" s="381"/>
      <c r="N212" s="489">
        <v>4430</v>
      </c>
      <c r="O212" s="380"/>
      <c r="P212" s="381"/>
      <c r="Q212" s="489">
        <v>29</v>
      </c>
      <c r="R212" s="381"/>
      <c r="S212" s="489">
        <v>536</v>
      </c>
      <c r="T212" s="381"/>
      <c r="U212" s="379"/>
      <c r="V212" s="435"/>
      <c r="W212" s="6"/>
    </row>
    <row r="213" spans="1:24" ht="15.6">
      <c r="A213" s="444"/>
      <c r="B213" s="440" t="s">
        <v>86</v>
      </c>
      <c r="C213" s="489"/>
      <c r="D213" s="489"/>
      <c r="E213" s="489"/>
      <c r="F213" s="489"/>
      <c r="G213" s="489"/>
      <c r="H213" s="489"/>
      <c r="I213" s="489"/>
      <c r="J213" s="489"/>
      <c r="K213" s="489"/>
      <c r="L213" s="489">
        <f>SUM(L211:L212)</f>
        <v>7779</v>
      </c>
      <c r="M213" s="450"/>
      <c r="N213" s="489">
        <f>SUM(N211:N212)</f>
        <v>193140</v>
      </c>
      <c r="O213" s="427"/>
      <c r="P213" s="450"/>
      <c r="Q213" s="489">
        <f>SUM(Q211:Q212)</f>
        <v>861</v>
      </c>
      <c r="R213" s="450"/>
      <c r="S213" s="489">
        <f>SUM(S211:S212)</f>
        <v>9040</v>
      </c>
      <c r="T213" s="450"/>
      <c r="U213" s="450"/>
      <c r="V213" s="492"/>
    </row>
    <row r="214" spans="1:24" ht="15.6">
      <c r="A214" s="444"/>
      <c r="B214" s="440"/>
      <c r="C214" s="381"/>
      <c r="D214" s="381"/>
      <c r="E214" s="381"/>
      <c r="F214" s="381"/>
      <c r="G214" s="381"/>
      <c r="H214" s="381"/>
      <c r="I214" s="381"/>
      <c r="J214" s="381"/>
      <c r="K214" s="381"/>
      <c r="L214" s="381"/>
      <c r="M214" s="493"/>
      <c r="N214" s="381"/>
      <c r="O214" s="493"/>
      <c r="P214" s="381"/>
      <c r="Q214" s="493"/>
      <c r="R214" s="381"/>
      <c r="S214" s="489"/>
      <c r="T214" s="381"/>
      <c r="U214" s="379"/>
      <c r="V214" s="435"/>
      <c r="W214" s="6"/>
    </row>
    <row r="215" spans="1:24" ht="15.6">
      <c r="A215" s="444"/>
      <c r="B215" s="440" t="s">
        <v>86</v>
      </c>
      <c r="C215" s="381"/>
      <c r="D215" s="381"/>
      <c r="E215" s="381"/>
      <c r="F215" s="381"/>
      <c r="G215" s="381"/>
      <c r="H215" s="381"/>
      <c r="I215" s="381"/>
      <c r="J215" s="381"/>
      <c r="K215" s="381"/>
      <c r="L215" s="493"/>
      <c r="M215" s="493"/>
      <c r="N215" s="493"/>
      <c r="O215" s="493"/>
      <c r="P215" s="381"/>
      <c r="Q215" s="493"/>
      <c r="R215" s="381"/>
      <c r="S215" s="489">
        <f>+N200+S200+N213+S213</f>
        <v>214404</v>
      </c>
      <c r="T215" s="490"/>
      <c r="U215" s="379"/>
      <c r="V215" s="435"/>
      <c r="W215" s="6"/>
      <c r="X215" s="182"/>
    </row>
    <row r="216" spans="1:24" ht="15.6">
      <c r="A216" s="316"/>
      <c r="B216" s="360"/>
      <c r="C216" s="363"/>
      <c r="D216" s="363"/>
      <c r="E216" s="363"/>
      <c r="F216" s="363"/>
      <c r="G216" s="363"/>
      <c r="H216" s="363"/>
      <c r="I216" s="363"/>
      <c r="J216" s="363"/>
      <c r="K216" s="363"/>
      <c r="L216" s="491"/>
      <c r="M216" s="491"/>
      <c r="N216" s="491"/>
      <c r="O216" s="491"/>
      <c r="P216" s="363"/>
      <c r="Q216" s="491"/>
      <c r="R216" s="363"/>
      <c r="S216" s="361"/>
      <c r="T216" s="363"/>
      <c r="U216" s="364"/>
      <c r="V216" s="312"/>
      <c r="W216" s="6"/>
    </row>
    <row r="217" spans="1:24" ht="15.6">
      <c r="A217" s="349"/>
      <c r="B217" s="357" t="s">
        <v>87</v>
      </c>
      <c r="C217" s="526"/>
      <c r="D217" s="526"/>
      <c r="E217" s="526"/>
      <c r="F217" s="526"/>
      <c r="G217" s="526"/>
      <c r="H217" s="526"/>
      <c r="I217" s="526"/>
      <c r="J217" s="526"/>
      <c r="K217" s="526"/>
      <c r="L217" s="526"/>
      <c r="M217" s="527"/>
      <c r="N217" s="526"/>
      <c r="O217" s="527"/>
      <c r="P217" s="526"/>
      <c r="Q217" s="527"/>
      <c r="R217" s="526"/>
      <c r="S217" s="358"/>
      <c r="T217" s="526"/>
      <c r="U217" s="350"/>
      <c r="V217" s="528"/>
      <c r="W217" s="6"/>
    </row>
    <row r="218" spans="1:24" ht="15.6">
      <c r="A218" s="315"/>
      <c r="B218" s="310"/>
      <c r="C218" s="296"/>
      <c r="D218" s="296"/>
      <c r="E218" s="296"/>
      <c r="F218" s="296"/>
      <c r="G218" s="296"/>
      <c r="H218" s="296"/>
      <c r="I218" s="296"/>
      <c r="J218" s="296"/>
      <c r="K218" s="296"/>
      <c r="L218" s="296"/>
      <c r="M218" s="352"/>
      <c r="N218" s="296"/>
      <c r="O218" s="352"/>
      <c r="P218" s="296"/>
      <c r="Q218" s="352"/>
      <c r="R218" s="296"/>
      <c r="S218" s="351"/>
      <c r="T218" s="296"/>
      <c r="U218" s="294"/>
      <c r="V218" s="301"/>
      <c r="W218" s="6"/>
    </row>
    <row r="219" spans="1:24" ht="15.6">
      <c r="A219" s="444"/>
      <c r="B219" s="440" t="s">
        <v>88</v>
      </c>
      <c r="C219" s="381"/>
      <c r="D219" s="381"/>
      <c r="E219" s="381"/>
      <c r="F219" s="381"/>
      <c r="G219" s="381"/>
      <c r="H219" s="381"/>
      <c r="I219" s="381"/>
      <c r="J219" s="381"/>
      <c r="K219" s="381"/>
      <c r="L219" s="381"/>
      <c r="M219" s="493"/>
      <c r="N219" s="381"/>
      <c r="O219" s="493"/>
      <c r="P219" s="381"/>
      <c r="Q219" s="493"/>
      <c r="R219" s="381"/>
      <c r="S219" s="489">
        <f>+N198+S198+N211+S211</f>
        <v>202264</v>
      </c>
      <c r="T219" s="381"/>
      <c r="U219" s="379"/>
      <c r="V219" s="435"/>
      <c r="W219" s="6"/>
      <c r="X219" s="182"/>
    </row>
    <row r="220" spans="1:24" ht="15.6">
      <c r="A220" s="444"/>
      <c r="B220" s="440" t="s">
        <v>89</v>
      </c>
      <c r="C220" s="381"/>
      <c r="D220" s="381"/>
      <c r="E220" s="381"/>
      <c r="F220" s="381"/>
      <c r="G220" s="381"/>
      <c r="H220" s="381"/>
      <c r="I220" s="381"/>
      <c r="J220" s="381"/>
      <c r="K220" s="381"/>
      <c r="L220" s="381"/>
      <c r="M220" s="493"/>
      <c r="N220" s="381"/>
      <c r="O220" s="493"/>
      <c r="P220" s="381"/>
      <c r="Q220" s="493"/>
      <c r="R220" s="381"/>
      <c r="S220" s="489">
        <f>+U78</f>
        <v>0</v>
      </c>
      <c r="T220" s="381"/>
      <c r="U220" s="379"/>
      <c r="V220" s="435"/>
      <c r="W220" s="119"/>
    </row>
    <row r="221" spans="1:24" ht="15.6">
      <c r="A221" s="444"/>
      <c r="B221" s="440" t="s">
        <v>90</v>
      </c>
      <c r="C221" s="381"/>
      <c r="D221" s="381"/>
      <c r="E221" s="381"/>
      <c r="F221" s="381"/>
      <c r="G221" s="381"/>
      <c r="H221" s="381"/>
      <c r="I221" s="381"/>
      <c r="J221" s="381"/>
      <c r="K221" s="381"/>
      <c r="L221" s="381"/>
      <c r="M221" s="493"/>
      <c r="N221" s="381"/>
      <c r="O221" s="493"/>
      <c r="P221" s="381"/>
      <c r="Q221" s="493"/>
      <c r="R221" s="381"/>
      <c r="S221" s="489">
        <f>S219+S220</f>
        <v>202264</v>
      </c>
      <c r="T221" s="381"/>
      <c r="U221" s="379"/>
      <c r="V221" s="435"/>
      <c r="W221" s="6"/>
    </row>
    <row r="222" spans="1:24" ht="15.6">
      <c r="A222" s="444"/>
      <c r="B222" s="440"/>
      <c r="C222" s="381"/>
      <c r="D222" s="381"/>
      <c r="E222" s="381"/>
      <c r="F222" s="381"/>
      <c r="G222" s="381"/>
      <c r="H222" s="381"/>
      <c r="I222" s="381"/>
      <c r="J222" s="381"/>
      <c r="K222" s="381"/>
      <c r="L222" s="381"/>
      <c r="M222" s="493"/>
      <c r="N222" s="381"/>
      <c r="O222" s="493"/>
      <c r="P222" s="381"/>
      <c r="Q222" s="493"/>
      <c r="R222" s="381"/>
      <c r="S222" s="489"/>
      <c r="T222" s="381"/>
      <c r="U222" s="379"/>
      <c r="V222" s="435"/>
      <c r="W222" s="6"/>
    </row>
    <row r="223" spans="1:24" ht="15.6">
      <c r="A223" s="444"/>
      <c r="B223" s="440" t="s">
        <v>91</v>
      </c>
      <c r="C223" s="381"/>
      <c r="D223" s="381"/>
      <c r="E223" s="381"/>
      <c r="F223" s="381"/>
      <c r="G223" s="381"/>
      <c r="H223" s="381"/>
      <c r="I223" s="381"/>
      <c r="J223" s="381"/>
      <c r="K223" s="381"/>
      <c r="L223" s="381"/>
      <c r="M223" s="493"/>
      <c r="N223" s="381"/>
      <c r="O223" s="493"/>
      <c r="P223" s="381"/>
      <c r="Q223" s="493"/>
      <c r="R223" s="381"/>
      <c r="S223" s="489">
        <f>U33</f>
        <v>202263.7212</v>
      </c>
      <c r="T223" s="381"/>
      <c r="U223" s="379"/>
      <c r="V223" s="435"/>
      <c r="W223" s="6"/>
    </row>
    <row r="224" spans="1:24" ht="15.6">
      <c r="A224" s="444"/>
      <c r="B224" s="440"/>
      <c r="C224" s="381"/>
      <c r="D224" s="381"/>
      <c r="E224" s="381"/>
      <c r="F224" s="381"/>
      <c r="G224" s="381"/>
      <c r="H224" s="381"/>
      <c r="I224" s="381"/>
      <c r="J224" s="381"/>
      <c r="K224" s="381"/>
      <c r="L224" s="381"/>
      <c r="M224" s="493"/>
      <c r="N224" s="381"/>
      <c r="O224" s="493"/>
      <c r="P224" s="381"/>
      <c r="Q224" s="493"/>
      <c r="R224" s="381"/>
      <c r="S224" s="489"/>
      <c r="T224" s="381"/>
      <c r="U224" s="379"/>
      <c r="V224" s="435"/>
      <c r="W224" s="6"/>
    </row>
    <row r="225" spans="1:23" ht="15.6">
      <c r="A225" s="444"/>
      <c r="B225" s="440" t="s">
        <v>92</v>
      </c>
      <c r="C225" s="381"/>
      <c r="D225" s="381"/>
      <c r="E225" s="381"/>
      <c r="F225" s="381"/>
      <c r="G225" s="381"/>
      <c r="H225" s="381"/>
      <c r="I225" s="381"/>
      <c r="J225" s="381"/>
      <c r="K225" s="381"/>
      <c r="L225" s="381"/>
      <c r="M225" s="493"/>
      <c r="N225" s="381"/>
      <c r="O225" s="493"/>
      <c r="P225" s="381"/>
      <c r="Q225" s="493"/>
      <c r="R225" s="381"/>
      <c r="S225" s="489">
        <f>S221/S223</f>
        <v>1.0000013783984509</v>
      </c>
      <c r="T225" s="381"/>
      <c r="U225" s="379"/>
      <c r="V225" s="435"/>
      <c r="W225" s="6"/>
    </row>
    <row r="226" spans="1:23" ht="15.6">
      <c r="A226" s="444"/>
      <c r="B226" s="379"/>
      <c r="C226" s="379"/>
      <c r="D226" s="379"/>
      <c r="E226" s="379"/>
      <c r="F226" s="379"/>
      <c r="G226" s="379"/>
      <c r="H226" s="379"/>
      <c r="I226" s="379"/>
      <c r="J226" s="379"/>
      <c r="K226" s="379"/>
      <c r="L226" s="379"/>
      <c r="M226" s="380"/>
      <c r="N226" s="379"/>
      <c r="O226" s="379"/>
      <c r="P226" s="379"/>
      <c r="Q226" s="440"/>
      <c r="R226" s="497"/>
      <c r="S226" s="441"/>
      <c r="T226" s="497"/>
      <c r="U226" s="466"/>
      <c r="V226" s="410"/>
      <c r="W226" s="6"/>
    </row>
    <row r="227" spans="1:23" ht="15.6">
      <c r="A227" s="353"/>
      <c r="B227" s="494" t="s">
        <v>127</v>
      </c>
      <c r="C227" s="495"/>
      <c r="D227" s="495"/>
      <c r="E227" s="495"/>
      <c r="F227" s="495"/>
      <c r="G227" s="495"/>
      <c r="H227" s="495"/>
      <c r="I227" s="495"/>
      <c r="J227" s="495"/>
      <c r="K227" s="495"/>
      <c r="L227" s="495"/>
      <c r="M227" s="363"/>
      <c r="N227" s="364"/>
      <c r="O227" s="494"/>
      <c r="P227" s="443"/>
      <c r="Q227" s="443"/>
      <c r="R227" s="443"/>
      <c r="S227" s="496"/>
      <c r="T227" s="443"/>
      <c r="U227" s="443"/>
      <c r="V227" s="355"/>
      <c r="W227" s="6"/>
    </row>
    <row r="228" spans="1:23" ht="15.6">
      <c r="A228" s="353"/>
      <c r="B228" s="287" t="s">
        <v>128</v>
      </c>
      <c r="C228" s="354"/>
      <c r="D228" s="354"/>
      <c r="E228" s="354"/>
      <c r="F228" s="354"/>
      <c r="G228" s="354"/>
      <c r="H228" s="354"/>
      <c r="I228" s="354"/>
      <c r="J228" s="354"/>
      <c r="K228" s="354"/>
      <c r="L228" s="354"/>
      <c r="M228" s="290"/>
      <c r="N228" s="287"/>
      <c r="O228" s="287"/>
      <c r="P228" s="354"/>
      <c r="Q228" s="354"/>
      <c r="R228" s="317"/>
      <c r="S228" s="317"/>
      <c r="T228" s="317"/>
      <c r="U228" s="317"/>
      <c r="V228" s="355"/>
      <c r="W228" s="6"/>
    </row>
    <row r="229" spans="1:23" ht="15.6">
      <c r="A229" s="353"/>
      <c r="B229" s="287" t="s">
        <v>246</v>
      </c>
      <c r="C229" s="287"/>
      <c r="D229" s="287"/>
      <c r="E229" s="287"/>
      <c r="F229" s="287"/>
      <c r="G229" s="287"/>
      <c r="H229" s="287"/>
      <c r="I229" s="287"/>
      <c r="J229" s="287"/>
      <c r="K229" s="287"/>
      <c r="L229" s="287"/>
      <c r="M229" s="287"/>
      <c r="N229" s="287"/>
      <c r="O229" s="287"/>
      <c r="P229" s="287"/>
      <c r="Q229" s="287"/>
      <c r="R229" s="287"/>
      <c r="S229" s="287"/>
      <c r="T229" s="287"/>
      <c r="U229" s="287"/>
      <c r="V229" s="355"/>
      <c r="W229" s="6"/>
    </row>
    <row r="230" spans="1:23" ht="15.6">
      <c r="A230" s="353"/>
      <c r="B230" s="287" t="s">
        <v>129</v>
      </c>
      <c r="C230" s="354"/>
      <c r="D230" s="354"/>
      <c r="E230" s="354"/>
      <c r="F230" s="354"/>
      <c r="G230" s="354"/>
      <c r="H230" s="354"/>
      <c r="I230" s="354"/>
      <c r="J230" s="354"/>
      <c r="K230" s="354"/>
      <c r="L230" s="354"/>
      <c r="M230" s="290"/>
      <c r="N230" s="287"/>
      <c r="O230" s="287"/>
      <c r="P230" s="354"/>
      <c r="Q230" s="354"/>
      <c r="R230" s="317"/>
      <c r="S230" s="317"/>
      <c r="T230" s="317"/>
      <c r="U230" s="317"/>
      <c r="V230" s="355"/>
      <c r="W230" s="6"/>
    </row>
    <row r="231" spans="1:23" ht="15.6">
      <c r="A231" s="353"/>
      <c r="B231" s="287"/>
      <c r="C231" s="354"/>
      <c r="D231" s="354"/>
      <c r="E231" s="354"/>
      <c r="F231" s="354"/>
      <c r="G231" s="354"/>
      <c r="H231" s="354"/>
      <c r="I231" s="354"/>
      <c r="J231" s="354"/>
      <c r="K231" s="354"/>
      <c r="L231" s="354"/>
      <c r="M231" s="290"/>
      <c r="N231" s="287"/>
      <c r="O231" s="287"/>
      <c r="P231" s="354"/>
      <c r="Q231" s="354"/>
      <c r="R231" s="317"/>
      <c r="S231" s="317"/>
      <c r="T231" s="317"/>
      <c r="U231" s="317"/>
      <c r="V231" s="355"/>
      <c r="W231" s="6"/>
    </row>
    <row r="232" spans="1:23" ht="15.6">
      <c r="A232" s="353"/>
      <c r="B232" s="287"/>
      <c r="C232" s="354"/>
      <c r="D232" s="354"/>
      <c r="E232" s="354"/>
      <c r="F232" s="354"/>
      <c r="G232" s="354"/>
      <c r="H232" s="354"/>
      <c r="I232" s="354"/>
      <c r="J232" s="354"/>
      <c r="K232" s="354"/>
      <c r="L232" s="354"/>
      <c r="M232" s="290"/>
      <c r="N232" s="287"/>
      <c r="O232" s="287"/>
      <c r="P232" s="354"/>
      <c r="Q232" s="354"/>
      <c r="R232" s="317"/>
      <c r="S232" s="317"/>
      <c r="T232" s="317"/>
      <c r="U232" s="317"/>
      <c r="V232" s="355"/>
      <c r="W232" s="6"/>
    </row>
    <row r="233" spans="1:23" ht="16.2" thickBot="1">
      <c r="A233" s="353"/>
      <c r="B233" s="287" t="str">
        <f>+B160</f>
        <v>PPAF3 INVESTOR REPORT QUARTER ENDING JUNE 2011</v>
      </c>
      <c r="C233" s="354"/>
      <c r="D233" s="354"/>
      <c r="E233" s="354"/>
      <c r="F233" s="354"/>
      <c r="G233" s="354"/>
      <c r="H233" s="354"/>
      <c r="I233" s="354"/>
      <c r="J233" s="354"/>
      <c r="K233" s="354"/>
      <c r="L233" s="354"/>
      <c r="M233" s="290"/>
      <c r="N233" s="287"/>
      <c r="O233" s="287"/>
      <c r="P233" s="354"/>
      <c r="Q233" s="354"/>
      <c r="R233" s="317"/>
      <c r="S233" s="317"/>
      <c r="T233" s="317"/>
      <c r="U233" s="317"/>
      <c r="V233" s="356"/>
      <c r="W233" s="6"/>
    </row>
    <row r="234" spans="1:2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row>
  </sheetData>
  <phoneticPr fontId="0" type="noConversion"/>
  <hyperlinks>
    <hyperlink ref="I9" r:id="rId1"/>
    <hyperlink ref="K187"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21" man="1"/>
    <brk id="109" max="16383" man="1"/>
    <brk id="160" max="21" man="1"/>
    <brk id="239" man="1"/>
  </rowBreaks>
  <colBreaks count="1" manualBreakCount="1">
    <brk id="23" max="1048575" man="1"/>
  </colBreaks>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23"/>
  </sheetPr>
  <dimension ref="A1:Y234"/>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38" t="s">
        <v>223</v>
      </c>
      <c r="B1" s="285" t="s">
        <v>123</v>
      </c>
      <c r="C1" s="239"/>
      <c r="D1" s="239"/>
      <c r="E1" s="239"/>
      <c r="F1" s="239"/>
      <c r="G1" s="239"/>
      <c r="H1" s="239"/>
      <c r="I1" s="239"/>
      <c r="J1" s="239"/>
      <c r="K1" s="239"/>
      <c r="L1" s="239"/>
      <c r="M1" s="240"/>
      <c r="N1" s="240"/>
      <c r="O1" s="240"/>
      <c r="P1" s="240"/>
      <c r="Q1" s="240"/>
      <c r="R1" s="240"/>
      <c r="S1" s="240"/>
      <c r="T1" s="240"/>
      <c r="U1" s="240"/>
      <c r="V1" s="241"/>
      <c r="W1" s="6"/>
    </row>
    <row r="2" spans="1:23" ht="15.6">
      <c r="A2" s="242"/>
      <c r="B2" s="243"/>
      <c r="C2" s="243"/>
      <c r="D2" s="243"/>
      <c r="E2" s="243"/>
      <c r="F2" s="243"/>
      <c r="G2" s="243"/>
      <c r="H2" s="243"/>
      <c r="I2" s="243"/>
      <c r="J2" s="243"/>
      <c r="K2" s="243"/>
      <c r="L2" s="243"/>
      <c r="M2" s="244"/>
      <c r="N2" s="244"/>
      <c r="O2" s="244"/>
      <c r="P2" s="244"/>
      <c r="Q2" s="244"/>
      <c r="R2" s="244"/>
      <c r="S2" s="244"/>
      <c r="T2" s="244"/>
      <c r="U2" s="244"/>
      <c r="V2" s="245"/>
      <c r="W2" s="6"/>
    </row>
    <row r="3" spans="1:23" ht="15.6">
      <c r="A3" s="246"/>
      <c r="B3" s="247" t="s">
        <v>125</v>
      </c>
      <c r="C3" s="244"/>
      <c r="D3" s="244"/>
      <c r="E3" s="244"/>
      <c r="F3" s="244"/>
      <c r="G3" s="244"/>
      <c r="H3" s="244"/>
      <c r="I3" s="244"/>
      <c r="J3" s="244"/>
      <c r="K3" s="244"/>
      <c r="L3" s="244"/>
      <c r="M3" s="244"/>
      <c r="N3" s="244"/>
      <c r="O3" s="244"/>
      <c r="P3" s="244"/>
      <c r="Q3" s="244"/>
      <c r="R3" s="244"/>
      <c r="S3" s="244"/>
      <c r="T3" s="244"/>
      <c r="U3" s="244"/>
      <c r="V3" s="245"/>
      <c r="W3" s="6"/>
    </row>
    <row r="4" spans="1:23" ht="15.6">
      <c r="A4" s="242"/>
      <c r="B4" s="243"/>
      <c r="C4" s="243"/>
      <c r="D4" s="243"/>
      <c r="E4" s="243"/>
      <c r="F4" s="243"/>
      <c r="G4" s="243"/>
      <c r="H4" s="243"/>
      <c r="I4" s="243"/>
      <c r="J4" s="243"/>
      <c r="K4" s="243"/>
      <c r="L4" s="243"/>
      <c r="M4" s="244"/>
      <c r="N4" s="244"/>
      <c r="O4" s="244"/>
      <c r="P4" s="244"/>
      <c r="Q4" s="244"/>
      <c r="R4" s="244"/>
      <c r="S4" s="244"/>
      <c r="T4" s="244"/>
      <c r="U4" s="244"/>
      <c r="V4" s="245"/>
      <c r="W4" s="6"/>
    </row>
    <row r="5" spans="1:23" ht="16.2">
      <c r="A5" s="242"/>
      <c r="B5" s="286" t="s">
        <v>0</v>
      </c>
      <c r="C5" s="248"/>
      <c r="D5" s="248"/>
      <c r="E5" s="248"/>
      <c r="F5" s="248"/>
      <c r="G5" s="248"/>
      <c r="H5" s="248"/>
      <c r="I5" s="248"/>
      <c r="J5" s="248"/>
      <c r="K5" s="248"/>
      <c r="L5" s="248"/>
      <c r="M5" s="244"/>
      <c r="N5" s="244"/>
      <c r="O5" s="244"/>
      <c r="P5" s="244"/>
      <c r="Q5" s="244"/>
      <c r="R5" s="244"/>
      <c r="S5" s="244"/>
      <c r="T5" s="244"/>
      <c r="U5" s="244"/>
      <c r="V5" s="245"/>
      <c r="W5" s="6"/>
    </row>
    <row r="6" spans="1:23" ht="16.2">
      <c r="A6" s="242"/>
      <c r="B6" s="286" t="s">
        <v>1</v>
      </c>
      <c r="C6" s="248"/>
      <c r="D6" s="248"/>
      <c r="E6" s="248"/>
      <c r="F6" s="248"/>
      <c r="G6" s="248"/>
      <c r="H6" s="248"/>
      <c r="I6" s="248"/>
      <c r="J6" s="248"/>
      <c r="K6" s="248"/>
      <c r="L6" s="248"/>
      <c r="M6" s="244"/>
      <c r="N6" s="244"/>
      <c r="O6" s="244"/>
      <c r="P6" s="244"/>
      <c r="Q6" s="244"/>
      <c r="R6" s="244"/>
      <c r="S6" s="244"/>
      <c r="T6" s="244"/>
      <c r="U6" s="244"/>
      <c r="V6" s="245"/>
      <c r="W6" s="6"/>
    </row>
    <row r="7" spans="1:23" ht="16.2">
      <c r="A7" s="242"/>
      <c r="B7" s="286" t="s">
        <v>2</v>
      </c>
      <c r="C7" s="248"/>
      <c r="D7" s="248"/>
      <c r="E7" s="248"/>
      <c r="F7" s="248"/>
      <c r="G7" s="248"/>
      <c r="H7" s="248"/>
      <c r="I7" s="248"/>
      <c r="J7" s="248"/>
      <c r="K7" s="248"/>
      <c r="L7" s="248"/>
      <c r="M7" s="244"/>
      <c r="N7" s="244"/>
      <c r="O7" s="244"/>
      <c r="P7" s="244"/>
      <c r="Q7" s="244"/>
      <c r="R7" s="244"/>
      <c r="S7" s="244"/>
      <c r="T7" s="244"/>
      <c r="U7" s="244"/>
      <c r="V7" s="245"/>
      <c r="W7" s="6"/>
    </row>
    <row r="8" spans="1:23" ht="16.2">
      <c r="A8" s="242"/>
      <c r="B8" s="249"/>
      <c r="C8" s="248"/>
      <c r="D8" s="248"/>
      <c r="E8" s="248"/>
      <c r="F8" s="248"/>
      <c r="G8" s="248"/>
      <c r="H8" s="248"/>
      <c r="I8" s="248"/>
      <c r="J8" s="248"/>
      <c r="K8" s="248"/>
      <c r="L8" s="248"/>
      <c r="M8" s="244"/>
      <c r="N8" s="244"/>
      <c r="O8" s="244"/>
      <c r="P8" s="244"/>
      <c r="Q8" s="244"/>
      <c r="R8" s="244"/>
      <c r="S8" s="244"/>
      <c r="T8" s="244"/>
      <c r="U8" s="244"/>
      <c r="V8" s="245"/>
      <c r="W8" s="6"/>
    </row>
    <row r="9" spans="1:23" ht="18">
      <c r="A9" s="242"/>
      <c r="B9" s="250" t="s">
        <v>194</v>
      </c>
      <c r="C9" s="248"/>
      <c r="D9" s="248"/>
      <c r="E9" s="248"/>
      <c r="F9" s="248"/>
      <c r="G9" s="248"/>
      <c r="H9" s="248"/>
      <c r="I9" s="251" t="s">
        <v>195</v>
      </c>
      <c r="J9" s="248"/>
      <c r="K9" s="248"/>
      <c r="L9" s="248"/>
      <c r="M9" s="244"/>
      <c r="N9" s="244"/>
      <c r="O9" s="244"/>
      <c r="P9" s="244"/>
      <c r="Q9" s="244"/>
      <c r="R9" s="244"/>
      <c r="S9" s="244"/>
      <c r="T9" s="244"/>
      <c r="U9" s="244"/>
      <c r="V9" s="245"/>
      <c r="W9" s="6"/>
    </row>
    <row r="10" spans="1:23" ht="16.2">
      <c r="A10" s="242"/>
      <c r="B10" s="248"/>
      <c r="C10" s="248"/>
      <c r="D10" s="248"/>
      <c r="E10" s="248"/>
      <c r="F10" s="248"/>
      <c r="G10" s="248"/>
      <c r="H10" s="248"/>
      <c r="I10" s="248"/>
      <c r="J10" s="248"/>
      <c r="K10" s="248"/>
      <c r="L10" s="248"/>
      <c r="M10" s="252"/>
      <c r="N10" s="252"/>
      <c r="O10" s="244"/>
      <c r="P10" s="244"/>
      <c r="Q10" s="244"/>
      <c r="R10" s="244"/>
      <c r="S10" s="244"/>
      <c r="T10" s="244"/>
      <c r="U10" s="244"/>
      <c r="V10" s="245"/>
      <c r="W10" s="6"/>
    </row>
    <row r="11" spans="1:23" ht="15.6">
      <c r="A11" s="242"/>
      <c r="B11" s="287" t="s">
        <v>3</v>
      </c>
      <c r="C11" s="252"/>
      <c r="D11" s="252"/>
      <c r="E11" s="252"/>
      <c r="F11" s="252"/>
      <c r="G11" s="252"/>
      <c r="H11" s="252"/>
      <c r="I11" s="252"/>
      <c r="J11" s="252"/>
      <c r="K11" s="252"/>
      <c r="L11" s="252"/>
      <c r="M11" s="244"/>
      <c r="N11" s="244"/>
      <c r="O11" s="244"/>
      <c r="P11" s="244"/>
      <c r="Q11" s="244"/>
      <c r="R11" s="244"/>
      <c r="S11" s="244"/>
      <c r="T11" s="244"/>
      <c r="U11" s="244"/>
      <c r="V11" s="245"/>
      <c r="W11" s="6"/>
    </row>
    <row r="12" spans="1:23" ht="16.2" thickBot="1">
      <c r="A12" s="242"/>
      <c r="B12" s="252"/>
      <c r="C12" s="252"/>
      <c r="D12" s="252"/>
      <c r="E12" s="252"/>
      <c r="F12" s="252"/>
      <c r="G12" s="252"/>
      <c r="H12" s="252"/>
      <c r="I12" s="252"/>
      <c r="J12" s="252"/>
      <c r="K12" s="252"/>
      <c r="L12" s="252"/>
      <c r="M12" s="244"/>
      <c r="N12" s="244"/>
      <c r="O12" s="244"/>
      <c r="P12" s="244"/>
      <c r="Q12" s="244"/>
      <c r="R12" s="244"/>
      <c r="S12" s="244"/>
      <c r="T12" s="244"/>
      <c r="U12" s="244"/>
      <c r="V12" s="245"/>
      <c r="W12" s="6"/>
    </row>
    <row r="13" spans="1:23" ht="15.6">
      <c r="A13" s="238"/>
      <c r="B13" s="240"/>
      <c r="C13" s="240"/>
      <c r="D13" s="240"/>
      <c r="E13" s="240"/>
      <c r="F13" s="240"/>
      <c r="G13" s="240"/>
      <c r="H13" s="240"/>
      <c r="I13" s="240"/>
      <c r="J13" s="240"/>
      <c r="K13" s="240"/>
      <c r="L13" s="240"/>
      <c r="M13" s="240"/>
      <c r="N13" s="240"/>
      <c r="O13" s="240"/>
      <c r="P13" s="240"/>
      <c r="Q13" s="240"/>
      <c r="R13" s="240"/>
      <c r="S13" s="240"/>
      <c r="T13" s="240"/>
      <c r="U13" s="240"/>
      <c r="V13" s="241"/>
      <c r="W13" s="6"/>
    </row>
    <row r="14" spans="1:23" ht="15.6">
      <c r="A14" s="242"/>
      <c r="B14" s="287" t="s">
        <v>4</v>
      </c>
      <c r="C14" s="253"/>
      <c r="D14" s="253"/>
      <c r="E14" s="253"/>
      <c r="F14" s="253"/>
      <c r="G14" s="253"/>
      <c r="H14" s="253"/>
      <c r="I14" s="253"/>
      <c r="J14" s="253"/>
      <c r="K14" s="253"/>
      <c r="L14" s="253"/>
      <c r="M14" s="288"/>
      <c r="N14" s="288"/>
      <c r="O14" s="288"/>
      <c r="P14" s="288"/>
      <c r="Q14" s="288"/>
      <c r="R14" s="288"/>
      <c r="S14" s="288"/>
      <c r="T14" s="288"/>
      <c r="U14" s="289" t="s">
        <v>126</v>
      </c>
      <c r="V14" s="245"/>
      <c r="W14" s="6"/>
    </row>
    <row r="15" spans="1:23" ht="15.6">
      <c r="A15" s="242"/>
      <c r="B15" s="287" t="s">
        <v>5</v>
      </c>
      <c r="C15" s="253"/>
      <c r="D15" s="253"/>
      <c r="E15" s="253"/>
      <c r="F15" s="253"/>
      <c r="G15" s="253"/>
      <c r="H15" s="253"/>
      <c r="I15" s="253"/>
      <c r="J15" s="253"/>
      <c r="K15" s="253"/>
      <c r="L15" s="253"/>
      <c r="M15" s="290" t="s">
        <v>93</v>
      </c>
      <c r="N15" s="291">
        <v>0.1492</v>
      </c>
      <c r="O15" s="290" t="s">
        <v>99</v>
      </c>
      <c r="P15" s="291">
        <v>5.4399999999999997E-2</v>
      </c>
      <c r="Q15" s="290" t="s">
        <v>102</v>
      </c>
      <c r="R15" s="291">
        <v>0.48899999999999999</v>
      </c>
      <c r="S15" s="290" t="s">
        <v>108</v>
      </c>
      <c r="T15" s="291">
        <v>0.30740000000000001</v>
      </c>
      <c r="U15" s="289"/>
      <c r="V15" s="254"/>
      <c r="W15" s="6"/>
    </row>
    <row r="16" spans="1:23" ht="15.6">
      <c r="A16" s="242"/>
      <c r="B16" s="287" t="s">
        <v>6</v>
      </c>
      <c r="C16" s="253"/>
      <c r="D16" s="253"/>
      <c r="E16" s="253"/>
      <c r="F16" s="253"/>
      <c r="G16" s="253"/>
      <c r="H16" s="253"/>
      <c r="I16" s="253"/>
      <c r="J16" s="253"/>
      <c r="K16" s="253"/>
      <c r="L16" s="253"/>
      <c r="M16" s="290" t="s">
        <v>93</v>
      </c>
      <c r="N16" s="291">
        <f>+N198/S221</f>
        <v>1.7893299430239675E-2</v>
      </c>
      <c r="O16" s="290" t="s">
        <v>99</v>
      </c>
      <c r="P16" s="291">
        <f>+S198/S221</f>
        <v>5.5563403493902154E-3</v>
      </c>
      <c r="Q16" s="290" t="s">
        <v>102</v>
      </c>
      <c r="R16" s="291">
        <f>+N211/S221</f>
        <v>0.94376167380829057</v>
      </c>
      <c r="S16" s="290" t="s">
        <v>108</v>
      </c>
      <c r="T16" s="291">
        <f>+S211/S221</f>
        <v>3.2788686412079548E-2</v>
      </c>
      <c r="U16" s="289"/>
      <c r="V16" s="254"/>
      <c r="W16" s="6"/>
    </row>
    <row r="17" spans="1:23" ht="15.6">
      <c r="A17" s="242"/>
      <c r="B17" s="287" t="s">
        <v>7</v>
      </c>
      <c r="C17" s="253"/>
      <c r="D17" s="253"/>
      <c r="E17" s="253"/>
      <c r="F17" s="253"/>
      <c r="G17" s="253"/>
      <c r="H17" s="253"/>
      <c r="I17" s="253"/>
      <c r="J17" s="253"/>
      <c r="K17" s="253"/>
      <c r="L17" s="253"/>
      <c r="M17" s="288"/>
      <c r="N17" s="288"/>
      <c r="O17" s="288"/>
      <c r="P17" s="288"/>
      <c r="Q17" s="288"/>
      <c r="R17" s="288"/>
      <c r="S17" s="288"/>
      <c r="T17" s="288"/>
      <c r="U17" s="292">
        <v>38491</v>
      </c>
      <c r="V17" s="245"/>
      <c r="W17" s="6"/>
    </row>
    <row r="18" spans="1:23" ht="15.6">
      <c r="A18" s="242"/>
      <c r="B18" s="287" t="s">
        <v>8</v>
      </c>
      <c r="C18" s="253"/>
      <c r="D18" s="253"/>
      <c r="E18" s="253"/>
      <c r="F18" s="253"/>
      <c r="G18" s="253"/>
      <c r="H18" s="253"/>
      <c r="I18" s="253"/>
      <c r="J18" s="253"/>
      <c r="K18" s="253"/>
      <c r="L18" s="253"/>
      <c r="M18" s="288"/>
      <c r="N18" s="288"/>
      <c r="O18" s="288"/>
      <c r="P18" s="288"/>
      <c r="Q18" s="288"/>
      <c r="R18" s="288"/>
      <c r="S18" s="288"/>
      <c r="T18" s="288"/>
      <c r="U18" s="292">
        <v>40834</v>
      </c>
      <c r="V18" s="245"/>
      <c r="W18" s="6"/>
    </row>
    <row r="19" spans="1:23" ht="15.6">
      <c r="A19" s="242"/>
      <c r="B19" s="288"/>
      <c r="C19" s="244"/>
      <c r="D19" s="244"/>
      <c r="E19" s="244"/>
      <c r="F19" s="244"/>
      <c r="G19" s="244"/>
      <c r="H19" s="244"/>
      <c r="I19" s="244"/>
      <c r="J19" s="244"/>
      <c r="K19" s="244"/>
      <c r="L19" s="244"/>
      <c r="M19" s="244"/>
      <c r="N19" s="244"/>
      <c r="O19" s="244"/>
      <c r="P19" s="244"/>
      <c r="Q19" s="244"/>
      <c r="R19" s="244"/>
      <c r="S19" s="244"/>
      <c r="T19" s="244"/>
      <c r="U19" s="255"/>
      <c r="V19" s="245"/>
      <c r="W19" s="6"/>
    </row>
    <row r="20" spans="1:23" ht="15.6">
      <c r="A20" s="242"/>
      <c r="B20" s="293" t="s">
        <v>9</v>
      </c>
      <c r="C20" s="244"/>
      <c r="D20" s="244"/>
      <c r="E20" s="244"/>
      <c r="F20" s="244"/>
      <c r="G20" s="244"/>
      <c r="H20" s="244"/>
      <c r="I20" s="244"/>
      <c r="J20" s="244"/>
      <c r="K20" s="244"/>
      <c r="L20" s="244"/>
      <c r="M20" s="244"/>
      <c r="N20" s="244"/>
      <c r="O20" s="244"/>
      <c r="P20" s="244"/>
      <c r="Q20" s="244"/>
      <c r="R20" s="244"/>
      <c r="S20" s="255"/>
      <c r="T20" s="244"/>
      <c r="U20" s="249"/>
      <c r="V20" s="245"/>
      <c r="W20" s="6"/>
    </row>
    <row r="21" spans="1:23" ht="15.6">
      <c r="A21" s="242"/>
      <c r="B21" s="244"/>
      <c r="C21" s="244"/>
      <c r="D21" s="244"/>
      <c r="E21" s="244"/>
      <c r="F21" s="244"/>
      <c r="G21" s="244"/>
      <c r="H21" s="244"/>
      <c r="I21" s="244"/>
      <c r="J21" s="244"/>
      <c r="K21" s="244"/>
      <c r="L21" s="244"/>
      <c r="M21" s="244"/>
      <c r="N21" s="244"/>
      <c r="O21" s="244"/>
      <c r="P21" s="244"/>
      <c r="Q21" s="244"/>
      <c r="R21" s="244"/>
      <c r="S21" s="244"/>
      <c r="T21" s="244"/>
      <c r="U21" s="256"/>
      <c r="V21" s="245"/>
      <c r="W21" s="6"/>
    </row>
    <row r="22" spans="1:23" ht="15.6">
      <c r="A22" s="230"/>
      <c r="B22" s="231"/>
      <c r="C22" s="232" t="s">
        <v>130</v>
      </c>
      <c r="D22" s="232"/>
      <c r="E22" s="232" t="s">
        <v>131</v>
      </c>
      <c r="F22" s="232"/>
      <c r="G22" s="232" t="s">
        <v>132</v>
      </c>
      <c r="H22" s="232"/>
      <c r="I22" s="232" t="s">
        <v>133</v>
      </c>
      <c r="J22" s="232"/>
      <c r="K22" s="232" t="s">
        <v>134</v>
      </c>
      <c r="L22" s="232"/>
      <c r="M22" s="233" t="s">
        <v>135</v>
      </c>
      <c r="N22" s="233"/>
      <c r="O22" s="233" t="s">
        <v>136</v>
      </c>
      <c r="P22" s="233"/>
      <c r="Q22" s="233" t="s">
        <v>137</v>
      </c>
      <c r="R22" s="233"/>
      <c r="S22" s="235"/>
      <c r="T22" s="236"/>
      <c r="U22" s="236"/>
      <c r="V22" s="237"/>
      <c r="W22" s="6"/>
    </row>
    <row r="23" spans="1:23" ht="15.6">
      <c r="A23" s="257"/>
      <c r="B23" s="294" t="s">
        <v>10</v>
      </c>
      <c r="C23" s="295" t="s">
        <v>96</v>
      </c>
      <c r="D23" s="295"/>
      <c r="E23" s="295" t="s">
        <v>96</v>
      </c>
      <c r="F23" s="295"/>
      <c r="G23" s="295" t="s">
        <v>138</v>
      </c>
      <c r="H23" s="295"/>
      <c r="I23" s="295" t="s">
        <v>138</v>
      </c>
      <c r="J23" s="295"/>
      <c r="K23" s="295" t="s">
        <v>104</v>
      </c>
      <c r="L23" s="296"/>
      <c r="M23" s="297" t="s">
        <v>104</v>
      </c>
      <c r="N23" s="297"/>
      <c r="O23" s="297" t="s">
        <v>109</v>
      </c>
      <c r="P23" s="297"/>
      <c r="Q23" s="297" t="s">
        <v>109</v>
      </c>
      <c r="R23" s="258"/>
      <c r="S23" s="258"/>
      <c r="T23" s="259"/>
      <c r="U23" s="259"/>
      <c r="V23" s="260"/>
      <c r="W23" s="6"/>
    </row>
    <row r="24" spans="1:23" ht="15.6">
      <c r="A24" s="378"/>
      <c r="B24" s="379" t="s">
        <v>11</v>
      </c>
      <c r="C24" s="380" t="s">
        <v>97</v>
      </c>
      <c r="D24" s="380"/>
      <c r="E24" s="380" t="s">
        <v>97</v>
      </c>
      <c r="F24" s="380"/>
      <c r="G24" s="380" t="s">
        <v>139</v>
      </c>
      <c r="H24" s="380"/>
      <c r="I24" s="380" t="s">
        <v>139</v>
      </c>
      <c r="J24" s="380"/>
      <c r="K24" s="380" t="s">
        <v>105</v>
      </c>
      <c r="L24" s="381"/>
      <c r="M24" s="382" t="s">
        <v>105</v>
      </c>
      <c r="N24" s="382"/>
      <c r="O24" s="382" t="s">
        <v>110</v>
      </c>
      <c r="P24" s="382"/>
      <c r="Q24" s="382" t="s">
        <v>110</v>
      </c>
      <c r="R24" s="383"/>
      <c r="S24" s="383"/>
      <c r="T24" s="384"/>
      <c r="U24" s="384"/>
      <c r="V24" s="385"/>
      <c r="W24" s="6"/>
    </row>
    <row r="25" spans="1:23" ht="15.6">
      <c r="A25" s="378"/>
      <c r="B25" s="386" t="s">
        <v>12</v>
      </c>
      <c r="C25" s="381" t="s">
        <v>96</v>
      </c>
      <c r="D25" s="381"/>
      <c r="E25" s="381" t="s">
        <v>96</v>
      </c>
      <c r="F25" s="381"/>
      <c r="G25" s="381" t="s">
        <v>138</v>
      </c>
      <c r="H25" s="381"/>
      <c r="I25" s="381" t="s">
        <v>138</v>
      </c>
      <c r="J25" s="386"/>
      <c r="K25" s="381" t="s">
        <v>104</v>
      </c>
      <c r="L25" s="386"/>
      <c r="M25" s="387" t="s">
        <v>104</v>
      </c>
      <c r="N25" s="382"/>
      <c r="O25" s="387" t="s">
        <v>109</v>
      </c>
      <c r="P25" s="382"/>
      <c r="Q25" s="387" t="s">
        <v>109</v>
      </c>
      <c r="R25" s="388"/>
      <c r="S25" s="388"/>
      <c r="T25" s="389"/>
      <c r="U25" s="384"/>
      <c r="V25" s="385"/>
      <c r="W25" s="6"/>
    </row>
    <row r="26" spans="1:23" ht="15.6">
      <c r="A26" s="378"/>
      <c r="B26" s="386" t="s">
        <v>13</v>
      </c>
      <c r="C26" s="381" t="s">
        <v>275</v>
      </c>
      <c r="D26" s="381"/>
      <c r="E26" s="381" t="s">
        <v>275</v>
      </c>
      <c r="F26" s="381"/>
      <c r="G26" s="381" t="s">
        <v>275</v>
      </c>
      <c r="H26" s="381"/>
      <c r="I26" s="381" t="s">
        <v>275</v>
      </c>
      <c r="J26" s="386"/>
      <c r="K26" s="381" t="s">
        <v>105</v>
      </c>
      <c r="L26" s="386"/>
      <c r="M26" s="387" t="s">
        <v>105</v>
      </c>
      <c r="N26" s="382"/>
      <c r="O26" s="387" t="s">
        <v>110</v>
      </c>
      <c r="P26" s="382"/>
      <c r="Q26" s="387" t="s">
        <v>110</v>
      </c>
      <c r="R26" s="388"/>
      <c r="S26" s="388"/>
      <c r="T26" s="389"/>
      <c r="U26" s="384"/>
      <c r="V26" s="385"/>
      <c r="W26" s="6"/>
    </row>
    <row r="27" spans="1:23" ht="15.6">
      <c r="A27" s="378"/>
      <c r="B27" s="379" t="s">
        <v>14</v>
      </c>
      <c r="C27" s="380" t="s">
        <v>140</v>
      </c>
      <c r="D27" s="379"/>
      <c r="E27" s="380" t="s">
        <v>141</v>
      </c>
      <c r="F27" s="379"/>
      <c r="G27" s="380" t="s">
        <v>142</v>
      </c>
      <c r="H27" s="379"/>
      <c r="I27" s="380" t="s">
        <v>258</v>
      </c>
      <c r="J27" s="379"/>
      <c r="K27" s="380" t="s">
        <v>143</v>
      </c>
      <c r="L27" s="379"/>
      <c r="M27" s="379" t="s">
        <v>144</v>
      </c>
      <c r="N27" s="382"/>
      <c r="O27" s="379" t="s">
        <v>145</v>
      </c>
      <c r="P27" s="382"/>
      <c r="Q27" s="379" t="s">
        <v>146</v>
      </c>
      <c r="R27" s="383"/>
      <c r="S27" s="390"/>
      <c r="T27" s="384"/>
      <c r="U27" s="384"/>
      <c r="V27" s="385"/>
      <c r="W27" s="6"/>
    </row>
    <row r="28" spans="1:23" ht="15.6">
      <c r="A28" s="378"/>
      <c r="B28" s="379" t="s">
        <v>147</v>
      </c>
      <c r="C28" s="391">
        <v>146000</v>
      </c>
      <c r="D28" s="380"/>
      <c r="E28" s="392">
        <v>259500</v>
      </c>
      <c r="F28" s="380"/>
      <c r="G28" s="391">
        <v>16000</v>
      </c>
      <c r="H28" s="380"/>
      <c r="I28" s="392">
        <v>35500</v>
      </c>
      <c r="J28" s="379"/>
      <c r="K28" s="391">
        <v>18000</v>
      </c>
      <c r="L28" s="379"/>
      <c r="M28" s="392">
        <v>33000</v>
      </c>
      <c r="N28" s="393"/>
      <c r="O28" s="394">
        <v>24500</v>
      </c>
      <c r="P28" s="394"/>
      <c r="Q28" s="392">
        <v>30000</v>
      </c>
      <c r="R28" s="395"/>
      <c r="S28" s="395"/>
      <c r="T28" s="396"/>
      <c r="U28" s="395"/>
      <c r="V28" s="397"/>
      <c r="W28" s="6"/>
    </row>
    <row r="29" spans="1:23" ht="15.6">
      <c r="A29" s="378"/>
      <c r="B29" s="379" t="s">
        <v>15</v>
      </c>
      <c r="C29" s="391">
        <f>C28*C35</f>
        <v>40082.489600000001</v>
      </c>
      <c r="D29" s="398"/>
      <c r="E29" s="392">
        <f>E28*E35</f>
        <v>71242.507199999993</v>
      </c>
      <c r="F29" s="398"/>
      <c r="G29" s="391">
        <f>G28*G35</f>
        <v>14389.0208</v>
      </c>
      <c r="H29" s="398"/>
      <c r="I29" s="392">
        <f>I28*I35</f>
        <v>31925.639900000002</v>
      </c>
      <c r="J29" s="399"/>
      <c r="K29" s="391">
        <f>K28*K35</f>
        <v>16187.6484</v>
      </c>
      <c r="L29" s="399"/>
      <c r="M29" s="392">
        <f>M28*M35</f>
        <v>29677.3554</v>
      </c>
      <c r="N29" s="393"/>
      <c r="O29" s="391">
        <f>O28*O35</f>
        <v>22033.188100000003</v>
      </c>
      <c r="P29" s="394"/>
      <c r="Q29" s="392">
        <f>Q28*Q35</f>
        <v>26979.414000000001</v>
      </c>
      <c r="R29" s="400"/>
      <c r="S29" s="395"/>
      <c r="T29" s="396"/>
      <c r="U29" s="395"/>
      <c r="V29" s="397"/>
      <c r="W29" s="6"/>
    </row>
    <row r="30" spans="1:23" ht="15.6">
      <c r="A30" s="401"/>
      <c r="B30" s="386" t="s">
        <v>148</v>
      </c>
      <c r="C30" s="415">
        <f>C34*C28</f>
        <v>37876.604800000001</v>
      </c>
      <c r="D30" s="505"/>
      <c r="E30" s="406">
        <f>E34*E28</f>
        <v>67321.7736</v>
      </c>
      <c r="F30" s="505"/>
      <c r="G30" s="415">
        <f>G34*G28</f>
        <v>13597.222400000001</v>
      </c>
      <c r="H30" s="505"/>
      <c r="I30" s="406">
        <f>I34*I28</f>
        <v>30168.837199999998</v>
      </c>
      <c r="J30" s="506"/>
      <c r="K30" s="415">
        <f>K34*K28</f>
        <v>15296.8752</v>
      </c>
      <c r="L30" s="399"/>
      <c r="M30" s="406">
        <f>M34*M28</f>
        <v>28044.271199999999</v>
      </c>
      <c r="N30" s="407"/>
      <c r="O30" s="415">
        <f>O34*O28</f>
        <v>20820.746800000001</v>
      </c>
      <c r="P30" s="408"/>
      <c r="Q30" s="406">
        <f>Q34*Q28</f>
        <v>25494.791999999998</v>
      </c>
      <c r="R30" s="408"/>
      <c r="S30" s="408"/>
      <c r="T30" s="409"/>
      <c r="U30" s="408"/>
      <c r="V30" s="410"/>
      <c r="W30" s="6"/>
    </row>
    <row r="31" spans="1:23" ht="15.6">
      <c r="A31" s="401"/>
      <c r="B31" s="379" t="s">
        <v>260</v>
      </c>
      <c r="C31" s="391">
        <v>146000</v>
      </c>
      <c r="D31" s="398"/>
      <c r="E31" s="391">
        <v>178000</v>
      </c>
      <c r="F31" s="391"/>
      <c r="G31" s="391">
        <v>16000</v>
      </c>
      <c r="H31" s="391"/>
      <c r="I31" s="391">
        <v>24500</v>
      </c>
      <c r="J31" s="412"/>
      <c r="K31" s="391">
        <v>18000</v>
      </c>
      <c r="L31" s="412"/>
      <c r="M31" s="391">
        <v>22500</v>
      </c>
      <c r="N31" s="414"/>
      <c r="O31" s="391">
        <v>24500</v>
      </c>
      <c r="P31" s="415"/>
      <c r="Q31" s="391">
        <v>20500</v>
      </c>
      <c r="R31" s="408"/>
      <c r="S31" s="408"/>
      <c r="T31" s="409"/>
      <c r="U31" s="394">
        <f>+Q31+O31+M31+K31+I31+G31+E31+C31</f>
        <v>450000</v>
      </c>
      <c r="V31" s="410"/>
      <c r="W31" s="6"/>
    </row>
    <row r="32" spans="1:23" ht="15.6">
      <c r="A32" s="401"/>
      <c r="B32" s="379" t="s">
        <v>261</v>
      </c>
      <c r="C32" s="391">
        <f>C28*C35</f>
        <v>40082.489600000001</v>
      </c>
      <c r="D32" s="398"/>
      <c r="E32" s="391">
        <f>E31*E35</f>
        <v>48867.692799999997</v>
      </c>
      <c r="F32" s="391"/>
      <c r="G32" s="391">
        <f>G28*G35</f>
        <v>14389.0208</v>
      </c>
      <c r="H32" s="391"/>
      <c r="I32" s="391">
        <f>I31*I35</f>
        <v>22033.188100000003</v>
      </c>
      <c r="J32" s="412"/>
      <c r="K32" s="391">
        <f>K28*K35</f>
        <v>16187.6484</v>
      </c>
      <c r="L32" s="412"/>
      <c r="M32" s="391">
        <f>M31*M35</f>
        <v>20234.5605</v>
      </c>
      <c r="N32" s="414"/>
      <c r="O32" s="391">
        <f>O28*O35</f>
        <v>22033.188100000003</v>
      </c>
      <c r="P32" s="415"/>
      <c r="Q32" s="391">
        <f>Q31*Q35</f>
        <v>18435.9329</v>
      </c>
      <c r="R32" s="391"/>
      <c r="S32" s="408"/>
      <c r="T32" s="409"/>
      <c r="U32" s="394">
        <f>+Q32+O32+M32+K32+I32+G32+E32+C32</f>
        <v>202263.7212</v>
      </c>
      <c r="V32" s="410"/>
      <c r="W32" s="6"/>
    </row>
    <row r="33" spans="1:23" ht="15.6">
      <c r="A33" s="401"/>
      <c r="B33" s="386" t="s">
        <v>262</v>
      </c>
      <c r="C33" s="415">
        <f>C34*C28</f>
        <v>37876.604800000001</v>
      </c>
      <c r="D33" s="415"/>
      <c r="E33" s="415">
        <f>E34*E31</f>
        <v>46178.326400000005</v>
      </c>
      <c r="F33" s="415"/>
      <c r="G33" s="415">
        <f>G34*G28</f>
        <v>13597.222400000001</v>
      </c>
      <c r="H33" s="415"/>
      <c r="I33" s="415">
        <f>I34*I31</f>
        <v>20820.746800000001</v>
      </c>
      <c r="J33" s="414"/>
      <c r="K33" s="415">
        <f>K34*K28</f>
        <v>15296.8752</v>
      </c>
      <c r="L33" s="414"/>
      <c r="M33" s="415">
        <f>M34*M31</f>
        <v>19121.094000000001</v>
      </c>
      <c r="N33" s="414"/>
      <c r="O33" s="415">
        <f>O34*O28</f>
        <v>20820.746800000001</v>
      </c>
      <c r="P33" s="415"/>
      <c r="Q33" s="415">
        <f>Q34*Q31</f>
        <v>17421.441200000001</v>
      </c>
      <c r="R33" s="408"/>
      <c r="S33" s="408"/>
      <c r="T33" s="409"/>
      <c r="U33" s="408">
        <f>+Q33+O33+M33+K33+I33+G33+E33+C33</f>
        <v>191133.05760000003</v>
      </c>
      <c r="V33" s="410"/>
      <c r="W33" s="6"/>
    </row>
    <row r="34" spans="1:23" ht="15.6">
      <c r="A34" s="401"/>
      <c r="B34" s="468" t="s">
        <v>149</v>
      </c>
      <c r="C34" s="507">
        <v>0.25942880000000001</v>
      </c>
      <c r="D34" s="507"/>
      <c r="E34" s="507">
        <v>0.25942880000000001</v>
      </c>
      <c r="F34" s="507"/>
      <c r="G34" s="507">
        <v>0.84982639999999998</v>
      </c>
      <c r="H34" s="507"/>
      <c r="I34" s="507">
        <v>0.84982639999999998</v>
      </c>
      <c r="J34" s="507"/>
      <c r="K34" s="507">
        <v>0.84982639999999998</v>
      </c>
      <c r="L34" s="507"/>
      <c r="M34" s="507">
        <v>0.84982639999999998</v>
      </c>
      <c r="N34" s="507"/>
      <c r="O34" s="507">
        <v>0.84982639999999998</v>
      </c>
      <c r="P34" s="507"/>
      <c r="Q34" s="507">
        <v>0.84982639999999998</v>
      </c>
      <c r="R34" s="508"/>
      <c r="S34" s="420"/>
      <c r="T34" s="421"/>
      <c r="U34" s="420"/>
      <c r="V34" s="385"/>
      <c r="W34" s="6"/>
    </row>
    <row r="35" spans="1:23" ht="15.6">
      <c r="A35" s="401"/>
      <c r="B35" s="468" t="s">
        <v>150</v>
      </c>
      <c r="C35" s="507">
        <v>0.27453759999999999</v>
      </c>
      <c r="D35" s="507"/>
      <c r="E35" s="507">
        <v>0.27453759999999999</v>
      </c>
      <c r="F35" s="507"/>
      <c r="G35" s="507">
        <v>0.89931380000000005</v>
      </c>
      <c r="H35" s="507"/>
      <c r="I35" s="507">
        <v>0.89931380000000005</v>
      </c>
      <c r="J35" s="507"/>
      <c r="K35" s="507">
        <v>0.89931380000000005</v>
      </c>
      <c r="L35" s="507"/>
      <c r="M35" s="507">
        <v>0.89931380000000005</v>
      </c>
      <c r="N35" s="507"/>
      <c r="O35" s="507">
        <v>0.89931380000000005</v>
      </c>
      <c r="P35" s="507"/>
      <c r="Q35" s="507">
        <v>0.89931380000000005</v>
      </c>
      <c r="R35" s="508"/>
      <c r="S35" s="420"/>
      <c r="T35" s="421"/>
      <c r="U35" s="420"/>
      <c r="V35" s="385"/>
      <c r="W35" s="6"/>
    </row>
    <row r="36" spans="1:23" ht="15.6">
      <c r="A36" s="378"/>
      <c r="B36" s="379" t="s">
        <v>153</v>
      </c>
      <c r="C36" s="380" t="s">
        <v>163</v>
      </c>
      <c r="D36" s="380"/>
      <c r="E36" s="380" t="s">
        <v>163</v>
      </c>
      <c r="F36" s="380"/>
      <c r="G36" s="380" t="s">
        <v>164</v>
      </c>
      <c r="H36" s="380"/>
      <c r="I36" s="380" t="s">
        <v>164</v>
      </c>
      <c r="J36" s="380"/>
      <c r="K36" s="380" t="s">
        <v>106</v>
      </c>
      <c r="L36" s="380"/>
      <c r="M36" s="380" t="s">
        <v>165</v>
      </c>
      <c r="N36" s="380"/>
      <c r="O36" s="380" t="s">
        <v>166</v>
      </c>
      <c r="P36" s="380"/>
      <c r="Q36" s="380" t="s">
        <v>167</v>
      </c>
      <c r="R36" s="380"/>
      <c r="S36" s="380"/>
      <c r="T36" s="379"/>
      <c r="U36" s="424"/>
      <c r="V36" s="410"/>
      <c r="W36" s="6"/>
    </row>
    <row r="37" spans="1:23" ht="15.6">
      <c r="A37" s="378"/>
      <c r="B37" s="379" t="s">
        <v>151</v>
      </c>
      <c r="C37" s="509">
        <v>1.26719E-2</v>
      </c>
      <c r="D37" s="509"/>
      <c r="E37" s="509">
        <v>2.0449999999999999E-2</v>
      </c>
      <c r="F37" s="509"/>
      <c r="G37" s="509">
        <v>1.48719E-2</v>
      </c>
      <c r="H37" s="509"/>
      <c r="I37" s="509">
        <v>2.265E-2</v>
      </c>
      <c r="J37" s="509"/>
      <c r="K37" s="509">
        <v>2.0271899999999999E-2</v>
      </c>
      <c r="L37" s="509"/>
      <c r="M37" s="509">
        <v>2.7449999999999999E-2</v>
      </c>
      <c r="N37" s="509"/>
      <c r="O37" s="509">
        <v>2.7271900000000002E-2</v>
      </c>
      <c r="P37" s="509"/>
      <c r="Q37" s="509">
        <v>3.4049999999999997E-2</v>
      </c>
      <c r="R37" s="427"/>
      <c r="S37" s="509"/>
      <c r="T37" s="379"/>
      <c r="U37" s="380"/>
      <c r="V37" s="410"/>
      <c r="W37" s="6"/>
    </row>
    <row r="38" spans="1:23" ht="15.6">
      <c r="A38" s="378"/>
      <c r="B38" s="379" t="s">
        <v>152</v>
      </c>
      <c r="C38" s="509">
        <v>1.25938E-2</v>
      </c>
      <c r="D38" s="509"/>
      <c r="E38" s="509">
        <v>1.7670000000000002E-2</v>
      </c>
      <c r="F38" s="509"/>
      <c r="G38" s="509">
        <v>1.4793799999999999E-2</v>
      </c>
      <c r="H38" s="509"/>
      <c r="I38" s="509">
        <v>1.9869999999999999E-2</v>
      </c>
      <c r="J38" s="509"/>
      <c r="K38" s="509">
        <v>2.0193800000000001E-2</v>
      </c>
      <c r="L38" s="509"/>
      <c r="M38" s="509">
        <v>2.4670000000000001E-2</v>
      </c>
      <c r="N38" s="509"/>
      <c r="O38" s="509">
        <v>2.7193800000000001E-2</v>
      </c>
      <c r="P38" s="509"/>
      <c r="Q38" s="509">
        <v>3.1269999999999999E-2</v>
      </c>
      <c r="R38" s="427"/>
      <c r="S38" s="509"/>
      <c r="T38" s="379"/>
      <c r="U38" s="424"/>
      <c r="V38" s="410"/>
      <c r="W38" s="6"/>
    </row>
    <row r="39" spans="1:23" ht="15.6">
      <c r="A39" s="378"/>
      <c r="B39" s="379" t="s">
        <v>263</v>
      </c>
      <c r="C39" s="380" t="s">
        <v>163</v>
      </c>
      <c r="D39" s="379"/>
      <c r="E39" s="380" t="s">
        <v>228</v>
      </c>
      <c r="F39" s="379"/>
      <c r="G39" s="380" t="s">
        <v>164</v>
      </c>
      <c r="H39" s="379"/>
      <c r="I39" s="380" t="s">
        <v>226</v>
      </c>
      <c r="J39" s="379"/>
      <c r="K39" s="380" t="s">
        <v>106</v>
      </c>
      <c r="L39" s="379"/>
      <c r="M39" s="380" t="s">
        <v>227</v>
      </c>
      <c r="N39" s="379"/>
      <c r="O39" s="380" t="s">
        <v>166</v>
      </c>
      <c r="P39" s="380"/>
      <c r="Q39" s="380" t="s">
        <v>229</v>
      </c>
      <c r="R39" s="427"/>
      <c r="S39" s="509"/>
      <c r="T39" s="379"/>
      <c r="U39" s="424"/>
      <c r="V39" s="410"/>
      <c r="W39" s="6"/>
    </row>
    <row r="40" spans="1:23" ht="15.6">
      <c r="A40" s="378"/>
      <c r="B40" s="379" t="s">
        <v>264</v>
      </c>
      <c r="C40" s="509">
        <f>+C37</f>
        <v>1.26719E-2</v>
      </c>
      <c r="D40" s="509"/>
      <c r="E40" s="509">
        <v>1.32479E-2</v>
      </c>
      <c r="F40" s="509"/>
      <c r="G40" s="509">
        <f>+G37</f>
        <v>1.48719E-2</v>
      </c>
      <c r="H40" s="509"/>
      <c r="I40" s="509">
        <v>1.56049E-2</v>
      </c>
      <c r="J40" s="509"/>
      <c r="K40" s="509">
        <f>+K37</f>
        <v>2.0271899999999999E-2</v>
      </c>
      <c r="L40" s="510"/>
      <c r="M40" s="509">
        <v>2.0832300000000002E-2</v>
      </c>
      <c r="N40" s="510"/>
      <c r="O40" s="509">
        <f>+O37</f>
        <v>2.7271900000000002E-2</v>
      </c>
      <c r="P40" s="509"/>
      <c r="Q40" s="509">
        <v>2.80983E-2</v>
      </c>
      <c r="R40" s="427"/>
      <c r="S40" s="509"/>
      <c r="T40" s="379"/>
      <c r="U40" s="427">
        <f>SUMPRODUCT(C40:Q40,C32:Q32)/U32</f>
        <v>1.7708195329480272E-2</v>
      </c>
      <c r="V40" s="410"/>
      <c r="W40" s="6"/>
    </row>
    <row r="41" spans="1:23" ht="15.6">
      <c r="A41" s="378"/>
      <c r="B41" s="379" t="s">
        <v>265</v>
      </c>
      <c r="C41" s="509">
        <f>+C38</f>
        <v>1.25938E-2</v>
      </c>
      <c r="D41" s="509"/>
      <c r="E41" s="509">
        <v>1.3169800000000001E-2</v>
      </c>
      <c r="F41" s="509"/>
      <c r="G41" s="509">
        <f>+G38</f>
        <v>1.4793799999999999E-2</v>
      </c>
      <c r="H41" s="509"/>
      <c r="I41" s="509">
        <v>1.55268E-2</v>
      </c>
      <c r="J41" s="509"/>
      <c r="K41" s="509">
        <f>+K38</f>
        <v>2.0193800000000001E-2</v>
      </c>
      <c r="L41" s="510"/>
      <c r="M41" s="509">
        <v>2.07542E-2</v>
      </c>
      <c r="N41" s="510"/>
      <c r="O41" s="509">
        <f>+O38</f>
        <v>2.7193800000000001E-2</v>
      </c>
      <c r="P41" s="509"/>
      <c r="Q41" s="509">
        <v>2.8020199999999999E-2</v>
      </c>
      <c r="R41" s="427"/>
      <c r="S41" s="509"/>
      <c r="T41" s="379"/>
      <c r="U41" s="424"/>
      <c r="V41" s="410"/>
      <c r="W41" s="6"/>
    </row>
    <row r="42" spans="1:23" ht="15.6">
      <c r="A42" s="378"/>
      <c r="B42" s="379" t="s">
        <v>17</v>
      </c>
      <c r="C42" s="429">
        <v>39918</v>
      </c>
      <c r="D42" s="429"/>
      <c r="E42" s="429">
        <v>39918</v>
      </c>
      <c r="F42" s="429"/>
      <c r="G42" s="429">
        <v>39918</v>
      </c>
      <c r="H42" s="429"/>
      <c r="I42" s="429">
        <v>39918</v>
      </c>
      <c r="J42" s="429"/>
      <c r="K42" s="429">
        <v>39918</v>
      </c>
      <c r="L42" s="429"/>
      <c r="M42" s="429">
        <v>39918</v>
      </c>
      <c r="N42" s="429"/>
      <c r="O42" s="429">
        <v>39918</v>
      </c>
      <c r="P42" s="429"/>
      <c r="Q42" s="429">
        <v>39918</v>
      </c>
      <c r="R42" s="380"/>
      <c r="S42" s="380"/>
      <c r="T42" s="379"/>
      <c r="U42" s="424"/>
      <c r="V42" s="410"/>
      <c r="W42" s="6"/>
    </row>
    <row r="43" spans="1:23" ht="15.6">
      <c r="A43" s="378"/>
      <c r="B43" s="379" t="s">
        <v>18</v>
      </c>
      <c r="C43" s="429">
        <v>40283</v>
      </c>
      <c r="D43" s="430"/>
      <c r="E43" s="429">
        <v>40283</v>
      </c>
      <c r="F43" s="430"/>
      <c r="G43" s="429">
        <v>40283</v>
      </c>
      <c r="H43" s="430"/>
      <c r="I43" s="429">
        <v>40283</v>
      </c>
      <c r="J43" s="430"/>
      <c r="K43" s="429">
        <v>40283</v>
      </c>
      <c r="L43" s="430"/>
      <c r="M43" s="429">
        <v>40283</v>
      </c>
      <c r="N43" s="430"/>
      <c r="O43" s="429">
        <v>40283</v>
      </c>
      <c r="P43" s="429"/>
      <c r="Q43" s="429">
        <v>40283</v>
      </c>
      <c r="R43" s="380"/>
      <c r="S43" s="380"/>
      <c r="T43" s="424"/>
      <c r="U43" s="424"/>
      <c r="V43" s="410"/>
      <c r="W43" s="6"/>
    </row>
    <row r="44" spans="1:23" ht="15.6">
      <c r="A44" s="378"/>
      <c r="B44" s="379" t="s">
        <v>154</v>
      </c>
      <c r="C44" s="380" t="s">
        <v>163</v>
      </c>
      <c r="D44" s="380"/>
      <c r="E44" s="380" t="s">
        <v>163</v>
      </c>
      <c r="F44" s="380"/>
      <c r="G44" s="380" t="s">
        <v>164</v>
      </c>
      <c r="H44" s="380"/>
      <c r="I44" s="380" t="s">
        <v>164</v>
      </c>
      <c r="J44" s="380"/>
      <c r="K44" s="380" t="s">
        <v>106</v>
      </c>
      <c r="L44" s="380"/>
      <c r="M44" s="380" t="s">
        <v>165</v>
      </c>
      <c r="N44" s="380"/>
      <c r="O44" s="380" t="s">
        <v>166</v>
      </c>
      <c r="P44" s="380"/>
      <c r="Q44" s="380" t="s">
        <v>167</v>
      </c>
      <c r="R44" s="380"/>
      <c r="S44" s="380"/>
      <c r="T44" s="424"/>
      <c r="U44" s="424"/>
      <c r="V44" s="410"/>
      <c r="W44" s="6"/>
    </row>
    <row r="45" spans="1:23" ht="15.6">
      <c r="A45" s="378"/>
      <c r="B45" s="379" t="s">
        <v>266</v>
      </c>
      <c r="C45" s="380" t="s">
        <v>163</v>
      </c>
      <c r="D45" s="379"/>
      <c r="E45" s="380" t="s">
        <v>228</v>
      </c>
      <c r="F45" s="379"/>
      <c r="G45" s="380" t="s">
        <v>164</v>
      </c>
      <c r="H45" s="379"/>
      <c r="I45" s="380" t="s">
        <v>226</v>
      </c>
      <c r="J45" s="379"/>
      <c r="K45" s="380" t="s">
        <v>106</v>
      </c>
      <c r="L45" s="379"/>
      <c r="M45" s="380" t="s">
        <v>227</v>
      </c>
      <c r="N45" s="379"/>
      <c r="O45" s="380" t="s">
        <v>166</v>
      </c>
      <c r="P45" s="380"/>
      <c r="Q45" s="380" t="s">
        <v>229</v>
      </c>
      <c r="R45" s="380"/>
      <c r="S45" s="380"/>
      <c r="T45" s="424"/>
      <c r="U45" s="424"/>
      <c r="V45" s="410"/>
      <c r="W45" s="6"/>
    </row>
    <row r="46" spans="1:23" ht="15.6">
      <c r="A46" s="378"/>
      <c r="B46" s="379"/>
      <c r="C46" s="379"/>
      <c r="D46" s="379"/>
      <c r="E46" s="379"/>
      <c r="F46" s="379"/>
      <c r="G46" s="379"/>
      <c r="H46" s="379"/>
      <c r="I46" s="379"/>
      <c r="J46" s="379"/>
      <c r="K46" s="379"/>
      <c r="L46" s="379"/>
      <c r="M46" s="431"/>
      <c r="N46" s="431"/>
      <c r="O46" s="379"/>
      <c r="P46" s="431"/>
      <c r="Q46" s="431"/>
      <c r="R46" s="431"/>
      <c r="S46" s="431"/>
      <c r="T46" s="431"/>
      <c r="U46" s="431"/>
      <c r="V46" s="410"/>
      <c r="W46" s="6"/>
    </row>
    <row r="47" spans="1:23" ht="15.6">
      <c r="A47" s="378"/>
      <c r="B47" s="379" t="s">
        <v>201</v>
      </c>
      <c r="C47" s="379"/>
      <c r="D47" s="379"/>
      <c r="E47" s="379"/>
      <c r="F47" s="379"/>
      <c r="G47" s="379"/>
      <c r="H47" s="379"/>
      <c r="I47" s="379"/>
      <c r="J47" s="379"/>
      <c r="K47" s="379"/>
      <c r="L47" s="379"/>
      <c r="M47" s="379"/>
      <c r="N47" s="379"/>
      <c r="O47" s="379"/>
      <c r="P47" s="379"/>
      <c r="Q47" s="379"/>
      <c r="R47" s="379"/>
      <c r="S47" s="379"/>
      <c r="T47" s="379"/>
      <c r="U47" s="427">
        <f>SUM(G31:Q31)/(C31+E31)</f>
        <v>0.3888888888888889</v>
      </c>
      <c r="V47" s="410"/>
      <c r="W47" s="6"/>
    </row>
    <row r="48" spans="1:23" ht="15.6">
      <c r="A48" s="378"/>
      <c r="B48" s="379" t="s">
        <v>202</v>
      </c>
      <c r="C48" s="379"/>
      <c r="D48" s="379"/>
      <c r="E48" s="379"/>
      <c r="F48" s="379"/>
      <c r="G48" s="379"/>
      <c r="H48" s="379"/>
      <c r="I48" s="379"/>
      <c r="J48" s="379"/>
      <c r="K48" s="379"/>
      <c r="L48" s="379"/>
      <c r="M48" s="379"/>
      <c r="N48" s="379"/>
      <c r="O48" s="379"/>
      <c r="P48" s="379"/>
      <c r="Q48" s="379"/>
      <c r="R48" s="379"/>
      <c r="S48" s="379"/>
      <c r="T48" s="379"/>
      <c r="U48" s="427">
        <f>SUM(F33:Q33)/(C33+E33)</f>
        <v>1.2739065379188603</v>
      </c>
      <c r="V48" s="410"/>
      <c r="W48" s="6"/>
    </row>
    <row r="49" spans="1:23" ht="15.6">
      <c r="A49" s="378"/>
      <c r="B49" s="379" t="s">
        <v>203</v>
      </c>
      <c r="C49" s="379"/>
      <c r="D49" s="379"/>
      <c r="E49" s="379"/>
      <c r="F49" s="379"/>
      <c r="G49" s="379"/>
      <c r="H49" s="379"/>
      <c r="I49" s="379"/>
      <c r="J49" s="379"/>
      <c r="K49" s="379"/>
      <c r="L49" s="379"/>
      <c r="M49" s="379"/>
      <c r="N49" s="379"/>
      <c r="O49" s="379"/>
      <c r="P49" s="379"/>
      <c r="Q49" s="379"/>
      <c r="R49" s="379"/>
      <c r="S49" s="380" t="s">
        <v>95</v>
      </c>
      <c r="T49" s="380" t="s">
        <v>117</v>
      </c>
      <c r="U49" s="394">
        <v>99000</v>
      </c>
      <c r="V49" s="410"/>
      <c r="W49" s="6"/>
    </row>
    <row r="50" spans="1:23" ht="15.6">
      <c r="A50" s="378"/>
      <c r="B50" s="379"/>
      <c r="C50" s="379"/>
      <c r="D50" s="379"/>
      <c r="E50" s="379"/>
      <c r="F50" s="379"/>
      <c r="G50" s="379"/>
      <c r="H50" s="379"/>
      <c r="I50" s="379"/>
      <c r="J50" s="379"/>
      <c r="K50" s="379"/>
      <c r="L50" s="379"/>
      <c r="M50" s="379"/>
      <c r="N50" s="379"/>
      <c r="O50" s="379"/>
      <c r="P50" s="379"/>
      <c r="Q50" s="379"/>
      <c r="R50" s="379"/>
      <c r="S50" s="379" t="s">
        <v>213</v>
      </c>
      <c r="T50" s="379"/>
      <c r="U50" s="432"/>
      <c r="V50" s="410"/>
      <c r="W50" s="6"/>
    </row>
    <row r="51" spans="1:23" ht="15.6">
      <c r="A51" s="378"/>
      <c r="B51" s="379" t="s">
        <v>19</v>
      </c>
      <c r="C51" s="379"/>
      <c r="D51" s="379"/>
      <c r="E51" s="379"/>
      <c r="F51" s="379"/>
      <c r="G51" s="379"/>
      <c r="H51" s="379"/>
      <c r="I51" s="379"/>
      <c r="J51" s="379"/>
      <c r="K51" s="379"/>
      <c r="L51" s="379"/>
      <c r="M51" s="379"/>
      <c r="N51" s="379"/>
      <c r="O51" s="379"/>
      <c r="P51" s="379"/>
      <c r="Q51" s="379"/>
      <c r="R51" s="379"/>
      <c r="S51" s="380"/>
      <c r="T51" s="380"/>
      <c r="U51" s="380" t="s">
        <v>118</v>
      </c>
      <c r="V51" s="410"/>
      <c r="W51" s="6"/>
    </row>
    <row r="52" spans="1:23" ht="15.6">
      <c r="A52" s="401"/>
      <c r="B52" s="386" t="s">
        <v>20</v>
      </c>
      <c r="C52" s="386"/>
      <c r="D52" s="386"/>
      <c r="E52" s="386"/>
      <c r="F52" s="386"/>
      <c r="G52" s="386"/>
      <c r="H52" s="386"/>
      <c r="I52" s="386"/>
      <c r="J52" s="386"/>
      <c r="K52" s="386"/>
      <c r="L52" s="386"/>
      <c r="M52" s="386"/>
      <c r="N52" s="386"/>
      <c r="O52" s="386"/>
      <c r="P52" s="386"/>
      <c r="Q52" s="386"/>
      <c r="R52" s="386"/>
      <c r="S52" s="433"/>
      <c r="T52" s="433"/>
      <c r="U52" s="434">
        <v>40833</v>
      </c>
      <c r="V52" s="435"/>
      <c r="W52" s="6"/>
    </row>
    <row r="53" spans="1:23" ht="15.6">
      <c r="A53" s="378"/>
      <c r="B53" s="379" t="s">
        <v>155</v>
      </c>
      <c r="C53" s="379"/>
      <c r="D53" s="379"/>
      <c r="E53" s="379"/>
      <c r="F53" s="379"/>
      <c r="G53" s="379"/>
      <c r="H53" s="379"/>
      <c r="I53" s="379"/>
      <c r="J53" s="379"/>
      <c r="K53" s="379"/>
      <c r="L53" s="379"/>
      <c r="M53" s="379"/>
      <c r="N53" s="379"/>
      <c r="O53" s="379"/>
      <c r="P53" s="379"/>
      <c r="Q53" s="424"/>
      <c r="R53" s="379">
        <f>U53-S53+1</f>
        <v>91</v>
      </c>
      <c r="S53" s="436">
        <v>40648</v>
      </c>
      <c r="T53" s="429"/>
      <c r="U53" s="436">
        <v>40738</v>
      </c>
      <c r="V53" s="410"/>
      <c r="W53" s="6"/>
    </row>
    <row r="54" spans="1:23" ht="15.6">
      <c r="A54" s="378"/>
      <c r="B54" s="379" t="s">
        <v>156</v>
      </c>
      <c r="C54" s="379"/>
      <c r="D54" s="379"/>
      <c r="E54" s="379"/>
      <c r="F54" s="379"/>
      <c r="G54" s="379"/>
      <c r="H54" s="379"/>
      <c r="I54" s="379"/>
      <c r="J54" s="379"/>
      <c r="K54" s="379"/>
      <c r="L54" s="379"/>
      <c r="M54" s="379"/>
      <c r="N54" s="379"/>
      <c r="O54" s="379"/>
      <c r="P54" s="379"/>
      <c r="Q54" s="424"/>
      <c r="R54" s="379">
        <f>U54-S54+1</f>
        <v>94</v>
      </c>
      <c r="S54" s="436">
        <v>40739</v>
      </c>
      <c r="T54" s="429"/>
      <c r="U54" s="436">
        <v>40832</v>
      </c>
      <c r="V54" s="410"/>
      <c r="W54" s="6"/>
    </row>
    <row r="55" spans="1:23" ht="15.6">
      <c r="A55" s="378"/>
      <c r="B55" s="379" t="s">
        <v>21</v>
      </c>
      <c r="C55" s="379"/>
      <c r="D55" s="379"/>
      <c r="E55" s="379"/>
      <c r="F55" s="379"/>
      <c r="G55" s="379"/>
      <c r="H55" s="379"/>
      <c r="I55" s="379"/>
      <c r="J55" s="379"/>
      <c r="K55" s="379"/>
      <c r="L55" s="379"/>
      <c r="M55" s="379"/>
      <c r="N55" s="379"/>
      <c r="O55" s="379"/>
      <c r="P55" s="379"/>
      <c r="Q55" s="379"/>
      <c r="R55" s="379"/>
      <c r="S55" s="436"/>
      <c r="T55" s="429"/>
      <c r="U55" s="436" t="s">
        <v>119</v>
      </c>
      <c r="V55" s="410"/>
      <c r="W55" s="6"/>
    </row>
    <row r="56" spans="1:23" ht="15.6">
      <c r="A56" s="378"/>
      <c r="B56" s="379" t="s">
        <v>22</v>
      </c>
      <c r="C56" s="379"/>
      <c r="D56" s="379"/>
      <c r="E56" s="379"/>
      <c r="F56" s="379"/>
      <c r="G56" s="379"/>
      <c r="H56" s="379"/>
      <c r="I56" s="379"/>
      <c r="J56" s="379"/>
      <c r="K56" s="379"/>
      <c r="L56" s="379"/>
      <c r="M56" s="379"/>
      <c r="N56" s="379"/>
      <c r="O56" s="379"/>
      <c r="P56" s="379"/>
      <c r="Q56" s="379"/>
      <c r="R56" s="379"/>
      <c r="S56" s="436"/>
      <c r="T56" s="429"/>
      <c r="U56" s="436">
        <v>40819</v>
      </c>
      <c r="V56" s="410"/>
      <c r="W56" s="6"/>
    </row>
    <row r="57" spans="1:23" ht="15.6">
      <c r="A57" s="242"/>
      <c r="B57" s="364"/>
      <c r="C57" s="364"/>
      <c r="D57" s="364"/>
      <c r="E57" s="364"/>
      <c r="F57" s="364"/>
      <c r="G57" s="364"/>
      <c r="H57" s="364"/>
      <c r="I57" s="364"/>
      <c r="J57" s="364"/>
      <c r="K57" s="364"/>
      <c r="L57" s="364"/>
      <c r="M57" s="364"/>
      <c r="N57" s="364"/>
      <c r="O57" s="364"/>
      <c r="P57" s="364"/>
      <c r="Q57" s="364"/>
      <c r="R57" s="364"/>
      <c r="S57" s="364"/>
      <c r="T57" s="364"/>
      <c r="U57" s="377"/>
      <c r="V57" s="303"/>
      <c r="W57" s="6"/>
    </row>
    <row r="58" spans="1:23" ht="15.6">
      <c r="A58" s="242"/>
      <c r="B58" s="288"/>
      <c r="C58" s="288"/>
      <c r="D58" s="288"/>
      <c r="E58" s="288"/>
      <c r="F58" s="288"/>
      <c r="G58" s="288"/>
      <c r="H58" s="288"/>
      <c r="I58" s="288"/>
      <c r="J58" s="288"/>
      <c r="K58" s="288"/>
      <c r="L58" s="288"/>
      <c r="M58" s="288"/>
      <c r="N58" s="288"/>
      <c r="O58" s="288"/>
      <c r="P58" s="288"/>
      <c r="Q58" s="288"/>
      <c r="R58" s="288"/>
      <c r="S58" s="288"/>
      <c r="T58" s="288"/>
      <c r="U58" s="302"/>
      <c r="V58" s="303"/>
      <c r="W58" s="6"/>
    </row>
    <row r="59" spans="1:23" ht="16.2" thickBot="1">
      <c r="A59" s="261"/>
      <c r="B59" s="304" t="s">
        <v>276</v>
      </c>
      <c r="C59" s="305"/>
      <c r="D59" s="305"/>
      <c r="E59" s="305"/>
      <c r="F59" s="305"/>
      <c r="G59" s="305"/>
      <c r="H59" s="305"/>
      <c r="I59" s="305"/>
      <c r="J59" s="305"/>
      <c r="K59" s="305"/>
      <c r="L59" s="305"/>
      <c r="M59" s="305"/>
      <c r="N59" s="305"/>
      <c r="O59" s="305"/>
      <c r="P59" s="305"/>
      <c r="Q59" s="305"/>
      <c r="R59" s="305"/>
      <c r="S59" s="305"/>
      <c r="T59" s="305"/>
      <c r="U59" s="306"/>
      <c r="V59" s="307"/>
      <c r="W59" s="6"/>
    </row>
    <row r="60" spans="1:23" ht="15.6">
      <c r="A60" s="230"/>
      <c r="B60" s="511" t="s">
        <v>23</v>
      </c>
      <c r="C60" s="511"/>
      <c r="D60" s="511"/>
      <c r="E60" s="511"/>
      <c r="F60" s="511"/>
      <c r="G60" s="511"/>
      <c r="H60" s="511"/>
      <c r="I60" s="511"/>
      <c r="J60" s="511"/>
      <c r="K60" s="511"/>
      <c r="L60" s="511"/>
      <c r="M60" s="231"/>
      <c r="N60" s="231"/>
      <c r="O60" s="231"/>
      <c r="P60" s="231"/>
      <c r="Q60" s="231"/>
      <c r="R60" s="231"/>
      <c r="S60" s="231"/>
      <c r="T60" s="231"/>
      <c r="U60" s="309"/>
      <c r="V60" s="237"/>
      <c r="W60" s="6"/>
    </row>
    <row r="61" spans="1:23" ht="15.6">
      <c r="A61" s="242"/>
      <c r="B61" s="252"/>
      <c r="C61" s="252"/>
      <c r="D61" s="252"/>
      <c r="E61" s="252"/>
      <c r="F61" s="252"/>
      <c r="G61" s="252"/>
      <c r="H61" s="252"/>
      <c r="I61" s="252"/>
      <c r="J61" s="252"/>
      <c r="K61" s="252"/>
      <c r="L61" s="252"/>
      <c r="M61" s="244"/>
      <c r="N61" s="244"/>
      <c r="O61" s="244"/>
      <c r="P61" s="244"/>
      <c r="Q61" s="244"/>
      <c r="R61" s="244"/>
      <c r="S61" s="244"/>
      <c r="T61" s="244"/>
      <c r="U61" s="263"/>
      <c r="V61" s="245"/>
      <c r="W61" s="6"/>
    </row>
    <row r="62" spans="1:23" s="151" customFormat="1" ht="46.8">
      <c r="A62" s="264"/>
      <c r="B62" s="512"/>
      <c r="C62" s="513"/>
      <c r="D62" s="513"/>
      <c r="E62" s="513"/>
      <c r="F62" s="513"/>
      <c r="G62" s="513"/>
      <c r="H62" s="513"/>
      <c r="I62" s="513"/>
      <c r="J62" s="513"/>
      <c r="K62" s="513" t="s">
        <v>197</v>
      </c>
      <c r="L62" s="513"/>
      <c r="M62" s="513" t="s">
        <v>98</v>
      </c>
      <c r="N62" s="513"/>
      <c r="O62" s="513" t="s">
        <v>107</v>
      </c>
      <c r="P62" s="513"/>
      <c r="Q62" s="513" t="s">
        <v>111</v>
      </c>
      <c r="R62" s="513"/>
      <c r="S62" s="513" t="s">
        <v>113</v>
      </c>
      <c r="T62" s="513"/>
      <c r="U62" s="514" t="s">
        <v>120</v>
      </c>
      <c r="V62" s="515"/>
      <c r="W62" s="150"/>
    </row>
    <row r="63" spans="1:23" ht="15.6">
      <c r="A63" s="378"/>
      <c r="B63" s="379" t="s">
        <v>24</v>
      </c>
      <c r="C63" s="440"/>
      <c r="D63" s="440"/>
      <c r="E63" s="440"/>
      <c r="F63" s="440"/>
      <c r="G63" s="440"/>
      <c r="H63" s="440"/>
      <c r="I63" s="440"/>
      <c r="J63" s="440"/>
      <c r="K63" s="440">
        <f>265+63566+3306</f>
        <v>67137</v>
      </c>
      <c r="L63" s="440"/>
      <c r="M63" s="440">
        <v>9550</v>
      </c>
      <c r="N63" s="440"/>
      <c r="O63" s="440">
        <f>346+3+77</f>
        <v>426</v>
      </c>
      <c r="P63" s="440"/>
      <c r="Q63" s="440">
        <v>0</v>
      </c>
      <c r="R63" s="440"/>
      <c r="S63" s="440">
        <v>0</v>
      </c>
      <c r="T63" s="440"/>
      <c r="U63" s="441">
        <f>+M63-O63+Q63-S63</f>
        <v>9124</v>
      </c>
      <c r="V63" s="410"/>
      <c r="W63" s="6"/>
    </row>
    <row r="64" spans="1:23" ht="15.6">
      <c r="A64" s="378"/>
      <c r="B64" s="379" t="s">
        <v>25</v>
      </c>
      <c r="C64" s="440"/>
      <c r="D64" s="440"/>
      <c r="E64" s="440"/>
      <c r="F64" s="440"/>
      <c r="G64" s="440"/>
      <c r="H64" s="440"/>
      <c r="I64" s="440"/>
      <c r="J64" s="440"/>
      <c r="K64" s="440"/>
      <c r="L64" s="440"/>
      <c r="M64" s="440"/>
      <c r="N64" s="440"/>
      <c r="O64" s="440"/>
      <c r="P64" s="440"/>
      <c r="Q64" s="440">
        <v>0</v>
      </c>
      <c r="R64" s="440"/>
      <c r="S64" s="440">
        <v>0</v>
      </c>
      <c r="T64" s="440"/>
      <c r="U64" s="441">
        <f>M64-O64</f>
        <v>0</v>
      </c>
      <c r="V64" s="410"/>
      <c r="W64" s="6"/>
    </row>
    <row r="65" spans="1:24" ht="15.6">
      <c r="A65" s="378"/>
      <c r="B65" s="379"/>
      <c r="C65" s="440"/>
      <c r="D65" s="440"/>
      <c r="E65" s="440"/>
      <c r="F65" s="440"/>
      <c r="G65" s="440"/>
      <c r="H65" s="440"/>
      <c r="I65" s="440"/>
      <c r="J65" s="440"/>
      <c r="K65" s="440"/>
      <c r="L65" s="440"/>
      <c r="M65" s="440"/>
      <c r="N65" s="440"/>
      <c r="O65" s="440"/>
      <c r="P65" s="440"/>
      <c r="Q65" s="440"/>
      <c r="R65" s="440"/>
      <c r="S65" s="440"/>
      <c r="T65" s="440"/>
      <c r="U65" s="441"/>
      <c r="V65" s="410"/>
      <c r="W65" s="6"/>
    </row>
    <row r="66" spans="1:24" ht="15.6">
      <c r="A66" s="378"/>
      <c r="B66" s="379" t="s">
        <v>26</v>
      </c>
      <c r="C66" s="440"/>
      <c r="D66" s="440"/>
      <c r="E66" s="440"/>
      <c r="F66" s="440"/>
      <c r="G66" s="440"/>
      <c r="H66" s="440"/>
      <c r="I66" s="440"/>
      <c r="J66" s="440"/>
      <c r="K66" s="440">
        <v>24470</v>
      </c>
      <c r="L66" s="440"/>
      <c r="M66" s="440">
        <v>2674</v>
      </c>
      <c r="N66" s="440"/>
      <c r="O66" s="440">
        <f>211</f>
        <v>211</v>
      </c>
      <c r="P66" s="440"/>
      <c r="Q66" s="440">
        <v>0</v>
      </c>
      <c r="R66" s="440"/>
      <c r="S66" s="440">
        <f>SUM(S63:S65)</f>
        <v>0</v>
      </c>
      <c r="T66" s="440"/>
      <c r="U66" s="441">
        <f>+M66-O66+Q66-S66</f>
        <v>2463</v>
      </c>
      <c r="V66" s="410"/>
      <c r="W66" s="6"/>
    </row>
    <row r="67" spans="1:24" ht="15.6">
      <c r="A67" s="378"/>
      <c r="B67" s="379" t="s">
        <v>25</v>
      </c>
      <c r="C67" s="440"/>
      <c r="D67" s="440"/>
      <c r="E67" s="440"/>
      <c r="F67" s="440"/>
      <c r="G67" s="440"/>
      <c r="H67" s="440"/>
      <c r="I67" s="440"/>
      <c r="J67" s="440"/>
      <c r="K67" s="440"/>
      <c r="L67" s="440"/>
      <c r="M67" s="440"/>
      <c r="N67" s="440"/>
      <c r="O67" s="440"/>
      <c r="P67" s="440"/>
      <c r="Q67" s="440">
        <v>0</v>
      </c>
      <c r="R67" s="440"/>
      <c r="S67" s="440">
        <v>0</v>
      </c>
      <c r="T67" s="440"/>
      <c r="U67" s="440"/>
      <c r="V67" s="410"/>
      <c r="W67" s="6"/>
    </row>
    <row r="68" spans="1:24" ht="15.6">
      <c r="A68" s="378"/>
      <c r="B68" s="386"/>
      <c r="C68" s="440"/>
      <c r="D68" s="440"/>
      <c r="E68" s="440"/>
      <c r="F68" s="440"/>
      <c r="G68" s="440"/>
      <c r="H68" s="440"/>
      <c r="I68" s="440"/>
      <c r="J68" s="440"/>
      <c r="K68" s="440"/>
      <c r="L68" s="440"/>
      <c r="M68" s="440"/>
      <c r="N68" s="440"/>
      <c r="O68" s="442"/>
      <c r="P68" s="440"/>
      <c r="Q68" s="440"/>
      <c r="R68" s="440"/>
      <c r="S68" s="440"/>
      <c r="T68" s="440"/>
      <c r="U68" s="440"/>
      <c r="V68" s="410"/>
      <c r="W68" s="6"/>
    </row>
    <row r="69" spans="1:24" ht="15.6">
      <c r="A69" s="378"/>
      <c r="B69" s="379" t="s">
        <v>27</v>
      </c>
      <c r="C69" s="440"/>
      <c r="D69" s="440"/>
      <c r="E69" s="440"/>
      <c r="F69" s="440"/>
      <c r="G69" s="440"/>
      <c r="H69" s="440"/>
      <c r="I69" s="440"/>
      <c r="J69" s="440"/>
      <c r="K69" s="440">
        <v>220072</v>
      </c>
      <c r="L69" s="440"/>
      <c r="M69" s="440">
        <v>193140</v>
      </c>
      <c r="N69" s="440"/>
      <c r="O69" s="440">
        <f>7255+959+1</f>
        <v>8215</v>
      </c>
      <c r="P69" s="440"/>
      <c r="Q69" s="440">
        <v>0</v>
      </c>
      <c r="R69" s="440"/>
      <c r="S69" s="440">
        <v>0</v>
      </c>
      <c r="T69" s="440"/>
      <c r="U69" s="441">
        <f>+M69-O69+Q69-S69</f>
        <v>184925</v>
      </c>
      <c r="V69" s="410"/>
      <c r="W69" s="6"/>
    </row>
    <row r="70" spans="1:24" ht="15.6">
      <c r="A70" s="378"/>
      <c r="B70" s="379" t="s">
        <v>25</v>
      </c>
      <c r="C70" s="440"/>
      <c r="D70" s="440"/>
      <c r="E70" s="440"/>
      <c r="F70" s="440"/>
      <c r="G70" s="440"/>
      <c r="H70" s="440"/>
      <c r="I70" s="440"/>
      <c r="J70" s="440"/>
      <c r="K70" s="440"/>
      <c r="L70" s="440"/>
      <c r="M70" s="440"/>
      <c r="N70" s="440"/>
      <c r="O70" s="440"/>
      <c r="P70" s="440"/>
      <c r="Q70" s="440">
        <v>0</v>
      </c>
      <c r="R70" s="440"/>
      <c r="S70" s="440">
        <v>0</v>
      </c>
      <c r="T70" s="440"/>
      <c r="U70" s="441">
        <f>M70-O70+Q70-S70</f>
        <v>0</v>
      </c>
      <c r="V70" s="410"/>
      <c r="W70" s="6"/>
    </row>
    <row r="71" spans="1:24" ht="15.6">
      <c r="A71" s="378"/>
      <c r="B71" s="379"/>
      <c r="C71" s="440"/>
      <c r="D71" s="440"/>
      <c r="E71" s="440"/>
      <c r="F71" s="440"/>
      <c r="G71" s="440"/>
      <c r="H71" s="440"/>
      <c r="I71" s="440"/>
      <c r="J71" s="440"/>
      <c r="K71" s="440"/>
      <c r="L71" s="440"/>
      <c r="M71" s="440"/>
      <c r="N71" s="440"/>
      <c r="O71" s="440"/>
      <c r="P71" s="440"/>
      <c r="Q71" s="440"/>
      <c r="R71" s="440"/>
      <c r="S71" s="440"/>
      <c r="T71" s="440"/>
      <c r="U71" s="441"/>
      <c r="V71" s="410"/>
      <c r="W71" s="6"/>
    </row>
    <row r="72" spans="1:24" ht="15.6">
      <c r="A72" s="378"/>
      <c r="B72" s="379" t="s">
        <v>28</v>
      </c>
      <c r="C72" s="440"/>
      <c r="D72" s="440"/>
      <c r="E72" s="440"/>
      <c r="F72" s="440"/>
      <c r="G72" s="440"/>
      <c r="H72" s="440"/>
      <c r="I72" s="440"/>
      <c r="J72" s="440"/>
      <c r="K72" s="440">
        <v>138321</v>
      </c>
      <c r="L72" s="440"/>
      <c r="M72" s="440">
        <v>9040</v>
      </c>
      <c r="N72" s="440"/>
      <c r="O72" s="440">
        <f>1988+231</f>
        <v>2219</v>
      </c>
      <c r="P72" s="440"/>
      <c r="Q72" s="440">
        <v>0</v>
      </c>
      <c r="R72" s="440"/>
      <c r="S72" s="440">
        <v>0</v>
      </c>
      <c r="T72" s="440"/>
      <c r="U72" s="441">
        <f>+M72-O72+Q72-S72</f>
        <v>6821</v>
      </c>
      <c r="V72" s="410"/>
      <c r="W72" s="6"/>
    </row>
    <row r="73" spans="1:24" ht="15.6">
      <c r="A73" s="378"/>
      <c r="B73" s="379" t="s">
        <v>25</v>
      </c>
      <c r="C73" s="440"/>
      <c r="D73" s="440"/>
      <c r="E73" s="440"/>
      <c r="F73" s="440"/>
      <c r="G73" s="440"/>
      <c r="H73" s="440"/>
      <c r="I73" s="440"/>
      <c r="J73" s="440"/>
      <c r="K73" s="440"/>
      <c r="L73" s="440"/>
      <c r="M73" s="440"/>
      <c r="N73" s="440"/>
      <c r="O73" s="440"/>
      <c r="P73" s="440"/>
      <c r="Q73" s="440">
        <v>0</v>
      </c>
      <c r="R73" s="440"/>
      <c r="S73" s="440">
        <v>0</v>
      </c>
      <c r="T73" s="440"/>
      <c r="U73" s="441"/>
      <c r="V73" s="410"/>
      <c r="W73" s="6"/>
    </row>
    <row r="74" spans="1:24" ht="15.6">
      <c r="A74" s="378"/>
      <c r="B74" s="440"/>
      <c r="C74" s="440"/>
      <c r="D74" s="440"/>
      <c r="E74" s="440"/>
      <c r="F74" s="440"/>
      <c r="G74" s="440"/>
      <c r="H74" s="440"/>
      <c r="I74" s="440"/>
      <c r="J74" s="440"/>
      <c r="K74" s="440"/>
      <c r="L74" s="440"/>
      <c r="M74" s="440"/>
      <c r="N74" s="440"/>
      <c r="O74" s="440"/>
      <c r="P74" s="440"/>
      <c r="Q74" s="440"/>
      <c r="R74" s="440"/>
      <c r="S74" s="440"/>
      <c r="T74" s="440"/>
      <c r="U74" s="441"/>
      <c r="V74" s="410"/>
      <c r="W74" s="6"/>
    </row>
    <row r="75" spans="1:24" ht="15.6">
      <c r="A75" s="378"/>
      <c r="B75" s="379" t="s">
        <v>29</v>
      </c>
      <c r="C75" s="440"/>
      <c r="D75" s="440"/>
      <c r="E75" s="440"/>
      <c r="F75" s="440"/>
      <c r="G75" s="440"/>
      <c r="H75" s="440"/>
      <c r="I75" s="440"/>
      <c r="J75" s="440"/>
      <c r="K75" s="440">
        <f>SUM(K63:K72)</f>
        <v>450000</v>
      </c>
      <c r="L75" s="440"/>
      <c r="M75" s="440">
        <f>SUM(M63:M72)</f>
        <v>214404</v>
      </c>
      <c r="N75" s="440"/>
      <c r="O75" s="440">
        <f>SUM(O63:O73)</f>
        <v>11071</v>
      </c>
      <c r="P75" s="440"/>
      <c r="Q75" s="440">
        <f>SUM(Q63:Q73)</f>
        <v>0</v>
      </c>
      <c r="R75" s="440"/>
      <c r="S75" s="440">
        <f>SUM(S70:S74)</f>
        <v>0</v>
      </c>
      <c r="T75" s="440"/>
      <c r="U75" s="440">
        <f>SUM(U63:U73)</f>
        <v>203333</v>
      </c>
      <c r="V75" s="410"/>
      <c r="W75" s="6"/>
      <c r="X75" s="182"/>
    </row>
    <row r="76" spans="1:24" ht="15.6">
      <c r="A76" s="378"/>
      <c r="B76" s="379"/>
      <c r="C76" s="440"/>
      <c r="D76" s="440"/>
      <c r="E76" s="440"/>
      <c r="F76" s="440"/>
      <c r="G76" s="440"/>
      <c r="H76" s="440"/>
      <c r="I76" s="440"/>
      <c r="J76" s="440"/>
      <c r="K76" s="440"/>
      <c r="L76" s="440"/>
      <c r="M76" s="440"/>
      <c r="N76" s="440"/>
      <c r="O76" s="440"/>
      <c r="P76" s="440"/>
      <c r="Q76" s="440"/>
      <c r="R76" s="440"/>
      <c r="S76" s="440"/>
      <c r="T76" s="440"/>
      <c r="U76" s="440"/>
      <c r="V76" s="410"/>
      <c r="W76" s="6"/>
    </row>
    <row r="77" spans="1:24" ht="15.6">
      <c r="A77" s="378"/>
      <c r="B77" s="379" t="s">
        <v>214</v>
      </c>
      <c r="C77" s="440"/>
      <c r="D77" s="440"/>
      <c r="E77" s="440"/>
      <c r="F77" s="440"/>
      <c r="G77" s="440"/>
      <c r="H77" s="440"/>
      <c r="I77" s="440"/>
      <c r="J77" s="440"/>
      <c r="K77" s="440">
        <v>0</v>
      </c>
      <c r="L77" s="440"/>
      <c r="M77" s="440">
        <v>-12140</v>
      </c>
      <c r="N77" s="440"/>
      <c r="O77" s="440">
        <v>60</v>
      </c>
      <c r="P77" s="440"/>
      <c r="Q77" s="440"/>
      <c r="R77" s="440"/>
      <c r="S77" s="440"/>
      <c r="T77" s="440"/>
      <c r="U77" s="441">
        <f>+M77-O77</f>
        <v>-12200</v>
      </c>
      <c r="V77" s="410"/>
      <c r="W77" s="6"/>
    </row>
    <row r="78" spans="1:24" ht="15.6">
      <c r="A78" s="378"/>
      <c r="B78" s="379" t="s">
        <v>30</v>
      </c>
      <c r="C78" s="440"/>
      <c r="D78" s="440"/>
      <c r="E78" s="440"/>
      <c r="F78" s="440"/>
      <c r="G78" s="440"/>
      <c r="H78" s="440"/>
      <c r="I78" s="440"/>
      <c r="J78" s="440"/>
      <c r="K78" s="440">
        <v>0</v>
      </c>
      <c r="L78" s="440"/>
      <c r="M78" s="440">
        <v>0</v>
      </c>
      <c r="N78" s="440"/>
      <c r="O78" s="440">
        <v>0</v>
      </c>
      <c r="P78" s="440"/>
      <c r="Q78" s="440">
        <v>0</v>
      </c>
      <c r="R78" s="440"/>
      <c r="S78" s="440"/>
      <c r="T78" s="440"/>
      <c r="U78" s="440">
        <v>0</v>
      </c>
      <c r="V78" s="410"/>
      <c r="W78" s="6"/>
      <c r="X78" s="182"/>
    </row>
    <row r="79" spans="1:24" ht="15.6">
      <c r="A79" s="378"/>
      <c r="B79" s="379" t="s">
        <v>31</v>
      </c>
      <c r="C79" s="440"/>
      <c r="D79" s="440"/>
      <c r="E79" s="440"/>
      <c r="F79" s="440"/>
      <c r="G79" s="440"/>
      <c r="H79" s="440"/>
      <c r="I79" s="440"/>
      <c r="J79" s="440"/>
      <c r="K79" s="440">
        <v>0</v>
      </c>
      <c r="L79" s="440"/>
      <c r="M79" s="440">
        <v>0</v>
      </c>
      <c r="N79" s="440"/>
      <c r="O79" s="440"/>
      <c r="P79" s="440"/>
      <c r="Q79" s="440">
        <v>0</v>
      </c>
      <c r="R79" s="440"/>
      <c r="S79" s="440"/>
      <c r="T79" s="440"/>
      <c r="U79" s="440">
        <f>Q79+M79</f>
        <v>0</v>
      </c>
      <c r="V79" s="410"/>
      <c r="W79" s="6"/>
    </row>
    <row r="80" spans="1:24" ht="15.6">
      <c r="A80" s="378"/>
      <c r="B80" s="379" t="s">
        <v>16</v>
      </c>
      <c r="C80" s="440"/>
      <c r="D80" s="440"/>
      <c r="E80" s="440"/>
      <c r="F80" s="440"/>
      <c r="G80" s="440"/>
      <c r="H80" s="440"/>
      <c r="I80" s="440"/>
      <c r="J80" s="440"/>
      <c r="K80" s="440">
        <f>SUM(K75:K79)</f>
        <v>450000</v>
      </c>
      <c r="L80" s="440"/>
      <c r="M80" s="440">
        <f>SUM(M75:M79)</f>
        <v>202264</v>
      </c>
      <c r="N80" s="440"/>
      <c r="O80" s="440">
        <f>O78-O79</f>
        <v>0</v>
      </c>
      <c r="P80" s="440"/>
      <c r="Q80" s="440"/>
      <c r="R80" s="440"/>
      <c r="S80" s="440"/>
      <c r="T80" s="440"/>
      <c r="U80" s="440">
        <f>SUM(U75:U79)</f>
        <v>191133</v>
      </c>
      <c r="V80" s="410"/>
      <c r="W80" s="6"/>
    </row>
    <row r="81" spans="1:24" ht="15.6">
      <c r="A81" s="242"/>
      <c r="B81" s="437"/>
      <c r="C81" s="438"/>
      <c r="D81" s="438"/>
      <c r="E81" s="438"/>
      <c r="F81" s="438"/>
      <c r="G81" s="438"/>
      <c r="H81" s="438"/>
      <c r="I81" s="438"/>
      <c r="J81" s="438"/>
      <c r="K81" s="438"/>
      <c r="L81" s="438"/>
      <c r="M81" s="438"/>
      <c r="N81" s="438"/>
      <c r="O81" s="438"/>
      <c r="P81" s="438"/>
      <c r="Q81" s="438"/>
      <c r="R81" s="438"/>
      <c r="S81" s="439"/>
      <c r="T81" s="438"/>
      <c r="U81" s="439"/>
      <c r="V81" s="245"/>
      <c r="W81" s="6"/>
    </row>
    <row r="82" spans="1:24" ht="15.6">
      <c r="A82" s="230"/>
      <c r="B82" s="511" t="s">
        <v>32</v>
      </c>
      <c r="C82" s="511"/>
      <c r="D82" s="511"/>
      <c r="E82" s="511"/>
      <c r="F82" s="511"/>
      <c r="G82" s="511"/>
      <c r="H82" s="511"/>
      <c r="I82" s="511"/>
      <c r="J82" s="511"/>
      <c r="K82" s="511"/>
      <c r="L82" s="511"/>
      <c r="M82" s="511"/>
      <c r="N82" s="511"/>
      <c r="O82" s="511"/>
      <c r="P82" s="511"/>
      <c r="Q82" s="511"/>
      <c r="R82" s="232"/>
      <c r="S82" s="232"/>
      <c r="T82" s="232"/>
      <c r="U82" s="232" t="s">
        <v>121</v>
      </c>
      <c r="V82" s="516"/>
      <c r="W82" s="6"/>
    </row>
    <row r="83" spans="1:24" ht="15.6">
      <c r="A83" s="315"/>
      <c r="B83" s="294" t="s">
        <v>33</v>
      </c>
      <c r="C83" s="294"/>
      <c r="D83" s="294"/>
      <c r="E83" s="294"/>
      <c r="F83" s="294"/>
      <c r="G83" s="294"/>
      <c r="H83" s="294"/>
      <c r="I83" s="294"/>
      <c r="J83" s="294"/>
      <c r="K83" s="294"/>
      <c r="L83" s="294"/>
      <c r="M83" s="294"/>
      <c r="N83" s="294"/>
      <c r="O83" s="310"/>
      <c r="P83" s="294"/>
      <c r="Q83" s="294"/>
      <c r="R83" s="294"/>
      <c r="S83" s="310"/>
      <c r="T83" s="294"/>
      <c r="U83" s="311">
        <v>55215</v>
      </c>
      <c r="V83" s="298"/>
      <c r="W83" s="6"/>
    </row>
    <row r="84" spans="1:24" ht="15.6">
      <c r="A84" s="444"/>
      <c r="B84" s="379" t="s">
        <v>34</v>
      </c>
      <c r="C84" s="431"/>
      <c r="D84" s="431"/>
      <c r="E84" s="431"/>
      <c r="F84" s="431"/>
      <c r="G84" s="431"/>
      <c r="H84" s="431"/>
      <c r="I84" s="431"/>
      <c r="J84" s="431"/>
      <c r="K84" s="431"/>
      <c r="L84" s="431"/>
      <c r="M84" s="430"/>
      <c r="N84" s="379"/>
      <c r="O84" s="379"/>
      <c r="P84" s="379"/>
      <c r="Q84" s="379"/>
      <c r="R84" s="379"/>
      <c r="S84" s="440"/>
      <c r="T84" s="379"/>
      <c r="U84" s="441">
        <f>372+80+19-14</f>
        <v>457</v>
      </c>
      <c r="V84" s="410"/>
      <c r="W84" s="6"/>
    </row>
    <row r="85" spans="1:24" ht="15.6">
      <c r="A85" s="444"/>
      <c r="B85" s="379" t="s">
        <v>230</v>
      </c>
      <c r="C85" s="379"/>
      <c r="D85" s="379"/>
      <c r="E85" s="379"/>
      <c r="F85" s="379"/>
      <c r="G85" s="379"/>
      <c r="H85" s="379"/>
      <c r="I85" s="379"/>
      <c r="J85" s="379"/>
      <c r="K85" s="379"/>
      <c r="L85" s="379"/>
      <c r="M85" s="379"/>
      <c r="N85" s="379"/>
      <c r="O85" s="379"/>
      <c r="P85" s="379"/>
      <c r="Q85" s="379"/>
      <c r="R85" s="379"/>
      <c r="S85" s="440"/>
      <c r="T85" s="379"/>
      <c r="U85" s="441">
        <v>0</v>
      </c>
      <c r="V85" s="410"/>
      <c r="W85" s="6"/>
      <c r="X85" s="64"/>
    </row>
    <row r="86" spans="1:24" ht="15.6">
      <c r="A86" s="444"/>
      <c r="B86" s="379" t="s">
        <v>231</v>
      </c>
      <c r="C86" s="379"/>
      <c r="D86" s="379"/>
      <c r="E86" s="379"/>
      <c r="F86" s="379"/>
      <c r="G86" s="379"/>
      <c r="H86" s="379"/>
      <c r="I86" s="379"/>
      <c r="J86" s="379"/>
      <c r="K86" s="379"/>
      <c r="L86" s="379"/>
      <c r="M86" s="379"/>
      <c r="N86" s="379"/>
      <c r="O86" s="379"/>
      <c r="P86" s="379"/>
      <c r="Q86" s="379"/>
      <c r="R86" s="379"/>
      <c r="S86" s="440"/>
      <c r="T86" s="379"/>
      <c r="U86" s="441">
        <v>0</v>
      </c>
      <c r="V86" s="410"/>
      <c r="W86" s="6"/>
      <c r="X86" s="64"/>
    </row>
    <row r="87" spans="1:24" ht="15.6">
      <c r="A87" s="444"/>
      <c r="B87" s="379" t="s">
        <v>35</v>
      </c>
      <c r="C87" s="379"/>
      <c r="D87" s="379"/>
      <c r="E87" s="379"/>
      <c r="F87" s="379"/>
      <c r="G87" s="379"/>
      <c r="H87" s="379"/>
      <c r="I87" s="379"/>
      <c r="J87" s="379"/>
      <c r="K87" s="379"/>
      <c r="L87" s="379"/>
      <c r="M87" s="379"/>
      <c r="N87" s="379"/>
      <c r="O87" s="379"/>
      <c r="P87" s="379"/>
      <c r="Q87" s="379"/>
      <c r="R87" s="379"/>
      <c r="S87" s="440"/>
      <c r="T87" s="379"/>
      <c r="U87" s="441">
        <f>SUM(U83:U86)</f>
        <v>55672</v>
      </c>
      <c r="V87" s="410"/>
      <c r="W87" s="6"/>
      <c r="X87" s="64"/>
    </row>
    <row r="88" spans="1:24" ht="15.6">
      <c r="A88" s="444"/>
      <c r="B88" s="379"/>
      <c r="C88" s="379"/>
      <c r="D88" s="379"/>
      <c r="E88" s="379"/>
      <c r="F88" s="379"/>
      <c r="G88" s="379"/>
      <c r="H88" s="379"/>
      <c r="I88" s="379"/>
      <c r="J88" s="379"/>
      <c r="K88" s="379"/>
      <c r="L88" s="379"/>
      <c r="M88" s="379"/>
      <c r="N88" s="379"/>
      <c r="O88" s="379"/>
      <c r="P88" s="379"/>
      <c r="Q88" s="379"/>
      <c r="R88" s="379"/>
      <c r="S88" s="440"/>
      <c r="T88" s="379"/>
      <c r="U88" s="440"/>
      <c r="V88" s="410"/>
      <c r="W88" s="6"/>
    </row>
    <row r="89" spans="1:24" ht="15.6">
      <c r="A89" s="444"/>
      <c r="B89" s="446" t="s">
        <v>36</v>
      </c>
      <c r="C89" s="446"/>
      <c r="D89" s="446"/>
      <c r="E89" s="446"/>
      <c r="F89" s="446"/>
      <c r="G89" s="446"/>
      <c r="H89" s="446"/>
      <c r="I89" s="446"/>
      <c r="J89" s="446"/>
      <c r="K89" s="446"/>
      <c r="L89" s="446"/>
      <c r="M89" s="379"/>
      <c r="N89" s="379"/>
      <c r="O89" s="379"/>
      <c r="P89" s="379"/>
      <c r="Q89" s="379"/>
      <c r="R89" s="379"/>
      <c r="S89" s="440"/>
      <c r="T89" s="379"/>
      <c r="U89" s="441"/>
      <c r="V89" s="410"/>
      <c r="W89" s="6"/>
      <c r="X89" s="64"/>
    </row>
    <row r="90" spans="1:24" ht="15.6">
      <c r="A90" s="444">
        <v>1</v>
      </c>
      <c r="B90" s="379" t="s">
        <v>37</v>
      </c>
      <c r="C90" s="379"/>
      <c r="D90" s="379"/>
      <c r="E90" s="379"/>
      <c r="F90" s="379"/>
      <c r="G90" s="379"/>
      <c r="H90" s="379"/>
      <c r="I90" s="379"/>
      <c r="J90" s="379"/>
      <c r="K90" s="379"/>
      <c r="L90" s="379"/>
      <c r="M90" s="379"/>
      <c r="N90" s="379"/>
      <c r="O90" s="379"/>
      <c r="P90" s="379"/>
      <c r="Q90" s="379"/>
      <c r="R90" s="379"/>
      <c r="S90" s="379"/>
      <c r="T90" s="379"/>
      <c r="U90" s="441">
        <v>-2</v>
      </c>
      <c r="V90" s="410"/>
      <c r="W90" s="6"/>
    </row>
    <row r="91" spans="1:24" ht="15.6">
      <c r="A91" s="444">
        <f>A90+1</f>
        <v>2</v>
      </c>
      <c r="B91" s="379" t="s">
        <v>168</v>
      </c>
      <c r="C91" s="379"/>
      <c r="D91" s="379"/>
      <c r="E91" s="379"/>
      <c r="F91" s="379"/>
      <c r="G91" s="379"/>
      <c r="H91" s="379"/>
      <c r="I91" s="379"/>
      <c r="J91" s="379"/>
      <c r="K91" s="379"/>
      <c r="L91" s="379"/>
      <c r="M91" s="379"/>
      <c r="N91" s="379"/>
      <c r="O91" s="379"/>
      <c r="P91" s="379"/>
      <c r="Q91" s="379"/>
      <c r="R91" s="379"/>
      <c r="S91" s="379"/>
      <c r="T91" s="379"/>
      <c r="U91" s="441">
        <f>-204-96-3</f>
        <v>-303</v>
      </c>
      <c r="V91" s="410"/>
      <c r="W91" s="6"/>
      <c r="X91" s="64"/>
    </row>
    <row r="92" spans="1:24" ht="15.6">
      <c r="A92" s="444">
        <v>3</v>
      </c>
      <c r="B92" s="379" t="s">
        <v>38</v>
      </c>
      <c r="C92" s="379"/>
      <c r="D92" s="379"/>
      <c r="E92" s="379"/>
      <c r="F92" s="379"/>
      <c r="G92" s="379"/>
      <c r="H92" s="379"/>
      <c r="I92" s="379"/>
      <c r="J92" s="379"/>
      <c r="K92" s="379"/>
      <c r="L92" s="379"/>
      <c r="M92" s="379"/>
      <c r="N92" s="379"/>
      <c r="O92" s="379"/>
      <c r="P92" s="379"/>
      <c r="Q92" s="379"/>
      <c r="R92" s="379"/>
      <c r="S92" s="379"/>
      <c r="T92" s="379"/>
      <c r="U92" s="441">
        <v>-183</v>
      </c>
      <c r="V92" s="410"/>
      <c r="W92" s="6"/>
      <c r="X92" s="64"/>
    </row>
    <row r="93" spans="1:24" ht="15.6">
      <c r="A93" s="447" t="s">
        <v>190</v>
      </c>
      <c r="B93" s="379" t="s">
        <v>169</v>
      </c>
      <c r="C93" s="379"/>
      <c r="D93" s="379"/>
      <c r="E93" s="379"/>
      <c r="F93" s="379"/>
      <c r="G93" s="379"/>
      <c r="H93" s="379"/>
      <c r="I93" s="379"/>
      <c r="J93" s="379"/>
      <c r="K93" s="379"/>
      <c r="L93" s="379"/>
      <c r="M93" s="379"/>
      <c r="N93" s="379"/>
      <c r="O93" s="379"/>
      <c r="P93" s="379"/>
      <c r="Q93" s="379"/>
      <c r="R93" s="379"/>
      <c r="S93" s="379"/>
      <c r="T93" s="379"/>
      <c r="U93" s="441">
        <v>-131</v>
      </c>
      <c r="V93" s="410"/>
      <c r="W93" s="6"/>
      <c r="X93" s="64"/>
    </row>
    <row r="94" spans="1:24" ht="15.6">
      <c r="A94" s="447" t="s">
        <v>191</v>
      </c>
      <c r="B94" s="379" t="s">
        <v>170</v>
      </c>
      <c r="C94" s="379"/>
      <c r="D94" s="379"/>
      <c r="E94" s="379"/>
      <c r="F94" s="379"/>
      <c r="G94" s="379"/>
      <c r="H94" s="379"/>
      <c r="I94" s="379"/>
      <c r="J94" s="379"/>
      <c r="K94" s="379"/>
      <c r="L94" s="379"/>
      <c r="M94" s="379"/>
      <c r="N94" s="379"/>
      <c r="O94" s="379"/>
      <c r="P94" s="379"/>
      <c r="Q94" s="379"/>
      <c r="R94" s="379"/>
      <c r="S94" s="379"/>
      <c r="T94" s="379"/>
      <c r="U94" s="441">
        <v>-167</v>
      </c>
      <c r="V94" s="410"/>
      <c r="W94" s="6"/>
      <c r="X94" s="182"/>
    </row>
    <row r="95" spans="1:24" ht="15.6">
      <c r="A95" s="444">
        <v>5</v>
      </c>
      <c r="B95" s="379" t="s">
        <v>171</v>
      </c>
      <c r="C95" s="379"/>
      <c r="D95" s="379"/>
      <c r="E95" s="379"/>
      <c r="F95" s="379"/>
      <c r="G95" s="379"/>
      <c r="H95" s="379"/>
      <c r="I95" s="379"/>
      <c r="J95" s="379"/>
      <c r="K95" s="379"/>
      <c r="L95" s="379"/>
      <c r="M95" s="379"/>
      <c r="N95" s="379"/>
      <c r="O95" s="379"/>
      <c r="P95" s="379"/>
      <c r="Q95" s="379"/>
      <c r="R95" s="379"/>
      <c r="S95" s="379"/>
      <c r="T95" s="379"/>
      <c r="U95" s="441">
        <v>-7</v>
      </c>
      <c r="V95" s="410"/>
      <c r="W95" s="6"/>
    </row>
    <row r="96" spans="1:24" ht="15.6">
      <c r="A96" s="447" t="s">
        <v>174</v>
      </c>
      <c r="B96" s="379" t="s">
        <v>172</v>
      </c>
      <c r="C96" s="379"/>
      <c r="D96" s="379"/>
      <c r="E96" s="379"/>
      <c r="F96" s="379"/>
      <c r="G96" s="379"/>
      <c r="H96" s="379"/>
      <c r="I96" s="379"/>
      <c r="J96" s="379"/>
      <c r="K96" s="379"/>
      <c r="L96" s="379"/>
      <c r="M96" s="379"/>
      <c r="N96" s="379"/>
      <c r="O96" s="379"/>
      <c r="P96" s="379"/>
      <c r="Q96" s="379"/>
      <c r="R96" s="379"/>
      <c r="S96" s="379"/>
      <c r="T96" s="379"/>
      <c r="U96" s="441">
        <v>-55</v>
      </c>
      <c r="V96" s="410"/>
      <c r="W96" s="6"/>
      <c r="X96" s="182"/>
    </row>
    <row r="97" spans="1:24" ht="15.6">
      <c r="A97" s="447" t="s">
        <v>176</v>
      </c>
      <c r="B97" s="379" t="s">
        <v>173</v>
      </c>
      <c r="C97" s="379"/>
      <c r="D97" s="379"/>
      <c r="E97" s="379"/>
      <c r="F97" s="379"/>
      <c r="G97" s="379"/>
      <c r="H97" s="379"/>
      <c r="I97" s="379"/>
      <c r="J97" s="379"/>
      <c r="K97" s="379"/>
      <c r="L97" s="379"/>
      <c r="M97" s="379"/>
      <c r="N97" s="379"/>
      <c r="O97" s="379"/>
      <c r="P97" s="379"/>
      <c r="Q97" s="379"/>
      <c r="R97" s="379"/>
      <c r="S97" s="379"/>
      <c r="T97" s="379"/>
      <c r="U97" s="441">
        <v>-89</v>
      </c>
      <c r="V97" s="410"/>
      <c r="W97" s="119"/>
      <c r="X97" s="182"/>
    </row>
    <row r="98" spans="1:24" ht="15.6">
      <c r="A98" s="447" t="s">
        <v>178</v>
      </c>
      <c r="B98" s="379" t="s">
        <v>175</v>
      </c>
      <c r="C98" s="379"/>
      <c r="D98" s="379"/>
      <c r="E98" s="379"/>
      <c r="F98" s="379"/>
      <c r="G98" s="379"/>
      <c r="H98" s="379"/>
      <c r="I98" s="379"/>
      <c r="J98" s="379"/>
      <c r="K98" s="379"/>
      <c r="L98" s="379"/>
      <c r="M98" s="379"/>
      <c r="N98" s="379"/>
      <c r="O98" s="379"/>
      <c r="P98" s="379"/>
      <c r="Q98" s="379"/>
      <c r="R98" s="379"/>
      <c r="S98" s="379"/>
      <c r="T98" s="379"/>
      <c r="U98" s="441">
        <v>-84</v>
      </c>
      <c r="V98" s="410"/>
      <c r="W98" s="6"/>
      <c r="X98" s="182"/>
    </row>
    <row r="99" spans="1:24" ht="15.6">
      <c r="A99" s="447" t="s">
        <v>180</v>
      </c>
      <c r="B99" s="379" t="s">
        <v>177</v>
      </c>
      <c r="C99" s="379"/>
      <c r="D99" s="379"/>
      <c r="E99" s="379"/>
      <c r="F99" s="379"/>
      <c r="G99" s="379"/>
      <c r="H99" s="379"/>
      <c r="I99" s="379"/>
      <c r="J99" s="379"/>
      <c r="K99" s="379"/>
      <c r="L99" s="379"/>
      <c r="M99" s="379"/>
      <c r="N99" s="379"/>
      <c r="O99" s="379"/>
      <c r="P99" s="379"/>
      <c r="Q99" s="379"/>
      <c r="R99" s="379"/>
      <c r="S99" s="379"/>
      <c r="T99" s="379"/>
      <c r="U99" s="441">
        <v>-109</v>
      </c>
      <c r="V99" s="410"/>
      <c r="W99" s="119"/>
      <c r="X99" s="182"/>
    </row>
    <row r="100" spans="1:24" ht="15.6">
      <c r="A100" s="447" t="s">
        <v>192</v>
      </c>
      <c r="B100" s="379" t="s">
        <v>179</v>
      </c>
      <c r="C100" s="379"/>
      <c r="D100" s="379"/>
      <c r="E100" s="379"/>
      <c r="F100" s="379"/>
      <c r="G100" s="379"/>
      <c r="H100" s="379"/>
      <c r="I100" s="379"/>
      <c r="J100" s="379"/>
      <c r="K100" s="379"/>
      <c r="L100" s="379"/>
      <c r="M100" s="379"/>
      <c r="N100" s="379"/>
      <c r="O100" s="379"/>
      <c r="P100" s="379"/>
      <c r="Q100" s="379"/>
      <c r="R100" s="379"/>
      <c r="S100" s="379"/>
      <c r="T100" s="379"/>
      <c r="U100" s="441">
        <v>-155</v>
      </c>
      <c r="V100" s="410"/>
      <c r="W100" s="6"/>
      <c r="X100" s="182"/>
    </row>
    <row r="101" spans="1:24" ht="15.6">
      <c r="A101" s="447" t="s">
        <v>193</v>
      </c>
      <c r="B101" s="379" t="s">
        <v>181</v>
      </c>
      <c r="C101" s="379"/>
      <c r="D101" s="379"/>
      <c r="E101" s="379"/>
      <c r="F101" s="379"/>
      <c r="G101" s="379"/>
      <c r="H101" s="379"/>
      <c r="I101" s="379"/>
      <c r="J101" s="379"/>
      <c r="K101" s="379"/>
      <c r="L101" s="379"/>
      <c r="M101" s="379"/>
      <c r="N101" s="379"/>
      <c r="O101" s="379"/>
      <c r="P101" s="379"/>
      <c r="Q101" s="379"/>
      <c r="R101" s="379"/>
      <c r="S101" s="379"/>
      <c r="T101" s="379"/>
      <c r="U101" s="441">
        <v>-133</v>
      </c>
      <c r="V101" s="410"/>
      <c r="W101" s="119"/>
      <c r="X101" s="182"/>
    </row>
    <row r="102" spans="1:24" ht="15.6">
      <c r="A102" s="444">
        <v>9</v>
      </c>
      <c r="B102" s="379" t="s">
        <v>257</v>
      </c>
      <c r="C102" s="379"/>
      <c r="D102" s="379"/>
      <c r="E102" s="379"/>
      <c r="F102" s="379"/>
      <c r="G102" s="379"/>
      <c r="H102" s="379"/>
      <c r="I102" s="379"/>
      <c r="J102" s="379"/>
      <c r="K102" s="379"/>
      <c r="L102" s="379"/>
      <c r="M102" s="379"/>
      <c r="N102" s="379"/>
      <c r="O102" s="379"/>
      <c r="P102" s="379"/>
      <c r="Q102" s="379"/>
      <c r="R102" s="379"/>
      <c r="S102" s="379"/>
      <c r="T102" s="379"/>
      <c r="U102" s="441">
        <f>+S219-U32</f>
        <v>-11130.7212</v>
      </c>
      <c r="V102" s="410"/>
      <c r="W102" s="6"/>
      <c r="X102" s="182"/>
    </row>
    <row r="103" spans="1:24" ht="15.6">
      <c r="A103" s="444">
        <v>10</v>
      </c>
      <c r="B103" s="379" t="s">
        <v>234</v>
      </c>
      <c r="C103" s="379"/>
      <c r="D103" s="379"/>
      <c r="E103" s="379"/>
      <c r="F103" s="379"/>
      <c r="G103" s="379"/>
      <c r="H103" s="379"/>
      <c r="I103" s="379"/>
      <c r="J103" s="379"/>
      <c r="K103" s="379"/>
      <c r="L103" s="379"/>
      <c r="M103" s="379"/>
      <c r="N103" s="379"/>
      <c r="O103" s="379"/>
      <c r="P103" s="379"/>
      <c r="Q103" s="379"/>
      <c r="R103" s="379"/>
      <c r="S103" s="379"/>
      <c r="T103" s="379"/>
      <c r="U103" s="441">
        <v>-40500</v>
      </c>
      <c r="V103" s="410"/>
      <c r="W103" s="6"/>
      <c r="X103" s="64"/>
    </row>
    <row r="104" spans="1:24" ht="15.6">
      <c r="A104" s="444">
        <v>11</v>
      </c>
      <c r="B104" s="379" t="s">
        <v>183</v>
      </c>
      <c r="C104" s="379"/>
      <c r="D104" s="379"/>
      <c r="E104" s="379"/>
      <c r="F104" s="379"/>
      <c r="G104" s="379"/>
      <c r="H104" s="379"/>
      <c r="I104" s="379"/>
      <c r="J104" s="379"/>
      <c r="K104" s="379"/>
      <c r="L104" s="379"/>
      <c r="M104" s="379"/>
      <c r="N104" s="379"/>
      <c r="O104" s="379"/>
      <c r="P104" s="379"/>
      <c r="Q104" s="379"/>
      <c r="R104" s="379"/>
      <c r="S104" s="379"/>
      <c r="T104" s="379"/>
      <c r="U104" s="441">
        <v>0</v>
      </c>
      <c r="V104" s="410"/>
      <c r="W104" s="6"/>
      <c r="X104" s="64"/>
    </row>
    <row r="105" spans="1:24" ht="15.6">
      <c r="A105" s="444">
        <v>12</v>
      </c>
      <c r="B105" s="379" t="s">
        <v>184</v>
      </c>
      <c r="C105" s="379"/>
      <c r="D105" s="379"/>
      <c r="E105" s="379"/>
      <c r="F105" s="379"/>
      <c r="G105" s="379"/>
      <c r="H105" s="379"/>
      <c r="I105" s="379"/>
      <c r="J105" s="379"/>
      <c r="K105" s="379"/>
      <c r="L105" s="379"/>
      <c r="M105" s="379"/>
      <c r="N105" s="379"/>
      <c r="O105" s="379"/>
      <c r="P105" s="379"/>
      <c r="Q105" s="379"/>
      <c r="R105" s="379"/>
      <c r="S105" s="379"/>
      <c r="T105" s="379"/>
      <c r="U105" s="441">
        <v>-229</v>
      </c>
      <c r="V105" s="410"/>
      <c r="W105" s="6"/>
      <c r="X105" s="182"/>
    </row>
    <row r="106" spans="1:24" ht="15.6">
      <c r="A106" s="444">
        <v>13</v>
      </c>
      <c r="B106" s="379" t="s">
        <v>40</v>
      </c>
      <c r="C106" s="379"/>
      <c r="D106" s="379"/>
      <c r="E106" s="379"/>
      <c r="F106" s="379"/>
      <c r="G106" s="379"/>
      <c r="H106" s="379"/>
      <c r="I106" s="379"/>
      <c r="J106" s="379"/>
      <c r="K106" s="379"/>
      <c r="L106" s="379"/>
      <c r="M106" s="379"/>
      <c r="N106" s="379"/>
      <c r="O106" s="379"/>
      <c r="P106" s="379"/>
      <c r="Q106" s="379"/>
      <c r="R106" s="379"/>
      <c r="S106" s="379"/>
      <c r="T106" s="379"/>
      <c r="U106" s="441">
        <f>-SUM(U87:V105)</f>
        <v>-2394.2788</v>
      </c>
      <c r="V106" s="410"/>
      <c r="W106" s="6"/>
      <c r="X106" s="182"/>
    </row>
    <row r="107" spans="1:24" ht="15.6">
      <c r="A107" s="316"/>
      <c r="B107" s="443"/>
      <c r="C107" s="364"/>
      <c r="D107" s="364"/>
      <c r="E107" s="364"/>
      <c r="F107" s="364"/>
      <c r="G107" s="364"/>
      <c r="H107" s="364"/>
      <c r="I107" s="364"/>
      <c r="J107" s="364"/>
      <c r="K107" s="364"/>
      <c r="L107" s="364"/>
      <c r="M107" s="364"/>
      <c r="N107" s="364"/>
      <c r="O107" s="364"/>
      <c r="P107" s="364"/>
      <c r="Q107" s="364"/>
      <c r="R107" s="364"/>
      <c r="S107" s="360"/>
      <c r="T107" s="360"/>
      <c r="U107" s="360"/>
      <c r="V107" s="303"/>
      <c r="W107" s="6"/>
      <c r="X107" s="182"/>
    </row>
    <row r="108" spans="1:24" ht="15.6">
      <c r="A108" s="316"/>
      <c r="B108" s="317"/>
      <c r="C108" s="288"/>
      <c r="D108" s="288"/>
      <c r="E108" s="288"/>
      <c r="F108" s="288"/>
      <c r="G108" s="288"/>
      <c r="H108" s="288"/>
      <c r="I108" s="288"/>
      <c r="J108" s="288"/>
      <c r="K108" s="288"/>
      <c r="L108" s="288"/>
      <c r="M108" s="288"/>
      <c r="N108" s="288"/>
      <c r="O108" s="288"/>
      <c r="P108" s="288"/>
      <c r="Q108" s="288"/>
      <c r="R108" s="288"/>
      <c r="S108" s="318"/>
      <c r="T108" s="318"/>
      <c r="U108" s="318"/>
      <c r="V108" s="303"/>
      <c r="W108" s="6"/>
    </row>
    <row r="109" spans="1:24" ht="16.2" thickBot="1">
      <c r="A109" s="319"/>
      <c r="B109" s="304" t="str">
        <f>+B59</f>
        <v>PPAF3 INVESTOR REPORT QUARTER ENDING SEPTMEBER 2011</v>
      </c>
      <c r="C109" s="305"/>
      <c r="D109" s="305"/>
      <c r="E109" s="305"/>
      <c r="F109" s="305"/>
      <c r="G109" s="305"/>
      <c r="H109" s="305"/>
      <c r="I109" s="305"/>
      <c r="J109" s="305"/>
      <c r="K109" s="305"/>
      <c r="L109" s="305"/>
      <c r="M109" s="305"/>
      <c r="N109" s="305"/>
      <c r="O109" s="305"/>
      <c r="P109" s="305"/>
      <c r="Q109" s="305"/>
      <c r="R109" s="305"/>
      <c r="S109" s="320"/>
      <c r="T109" s="320"/>
      <c r="U109" s="320"/>
      <c r="V109" s="307"/>
      <c r="W109" s="6"/>
    </row>
    <row r="110" spans="1:24" ht="15.6">
      <c r="A110" s="238"/>
      <c r="B110" s="240"/>
      <c r="C110" s="240"/>
      <c r="D110" s="240"/>
      <c r="E110" s="240"/>
      <c r="F110" s="240"/>
      <c r="G110" s="240"/>
      <c r="H110" s="240"/>
      <c r="I110" s="240"/>
      <c r="J110" s="240"/>
      <c r="K110" s="240"/>
      <c r="L110" s="240"/>
      <c r="M110" s="240"/>
      <c r="N110" s="240"/>
      <c r="O110" s="240"/>
      <c r="P110" s="240"/>
      <c r="Q110" s="240"/>
      <c r="R110" s="240"/>
      <c r="S110" s="269"/>
      <c r="T110" s="269"/>
      <c r="U110" s="269"/>
      <c r="V110" s="241"/>
      <c r="W110" s="6"/>
    </row>
    <row r="111" spans="1:24" ht="15.6">
      <c r="A111" s="321"/>
      <c r="B111" s="517" t="s">
        <v>41</v>
      </c>
      <c r="C111" s="322"/>
      <c r="D111" s="322"/>
      <c r="E111" s="322"/>
      <c r="F111" s="322"/>
      <c r="G111" s="322"/>
      <c r="H111" s="322"/>
      <c r="I111" s="322"/>
      <c r="J111" s="322"/>
      <c r="K111" s="322"/>
      <c r="L111" s="322"/>
      <c r="M111" s="322"/>
      <c r="N111" s="322"/>
      <c r="O111" s="322"/>
      <c r="P111" s="322"/>
      <c r="Q111" s="322"/>
      <c r="R111" s="322"/>
      <c r="S111" s="322"/>
      <c r="T111" s="322"/>
      <c r="U111" s="323"/>
      <c r="V111" s="324"/>
      <c r="W111" s="6"/>
    </row>
    <row r="112" spans="1:24" ht="15.6">
      <c r="A112" s="270"/>
      <c r="B112" s="271"/>
      <c r="C112" s="271"/>
      <c r="D112" s="271"/>
      <c r="E112" s="271"/>
      <c r="F112" s="271"/>
      <c r="G112" s="271"/>
      <c r="H112" s="271"/>
      <c r="I112" s="271"/>
      <c r="J112" s="271"/>
      <c r="K112" s="271"/>
      <c r="L112" s="271"/>
      <c r="M112" s="271"/>
      <c r="N112" s="271"/>
      <c r="O112" s="271"/>
      <c r="P112" s="271"/>
      <c r="Q112" s="271"/>
      <c r="R112" s="271"/>
      <c r="S112" s="271"/>
      <c r="T112" s="271"/>
      <c r="U112" s="272"/>
      <c r="V112" s="273"/>
      <c r="W112" s="6"/>
    </row>
    <row r="113" spans="1:23" ht="15.6">
      <c r="A113" s="242"/>
      <c r="B113" s="274" t="s">
        <v>42</v>
      </c>
      <c r="C113" s="252"/>
      <c r="D113" s="252"/>
      <c r="E113" s="252"/>
      <c r="F113" s="252"/>
      <c r="G113" s="252"/>
      <c r="H113" s="252"/>
      <c r="I113" s="252"/>
      <c r="J113" s="252"/>
      <c r="K113" s="252"/>
      <c r="L113" s="252"/>
      <c r="M113" s="244"/>
      <c r="N113" s="244"/>
      <c r="O113" s="244"/>
      <c r="P113" s="244"/>
      <c r="Q113" s="244"/>
      <c r="R113" s="244"/>
      <c r="S113" s="244"/>
      <c r="T113" s="244"/>
      <c r="U113" s="263"/>
      <c r="V113" s="245"/>
      <c r="W113" s="6"/>
    </row>
    <row r="114" spans="1:23" ht="15.6">
      <c r="A114" s="378"/>
      <c r="B114" s="379" t="s">
        <v>43</v>
      </c>
      <c r="C114" s="379"/>
      <c r="D114" s="379"/>
      <c r="E114" s="379"/>
      <c r="F114" s="379"/>
      <c r="G114" s="379"/>
      <c r="H114" s="379"/>
      <c r="I114" s="379"/>
      <c r="J114" s="379"/>
      <c r="K114" s="379"/>
      <c r="L114" s="379"/>
      <c r="M114" s="379"/>
      <c r="N114" s="379"/>
      <c r="O114" s="379"/>
      <c r="P114" s="379"/>
      <c r="Q114" s="379"/>
      <c r="R114" s="379"/>
      <c r="S114" s="379"/>
      <c r="T114" s="379"/>
      <c r="U114" s="441">
        <v>40500</v>
      </c>
      <c r="V114" s="410"/>
      <c r="W114" s="6"/>
    </row>
    <row r="115" spans="1:23" ht="15.6">
      <c r="A115" s="378"/>
      <c r="B115" s="379" t="s">
        <v>240</v>
      </c>
      <c r="C115" s="379"/>
      <c r="D115" s="379"/>
      <c r="E115" s="379"/>
      <c r="F115" s="379"/>
      <c r="G115" s="379"/>
      <c r="H115" s="379"/>
      <c r="I115" s="379"/>
      <c r="J115" s="379"/>
      <c r="K115" s="379"/>
      <c r="L115" s="379"/>
      <c r="M115" s="379"/>
      <c r="N115" s="379"/>
      <c r="O115" s="379"/>
      <c r="P115" s="379"/>
      <c r="Q115" s="379"/>
      <c r="R115" s="379"/>
      <c r="S115" s="379"/>
      <c r="T115" s="379"/>
      <c r="U115" s="441">
        <v>40500</v>
      </c>
      <c r="V115" s="410"/>
      <c r="W115" s="6"/>
    </row>
    <row r="116" spans="1:23" ht="15.6">
      <c r="A116" s="378"/>
      <c r="B116" s="379" t="s">
        <v>241</v>
      </c>
      <c r="C116" s="379"/>
      <c r="D116" s="379"/>
      <c r="E116" s="379"/>
      <c r="F116" s="379"/>
      <c r="G116" s="379"/>
      <c r="H116" s="379"/>
      <c r="I116" s="379"/>
      <c r="J116" s="379"/>
      <c r="K116" s="379"/>
      <c r="L116" s="379"/>
      <c r="M116" s="379"/>
      <c r="N116" s="379"/>
      <c r="O116" s="379"/>
      <c r="P116" s="379"/>
      <c r="Q116" s="379"/>
      <c r="R116" s="379"/>
      <c r="S116" s="379"/>
      <c r="T116" s="379"/>
      <c r="U116" s="441">
        <v>0</v>
      </c>
      <c r="V116" s="410"/>
      <c r="W116" s="6"/>
    </row>
    <row r="117" spans="1:23" ht="15.6">
      <c r="A117" s="378"/>
      <c r="B117" s="379" t="s">
        <v>209</v>
      </c>
      <c r="C117" s="379"/>
      <c r="D117" s="379"/>
      <c r="E117" s="379"/>
      <c r="F117" s="379"/>
      <c r="G117" s="379"/>
      <c r="H117" s="379"/>
      <c r="I117" s="379"/>
      <c r="J117" s="379"/>
      <c r="K117" s="379"/>
      <c r="L117" s="379"/>
      <c r="M117" s="379"/>
      <c r="N117" s="379"/>
      <c r="O117" s="379"/>
      <c r="P117" s="379"/>
      <c r="Q117" s="379"/>
      <c r="R117" s="379"/>
      <c r="S117" s="379"/>
      <c r="T117" s="379"/>
      <c r="U117" s="441">
        <v>0</v>
      </c>
      <c r="V117" s="410"/>
      <c r="W117" s="6"/>
    </row>
    <row r="118" spans="1:23" ht="15.6">
      <c r="A118" s="378"/>
      <c r="B118" s="379" t="s">
        <v>210</v>
      </c>
      <c r="C118" s="379"/>
      <c r="D118" s="379"/>
      <c r="E118" s="379"/>
      <c r="F118" s="379"/>
      <c r="G118" s="379"/>
      <c r="H118" s="379"/>
      <c r="I118" s="379"/>
      <c r="J118" s="379"/>
      <c r="K118" s="379"/>
      <c r="L118" s="379"/>
      <c r="M118" s="379"/>
      <c r="N118" s="379"/>
      <c r="O118" s="379"/>
      <c r="P118" s="379"/>
      <c r="Q118" s="379"/>
      <c r="R118" s="379"/>
      <c r="S118" s="379"/>
      <c r="T118" s="379"/>
      <c r="U118" s="441">
        <v>0</v>
      </c>
      <c r="V118" s="410"/>
      <c r="W118" s="6"/>
    </row>
    <row r="119" spans="1:23" ht="15.6">
      <c r="A119" s="378"/>
      <c r="B119" s="379" t="s">
        <v>211</v>
      </c>
      <c r="C119" s="379"/>
      <c r="D119" s="379"/>
      <c r="E119" s="379"/>
      <c r="F119" s="379"/>
      <c r="G119" s="379"/>
      <c r="H119" s="379"/>
      <c r="I119" s="379"/>
      <c r="J119" s="379"/>
      <c r="K119" s="379"/>
      <c r="L119" s="379"/>
      <c r="M119" s="379"/>
      <c r="N119" s="379"/>
      <c r="O119" s="379"/>
      <c r="P119" s="379"/>
      <c r="Q119" s="379"/>
      <c r="R119" s="379"/>
      <c r="S119" s="379"/>
      <c r="T119" s="379"/>
      <c r="U119" s="441">
        <v>0</v>
      </c>
      <c r="V119" s="410"/>
      <c r="W119" s="6"/>
    </row>
    <row r="120" spans="1:23" ht="15.6">
      <c r="A120" s="378"/>
      <c r="B120" s="379" t="s">
        <v>212</v>
      </c>
      <c r="C120" s="379"/>
      <c r="D120" s="379"/>
      <c r="E120" s="379"/>
      <c r="F120" s="379"/>
      <c r="G120" s="379"/>
      <c r="H120" s="379"/>
      <c r="I120" s="379"/>
      <c r="J120" s="379"/>
      <c r="K120" s="379"/>
      <c r="L120" s="379"/>
      <c r="M120" s="379"/>
      <c r="N120" s="379"/>
      <c r="O120" s="379"/>
      <c r="P120" s="379"/>
      <c r="Q120" s="379"/>
      <c r="R120" s="379"/>
      <c r="S120" s="379"/>
      <c r="T120" s="379"/>
      <c r="U120" s="441">
        <v>0</v>
      </c>
      <c r="V120" s="410"/>
      <c r="W120" s="6"/>
    </row>
    <row r="121" spans="1:23" ht="15.6">
      <c r="A121" s="378"/>
      <c r="B121" s="379" t="s">
        <v>242</v>
      </c>
      <c r="C121" s="379"/>
      <c r="D121" s="379"/>
      <c r="E121" s="379"/>
      <c r="F121" s="379"/>
      <c r="G121" s="379"/>
      <c r="H121" s="379"/>
      <c r="I121" s="379"/>
      <c r="J121" s="379"/>
      <c r="K121" s="379"/>
      <c r="L121" s="379"/>
      <c r="M121" s="379"/>
      <c r="N121" s="379"/>
      <c r="O121" s="379"/>
      <c r="P121" s="379"/>
      <c r="Q121" s="379"/>
      <c r="R121" s="379"/>
      <c r="S121" s="379"/>
      <c r="T121" s="379"/>
      <c r="U121" s="441">
        <v>0</v>
      </c>
      <c r="V121" s="410"/>
      <c r="W121" s="6"/>
    </row>
    <row r="122" spans="1:23" ht="15.6">
      <c r="A122" s="378"/>
      <c r="B122" s="379" t="s">
        <v>45</v>
      </c>
      <c r="C122" s="379"/>
      <c r="D122" s="379"/>
      <c r="E122" s="379"/>
      <c r="F122" s="379"/>
      <c r="G122" s="379"/>
      <c r="H122" s="379"/>
      <c r="I122" s="379"/>
      <c r="J122" s="379"/>
      <c r="K122" s="379"/>
      <c r="L122" s="379"/>
      <c r="M122" s="379"/>
      <c r="N122" s="379"/>
      <c r="O122" s="379"/>
      <c r="P122" s="379"/>
      <c r="Q122" s="379"/>
      <c r="R122" s="379"/>
      <c r="S122" s="379"/>
      <c r="T122" s="379"/>
      <c r="U122" s="441">
        <f>SUM(U115:U121)</f>
        <v>40500</v>
      </c>
      <c r="V122" s="410"/>
      <c r="W122" s="6"/>
    </row>
    <row r="123" spans="1:23" ht="15.6">
      <c r="A123" s="242"/>
      <c r="B123" s="438"/>
      <c r="C123" s="438"/>
      <c r="D123" s="438"/>
      <c r="E123" s="438"/>
      <c r="F123" s="438"/>
      <c r="G123" s="438"/>
      <c r="H123" s="438"/>
      <c r="I123" s="438"/>
      <c r="J123" s="438"/>
      <c r="K123" s="438"/>
      <c r="L123" s="438"/>
      <c r="M123" s="438"/>
      <c r="N123" s="438"/>
      <c r="O123" s="438"/>
      <c r="P123" s="438"/>
      <c r="Q123" s="438"/>
      <c r="R123" s="438"/>
      <c r="S123" s="438"/>
      <c r="T123" s="438"/>
      <c r="U123" s="448"/>
      <c r="V123" s="245"/>
      <c r="W123" s="6"/>
    </row>
    <row r="124" spans="1:23" ht="15.6">
      <c r="A124" s="242"/>
      <c r="B124" s="274" t="s">
        <v>46</v>
      </c>
      <c r="C124" s="252"/>
      <c r="D124" s="252"/>
      <c r="E124" s="252"/>
      <c r="F124" s="252"/>
      <c r="G124" s="252"/>
      <c r="H124" s="252"/>
      <c r="I124" s="252"/>
      <c r="J124" s="252"/>
      <c r="K124" s="252"/>
      <c r="L124" s="252"/>
      <c r="M124" s="244"/>
      <c r="N124" s="244"/>
      <c r="O124" s="244"/>
      <c r="P124" s="275"/>
      <c r="Q124" s="244"/>
      <c r="R124" s="244"/>
      <c r="S124" s="244"/>
      <c r="T124" s="244"/>
      <c r="U124" s="276"/>
      <c r="V124" s="245"/>
      <c r="W124" s="6"/>
    </row>
    <row r="125" spans="1:23" ht="15.6">
      <c r="A125" s="230"/>
      <c r="B125" s="511"/>
      <c r="C125" s="232" t="s">
        <v>185</v>
      </c>
      <c r="D125" s="232"/>
      <c r="E125" s="232" t="s">
        <v>99</v>
      </c>
      <c r="F125" s="232"/>
      <c r="G125" s="232" t="s">
        <v>102</v>
      </c>
      <c r="H125" s="232"/>
      <c r="I125" s="232" t="s">
        <v>108</v>
      </c>
      <c r="J125" s="232"/>
      <c r="K125" s="232"/>
      <c r="L125" s="232"/>
      <c r="M125" s="232"/>
      <c r="N125" s="232"/>
      <c r="O125" s="232"/>
      <c r="P125" s="326"/>
      <c r="Q125" s="326"/>
      <c r="R125" s="231"/>
      <c r="S125" s="231"/>
      <c r="T125" s="231"/>
      <c r="U125" s="309"/>
      <c r="V125" s="237"/>
      <c r="W125" s="6"/>
    </row>
    <row r="126" spans="1:23" ht="15.6">
      <c r="A126" s="257"/>
      <c r="B126" s="294" t="s">
        <v>122</v>
      </c>
      <c r="C126" s="310">
        <f>+N199-'June 11'!N199</f>
        <v>-58</v>
      </c>
      <c r="D126" s="294"/>
      <c r="E126" s="310">
        <f>+S199-'June 11'!S199</f>
        <v>-11</v>
      </c>
      <c r="F126" s="294"/>
      <c r="G126" s="310">
        <f>+'September 11'!N212-'June 11'!N212</f>
        <v>111</v>
      </c>
      <c r="H126" s="294"/>
      <c r="I126" s="310">
        <f>+S212-'June 11'!S212</f>
        <v>18</v>
      </c>
      <c r="J126" s="294"/>
      <c r="K126" s="294"/>
      <c r="L126" s="294"/>
      <c r="M126" s="294"/>
      <c r="N126" s="294"/>
      <c r="O126" s="294"/>
      <c r="P126" s="325"/>
      <c r="Q126" s="325"/>
      <c r="R126" s="294"/>
      <c r="S126" s="294"/>
      <c r="T126" s="294"/>
      <c r="U126" s="311">
        <f>SUM(C126:I126)</f>
        <v>60</v>
      </c>
      <c r="V126" s="298"/>
      <c r="W126" s="6"/>
    </row>
    <row r="127" spans="1:23" ht="15.6">
      <c r="A127" s="378"/>
      <c r="B127" s="379" t="s">
        <v>47</v>
      </c>
      <c r="C127" s="379">
        <v>77</v>
      </c>
      <c r="D127" s="379"/>
      <c r="E127" s="379">
        <v>0</v>
      </c>
      <c r="F127" s="379"/>
      <c r="G127" s="379">
        <v>959</v>
      </c>
      <c r="H127" s="379"/>
      <c r="I127" s="440">
        <v>231</v>
      </c>
      <c r="J127" s="379"/>
      <c r="K127" s="379"/>
      <c r="L127" s="379"/>
      <c r="M127" s="379"/>
      <c r="N127" s="379"/>
      <c r="O127" s="379"/>
      <c r="P127" s="450"/>
      <c r="Q127" s="450"/>
      <c r="R127" s="379"/>
      <c r="S127" s="379"/>
      <c r="T127" s="379"/>
      <c r="U127" s="441">
        <f>SUM(C127:I127)</f>
        <v>1267</v>
      </c>
      <c r="V127" s="410"/>
      <c r="W127" s="6"/>
    </row>
    <row r="128" spans="1:23" ht="15.6">
      <c r="A128" s="242"/>
      <c r="B128" s="364" t="s">
        <v>48</v>
      </c>
      <c r="C128" s="364"/>
      <c r="D128" s="364"/>
      <c r="E128" s="364"/>
      <c r="F128" s="364"/>
      <c r="G128" s="364"/>
      <c r="H128" s="364"/>
      <c r="I128" s="364"/>
      <c r="J128" s="364"/>
      <c r="K128" s="364"/>
      <c r="L128" s="364"/>
      <c r="M128" s="364"/>
      <c r="N128" s="364"/>
      <c r="O128" s="364"/>
      <c r="P128" s="364"/>
      <c r="Q128" s="364"/>
      <c r="R128" s="364"/>
      <c r="S128" s="364"/>
      <c r="T128" s="364"/>
      <c r="U128" s="449">
        <f>SUM(U126:U127)</f>
        <v>1327</v>
      </c>
      <c r="V128" s="303"/>
      <c r="W128" s="6"/>
    </row>
    <row r="129" spans="1:25" ht="15.6">
      <c r="A129" s="242"/>
      <c r="B129" s="274" t="s">
        <v>49</v>
      </c>
      <c r="C129" s="252"/>
      <c r="D129" s="252"/>
      <c r="E129" s="252"/>
      <c r="F129" s="252"/>
      <c r="G129" s="252"/>
      <c r="H129" s="252"/>
      <c r="I129" s="252"/>
      <c r="J129" s="252"/>
      <c r="K129" s="252"/>
      <c r="L129" s="252"/>
      <c r="M129" s="244"/>
      <c r="N129" s="244"/>
      <c r="O129" s="244"/>
      <c r="P129" s="244"/>
      <c r="Q129" s="244"/>
      <c r="R129" s="244"/>
      <c r="S129" s="244"/>
      <c r="T129" s="244"/>
      <c r="U129" s="263"/>
      <c r="V129" s="245"/>
      <c r="W129" s="6"/>
    </row>
    <row r="130" spans="1:25" ht="15.6">
      <c r="A130" s="444"/>
      <c r="B130" s="379" t="s">
        <v>50</v>
      </c>
      <c r="C130" s="386"/>
      <c r="D130" s="386"/>
      <c r="E130" s="386"/>
      <c r="F130" s="386"/>
      <c r="G130" s="386"/>
      <c r="H130" s="386"/>
      <c r="I130" s="386"/>
      <c r="J130" s="386"/>
      <c r="K130" s="386"/>
      <c r="L130" s="386"/>
      <c r="M130" s="379"/>
      <c r="N130" s="379"/>
      <c r="O130" s="379"/>
      <c r="P130" s="379"/>
      <c r="Q130" s="379"/>
      <c r="R130" s="379"/>
      <c r="S130" s="379"/>
      <c r="T130" s="379"/>
      <c r="U130" s="441">
        <f>U75+U77</f>
        <v>191133</v>
      </c>
      <c r="V130" s="410"/>
      <c r="W130" s="6"/>
      <c r="X130" s="182"/>
    </row>
    <row r="131" spans="1:25" ht="15.6">
      <c r="A131" s="444"/>
      <c r="B131" s="379" t="s">
        <v>51</v>
      </c>
      <c r="C131" s="386"/>
      <c r="D131" s="386"/>
      <c r="E131" s="386"/>
      <c r="F131" s="386"/>
      <c r="G131" s="386"/>
      <c r="H131" s="386"/>
      <c r="I131" s="386"/>
      <c r="J131" s="386"/>
      <c r="K131" s="386"/>
      <c r="L131" s="386"/>
      <c r="M131" s="379"/>
      <c r="N131" s="379"/>
      <c r="O131" s="379"/>
      <c r="P131" s="379"/>
      <c r="Q131" s="379"/>
      <c r="R131" s="379"/>
      <c r="S131" s="379"/>
      <c r="T131" s="379"/>
      <c r="U131" s="441">
        <v>0</v>
      </c>
      <c r="V131" s="410"/>
      <c r="W131" s="6"/>
      <c r="Y131" s="182"/>
    </row>
    <row r="132" spans="1:25" ht="15.6">
      <c r="A132" s="444"/>
      <c r="B132" s="379" t="s">
        <v>52</v>
      </c>
      <c r="C132" s="386"/>
      <c r="D132" s="386"/>
      <c r="E132" s="386"/>
      <c r="F132" s="386"/>
      <c r="G132" s="386"/>
      <c r="H132" s="386"/>
      <c r="I132" s="386"/>
      <c r="J132" s="386"/>
      <c r="K132" s="386"/>
      <c r="L132" s="386"/>
      <c r="M132" s="379"/>
      <c r="N132" s="379"/>
      <c r="O132" s="379"/>
      <c r="P132" s="379"/>
      <c r="Q132" s="379"/>
      <c r="R132" s="379"/>
      <c r="S132" s="379"/>
      <c r="T132" s="379"/>
      <c r="U132" s="441">
        <f>+U130+U131</f>
        <v>191133</v>
      </c>
      <c r="V132" s="410"/>
      <c r="W132" s="6"/>
    </row>
    <row r="133" spans="1:25" ht="15.6">
      <c r="A133" s="444"/>
      <c r="B133" s="379" t="s">
        <v>53</v>
      </c>
      <c r="C133" s="386"/>
      <c r="D133" s="386"/>
      <c r="E133" s="386"/>
      <c r="F133" s="386"/>
      <c r="G133" s="386"/>
      <c r="H133" s="386"/>
      <c r="I133" s="386"/>
      <c r="J133" s="386"/>
      <c r="K133" s="386"/>
      <c r="L133" s="386"/>
      <c r="M133" s="379"/>
      <c r="N133" s="379"/>
      <c r="O133" s="379"/>
      <c r="P133" s="379"/>
      <c r="Q133" s="379"/>
      <c r="R133" s="379"/>
      <c r="S133" s="379"/>
      <c r="T133" s="379"/>
      <c r="U133" s="441">
        <f>U80</f>
        <v>191133</v>
      </c>
      <c r="V133" s="410"/>
      <c r="W133" s="6"/>
      <c r="X133" s="64"/>
    </row>
    <row r="134" spans="1:25" ht="15.6">
      <c r="A134" s="242"/>
      <c r="B134" s="438"/>
      <c r="C134" s="438"/>
      <c r="D134" s="438"/>
      <c r="E134" s="438"/>
      <c r="F134" s="438"/>
      <c r="G134" s="438"/>
      <c r="H134" s="438"/>
      <c r="I134" s="438"/>
      <c r="J134" s="438"/>
      <c r="K134" s="438"/>
      <c r="L134" s="438"/>
      <c r="M134" s="438"/>
      <c r="N134" s="438"/>
      <c r="O134" s="438"/>
      <c r="P134" s="438"/>
      <c r="Q134" s="438"/>
      <c r="R134" s="438"/>
      <c r="S134" s="438"/>
      <c r="T134" s="438"/>
      <c r="U134" s="451"/>
      <c r="V134" s="245"/>
      <c r="W134" s="6"/>
    </row>
    <row r="135" spans="1:25" ht="15.6">
      <c r="A135" s="242"/>
      <c r="B135" s="274" t="s">
        <v>54</v>
      </c>
      <c r="C135" s="247"/>
      <c r="D135" s="247"/>
      <c r="E135" s="247"/>
      <c r="F135" s="247"/>
      <c r="G135" s="247"/>
      <c r="H135" s="247"/>
      <c r="I135" s="247"/>
      <c r="J135" s="247"/>
      <c r="K135" s="247"/>
      <c r="L135" s="247"/>
      <c r="M135" s="247"/>
      <c r="N135" s="247"/>
      <c r="O135" s="247"/>
      <c r="P135" s="247"/>
      <c r="Q135" s="277" t="s">
        <v>112</v>
      </c>
      <c r="R135" s="278"/>
      <c r="S135" s="277" t="s">
        <v>114</v>
      </c>
      <c r="T135" s="247"/>
      <c r="U135" s="279" t="s">
        <v>90</v>
      </c>
      <c r="V135" s="245"/>
      <c r="W135" s="6"/>
    </row>
    <row r="136" spans="1:25" ht="15.6">
      <c r="A136" s="378"/>
      <c r="B136" s="379" t="s">
        <v>55</v>
      </c>
      <c r="C136" s="379"/>
      <c r="D136" s="379"/>
      <c r="E136" s="379"/>
      <c r="F136" s="379"/>
      <c r="G136" s="379"/>
      <c r="H136" s="379"/>
      <c r="I136" s="379"/>
      <c r="J136" s="379"/>
      <c r="K136" s="379"/>
      <c r="L136" s="379"/>
      <c r="M136" s="379"/>
      <c r="N136" s="379"/>
      <c r="O136" s="379"/>
      <c r="P136" s="379"/>
      <c r="Q136" s="441">
        <v>0</v>
      </c>
      <c r="R136" s="379"/>
      <c r="S136" s="453" t="s">
        <v>115</v>
      </c>
      <c r="T136" s="379"/>
      <c r="U136" s="441">
        <f>Q136</f>
        <v>0</v>
      </c>
      <c r="V136" s="385"/>
      <c r="W136" s="6"/>
    </row>
    <row r="137" spans="1:25" ht="15.6">
      <c r="A137" s="378"/>
      <c r="B137" s="379" t="s">
        <v>56</v>
      </c>
      <c r="C137" s="379"/>
      <c r="D137" s="379"/>
      <c r="E137" s="379"/>
      <c r="F137" s="379"/>
      <c r="G137" s="379"/>
      <c r="H137" s="379"/>
      <c r="I137" s="379"/>
      <c r="J137" s="379"/>
      <c r="K137" s="379"/>
      <c r="L137" s="379"/>
      <c r="M137" s="379"/>
      <c r="N137" s="379"/>
      <c r="O137" s="379"/>
      <c r="P137" s="379"/>
      <c r="Q137" s="441">
        <f>+'June 11'!Q139</f>
        <v>4229</v>
      </c>
      <c r="R137" s="379"/>
      <c r="S137" s="453" t="s">
        <v>115</v>
      </c>
      <c r="T137" s="379"/>
      <c r="U137" s="441">
        <f>Q137</f>
        <v>4229</v>
      </c>
      <c r="V137" s="385"/>
      <c r="W137" s="6"/>
    </row>
    <row r="138" spans="1:25" ht="15.6">
      <c r="A138" s="378"/>
      <c r="B138" s="379" t="s">
        <v>57</v>
      </c>
      <c r="C138" s="379"/>
      <c r="D138" s="379"/>
      <c r="E138" s="379"/>
      <c r="F138" s="379"/>
      <c r="G138" s="379"/>
      <c r="H138" s="379"/>
      <c r="I138" s="379"/>
      <c r="J138" s="379"/>
      <c r="K138" s="379"/>
      <c r="L138" s="379"/>
      <c r="M138" s="379"/>
      <c r="N138" s="379"/>
      <c r="O138" s="379"/>
      <c r="P138" s="379"/>
      <c r="Q138" s="441">
        <v>0</v>
      </c>
      <c r="R138" s="379"/>
      <c r="S138" s="453" t="s">
        <v>115</v>
      </c>
      <c r="T138" s="379"/>
      <c r="U138" s="441">
        <f>Q138</f>
        <v>0</v>
      </c>
      <c r="V138" s="385"/>
      <c r="W138" s="6"/>
    </row>
    <row r="139" spans="1:25" ht="15.6">
      <c r="A139" s="378"/>
      <c r="B139" s="379" t="s">
        <v>58</v>
      </c>
      <c r="C139" s="379"/>
      <c r="D139" s="379"/>
      <c r="E139" s="379"/>
      <c r="F139" s="379"/>
      <c r="G139" s="379"/>
      <c r="H139" s="379"/>
      <c r="I139" s="379"/>
      <c r="J139" s="379"/>
      <c r="K139" s="379"/>
      <c r="L139" s="379"/>
      <c r="M139" s="379"/>
      <c r="N139" s="379"/>
      <c r="O139" s="379"/>
      <c r="P139" s="379"/>
      <c r="Q139" s="441">
        <f>SUM(Q137:Q138)</f>
        <v>4229</v>
      </c>
      <c r="R139" s="379"/>
      <c r="S139" s="453" t="s">
        <v>115</v>
      </c>
      <c r="T139" s="379"/>
      <c r="U139" s="441">
        <f>Q139</f>
        <v>4229</v>
      </c>
      <c r="V139" s="385"/>
      <c r="W139" s="6"/>
    </row>
    <row r="140" spans="1:25" ht="15.6">
      <c r="A140" s="378"/>
      <c r="B140" s="379" t="s">
        <v>215</v>
      </c>
      <c r="C140" s="379"/>
      <c r="D140" s="379"/>
      <c r="E140" s="379"/>
      <c r="F140" s="379"/>
      <c r="G140" s="379"/>
      <c r="H140" s="379"/>
      <c r="I140" s="379"/>
      <c r="J140" s="379"/>
      <c r="K140" s="379"/>
      <c r="L140" s="379"/>
      <c r="M140" s="379"/>
      <c r="N140" s="379"/>
      <c r="O140" s="379"/>
      <c r="P140" s="379"/>
      <c r="Q140" s="441"/>
      <c r="R140" s="379"/>
      <c r="S140" s="453"/>
      <c r="T140" s="379"/>
      <c r="U140" s="441"/>
      <c r="V140" s="385"/>
      <c r="W140" s="6"/>
    </row>
    <row r="141" spans="1:25" ht="15.6">
      <c r="A141" s="378"/>
      <c r="B141" s="454"/>
      <c r="C141" s="454"/>
      <c r="D141" s="454"/>
      <c r="E141" s="454"/>
      <c r="F141" s="454"/>
      <c r="G141" s="454"/>
      <c r="H141" s="454"/>
      <c r="I141" s="454"/>
      <c r="J141" s="454"/>
      <c r="K141" s="454"/>
      <c r="L141" s="454"/>
      <c r="M141" s="454"/>
      <c r="N141" s="454"/>
      <c r="O141" s="454"/>
      <c r="P141" s="454"/>
      <c r="Q141" s="454"/>
      <c r="R141" s="454"/>
      <c r="S141" s="454"/>
      <c r="T141" s="454"/>
      <c r="U141" s="454"/>
      <c r="V141" s="385"/>
      <c r="W141" s="6"/>
    </row>
    <row r="142" spans="1:25" ht="15.6">
      <c r="A142" s="242"/>
      <c r="B142" s="452"/>
      <c r="C142" s="452"/>
      <c r="D142" s="452"/>
      <c r="E142" s="452"/>
      <c r="F142" s="452"/>
      <c r="G142" s="452"/>
      <c r="H142" s="452"/>
      <c r="I142" s="452"/>
      <c r="J142" s="452"/>
      <c r="K142" s="452"/>
      <c r="L142" s="452"/>
      <c r="M142" s="452"/>
      <c r="N142" s="452"/>
      <c r="O142" s="452"/>
      <c r="P142" s="452"/>
      <c r="Q142" s="452"/>
      <c r="R142" s="452"/>
      <c r="S142" s="452"/>
      <c r="T142" s="452"/>
      <c r="U142" s="452"/>
      <c r="V142" s="284"/>
      <c r="W142" s="6"/>
    </row>
    <row r="143" spans="1:25" ht="15.6">
      <c r="A143" s="230"/>
      <c r="B143" s="511" t="s">
        <v>59</v>
      </c>
      <c r="C143" s="518"/>
      <c r="D143" s="518"/>
      <c r="E143" s="518"/>
      <c r="F143" s="518"/>
      <c r="G143" s="518"/>
      <c r="H143" s="518"/>
      <c r="I143" s="518"/>
      <c r="J143" s="518"/>
      <c r="K143" s="518"/>
      <c r="L143" s="518"/>
      <c r="M143" s="518"/>
      <c r="N143" s="518"/>
      <c r="O143" s="518"/>
      <c r="P143" s="519"/>
      <c r="Q143" s="519"/>
      <c r="R143" s="519"/>
      <c r="S143" s="519">
        <v>40816</v>
      </c>
      <c r="T143" s="231"/>
      <c r="U143" s="231"/>
      <c r="V143" s="237"/>
      <c r="W143" s="6"/>
    </row>
    <row r="144" spans="1:25" ht="15.6">
      <c r="A144" s="281"/>
      <c r="B144" s="294" t="s">
        <v>60</v>
      </c>
      <c r="C144" s="329"/>
      <c r="D144" s="329"/>
      <c r="E144" s="329"/>
      <c r="F144" s="329"/>
      <c r="G144" s="329"/>
      <c r="H144" s="329"/>
      <c r="I144" s="329"/>
      <c r="J144" s="329"/>
      <c r="K144" s="329"/>
      <c r="L144" s="329"/>
      <c r="M144" s="329"/>
      <c r="N144" s="329"/>
      <c r="O144" s="329"/>
      <c r="P144" s="300"/>
      <c r="Q144" s="300"/>
      <c r="R144" s="300"/>
      <c r="S144" s="299">
        <v>0.10630000000000001</v>
      </c>
      <c r="T144" s="294"/>
      <c r="U144" s="294"/>
      <c r="V144" s="260"/>
      <c r="W144" s="6"/>
    </row>
    <row r="145" spans="1:23" ht="15.6">
      <c r="A145" s="458"/>
      <c r="B145" s="379" t="s">
        <v>61</v>
      </c>
      <c r="C145" s="459"/>
      <c r="D145" s="459"/>
      <c r="E145" s="459"/>
      <c r="F145" s="459"/>
      <c r="G145" s="459"/>
      <c r="H145" s="459"/>
      <c r="I145" s="459"/>
      <c r="J145" s="459"/>
      <c r="K145" s="459"/>
      <c r="L145" s="459"/>
      <c r="M145" s="459"/>
      <c r="N145" s="459"/>
      <c r="O145" s="459"/>
      <c r="P145" s="433"/>
      <c r="Q145" s="433"/>
      <c r="R145" s="433"/>
      <c r="S145" s="427">
        <v>5.2200000000000003E-2</v>
      </c>
      <c r="T145" s="427"/>
      <c r="U145" s="379"/>
      <c r="V145" s="385"/>
      <c r="W145" s="6"/>
    </row>
    <row r="146" spans="1:23" ht="15.6">
      <c r="A146" s="458"/>
      <c r="B146" s="379" t="s">
        <v>62</v>
      </c>
      <c r="C146" s="459"/>
      <c r="D146" s="459"/>
      <c r="E146" s="459"/>
      <c r="F146" s="459"/>
      <c r="G146" s="459"/>
      <c r="H146" s="459"/>
      <c r="I146" s="459"/>
      <c r="J146" s="459"/>
      <c r="K146" s="459"/>
      <c r="L146" s="459"/>
      <c r="M146" s="459"/>
      <c r="N146" s="459"/>
      <c r="O146" s="459"/>
      <c r="P146" s="433"/>
      <c r="Q146" s="433"/>
      <c r="R146" s="433"/>
      <c r="S146" s="427">
        <f>S144-S145</f>
        <v>5.4100000000000002E-2</v>
      </c>
      <c r="T146" s="379"/>
      <c r="U146" s="379"/>
      <c r="V146" s="385"/>
      <c r="W146" s="6"/>
    </row>
    <row r="147" spans="1:23" ht="15.6">
      <c r="A147" s="458"/>
      <c r="B147" s="379" t="s">
        <v>63</v>
      </c>
      <c r="C147" s="459"/>
      <c r="D147" s="459"/>
      <c r="E147" s="459"/>
      <c r="F147" s="459"/>
      <c r="G147" s="459"/>
      <c r="H147" s="459"/>
      <c r="I147" s="459"/>
      <c r="J147" s="459"/>
      <c r="K147" s="459"/>
      <c r="L147" s="459"/>
      <c r="M147" s="459"/>
      <c r="N147" s="459"/>
      <c r="O147" s="459"/>
      <c r="P147" s="433"/>
      <c r="Q147" s="433"/>
      <c r="R147" s="433"/>
      <c r="S147" s="427">
        <v>9.196E-2</v>
      </c>
      <c r="T147" s="379"/>
      <c r="U147" s="379"/>
      <c r="V147" s="385"/>
      <c r="W147" s="6"/>
    </row>
    <row r="148" spans="1:23" ht="15.6">
      <c r="A148" s="458"/>
      <c r="B148" s="379" t="s">
        <v>64</v>
      </c>
      <c r="C148" s="459"/>
      <c r="D148" s="459"/>
      <c r="E148" s="459"/>
      <c r="F148" s="459"/>
      <c r="G148" s="459"/>
      <c r="H148" s="459"/>
      <c r="I148" s="459"/>
      <c r="J148" s="459"/>
      <c r="K148" s="459"/>
      <c r="L148" s="459"/>
      <c r="M148" s="459"/>
      <c r="N148" s="459"/>
      <c r="O148" s="459"/>
      <c r="P148" s="433"/>
      <c r="Q148" s="433"/>
      <c r="R148" s="433"/>
      <c r="S148" s="427">
        <f>+U40</f>
        <v>1.7708195329480272E-2</v>
      </c>
      <c r="T148" s="379"/>
      <c r="U148" s="379"/>
      <c r="V148" s="385"/>
      <c r="W148" s="6"/>
    </row>
    <row r="149" spans="1:23" ht="15.6">
      <c r="A149" s="458"/>
      <c r="B149" s="379" t="s">
        <v>65</v>
      </c>
      <c r="C149" s="459"/>
      <c r="D149" s="459"/>
      <c r="E149" s="459"/>
      <c r="F149" s="459"/>
      <c r="G149" s="459"/>
      <c r="H149" s="459"/>
      <c r="I149" s="459"/>
      <c r="J149" s="459"/>
      <c r="K149" s="459"/>
      <c r="L149" s="459"/>
      <c r="M149" s="459"/>
      <c r="N149" s="459"/>
      <c r="O149" s="459"/>
      <c r="P149" s="433"/>
      <c r="Q149" s="433"/>
      <c r="R149" s="433"/>
      <c r="S149" s="427">
        <f>S147-S148</f>
        <v>7.4251804670519728E-2</v>
      </c>
      <c r="T149" s="379"/>
      <c r="U149" s="379"/>
      <c r="V149" s="385"/>
      <c r="W149" s="6"/>
    </row>
    <row r="150" spans="1:23" ht="15.6">
      <c r="A150" s="458"/>
      <c r="B150" s="379" t="s">
        <v>204</v>
      </c>
      <c r="C150" s="459"/>
      <c r="D150" s="459"/>
      <c r="E150" s="459"/>
      <c r="F150" s="459"/>
      <c r="G150" s="459"/>
      <c r="H150" s="459"/>
      <c r="I150" s="459"/>
      <c r="J150" s="459"/>
      <c r="K150" s="459"/>
      <c r="L150" s="459"/>
      <c r="M150" s="459"/>
      <c r="N150" s="459"/>
      <c r="O150" s="459"/>
      <c r="P150" s="433"/>
      <c r="Q150" s="433"/>
      <c r="R150" s="433"/>
      <c r="S150" s="429">
        <v>49780</v>
      </c>
      <c r="T150" s="379"/>
      <c r="U150" s="379"/>
      <c r="V150" s="385"/>
      <c r="W150" s="6"/>
    </row>
    <row r="151" spans="1:23" ht="15.6">
      <c r="A151" s="458"/>
      <c r="B151" s="379" t="s">
        <v>205</v>
      </c>
      <c r="C151" s="459"/>
      <c r="D151" s="459"/>
      <c r="E151" s="459"/>
      <c r="F151" s="459"/>
      <c r="G151" s="459"/>
      <c r="H151" s="459"/>
      <c r="I151" s="459"/>
      <c r="J151" s="459"/>
      <c r="K151" s="459"/>
      <c r="L151" s="459"/>
      <c r="M151" s="459"/>
      <c r="N151" s="459"/>
      <c r="O151" s="459"/>
      <c r="P151" s="433"/>
      <c r="Q151" s="433"/>
      <c r="R151" s="433"/>
      <c r="S151" s="429">
        <v>49780</v>
      </c>
      <c r="T151" s="379"/>
      <c r="U151" s="379"/>
      <c r="V151" s="385"/>
      <c r="W151" s="6"/>
    </row>
    <row r="152" spans="1:23" ht="15.6">
      <c r="A152" s="458"/>
      <c r="B152" s="379" t="s">
        <v>206</v>
      </c>
      <c r="C152" s="459"/>
      <c r="D152" s="459"/>
      <c r="E152" s="459"/>
      <c r="F152" s="459"/>
      <c r="G152" s="459"/>
      <c r="H152" s="459"/>
      <c r="I152" s="459"/>
      <c r="J152" s="459"/>
      <c r="K152" s="459"/>
      <c r="L152" s="459"/>
      <c r="M152" s="459"/>
      <c r="N152" s="459"/>
      <c r="O152" s="459"/>
      <c r="P152" s="433"/>
      <c r="Q152" s="433"/>
      <c r="R152" s="433"/>
      <c r="S152" s="429">
        <v>49780</v>
      </c>
      <c r="T152" s="379"/>
      <c r="U152" s="379"/>
      <c r="V152" s="385"/>
      <c r="W152" s="6"/>
    </row>
    <row r="153" spans="1:23" ht="15.6">
      <c r="A153" s="458"/>
      <c r="B153" s="379" t="s">
        <v>207</v>
      </c>
      <c r="C153" s="459"/>
      <c r="D153" s="459"/>
      <c r="E153" s="459"/>
      <c r="F153" s="459"/>
      <c r="G153" s="459"/>
      <c r="H153" s="459"/>
      <c r="I153" s="459"/>
      <c r="J153" s="459"/>
      <c r="K153" s="459"/>
      <c r="L153" s="459"/>
      <c r="M153" s="459"/>
      <c r="N153" s="459"/>
      <c r="O153" s="459"/>
      <c r="P153" s="433"/>
      <c r="Q153" s="433"/>
      <c r="R153" s="433"/>
      <c r="S153" s="429">
        <v>49780</v>
      </c>
      <c r="T153" s="379"/>
      <c r="U153" s="379"/>
      <c r="V153" s="385"/>
      <c r="W153" s="6"/>
    </row>
    <row r="154" spans="1:23" ht="15.6">
      <c r="A154" s="458"/>
      <c r="B154" s="379" t="s">
        <v>221</v>
      </c>
      <c r="C154" s="459"/>
      <c r="D154" s="459"/>
      <c r="E154" s="459"/>
      <c r="F154" s="459"/>
      <c r="G154" s="459"/>
      <c r="H154" s="459"/>
      <c r="I154" s="459"/>
      <c r="J154" s="459"/>
      <c r="K154" s="459"/>
      <c r="L154" s="459"/>
      <c r="M154" s="459"/>
      <c r="N154" s="459"/>
      <c r="O154" s="459"/>
      <c r="P154" s="433"/>
      <c r="Q154" s="433"/>
      <c r="R154" s="433"/>
      <c r="S154" s="432">
        <v>111.34</v>
      </c>
      <c r="T154" s="379"/>
      <c r="U154" s="379"/>
      <c r="V154" s="385"/>
      <c r="W154" s="6"/>
    </row>
    <row r="155" spans="1:23" ht="15.6">
      <c r="A155" s="458"/>
      <c r="B155" s="379" t="s">
        <v>222</v>
      </c>
      <c r="C155" s="459"/>
      <c r="D155" s="459"/>
      <c r="E155" s="459"/>
      <c r="F155" s="459"/>
      <c r="G155" s="459"/>
      <c r="H155" s="459"/>
      <c r="I155" s="459"/>
      <c r="J155" s="459"/>
      <c r="K155" s="459"/>
      <c r="L155" s="459"/>
      <c r="M155" s="459"/>
      <c r="N155" s="459"/>
      <c r="O155" s="459"/>
      <c r="P155" s="433"/>
      <c r="Q155" s="433"/>
      <c r="R155" s="433"/>
      <c r="S155" s="432">
        <v>156.66</v>
      </c>
      <c r="T155" s="379"/>
      <c r="U155" s="379"/>
      <c r="V155" s="385"/>
      <c r="W155" s="6"/>
    </row>
    <row r="156" spans="1:23" ht="15.6">
      <c r="A156" s="458" t="s">
        <v>223</v>
      </c>
      <c r="B156" s="379" t="s">
        <v>66</v>
      </c>
      <c r="C156" s="459"/>
      <c r="D156" s="459"/>
      <c r="E156" s="459"/>
      <c r="F156" s="459"/>
      <c r="G156" s="459"/>
      <c r="H156" s="459"/>
      <c r="I156" s="459"/>
      <c r="J156" s="459"/>
      <c r="K156" s="459"/>
      <c r="L156" s="459"/>
      <c r="M156" s="459"/>
      <c r="N156" s="459"/>
      <c r="O156" s="459"/>
      <c r="P156" s="433"/>
      <c r="Q156" s="433"/>
      <c r="R156" s="433"/>
      <c r="S156" s="427">
        <v>4.8300000000000003E-2</v>
      </c>
      <c r="T156" s="379"/>
      <c r="U156" s="379"/>
      <c r="V156" s="385"/>
      <c r="W156" s="6"/>
    </row>
    <row r="157" spans="1:23" ht="15.6">
      <c r="A157" s="458"/>
      <c r="B157" s="379" t="s">
        <v>67</v>
      </c>
      <c r="C157" s="459"/>
      <c r="D157" s="459"/>
      <c r="E157" s="459"/>
      <c r="F157" s="459"/>
      <c r="G157" s="459"/>
      <c r="H157" s="459"/>
      <c r="I157" s="459"/>
      <c r="J157" s="459"/>
      <c r="K157" s="459"/>
      <c r="L157" s="459"/>
      <c r="M157" s="459"/>
      <c r="N157" s="459"/>
      <c r="O157" s="459"/>
      <c r="P157" s="433"/>
      <c r="Q157" s="433"/>
      <c r="R157" s="433"/>
      <c r="S157" s="427">
        <v>0.31630000000000003</v>
      </c>
      <c r="T157" s="379"/>
      <c r="U157" s="379"/>
      <c r="V157" s="385"/>
      <c r="W157" s="6"/>
    </row>
    <row r="158" spans="1:23" ht="15.6">
      <c r="A158" s="280"/>
      <c r="B158" s="364"/>
      <c r="C158" s="364"/>
      <c r="D158" s="364"/>
      <c r="E158" s="364"/>
      <c r="F158" s="364"/>
      <c r="G158" s="364"/>
      <c r="H158" s="364"/>
      <c r="I158" s="364"/>
      <c r="J158" s="364"/>
      <c r="K158" s="364"/>
      <c r="L158" s="364"/>
      <c r="M158" s="364"/>
      <c r="N158" s="364"/>
      <c r="O158" s="364"/>
      <c r="P158" s="364"/>
      <c r="Q158" s="364"/>
      <c r="R158" s="455"/>
      <c r="S158" s="456"/>
      <c r="T158" s="364"/>
      <c r="U158" s="457"/>
      <c r="V158" s="245"/>
      <c r="W158" s="6"/>
    </row>
    <row r="159" spans="1:23" ht="15.6">
      <c r="A159" s="280"/>
      <c r="B159" s="288"/>
      <c r="C159" s="288"/>
      <c r="D159" s="288"/>
      <c r="E159" s="288"/>
      <c r="F159" s="288"/>
      <c r="G159" s="288"/>
      <c r="H159" s="288"/>
      <c r="I159" s="288"/>
      <c r="J159" s="288"/>
      <c r="K159" s="288"/>
      <c r="L159" s="288"/>
      <c r="M159" s="288"/>
      <c r="N159" s="288"/>
      <c r="O159" s="288"/>
      <c r="P159" s="288"/>
      <c r="Q159" s="288"/>
      <c r="R159" s="331"/>
      <c r="S159" s="332"/>
      <c r="T159" s="288"/>
      <c r="U159" s="333"/>
      <c r="V159" s="245"/>
      <c r="W159" s="6"/>
    </row>
    <row r="160" spans="1:23" ht="16.2" thickBot="1">
      <c r="A160" s="282"/>
      <c r="B160" s="304" t="str">
        <f>+B109</f>
        <v>PPAF3 INVESTOR REPORT QUARTER ENDING SEPTMEBER 2011</v>
      </c>
      <c r="C160" s="305"/>
      <c r="D160" s="305"/>
      <c r="E160" s="305"/>
      <c r="F160" s="305"/>
      <c r="G160" s="305"/>
      <c r="H160" s="305"/>
      <c r="I160" s="305"/>
      <c r="J160" s="305"/>
      <c r="K160" s="305"/>
      <c r="L160" s="305"/>
      <c r="M160" s="305"/>
      <c r="N160" s="305"/>
      <c r="O160" s="305"/>
      <c r="P160" s="305"/>
      <c r="Q160" s="305"/>
      <c r="R160" s="334"/>
      <c r="S160" s="335"/>
      <c r="T160" s="305"/>
      <c r="U160" s="336"/>
      <c r="V160" s="262"/>
      <c r="W160" s="6"/>
    </row>
    <row r="161" spans="1:23" ht="15.6">
      <c r="A161" s="337"/>
      <c r="B161" s="520" t="s">
        <v>68</v>
      </c>
      <c r="C161" s="521"/>
      <c r="D161" s="521"/>
      <c r="E161" s="521"/>
      <c r="F161" s="521"/>
      <c r="G161" s="521"/>
      <c r="H161" s="521"/>
      <c r="I161" s="521"/>
      <c r="J161" s="521"/>
      <c r="K161" s="521"/>
      <c r="L161" s="521"/>
      <c r="M161" s="522"/>
      <c r="N161" s="521"/>
      <c r="O161" s="522"/>
      <c r="P161" s="521"/>
      <c r="Q161" s="522"/>
      <c r="R161" s="521" t="s">
        <v>94</v>
      </c>
      <c r="S161" s="522" t="s">
        <v>116</v>
      </c>
      <c r="T161" s="340"/>
      <c r="U161" s="340"/>
      <c r="V161" s="341"/>
      <c r="W161" s="6"/>
    </row>
    <row r="162" spans="1:23" ht="15.6">
      <c r="A162" s="283"/>
      <c r="B162" s="294" t="s">
        <v>216</v>
      </c>
      <c r="C162" s="310"/>
      <c r="D162" s="310"/>
      <c r="E162" s="310"/>
      <c r="F162" s="310"/>
      <c r="G162" s="310"/>
      <c r="H162" s="310"/>
      <c r="I162" s="310"/>
      <c r="J162" s="310"/>
      <c r="K162" s="310"/>
      <c r="L162" s="310"/>
      <c r="M162" s="310"/>
      <c r="N162" s="310"/>
      <c r="O162" s="294"/>
      <c r="P162" s="294"/>
      <c r="Q162" s="294"/>
      <c r="R162" s="310">
        <v>868</v>
      </c>
      <c r="S162" s="311">
        <v>24239</v>
      </c>
      <c r="T162" s="311"/>
      <c r="U162" s="330"/>
      <c r="V162" s="342"/>
      <c r="W162" s="6"/>
    </row>
    <row r="163" spans="1:23" ht="15.6">
      <c r="A163" s="465"/>
      <c r="B163" s="379" t="s">
        <v>217</v>
      </c>
      <c r="C163" s="440"/>
      <c r="D163" s="440"/>
      <c r="E163" s="440"/>
      <c r="F163" s="440"/>
      <c r="G163" s="440"/>
      <c r="H163" s="440"/>
      <c r="I163" s="440"/>
      <c r="J163" s="440"/>
      <c r="K163" s="440"/>
      <c r="L163" s="440"/>
      <c r="M163" s="440"/>
      <c r="N163" s="440"/>
      <c r="O163" s="379"/>
      <c r="P163" s="379"/>
      <c r="Q163" s="379"/>
      <c r="R163" s="379">
        <v>23</v>
      </c>
      <c r="S163" s="441">
        <v>220</v>
      </c>
      <c r="T163" s="441"/>
      <c r="U163" s="466"/>
      <c r="V163" s="467"/>
      <c r="W163" s="6"/>
    </row>
    <row r="164" spans="1:23" ht="15.6">
      <c r="A164" s="465"/>
      <c r="B164" s="379" t="s">
        <v>218</v>
      </c>
      <c r="C164" s="440"/>
      <c r="D164" s="440"/>
      <c r="E164" s="440"/>
      <c r="F164" s="440"/>
      <c r="G164" s="440"/>
      <c r="H164" s="440"/>
      <c r="I164" s="440"/>
      <c r="J164" s="440"/>
      <c r="K164" s="440"/>
      <c r="L164" s="440"/>
      <c r="M164" s="440"/>
      <c r="N164" s="440"/>
      <c r="O164" s="379"/>
      <c r="P164" s="379"/>
      <c r="Q164" s="379"/>
      <c r="R164" s="379">
        <v>166</v>
      </c>
      <c r="S164" s="441">
        <v>169</v>
      </c>
      <c r="T164" s="441"/>
      <c r="U164" s="466"/>
      <c r="V164" s="467"/>
      <c r="W164" s="6"/>
    </row>
    <row r="165" spans="1:23" ht="15.6">
      <c r="A165" s="465"/>
      <c r="B165" s="379" t="s">
        <v>219</v>
      </c>
      <c r="C165" s="440"/>
      <c r="D165" s="440"/>
      <c r="E165" s="440"/>
      <c r="F165" s="440"/>
      <c r="G165" s="440"/>
      <c r="H165" s="440"/>
      <c r="I165" s="440"/>
      <c r="J165" s="440"/>
      <c r="K165" s="440"/>
      <c r="L165" s="440"/>
      <c r="M165" s="440"/>
      <c r="N165" s="440"/>
      <c r="O165" s="379"/>
      <c r="P165" s="379"/>
      <c r="Q165" s="379"/>
      <c r="R165" s="379">
        <v>157</v>
      </c>
      <c r="S165" s="441">
        <v>466</v>
      </c>
      <c r="T165" s="441"/>
      <c r="U165" s="466"/>
      <c r="V165" s="467"/>
      <c r="W165" s="6"/>
    </row>
    <row r="166" spans="1:23" ht="15.6">
      <c r="A166" s="465"/>
      <c r="B166" s="379" t="s">
        <v>90</v>
      </c>
      <c r="C166" s="440"/>
      <c r="D166" s="440"/>
      <c r="E166" s="440"/>
      <c r="F166" s="440"/>
      <c r="G166" s="440"/>
      <c r="H166" s="440"/>
      <c r="I166" s="440"/>
      <c r="J166" s="440"/>
      <c r="K166" s="440"/>
      <c r="L166" s="440"/>
      <c r="M166" s="440"/>
      <c r="N166" s="440"/>
      <c r="O166" s="379"/>
      <c r="P166" s="379"/>
      <c r="Q166" s="379"/>
      <c r="R166" s="440">
        <f>SUM(R162:R165)</f>
        <v>1214</v>
      </c>
      <c r="S166" s="441">
        <f>SUM(S162:S165)</f>
        <v>25094</v>
      </c>
      <c r="T166" s="441"/>
      <c r="U166" s="466"/>
      <c r="V166" s="467"/>
      <c r="W166" s="6"/>
    </row>
    <row r="167" spans="1:23" ht="15.6">
      <c r="A167" s="465"/>
      <c r="B167" s="379"/>
      <c r="C167" s="440"/>
      <c r="D167" s="440"/>
      <c r="E167" s="440"/>
      <c r="F167" s="440"/>
      <c r="G167" s="440"/>
      <c r="H167" s="440"/>
      <c r="I167" s="440"/>
      <c r="J167" s="440"/>
      <c r="K167" s="440"/>
      <c r="L167" s="440"/>
      <c r="M167" s="440"/>
      <c r="N167" s="440"/>
      <c r="O167" s="379"/>
      <c r="P167" s="379"/>
      <c r="Q167" s="379"/>
      <c r="R167" s="379"/>
      <c r="S167" s="441"/>
      <c r="T167" s="441"/>
      <c r="U167" s="466"/>
      <c r="V167" s="467"/>
      <c r="W167" s="6"/>
    </row>
    <row r="168" spans="1:23" ht="15.6">
      <c r="A168" s="465"/>
      <c r="B168" s="379" t="s">
        <v>220</v>
      </c>
      <c r="C168" s="440"/>
      <c r="D168" s="440"/>
      <c r="E168" s="440"/>
      <c r="F168" s="440"/>
      <c r="G168" s="440"/>
      <c r="H168" s="440"/>
      <c r="I168" s="440"/>
      <c r="J168" s="440"/>
      <c r="K168" s="440"/>
      <c r="L168" s="440"/>
      <c r="M168" s="440"/>
      <c r="N168" s="440"/>
      <c r="O168" s="379"/>
      <c r="P168" s="379"/>
      <c r="Q168" s="379"/>
      <c r="R168" s="379">
        <v>6</v>
      </c>
      <c r="S168" s="441">
        <v>69</v>
      </c>
      <c r="T168" s="441"/>
      <c r="U168" s="466"/>
      <c r="V168" s="467"/>
      <c r="W168" s="6"/>
    </row>
    <row r="169" spans="1:23" ht="15.6">
      <c r="A169" s="465"/>
      <c r="B169" s="379" t="s">
        <v>224</v>
      </c>
      <c r="C169" s="440"/>
      <c r="D169" s="440"/>
      <c r="E169" s="440"/>
      <c r="F169" s="440"/>
      <c r="G169" s="440"/>
      <c r="H169" s="440"/>
      <c r="I169" s="440"/>
      <c r="J169" s="440"/>
      <c r="K169" s="440"/>
      <c r="L169" s="440"/>
      <c r="M169" s="440"/>
      <c r="N169" s="440"/>
      <c r="O169" s="379"/>
      <c r="P169" s="379"/>
      <c r="Q169" s="379"/>
      <c r="R169" s="379">
        <v>2</v>
      </c>
      <c r="S169" s="441">
        <v>52</v>
      </c>
      <c r="T169" s="441"/>
      <c r="U169" s="466"/>
      <c r="V169" s="467"/>
      <c r="W169" s="6"/>
    </row>
    <row r="170" spans="1:23" ht="15.6">
      <c r="A170" s="465"/>
      <c r="B170" s="468" t="s">
        <v>69</v>
      </c>
      <c r="C170" s="469"/>
      <c r="D170" s="469"/>
      <c r="E170" s="469"/>
      <c r="F170" s="469"/>
      <c r="G170" s="469"/>
      <c r="H170" s="469"/>
      <c r="I170" s="469"/>
      <c r="J170" s="469"/>
      <c r="K170" s="469"/>
      <c r="L170" s="469"/>
      <c r="M170" s="469"/>
      <c r="N170" s="469"/>
      <c r="O170" s="454"/>
      <c r="P170" s="454"/>
      <c r="Q170" s="454"/>
      <c r="R170" s="379"/>
      <c r="S170" s="441">
        <v>0</v>
      </c>
      <c r="T170" s="454"/>
      <c r="U170" s="470"/>
      <c r="V170" s="471"/>
      <c r="W170" s="6"/>
    </row>
    <row r="171" spans="1:23" ht="15.6">
      <c r="A171" s="465"/>
      <c r="B171" s="468" t="s">
        <v>70</v>
      </c>
      <c r="C171" s="469"/>
      <c r="D171" s="469"/>
      <c r="E171" s="469"/>
      <c r="F171" s="469"/>
      <c r="G171" s="469"/>
      <c r="H171" s="469"/>
      <c r="I171" s="469"/>
      <c r="J171" s="469"/>
      <c r="K171" s="469"/>
      <c r="L171" s="469"/>
      <c r="M171" s="469"/>
      <c r="N171" s="469"/>
      <c r="O171" s="454"/>
      <c r="P171" s="454"/>
      <c r="Q171" s="454"/>
      <c r="R171" s="379"/>
      <c r="S171" s="441">
        <f>Q75</f>
        <v>0</v>
      </c>
      <c r="T171" s="454"/>
      <c r="U171" s="470"/>
      <c r="V171" s="471"/>
      <c r="W171" s="6"/>
    </row>
    <row r="172" spans="1:23" ht="15.6">
      <c r="A172" s="472"/>
      <c r="B172" s="468" t="s">
        <v>71</v>
      </c>
      <c r="C172" s="469"/>
      <c r="D172" s="469"/>
      <c r="E172" s="469"/>
      <c r="F172" s="469"/>
      <c r="G172" s="469"/>
      <c r="H172" s="469"/>
      <c r="I172" s="469"/>
      <c r="J172" s="469"/>
      <c r="K172" s="469"/>
      <c r="L172" s="469"/>
      <c r="M172" s="473"/>
      <c r="N172" s="473"/>
      <c r="O172" s="473"/>
      <c r="P172" s="454"/>
      <c r="Q172" s="454"/>
      <c r="R172" s="379"/>
      <c r="S172" s="500"/>
      <c r="T172" s="454"/>
      <c r="U172" s="470"/>
      <c r="V172" s="474"/>
      <c r="W172" s="6"/>
    </row>
    <row r="173" spans="1:23" ht="15.6">
      <c r="A173" s="465"/>
      <c r="B173" s="379" t="s">
        <v>72</v>
      </c>
      <c r="C173" s="469"/>
      <c r="D173" s="469"/>
      <c r="E173" s="469"/>
      <c r="F173" s="469"/>
      <c r="G173" s="469"/>
      <c r="H173" s="469"/>
      <c r="I173" s="469"/>
      <c r="J173" s="469"/>
      <c r="K173" s="469"/>
      <c r="L173" s="469"/>
      <c r="M173" s="469"/>
      <c r="N173" s="469"/>
      <c r="O173" s="469"/>
      <c r="P173" s="454"/>
      <c r="Q173" s="454"/>
      <c r="R173" s="379"/>
      <c r="S173" s="441">
        <f>U128</f>
        <v>1327</v>
      </c>
      <c r="T173" s="454"/>
      <c r="U173" s="470"/>
      <c r="V173" s="474"/>
      <c r="W173" s="6"/>
    </row>
    <row r="174" spans="1:23" ht="15.6">
      <c r="A174" s="465"/>
      <c r="B174" s="379" t="s">
        <v>73</v>
      </c>
      <c r="C174" s="469"/>
      <c r="D174" s="469"/>
      <c r="E174" s="469"/>
      <c r="F174" s="469"/>
      <c r="G174" s="469"/>
      <c r="H174" s="469"/>
      <c r="I174" s="469"/>
      <c r="J174" s="469"/>
      <c r="K174" s="469"/>
      <c r="L174" s="469"/>
      <c r="M174" s="469"/>
      <c r="N174" s="469"/>
      <c r="O174" s="469"/>
      <c r="P174" s="454"/>
      <c r="Q174" s="454"/>
      <c r="R174" s="379"/>
      <c r="S174" s="441">
        <f>'June 11'!S174+S173</f>
        <v>77042</v>
      </c>
      <c r="T174" s="454"/>
      <c r="U174" s="470"/>
      <c r="V174" s="474"/>
      <c r="W174" s="6"/>
    </row>
    <row r="175" spans="1:23" ht="15.6">
      <c r="A175" s="465"/>
      <c r="B175" s="379" t="s">
        <v>74</v>
      </c>
      <c r="C175" s="469"/>
      <c r="D175" s="469"/>
      <c r="E175" s="469"/>
      <c r="F175" s="469"/>
      <c r="G175" s="469"/>
      <c r="H175" s="469"/>
      <c r="I175" s="469"/>
      <c r="J175" s="469"/>
      <c r="K175" s="469"/>
      <c r="L175" s="469"/>
      <c r="M175" s="469"/>
      <c r="N175" s="469"/>
      <c r="O175" s="469"/>
      <c r="P175" s="454"/>
      <c r="Q175" s="454"/>
      <c r="R175" s="379"/>
      <c r="S175" s="441">
        <f>'June 11'!S175+622</f>
        <v>16559</v>
      </c>
      <c r="T175" s="454"/>
      <c r="U175" s="470"/>
      <c r="V175" s="474"/>
      <c r="W175" s="6"/>
    </row>
    <row r="176" spans="1:23" ht="15.6">
      <c r="A176" s="465"/>
      <c r="B176" s="473"/>
      <c r="C176" s="469"/>
      <c r="D176" s="469"/>
      <c r="E176" s="469"/>
      <c r="F176" s="469"/>
      <c r="G176" s="469"/>
      <c r="H176" s="469"/>
      <c r="I176" s="469"/>
      <c r="J176" s="469"/>
      <c r="K176" s="469"/>
      <c r="L176" s="469"/>
      <c r="M176" s="469"/>
      <c r="N176" s="469"/>
      <c r="O176" s="469"/>
      <c r="P176" s="454"/>
      <c r="Q176" s="454"/>
      <c r="R176" s="379"/>
      <c r="S176" s="441"/>
      <c r="T176" s="454"/>
      <c r="U176" s="470"/>
      <c r="V176" s="474"/>
      <c r="W176" s="6"/>
    </row>
    <row r="177" spans="1:23" ht="15.6">
      <c r="A177" s="472"/>
      <c r="B177" s="468" t="s">
        <v>259</v>
      </c>
      <c r="C177" s="469"/>
      <c r="D177" s="469"/>
      <c r="E177" s="469"/>
      <c r="F177" s="469"/>
      <c r="G177" s="469"/>
      <c r="H177" s="469"/>
      <c r="I177" s="469"/>
      <c r="J177" s="469"/>
      <c r="K177" s="469"/>
      <c r="L177" s="469"/>
      <c r="M177" s="473"/>
      <c r="N177" s="473"/>
      <c r="O177" s="473"/>
      <c r="P177" s="454"/>
      <c r="Q177" s="454"/>
      <c r="R177" s="379"/>
      <c r="S177" s="453"/>
      <c r="T177" s="454"/>
      <c r="U177" s="470"/>
      <c r="V177" s="474"/>
      <c r="W177" s="6"/>
    </row>
    <row r="178" spans="1:23" ht="15.6">
      <c r="A178" s="472"/>
      <c r="B178" s="379" t="s">
        <v>254</v>
      </c>
      <c r="C178" s="469"/>
      <c r="D178" s="469"/>
      <c r="E178" s="469"/>
      <c r="F178" s="469"/>
      <c r="G178" s="469"/>
      <c r="H178" s="469"/>
      <c r="I178" s="469"/>
      <c r="J178" s="469"/>
      <c r="K178" s="469"/>
      <c r="L178" s="469"/>
      <c r="M178" s="473"/>
      <c r="N178" s="473"/>
      <c r="O178" s="473"/>
      <c r="P178" s="454"/>
      <c r="Q178" s="454"/>
      <c r="R178" s="379"/>
      <c r="S178" s="453">
        <v>6</v>
      </c>
      <c r="T178" s="454"/>
      <c r="U178" s="470"/>
      <c r="V178" s="474"/>
      <c r="W178" s="6"/>
    </row>
    <row r="179" spans="1:23" ht="15.6">
      <c r="A179" s="465"/>
      <c r="B179" s="379" t="s">
        <v>75</v>
      </c>
      <c r="C179" s="469"/>
      <c r="D179" s="469"/>
      <c r="E179" s="469"/>
      <c r="F179" s="469"/>
      <c r="G179" s="469"/>
      <c r="H179" s="469"/>
      <c r="I179" s="469"/>
      <c r="J179" s="469"/>
      <c r="K179" s="469"/>
      <c r="L179" s="469"/>
      <c r="M179" s="475"/>
      <c r="N179" s="475"/>
      <c r="O179" s="476"/>
      <c r="P179" s="454"/>
      <c r="Q179" s="454"/>
      <c r="R179" s="379"/>
      <c r="S179" s="501">
        <v>18.600000000000001</v>
      </c>
      <c r="T179" s="454"/>
      <c r="U179" s="470"/>
      <c r="V179" s="474"/>
      <c r="W179" s="6"/>
    </row>
    <row r="180" spans="1:23" ht="15.6">
      <c r="A180" s="465"/>
      <c r="B180" s="379" t="s">
        <v>76</v>
      </c>
      <c r="C180" s="469"/>
      <c r="D180" s="469"/>
      <c r="E180" s="469"/>
      <c r="F180" s="469"/>
      <c r="G180" s="469"/>
      <c r="H180" s="469"/>
      <c r="I180" s="469"/>
      <c r="J180" s="469"/>
      <c r="K180" s="469"/>
      <c r="L180" s="469"/>
      <c r="M180" s="475"/>
      <c r="N180" s="475"/>
      <c r="O180" s="476"/>
      <c r="P180" s="454"/>
      <c r="Q180" s="454"/>
      <c r="R180" s="379"/>
      <c r="S180" s="501">
        <v>258</v>
      </c>
      <c r="T180" s="454"/>
      <c r="U180" s="470"/>
      <c r="V180" s="474"/>
      <c r="W180" s="6"/>
    </row>
    <row r="181" spans="1:23" ht="15.6">
      <c r="A181" s="465"/>
      <c r="B181" s="473"/>
      <c r="C181" s="469"/>
      <c r="D181" s="469"/>
      <c r="E181" s="469"/>
      <c r="F181" s="469"/>
      <c r="G181" s="469"/>
      <c r="H181" s="469"/>
      <c r="I181" s="469"/>
      <c r="J181" s="469"/>
      <c r="K181" s="469"/>
      <c r="L181" s="469"/>
      <c r="M181" s="477"/>
      <c r="N181" s="475"/>
      <c r="O181" s="476"/>
      <c r="P181" s="454"/>
      <c r="Q181" s="454"/>
      <c r="R181" s="379"/>
      <c r="S181" s="523"/>
      <c r="T181" s="454"/>
      <c r="U181" s="470"/>
      <c r="V181" s="474"/>
      <c r="W181" s="6"/>
    </row>
    <row r="182" spans="1:23" ht="15.6">
      <c r="A182" s="465"/>
      <c r="B182" s="468" t="s">
        <v>77</v>
      </c>
      <c r="C182" s="469"/>
      <c r="D182" s="469"/>
      <c r="E182" s="469"/>
      <c r="F182" s="469"/>
      <c r="G182" s="469"/>
      <c r="H182" s="469"/>
      <c r="I182" s="469"/>
      <c r="J182" s="469"/>
      <c r="K182" s="469"/>
      <c r="L182" s="469"/>
      <c r="M182" s="469"/>
      <c r="N182" s="477"/>
      <c r="O182" s="475"/>
      <c r="P182" s="476"/>
      <c r="Q182" s="454"/>
      <c r="R182" s="380"/>
      <c r="S182" s="524"/>
      <c r="T182" s="478"/>
      <c r="U182" s="390"/>
      <c r="V182" s="479"/>
      <c r="W182" s="6"/>
    </row>
    <row r="183" spans="1:23" ht="15.6">
      <c r="A183" s="465"/>
      <c r="B183" s="379" t="s">
        <v>78</v>
      </c>
      <c r="C183" s="469"/>
      <c r="D183" s="469"/>
      <c r="E183" s="469"/>
      <c r="F183" s="469"/>
      <c r="G183" s="469"/>
      <c r="H183" s="469"/>
      <c r="I183" s="469"/>
      <c r="J183" s="469"/>
      <c r="K183" s="469"/>
      <c r="L183" s="469"/>
      <c r="M183" s="469"/>
      <c r="N183" s="477"/>
      <c r="O183" s="475"/>
      <c r="P183" s="476"/>
      <c r="Q183" s="454"/>
      <c r="R183" s="380"/>
      <c r="S183" s="502">
        <v>39</v>
      </c>
      <c r="T183" s="480"/>
      <c r="U183" s="390"/>
      <c r="V183" s="479"/>
      <c r="W183" s="6"/>
    </row>
    <row r="184" spans="1:23" ht="15.6">
      <c r="A184" s="465"/>
      <c r="B184" s="379" t="s">
        <v>75</v>
      </c>
      <c r="C184" s="469"/>
      <c r="D184" s="469"/>
      <c r="E184" s="469"/>
      <c r="F184" s="469"/>
      <c r="G184" s="469"/>
      <c r="H184" s="469"/>
      <c r="I184" s="469"/>
      <c r="J184" s="469"/>
      <c r="K184" s="469"/>
      <c r="L184" s="469"/>
      <c r="M184" s="469"/>
      <c r="N184" s="477"/>
      <c r="O184" s="475"/>
      <c r="P184" s="476"/>
      <c r="Q184" s="454"/>
      <c r="R184" s="380"/>
      <c r="S184" s="502">
        <v>2.5499999999999998</v>
      </c>
      <c r="T184" s="480"/>
      <c r="U184" s="390"/>
      <c r="V184" s="479"/>
      <c r="W184" s="6"/>
    </row>
    <row r="185" spans="1:23" ht="15.6">
      <c r="A185" s="465"/>
      <c r="B185" s="379" t="s">
        <v>79</v>
      </c>
      <c r="C185" s="469"/>
      <c r="D185" s="469"/>
      <c r="E185" s="469"/>
      <c r="F185" s="469"/>
      <c r="G185" s="469"/>
      <c r="H185" s="469"/>
      <c r="I185" s="469"/>
      <c r="J185" s="469"/>
      <c r="K185" s="469"/>
      <c r="L185" s="469"/>
      <c r="M185" s="469"/>
      <c r="N185" s="477"/>
      <c r="O185" s="475"/>
      <c r="P185" s="476"/>
      <c r="Q185" s="454"/>
      <c r="R185" s="380"/>
      <c r="S185" s="502">
        <v>84</v>
      </c>
      <c r="T185" s="480"/>
      <c r="U185" s="390"/>
      <c r="V185" s="479"/>
      <c r="W185" s="6"/>
    </row>
    <row r="186" spans="1:23" ht="15.6">
      <c r="A186" s="465"/>
      <c r="B186" s="473"/>
      <c r="C186" s="469"/>
      <c r="D186" s="469"/>
      <c r="E186" s="469"/>
      <c r="F186" s="469"/>
      <c r="G186" s="469"/>
      <c r="H186" s="469"/>
      <c r="I186" s="469"/>
      <c r="J186" s="469"/>
      <c r="K186" s="469"/>
      <c r="L186" s="469"/>
      <c r="M186" s="477"/>
      <c r="N186" s="475"/>
      <c r="O186" s="476"/>
      <c r="P186" s="454"/>
      <c r="Q186" s="454"/>
      <c r="R186" s="454"/>
      <c r="S186" s="481"/>
      <c r="T186" s="454"/>
      <c r="U186" s="470"/>
      <c r="V186" s="474"/>
      <c r="W186" s="6"/>
    </row>
    <row r="187" spans="1:23" ht="17.399999999999999">
      <c r="A187" s="465"/>
      <c r="B187" s="482" t="s">
        <v>196</v>
      </c>
      <c r="C187" s="469"/>
      <c r="D187" s="469"/>
      <c r="E187" s="469"/>
      <c r="F187" s="469"/>
      <c r="G187" s="469"/>
      <c r="H187" s="469"/>
      <c r="I187" s="469"/>
      <c r="J187" s="469"/>
      <c r="K187" s="483" t="s">
        <v>195</v>
      </c>
      <c r="L187" s="469"/>
      <c r="M187" s="477"/>
      <c r="N187" s="475"/>
      <c r="O187" s="476"/>
      <c r="P187" s="454"/>
      <c r="Q187" s="454"/>
      <c r="R187" s="454"/>
      <c r="S187" s="481"/>
      <c r="T187" s="454"/>
      <c r="U187" s="470"/>
      <c r="V187" s="474"/>
      <c r="W187" s="6"/>
    </row>
    <row r="188" spans="1:23" ht="15.6">
      <c r="A188" s="242"/>
      <c r="B188" s="460"/>
      <c r="C188" s="461"/>
      <c r="D188" s="461"/>
      <c r="E188" s="461"/>
      <c r="F188" s="461"/>
      <c r="G188" s="461"/>
      <c r="H188" s="461"/>
      <c r="I188" s="461"/>
      <c r="J188" s="461"/>
      <c r="K188" s="461"/>
      <c r="L188" s="461"/>
      <c r="M188" s="462"/>
      <c r="N188" s="461"/>
      <c r="O188" s="462"/>
      <c r="P188" s="461"/>
      <c r="Q188" s="462"/>
      <c r="R188" s="461"/>
      <c r="S188" s="462"/>
      <c r="T188" s="461"/>
      <c r="U188" s="463"/>
      <c r="V188" s="464"/>
      <c r="W188" s="6"/>
    </row>
    <row r="189" spans="1:23" ht="15.6">
      <c r="A189" s="348"/>
      <c r="B189" s="525" t="s">
        <v>80</v>
      </c>
      <c r="C189" s="343"/>
      <c r="D189" s="343"/>
      <c r="E189" s="343"/>
      <c r="F189" s="343"/>
      <c r="G189" s="343"/>
      <c r="H189" s="343"/>
      <c r="I189" s="343"/>
      <c r="J189" s="343"/>
      <c r="K189" s="343"/>
      <c r="L189" s="343"/>
      <c r="M189" s="525" t="s">
        <v>100</v>
      </c>
      <c r="N189" s="526"/>
      <c r="O189" s="527"/>
      <c r="P189" s="526"/>
      <c r="Q189" s="525" t="s">
        <v>26</v>
      </c>
      <c r="R189" s="526"/>
      <c r="S189" s="527"/>
      <c r="T189" s="526"/>
      <c r="U189" s="346"/>
      <c r="V189" s="528"/>
      <c r="W189" s="6"/>
    </row>
    <row r="190" spans="1:23" ht="15.6">
      <c r="A190" s="365"/>
      <c r="B190" s="366"/>
      <c r="C190" s="529"/>
      <c r="D190" s="529"/>
      <c r="E190" s="529"/>
      <c r="F190" s="529"/>
      <c r="G190" s="529"/>
      <c r="H190" s="529"/>
      <c r="I190" s="529"/>
      <c r="J190" s="529"/>
      <c r="K190" s="529"/>
      <c r="L190" s="529" t="s">
        <v>94</v>
      </c>
      <c r="M190" s="530" t="s">
        <v>101</v>
      </c>
      <c r="N190" s="529" t="s">
        <v>103</v>
      </c>
      <c r="O190" s="530" t="s">
        <v>101</v>
      </c>
      <c r="P190" s="530"/>
      <c r="Q190" s="529" t="s">
        <v>94</v>
      </c>
      <c r="R190" s="530" t="s">
        <v>101</v>
      </c>
      <c r="S190" s="529" t="s">
        <v>103</v>
      </c>
      <c r="T190" s="530" t="s">
        <v>101</v>
      </c>
      <c r="U190" s="369"/>
      <c r="V190" s="531"/>
      <c r="W190" s="6"/>
    </row>
    <row r="191" spans="1:23" ht="15.6">
      <c r="A191" s="316"/>
      <c r="B191" s="360" t="s">
        <v>81</v>
      </c>
      <c r="C191" s="361"/>
      <c r="D191" s="361"/>
      <c r="E191" s="361"/>
      <c r="F191" s="361"/>
      <c r="G191" s="361"/>
      <c r="H191" s="361"/>
      <c r="I191" s="361"/>
      <c r="J191" s="361"/>
      <c r="K191" s="361"/>
      <c r="L191" s="361">
        <v>917</v>
      </c>
      <c r="M191" s="362">
        <f t="shared" ref="M191:M197" si="0">+L191/$L$198</f>
        <v>0.78242320819112632</v>
      </c>
      <c r="N191" s="361">
        <v>2799</v>
      </c>
      <c r="O191" s="362">
        <f t="shared" ref="O191:O197" si="1">N191/$N$198</f>
        <v>0.81842105263157894</v>
      </c>
      <c r="P191" s="363"/>
      <c r="Q191" s="361">
        <v>747</v>
      </c>
      <c r="R191" s="362">
        <f t="shared" ref="R191:R197" si="2">+Q191/$Q$198</f>
        <v>0.73451327433628322</v>
      </c>
      <c r="S191" s="361">
        <v>821</v>
      </c>
      <c r="T191" s="362">
        <f t="shared" ref="T191:T197" si="3">+S191/$S$198</f>
        <v>0.77306967984934083</v>
      </c>
      <c r="U191" s="364"/>
      <c r="V191" s="312"/>
      <c r="W191" s="6"/>
    </row>
    <row r="192" spans="1:23" ht="15.6">
      <c r="A192" s="444"/>
      <c r="B192" s="440" t="s">
        <v>82</v>
      </c>
      <c r="C192" s="489"/>
      <c r="D192" s="489"/>
      <c r="E192" s="489"/>
      <c r="F192" s="489"/>
      <c r="G192" s="489"/>
      <c r="H192" s="489"/>
      <c r="I192" s="489"/>
      <c r="J192" s="489"/>
      <c r="K192" s="489"/>
      <c r="L192" s="489">
        <v>23</v>
      </c>
      <c r="M192" s="427">
        <f t="shared" si="0"/>
        <v>1.9624573378839591E-2</v>
      </c>
      <c r="N192" s="489">
        <v>34</v>
      </c>
      <c r="O192" s="427">
        <f t="shared" si="1"/>
        <v>9.9415204678362581E-3</v>
      </c>
      <c r="P192" s="381"/>
      <c r="Q192" s="489">
        <v>19</v>
      </c>
      <c r="R192" s="427">
        <f t="shared" si="2"/>
        <v>1.8682399213372666E-2</v>
      </c>
      <c r="S192" s="489">
        <v>12</v>
      </c>
      <c r="T192" s="427">
        <f t="shared" si="3"/>
        <v>1.1299435028248588E-2</v>
      </c>
      <c r="U192" s="379"/>
      <c r="V192" s="435"/>
      <c r="W192" s="6"/>
    </row>
    <row r="193" spans="1:24" ht="15.6">
      <c r="A193" s="444"/>
      <c r="B193" s="440" t="s">
        <v>83</v>
      </c>
      <c r="C193" s="489"/>
      <c r="D193" s="489"/>
      <c r="E193" s="489"/>
      <c r="F193" s="489"/>
      <c r="G193" s="489"/>
      <c r="H193" s="489"/>
      <c r="I193" s="489"/>
      <c r="J193" s="489"/>
      <c r="K193" s="489"/>
      <c r="L193" s="489">
        <v>22</v>
      </c>
      <c r="M193" s="427">
        <f t="shared" si="0"/>
        <v>1.877133105802048E-2</v>
      </c>
      <c r="N193" s="489">
        <v>47</v>
      </c>
      <c r="O193" s="427">
        <f t="shared" si="1"/>
        <v>1.3742690058479532E-2</v>
      </c>
      <c r="P193" s="381"/>
      <c r="Q193" s="489">
        <v>19</v>
      </c>
      <c r="R193" s="427">
        <f t="shared" si="2"/>
        <v>1.8682399213372666E-2</v>
      </c>
      <c r="S193" s="489">
        <v>7</v>
      </c>
      <c r="T193" s="427">
        <f t="shared" si="3"/>
        <v>6.5913370998116763E-3</v>
      </c>
      <c r="U193" s="379"/>
      <c r="V193" s="435"/>
      <c r="W193" s="6"/>
    </row>
    <row r="194" spans="1:24" ht="15.6">
      <c r="A194" s="444"/>
      <c r="B194" s="440" t="s">
        <v>186</v>
      </c>
      <c r="C194" s="489"/>
      <c r="D194" s="489"/>
      <c r="E194" s="489"/>
      <c r="F194" s="489"/>
      <c r="G194" s="489"/>
      <c r="H194" s="489"/>
      <c r="I194" s="489"/>
      <c r="J194" s="489"/>
      <c r="K194" s="489"/>
      <c r="L194" s="489">
        <v>28</v>
      </c>
      <c r="M194" s="427">
        <f t="shared" si="0"/>
        <v>2.3890784982935155E-2</v>
      </c>
      <c r="N194" s="489">
        <v>37</v>
      </c>
      <c r="O194" s="427">
        <f t="shared" si="1"/>
        <v>1.0818713450292398E-2</v>
      </c>
      <c r="P194" s="381"/>
      <c r="Q194" s="489">
        <v>21</v>
      </c>
      <c r="R194" s="427">
        <f t="shared" si="2"/>
        <v>2.0648967551622419E-2</v>
      </c>
      <c r="S194" s="489">
        <v>17</v>
      </c>
      <c r="T194" s="427">
        <f t="shared" si="3"/>
        <v>1.60075329566855E-2</v>
      </c>
      <c r="U194" s="379"/>
      <c r="V194" s="435"/>
      <c r="W194" s="6"/>
    </row>
    <row r="195" spans="1:24" ht="15.6">
      <c r="A195" s="444"/>
      <c r="B195" s="440" t="s">
        <v>187</v>
      </c>
      <c r="C195" s="489"/>
      <c r="D195" s="489"/>
      <c r="E195" s="489"/>
      <c r="F195" s="489"/>
      <c r="G195" s="489"/>
      <c r="H195" s="489"/>
      <c r="I195" s="489"/>
      <c r="J195" s="489"/>
      <c r="K195" s="489"/>
      <c r="L195" s="489">
        <v>12</v>
      </c>
      <c r="M195" s="427">
        <f t="shared" si="0"/>
        <v>1.0238907849829351E-2</v>
      </c>
      <c r="N195" s="489">
        <v>12</v>
      </c>
      <c r="O195" s="427">
        <f t="shared" si="1"/>
        <v>3.5087719298245615E-3</v>
      </c>
      <c r="P195" s="381"/>
      <c r="Q195" s="489">
        <v>29</v>
      </c>
      <c r="R195" s="427">
        <f t="shared" si="2"/>
        <v>2.8515240904621434E-2</v>
      </c>
      <c r="S195" s="489">
        <v>21</v>
      </c>
      <c r="T195" s="427">
        <f t="shared" si="3"/>
        <v>1.977401129943503E-2</v>
      </c>
      <c r="U195" s="379"/>
      <c r="V195" s="435"/>
      <c r="W195" s="6"/>
    </row>
    <row r="196" spans="1:24" ht="15.6">
      <c r="A196" s="444"/>
      <c r="B196" s="440" t="s">
        <v>188</v>
      </c>
      <c r="C196" s="489"/>
      <c r="D196" s="489"/>
      <c r="E196" s="489"/>
      <c r="F196" s="489"/>
      <c r="G196" s="489"/>
      <c r="H196" s="489"/>
      <c r="I196" s="489"/>
      <c r="J196" s="489"/>
      <c r="K196" s="489"/>
      <c r="L196" s="489">
        <v>20</v>
      </c>
      <c r="M196" s="427">
        <f t="shared" si="0"/>
        <v>1.7064846416382253E-2</v>
      </c>
      <c r="N196" s="489">
        <v>60</v>
      </c>
      <c r="O196" s="427">
        <f t="shared" si="1"/>
        <v>1.7543859649122806E-2</v>
      </c>
      <c r="P196" s="381"/>
      <c r="Q196" s="489">
        <v>24</v>
      </c>
      <c r="R196" s="427">
        <f t="shared" si="2"/>
        <v>2.359882005899705E-2</v>
      </c>
      <c r="S196" s="489">
        <v>19</v>
      </c>
      <c r="T196" s="427">
        <f t="shared" si="3"/>
        <v>1.7890772128060263E-2</v>
      </c>
      <c r="U196" s="379"/>
      <c r="V196" s="435"/>
      <c r="W196" s="6"/>
    </row>
    <row r="197" spans="1:24" ht="15.6">
      <c r="A197" s="444"/>
      <c r="B197" s="440" t="s">
        <v>189</v>
      </c>
      <c r="C197" s="489"/>
      <c r="D197" s="489"/>
      <c r="E197" s="489"/>
      <c r="F197" s="489"/>
      <c r="G197" s="489"/>
      <c r="H197" s="489"/>
      <c r="I197" s="489"/>
      <c r="J197" s="489"/>
      <c r="K197" s="489"/>
      <c r="L197" s="489">
        <v>150</v>
      </c>
      <c r="M197" s="427">
        <f t="shared" si="0"/>
        <v>0.12798634812286688</v>
      </c>
      <c r="N197" s="489">
        <v>431</v>
      </c>
      <c r="O197" s="427">
        <f t="shared" si="1"/>
        <v>0.12602339181286551</v>
      </c>
      <c r="P197" s="381"/>
      <c r="Q197" s="489">
        <v>158</v>
      </c>
      <c r="R197" s="427">
        <f t="shared" si="2"/>
        <v>0.15535889872173059</v>
      </c>
      <c r="S197" s="489">
        <v>165</v>
      </c>
      <c r="T197" s="427">
        <f t="shared" si="3"/>
        <v>0.15536723163841809</v>
      </c>
      <c r="U197" s="379"/>
      <c r="V197" s="435"/>
      <c r="W197" s="6"/>
    </row>
    <row r="198" spans="1:24" ht="15.6">
      <c r="A198" s="444"/>
      <c r="B198" s="440" t="s">
        <v>84</v>
      </c>
      <c r="C198" s="489"/>
      <c r="D198" s="489"/>
      <c r="E198" s="489"/>
      <c r="F198" s="489"/>
      <c r="G198" s="489"/>
      <c r="H198" s="489"/>
      <c r="I198" s="489"/>
      <c r="J198" s="489"/>
      <c r="K198" s="489"/>
      <c r="L198" s="489">
        <f>SUM(L191:L197)</f>
        <v>1172</v>
      </c>
      <c r="M198" s="427">
        <f>SUM(M191:M197)</f>
        <v>1.0000000000000002</v>
      </c>
      <c r="N198" s="489">
        <f>SUM(N191:N197)</f>
        <v>3420</v>
      </c>
      <c r="O198" s="427">
        <f>SUM(O191:O197)</f>
        <v>1</v>
      </c>
      <c r="P198" s="381"/>
      <c r="Q198" s="489">
        <f>SUM(Q191:Q197)</f>
        <v>1017</v>
      </c>
      <c r="R198" s="427">
        <f>SUM(R191:R197)</f>
        <v>1</v>
      </c>
      <c r="S198" s="489">
        <f>SUM(S191:S197)</f>
        <v>1062</v>
      </c>
      <c r="T198" s="427">
        <f>SUM(T191:T197)</f>
        <v>0.99999999999999978</v>
      </c>
      <c r="U198" s="379"/>
      <c r="V198" s="435"/>
      <c r="W198" s="6"/>
      <c r="X198" s="64"/>
    </row>
    <row r="199" spans="1:24" ht="15.6">
      <c r="A199" s="444"/>
      <c r="B199" s="440" t="s">
        <v>85</v>
      </c>
      <c r="C199" s="489"/>
      <c r="D199" s="489"/>
      <c r="E199" s="489"/>
      <c r="F199" s="489"/>
      <c r="G199" s="489"/>
      <c r="H199" s="489"/>
      <c r="I199" s="489"/>
      <c r="J199" s="489"/>
      <c r="K199" s="489"/>
      <c r="L199" s="489">
        <v>921</v>
      </c>
      <c r="M199" s="380"/>
      <c r="N199" s="489">
        <v>5704</v>
      </c>
      <c r="O199" s="380"/>
      <c r="P199" s="381"/>
      <c r="Q199" s="489">
        <v>604</v>
      </c>
      <c r="R199" s="380"/>
      <c r="S199" s="489">
        <v>1401</v>
      </c>
      <c r="T199" s="380"/>
      <c r="U199" s="379"/>
      <c r="V199" s="435"/>
      <c r="W199" s="6"/>
      <c r="X199" s="64"/>
    </row>
    <row r="200" spans="1:24" ht="15.6">
      <c r="A200" s="444"/>
      <c r="B200" s="440" t="s">
        <v>86</v>
      </c>
      <c r="C200" s="489"/>
      <c r="D200" s="489"/>
      <c r="E200" s="489"/>
      <c r="F200" s="489"/>
      <c r="G200" s="489"/>
      <c r="H200" s="489"/>
      <c r="I200" s="489"/>
      <c r="J200" s="489"/>
      <c r="K200" s="489"/>
      <c r="L200" s="489">
        <f>SUM(L198:L199)</f>
        <v>2093</v>
      </c>
      <c r="M200" s="450"/>
      <c r="N200" s="489">
        <f>SUM(N198:N199)</f>
        <v>9124</v>
      </c>
      <c r="O200" s="490"/>
      <c r="P200" s="450"/>
      <c r="Q200" s="489">
        <f>SUM(Q198:Q199)</f>
        <v>1621</v>
      </c>
      <c r="R200" s="450"/>
      <c r="S200" s="489">
        <f>SUM(S198:S199)</f>
        <v>2463</v>
      </c>
      <c r="T200" s="450"/>
      <c r="U200" s="450"/>
      <c r="V200" s="435"/>
      <c r="W200" s="6"/>
      <c r="X200" s="64"/>
    </row>
    <row r="201" spans="1:24" ht="15.6">
      <c r="A201" s="242"/>
      <c r="B201" s="484"/>
      <c r="C201" s="485"/>
      <c r="D201" s="485"/>
      <c r="E201" s="485"/>
      <c r="F201" s="485"/>
      <c r="G201" s="485"/>
      <c r="H201" s="485"/>
      <c r="I201" s="485"/>
      <c r="J201" s="485"/>
      <c r="K201" s="485"/>
      <c r="L201" s="532"/>
      <c r="M201" s="533"/>
      <c r="N201" s="532"/>
      <c r="O201" s="533"/>
      <c r="P201" s="488"/>
      <c r="Q201" s="532"/>
      <c r="R201" s="533"/>
      <c r="S201" s="532"/>
      <c r="T201" s="533"/>
      <c r="U201" s="463"/>
      <c r="V201" s="464"/>
      <c r="W201" s="6"/>
    </row>
    <row r="202" spans="1:24" ht="15.6">
      <c r="A202" s="349"/>
      <c r="B202" s="525" t="s">
        <v>80</v>
      </c>
      <c r="C202" s="526"/>
      <c r="D202" s="526"/>
      <c r="E202" s="526"/>
      <c r="F202" s="526"/>
      <c r="G202" s="526"/>
      <c r="H202" s="526"/>
      <c r="I202" s="526"/>
      <c r="J202" s="526"/>
      <c r="K202" s="526"/>
      <c r="L202" s="526"/>
      <c r="M202" s="525" t="s">
        <v>27</v>
      </c>
      <c r="N202" s="526"/>
      <c r="O202" s="527"/>
      <c r="P202" s="526"/>
      <c r="Q202" s="525" t="s">
        <v>28</v>
      </c>
      <c r="R202" s="526"/>
      <c r="S202" s="527"/>
      <c r="T202" s="526"/>
      <c r="U202" s="346"/>
      <c r="V202" s="528"/>
      <c r="W202" s="6"/>
    </row>
    <row r="203" spans="1:24" ht="15.6">
      <c r="A203" s="371"/>
      <c r="B203" s="372"/>
      <c r="C203" s="534"/>
      <c r="D203" s="534"/>
      <c r="E203" s="534"/>
      <c r="F203" s="534"/>
      <c r="G203" s="534"/>
      <c r="H203" s="534"/>
      <c r="I203" s="534"/>
      <c r="J203" s="534"/>
      <c r="K203" s="534"/>
      <c r="L203" s="534" t="s">
        <v>94</v>
      </c>
      <c r="M203" s="535" t="s">
        <v>101</v>
      </c>
      <c r="N203" s="534" t="s">
        <v>103</v>
      </c>
      <c r="O203" s="535" t="s">
        <v>101</v>
      </c>
      <c r="P203" s="535"/>
      <c r="Q203" s="534" t="s">
        <v>94</v>
      </c>
      <c r="R203" s="535" t="s">
        <v>101</v>
      </c>
      <c r="S203" s="534" t="s">
        <v>103</v>
      </c>
      <c r="T203" s="535" t="s">
        <v>101</v>
      </c>
      <c r="U203" s="375"/>
      <c r="V203" s="536"/>
      <c r="W203" s="6"/>
    </row>
    <row r="204" spans="1:24" ht="15.6">
      <c r="A204" s="315"/>
      <c r="B204" s="310" t="s">
        <v>81</v>
      </c>
      <c r="C204" s="351"/>
      <c r="D204" s="351"/>
      <c r="E204" s="351"/>
      <c r="F204" s="351"/>
      <c r="G204" s="351"/>
      <c r="H204" s="351"/>
      <c r="I204" s="351"/>
      <c r="J204" s="351"/>
      <c r="K204" s="351"/>
      <c r="L204" s="351">
        <v>6487</v>
      </c>
      <c r="M204" s="299">
        <f t="shared" ref="M204:M210" si="4">+L204/$L$211</f>
        <v>0.88198504418762746</v>
      </c>
      <c r="N204" s="351">
        <v>156145</v>
      </c>
      <c r="O204" s="299">
        <f t="shared" ref="O204:O210" si="5">+N204/$N$211</f>
        <v>0.86562555437289335</v>
      </c>
      <c r="P204" s="296"/>
      <c r="Q204" s="351">
        <v>576</v>
      </c>
      <c r="R204" s="299">
        <f t="shared" ref="R204:R210" si="6">Q204/$Q$211</f>
        <v>0.91283676703645011</v>
      </c>
      <c r="S204" s="351">
        <v>5734</v>
      </c>
      <c r="T204" s="299">
        <f t="shared" ref="T204:T210" si="7">+S204/$S$211</f>
        <v>0.9149513323759374</v>
      </c>
      <c r="U204" s="294"/>
      <c r="V204" s="301"/>
      <c r="W204" s="6"/>
    </row>
    <row r="205" spans="1:24" ht="15.6">
      <c r="A205" s="444"/>
      <c r="B205" s="440" t="s">
        <v>82</v>
      </c>
      <c r="C205" s="489"/>
      <c r="D205" s="489"/>
      <c r="E205" s="489"/>
      <c r="F205" s="489"/>
      <c r="G205" s="489"/>
      <c r="H205" s="489"/>
      <c r="I205" s="489"/>
      <c r="J205" s="489"/>
      <c r="K205" s="489"/>
      <c r="L205" s="489">
        <v>199</v>
      </c>
      <c r="M205" s="427">
        <f t="shared" si="4"/>
        <v>2.7056424201223658E-2</v>
      </c>
      <c r="N205" s="489">
        <v>5300</v>
      </c>
      <c r="O205" s="427">
        <f t="shared" si="5"/>
        <v>2.9381763349299272E-2</v>
      </c>
      <c r="P205" s="381"/>
      <c r="Q205" s="489">
        <v>30</v>
      </c>
      <c r="R205" s="427">
        <f t="shared" si="6"/>
        <v>4.7543581616481777E-2</v>
      </c>
      <c r="S205" s="489">
        <v>313</v>
      </c>
      <c r="T205" s="427">
        <f t="shared" si="7"/>
        <v>4.9944151906813471E-2</v>
      </c>
      <c r="U205" s="379"/>
      <c r="V205" s="435"/>
      <c r="W205" s="6"/>
    </row>
    <row r="206" spans="1:24" ht="15.6">
      <c r="A206" s="444"/>
      <c r="B206" s="440" t="s">
        <v>83</v>
      </c>
      <c r="C206" s="489"/>
      <c r="D206" s="489"/>
      <c r="E206" s="489"/>
      <c r="F206" s="489"/>
      <c r="G206" s="489"/>
      <c r="H206" s="489"/>
      <c r="I206" s="489"/>
      <c r="J206" s="489"/>
      <c r="K206" s="489"/>
      <c r="L206" s="489">
        <v>153</v>
      </c>
      <c r="M206" s="427">
        <f t="shared" si="4"/>
        <v>2.0802175390890552E-2</v>
      </c>
      <c r="N206" s="489">
        <v>4464</v>
      </c>
      <c r="O206" s="427">
        <f t="shared" si="5"/>
        <v>2.4747205960617351E-2</v>
      </c>
      <c r="P206" s="381"/>
      <c r="Q206" s="489">
        <v>8</v>
      </c>
      <c r="R206" s="427">
        <f t="shared" si="6"/>
        <v>1.2678288431061807E-2</v>
      </c>
      <c r="S206" s="489">
        <v>94</v>
      </c>
      <c r="T206" s="427">
        <f t="shared" si="7"/>
        <v>1.4999202170097335E-2</v>
      </c>
      <c r="U206" s="379"/>
      <c r="V206" s="435"/>
      <c r="W206" s="6"/>
      <c r="X206" s="182"/>
    </row>
    <row r="207" spans="1:24" ht="15.6">
      <c r="A207" s="444"/>
      <c r="B207" s="440" t="s">
        <v>186</v>
      </c>
      <c r="C207" s="489"/>
      <c r="D207" s="489"/>
      <c r="E207" s="489"/>
      <c r="F207" s="489"/>
      <c r="G207" s="489"/>
      <c r="H207" s="489"/>
      <c r="I207" s="489"/>
      <c r="J207" s="489"/>
      <c r="K207" s="489"/>
      <c r="L207" s="489">
        <v>118</v>
      </c>
      <c r="M207" s="427">
        <f t="shared" si="4"/>
        <v>1.6043507817811012E-2</v>
      </c>
      <c r="N207" s="489">
        <v>3375</v>
      </c>
      <c r="O207" s="427">
        <f t="shared" si="5"/>
        <v>1.8710085151676423E-2</v>
      </c>
      <c r="P207" s="381"/>
      <c r="Q207" s="489">
        <v>5</v>
      </c>
      <c r="R207" s="427">
        <f t="shared" si="6"/>
        <v>7.9239302694136295E-3</v>
      </c>
      <c r="S207" s="489">
        <v>43</v>
      </c>
      <c r="T207" s="427">
        <f t="shared" si="7"/>
        <v>6.8613371629168661E-3</v>
      </c>
      <c r="U207" s="379"/>
      <c r="V207" s="435"/>
      <c r="W207" s="6"/>
    </row>
    <row r="208" spans="1:24" ht="15.6">
      <c r="A208" s="444"/>
      <c r="B208" s="440" t="s">
        <v>187</v>
      </c>
      <c r="C208" s="489"/>
      <c r="D208" s="489"/>
      <c r="E208" s="489"/>
      <c r="F208" s="489"/>
      <c r="G208" s="489"/>
      <c r="H208" s="489"/>
      <c r="I208" s="489"/>
      <c r="J208" s="489"/>
      <c r="K208" s="489"/>
      <c r="L208" s="489">
        <v>79</v>
      </c>
      <c r="M208" s="427">
        <f t="shared" si="4"/>
        <v>1.0740992522093814E-2</v>
      </c>
      <c r="N208" s="489">
        <v>2046</v>
      </c>
      <c r="O208" s="427">
        <f t="shared" si="5"/>
        <v>1.1342469398616285E-2</v>
      </c>
      <c r="P208" s="381"/>
      <c r="Q208" s="489">
        <v>2</v>
      </c>
      <c r="R208" s="427">
        <f t="shared" si="6"/>
        <v>3.1695721077654518E-3</v>
      </c>
      <c r="S208" s="489">
        <v>9</v>
      </c>
      <c r="T208" s="427">
        <f t="shared" si="7"/>
        <v>1.4360938247965534E-3</v>
      </c>
      <c r="U208" s="379"/>
      <c r="V208" s="435"/>
      <c r="W208" s="6"/>
    </row>
    <row r="209" spans="1:24" ht="15.6">
      <c r="A209" s="444"/>
      <c r="B209" s="440" t="s">
        <v>188</v>
      </c>
      <c r="C209" s="489"/>
      <c r="D209" s="489"/>
      <c r="E209" s="489"/>
      <c r="F209" s="489"/>
      <c r="G209" s="489"/>
      <c r="H209" s="489"/>
      <c r="I209" s="489"/>
      <c r="J209" s="489"/>
      <c r="K209" s="489"/>
      <c r="L209" s="489">
        <v>91</v>
      </c>
      <c r="M209" s="427">
        <f t="shared" si="4"/>
        <v>1.2372535690006799E-2</v>
      </c>
      <c r="N209" s="489">
        <v>2568</v>
      </c>
      <c r="O209" s="427">
        <f t="shared" si="5"/>
        <v>1.4236295902075572E-2</v>
      </c>
      <c r="P209" s="381"/>
      <c r="Q209" s="489">
        <v>2</v>
      </c>
      <c r="R209" s="427">
        <f t="shared" si="6"/>
        <v>3.1695721077654518E-3</v>
      </c>
      <c r="S209" s="489">
        <v>5</v>
      </c>
      <c r="T209" s="427">
        <f t="shared" si="7"/>
        <v>7.9782990266475187E-4</v>
      </c>
      <c r="U209" s="379"/>
      <c r="V209" s="435"/>
      <c r="W209" s="6"/>
    </row>
    <row r="210" spans="1:24" ht="15.6">
      <c r="A210" s="444"/>
      <c r="B210" s="440" t="s">
        <v>189</v>
      </c>
      <c r="C210" s="489"/>
      <c r="D210" s="489"/>
      <c r="E210" s="489"/>
      <c r="F210" s="489"/>
      <c r="G210" s="489"/>
      <c r="H210" s="489"/>
      <c r="I210" s="489"/>
      <c r="J210" s="489"/>
      <c r="K210" s="489"/>
      <c r="L210" s="489">
        <v>228</v>
      </c>
      <c r="M210" s="427">
        <f t="shared" si="4"/>
        <v>3.0999320190346704E-2</v>
      </c>
      <c r="N210" s="489">
        <v>6486</v>
      </c>
      <c r="O210" s="427">
        <f t="shared" si="5"/>
        <v>3.5956625864821713E-2</v>
      </c>
      <c r="P210" s="381"/>
      <c r="Q210" s="489">
        <v>8</v>
      </c>
      <c r="R210" s="427">
        <f t="shared" si="6"/>
        <v>1.2678288431061807E-2</v>
      </c>
      <c r="S210" s="489">
        <v>69</v>
      </c>
      <c r="T210" s="427">
        <f t="shared" si="7"/>
        <v>1.1010052656773576E-2</v>
      </c>
      <c r="U210" s="379"/>
      <c r="V210" s="435"/>
      <c r="W210" s="6"/>
    </row>
    <row r="211" spans="1:24" ht="15.6">
      <c r="A211" s="444"/>
      <c r="B211" s="440" t="str">
        <f>B198</f>
        <v>Total Performing  Assets</v>
      </c>
      <c r="C211" s="489"/>
      <c r="D211" s="489"/>
      <c r="E211" s="489"/>
      <c r="F211" s="489"/>
      <c r="G211" s="489"/>
      <c r="H211" s="489"/>
      <c r="I211" s="489"/>
      <c r="J211" s="489"/>
      <c r="K211" s="489"/>
      <c r="L211" s="489">
        <f>SUM(L204:L210)</f>
        <v>7355</v>
      </c>
      <c r="M211" s="427">
        <f>SUM(M204:M210)</f>
        <v>1.0000000000000002</v>
      </c>
      <c r="N211" s="489">
        <f>SUM(N204:N210)</f>
        <v>180384</v>
      </c>
      <c r="O211" s="427">
        <f>SUM(O204:O210)</f>
        <v>0.99999999999999989</v>
      </c>
      <c r="P211" s="381"/>
      <c r="Q211" s="489">
        <f>SUM(Q204:Q210)</f>
        <v>631</v>
      </c>
      <c r="R211" s="427">
        <f>SUM(R204:R210)</f>
        <v>1</v>
      </c>
      <c r="S211" s="489">
        <f>SUM(S204:S210)</f>
        <v>6267</v>
      </c>
      <c r="T211" s="427">
        <f>SUM(T204:T210)</f>
        <v>0.99999999999999989</v>
      </c>
      <c r="U211" s="379"/>
      <c r="V211" s="435"/>
      <c r="W211" s="6"/>
    </row>
    <row r="212" spans="1:24" ht="15.6">
      <c r="A212" s="444"/>
      <c r="B212" s="440" t="s">
        <v>85</v>
      </c>
      <c r="C212" s="489"/>
      <c r="D212" s="489"/>
      <c r="E212" s="489"/>
      <c r="F212" s="489"/>
      <c r="G212" s="489"/>
      <c r="H212" s="489"/>
      <c r="I212" s="489"/>
      <c r="J212" s="489"/>
      <c r="K212" s="489"/>
      <c r="L212" s="489">
        <v>167</v>
      </c>
      <c r="M212" s="381"/>
      <c r="N212" s="489">
        <v>4541</v>
      </c>
      <c r="O212" s="380"/>
      <c r="P212" s="381"/>
      <c r="Q212" s="489">
        <v>29</v>
      </c>
      <c r="R212" s="381"/>
      <c r="S212" s="489">
        <v>554</v>
      </c>
      <c r="T212" s="381"/>
      <c r="U212" s="379"/>
      <c r="V212" s="435"/>
      <c r="W212" s="6"/>
    </row>
    <row r="213" spans="1:24" ht="15.6">
      <c r="A213" s="444"/>
      <c r="B213" s="440" t="s">
        <v>86</v>
      </c>
      <c r="C213" s="489"/>
      <c r="D213" s="489"/>
      <c r="E213" s="489"/>
      <c r="F213" s="489"/>
      <c r="G213" s="489"/>
      <c r="H213" s="489"/>
      <c r="I213" s="489"/>
      <c r="J213" s="489"/>
      <c r="K213" s="489"/>
      <c r="L213" s="489">
        <f>SUM(L211:L212)</f>
        <v>7522</v>
      </c>
      <c r="M213" s="450"/>
      <c r="N213" s="489">
        <f>SUM(N211:N212)</f>
        <v>184925</v>
      </c>
      <c r="O213" s="427"/>
      <c r="P213" s="450"/>
      <c r="Q213" s="489">
        <f>SUM(Q211:Q212)</f>
        <v>660</v>
      </c>
      <c r="R213" s="450"/>
      <c r="S213" s="489">
        <f>SUM(S211:S212)</f>
        <v>6821</v>
      </c>
      <c r="T213" s="450"/>
      <c r="U213" s="450"/>
      <c r="V213" s="492"/>
    </row>
    <row r="214" spans="1:24" ht="15.6">
      <c r="A214" s="444"/>
      <c r="B214" s="440"/>
      <c r="C214" s="381"/>
      <c r="D214" s="381"/>
      <c r="E214" s="381"/>
      <c r="F214" s="381"/>
      <c r="G214" s="381"/>
      <c r="H214" s="381"/>
      <c r="I214" s="381"/>
      <c r="J214" s="381"/>
      <c r="K214" s="381"/>
      <c r="L214" s="381"/>
      <c r="M214" s="493"/>
      <c r="N214" s="381"/>
      <c r="O214" s="493"/>
      <c r="P214" s="381"/>
      <c r="Q214" s="493"/>
      <c r="R214" s="381"/>
      <c r="S214" s="489"/>
      <c r="T214" s="381"/>
      <c r="U214" s="379"/>
      <c r="V214" s="435"/>
      <c r="W214" s="6"/>
    </row>
    <row r="215" spans="1:24" ht="15.6">
      <c r="A215" s="444"/>
      <c r="B215" s="440" t="s">
        <v>86</v>
      </c>
      <c r="C215" s="381"/>
      <c r="D215" s="381"/>
      <c r="E215" s="381"/>
      <c r="F215" s="381"/>
      <c r="G215" s="381"/>
      <c r="H215" s="381"/>
      <c r="I215" s="381"/>
      <c r="J215" s="381"/>
      <c r="K215" s="381"/>
      <c r="L215" s="493"/>
      <c r="M215" s="493"/>
      <c r="N215" s="493"/>
      <c r="O215" s="493"/>
      <c r="P215" s="381"/>
      <c r="Q215" s="493"/>
      <c r="R215" s="381"/>
      <c r="S215" s="489">
        <f>+N200+S200+N213+S213</f>
        <v>203333</v>
      </c>
      <c r="T215" s="490"/>
      <c r="U215" s="379"/>
      <c r="V215" s="435"/>
      <c r="W215" s="6"/>
      <c r="X215" s="182"/>
    </row>
    <row r="216" spans="1:24" ht="15.6">
      <c r="A216" s="316"/>
      <c r="B216" s="360"/>
      <c r="C216" s="363"/>
      <c r="D216" s="363"/>
      <c r="E216" s="363"/>
      <c r="F216" s="363"/>
      <c r="G216" s="363"/>
      <c r="H216" s="363"/>
      <c r="I216" s="363"/>
      <c r="J216" s="363"/>
      <c r="K216" s="363"/>
      <c r="L216" s="491"/>
      <c r="M216" s="491"/>
      <c r="N216" s="491"/>
      <c r="O216" s="491"/>
      <c r="P216" s="363"/>
      <c r="Q216" s="491"/>
      <c r="R216" s="363"/>
      <c r="S216" s="361"/>
      <c r="T216" s="363"/>
      <c r="U216" s="364"/>
      <c r="V216" s="312"/>
      <c r="W216" s="6"/>
    </row>
    <row r="217" spans="1:24" ht="15.6">
      <c r="A217" s="349"/>
      <c r="B217" s="357" t="s">
        <v>87</v>
      </c>
      <c r="C217" s="526"/>
      <c r="D217" s="526"/>
      <c r="E217" s="526"/>
      <c r="F217" s="526"/>
      <c r="G217" s="526"/>
      <c r="H217" s="526"/>
      <c r="I217" s="526"/>
      <c r="J217" s="526"/>
      <c r="K217" s="526"/>
      <c r="L217" s="526"/>
      <c r="M217" s="527"/>
      <c r="N217" s="526"/>
      <c r="O217" s="527"/>
      <c r="P217" s="526"/>
      <c r="Q217" s="527"/>
      <c r="R217" s="526"/>
      <c r="S217" s="358"/>
      <c r="T217" s="526"/>
      <c r="U217" s="350"/>
      <c r="V217" s="528"/>
      <c r="W217" s="6"/>
    </row>
    <row r="218" spans="1:24" ht="15.6">
      <c r="A218" s="315"/>
      <c r="B218" s="310"/>
      <c r="C218" s="296"/>
      <c r="D218" s="296"/>
      <c r="E218" s="296"/>
      <c r="F218" s="296"/>
      <c r="G218" s="296"/>
      <c r="H218" s="296"/>
      <c r="I218" s="296"/>
      <c r="J218" s="296"/>
      <c r="K218" s="296"/>
      <c r="L218" s="296"/>
      <c r="M218" s="352"/>
      <c r="N218" s="296"/>
      <c r="O218" s="352"/>
      <c r="P218" s="296"/>
      <c r="Q218" s="352"/>
      <c r="R218" s="296"/>
      <c r="S218" s="351"/>
      <c r="T218" s="296"/>
      <c r="U218" s="294"/>
      <c r="V218" s="301"/>
      <c r="W218" s="6"/>
    </row>
    <row r="219" spans="1:24" ht="15.6">
      <c r="A219" s="444"/>
      <c r="B219" s="440" t="s">
        <v>88</v>
      </c>
      <c r="C219" s="381"/>
      <c r="D219" s="381"/>
      <c r="E219" s="381"/>
      <c r="F219" s="381"/>
      <c r="G219" s="381"/>
      <c r="H219" s="381"/>
      <c r="I219" s="381"/>
      <c r="J219" s="381"/>
      <c r="K219" s="381"/>
      <c r="L219" s="381"/>
      <c r="M219" s="493"/>
      <c r="N219" s="381"/>
      <c r="O219" s="493"/>
      <c r="P219" s="381"/>
      <c r="Q219" s="493"/>
      <c r="R219" s="381"/>
      <c r="S219" s="489">
        <f>+N198+S198+N211+S211</f>
        <v>191133</v>
      </c>
      <c r="T219" s="381"/>
      <c r="U219" s="379"/>
      <c r="V219" s="435"/>
      <c r="W219" s="6"/>
      <c r="X219" s="182"/>
    </row>
    <row r="220" spans="1:24" ht="15.6">
      <c r="A220" s="444"/>
      <c r="B220" s="440" t="s">
        <v>89</v>
      </c>
      <c r="C220" s="381"/>
      <c r="D220" s="381"/>
      <c r="E220" s="381"/>
      <c r="F220" s="381"/>
      <c r="G220" s="381"/>
      <c r="H220" s="381"/>
      <c r="I220" s="381"/>
      <c r="J220" s="381"/>
      <c r="K220" s="381"/>
      <c r="L220" s="381"/>
      <c r="M220" s="493"/>
      <c r="N220" s="381"/>
      <c r="O220" s="493"/>
      <c r="P220" s="381"/>
      <c r="Q220" s="493"/>
      <c r="R220" s="381"/>
      <c r="S220" s="489">
        <f>+U78</f>
        <v>0</v>
      </c>
      <c r="T220" s="381"/>
      <c r="U220" s="379"/>
      <c r="V220" s="435"/>
      <c r="W220" s="119"/>
    </row>
    <row r="221" spans="1:24" ht="15.6">
      <c r="A221" s="444"/>
      <c r="B221" s="440" t="s">
        <v>90</v>
      </c>
      <c r="C221" s="381"/>
      <c r="D221" s="381"/>
      <c r="E221" s="381"/>
      <c r="F221" s="381"/>
      <c r="G221" s="381"/>
      <c r="H221" s="381"/>
      <c r="I221" s="381"/>
      <c r="J221" s="381"/>
      <c r="K221" s="381"/>
      <c r="L221" s="381"/>
      <c r="M221" s="493"/>
      <c r="N221" s="381"/>
      <c r="O221" s="493"/>
      <c r="P221" s="381"/>
      <c r="Q221" s="493"/>
      <c r="R221" s="381"/>
      <c r="S221" s="489">
        <f>S219+S220</f>
        <v>191133</v>
      </c>
      <c r="T221" s="381"/>
      <c r="U221" s="379"/>
      <c r="V221" s="435"/>
      <c r="W221" s="6"/>
    </row>
    <row r="222" spans="1:24" ht="15.6">
      <c r="A222" s="444"/>
      <c r="B222" s="440"/>
      <c r="C222" s="381"/>
      <c r="D222" s="381"/>
      <c r="E222" s="381"/>
      <c r="F222" s="381"/>
      <c r="G222" s="381"/>
      <c r="H222" s="381"/>
      <c r="I222" s="381"/>
      <c r="J222" s="381"/>
      <c r="K222" s="381"/>
      <c r="L222" s="381"/>
      <c r="M222" s="493"/>
      <c r="N222" s="381"/>
      <c r="O222" s="493"/>
      <c r="P222" s="381"/>
      <c r="Q222" s="493"/>
      <c r="R222" s="381"/>
      <c r="S222" s="489"/>
      <c r="T222" s="381"/>
      <c r="U222" s="379"/>
      <c r="V222" s="435"/>
      <c r="W222" s="6"/>
    </row>
    <row r="223" spans="1:24" ht="15.6">
      <c r="A223" s="444"/>
      <c r="B223" s="440" t="s">
        <v>91</v>
      </c>
      <c r="C223" s="381"/>
      <c r="D223" s="381"/>
      <c r="E223" s="381"/>
      <c r="F223" s="381"/>
      <c r="G223" s="381"/>
      <c r="H223" s="381"/>
      <c r="I223" s="381"/>
      <c r="J223" s="381"/>
      <c r="K223" s="381"/>
      <c r="L223" s="381"/>
      <c r="M223" s="493"/>
      <c r="N223" s="381"/>
      <c r="O223" s="493"/>
      <c r="P223" s="381"/>
      <c r="Q223" s="493"/>
      <c r="R223" s="381"/>
      <c r="S223" s="489">
        <f>U33</f>
        <v>191133.05760000003</v>
      </c>
      <c r="T223" s="381"/>
      <c r="U223" s="379"/>
      <c r="V223" s="435"/>
      <c r="W223" s="6"/>
    </row>
    <row r="224" spans="1:24" ht="15.6">
      <c r="A224" s="444"/>
      <c r="B224" s="440"/>
      <c r="C224" s="381"/>
      <c r="D224" s="381"/>
      <c r="E224" s="381"/>
      <c r="F224" s="381"/>
      <c r="G224" s="381"/>
      <c r="H224" s="381"/>
      <c r="I224" s="381"/>
      <c r="J224" s="381"/>
      <c r="K224" s="381"/>
      <c r="L224" s="381"/>
      <c r="M224" s="493"/>
      <c r="N224" s="381"/>
      <c r="O224" s="493"/>
      <c r="P224" s="381"/>
      <c r="Q224" s="493"/>
      <c r="R224" s="381"/>
      <c r="S224" s="489"/>
      <c r="T224" s="381"/>
      <c r="U224" s="379"/>
      <c r="V224" s="435"/>
      <c r="W224" s="6"/>
    </row>
    <row r="225" spans="1:23" ht="15.6">
      <c r="A225" s="444"/>
      <c r="B225" s="440" t="s">
        <v>92</v>
      </c>
      <c r="C225" s="381"/>
      <c r="D225" s="381"/>
      <c r="E225" s="381"/>
      <c r="F225" s="381"/>
      <c r="G225" s="381"/>
      <c r="H225" s="381"/>
      <c r="I225" s="381"/>
      <c r="J225" s="381"/>
      <c r="K225" s="381"/>
      <c r="L225" s="381"/>
      <c r="M225" s="493"/>
      <c r="N225" s="381"/>
      <c r="O225" s="493"/>
      <c r="P225" s="381"/>
      <c r="Q225" s="493"/>
      <c r="R225" s="381"/>
      <c r="S225" s="489">
        <f>S221/S223</f>
        <v>0.99999969863925819</v>
      </c>
      <c r="T225" s="381"/>
      <c r="U225" s="379"/>
      <c r="V225" s="435"/>
      <c r="W225" s="6"/>
    </row>
    <row r="226" spans="1:23" ht="15.6">
      <c r="A226" s="444"/>
      <c r="B226" s="379"/>
      <c r="C226" s="379"/>
      <c r="D226" s="379"/>
      <c r="E226" s="379"/>
      <c r="F226" s="379"/>
      <c r="G226" s="379"/>
      <c r="H226" s="379"/>
      <c r="I226" s="379"/>
      <c r="J226" s="379"/>
      <c r="K226" s="379"/>
      <c r="L226" s="379"/>
      <c r="M226" s="380"/>
      <c r="N226" s="379"/>
      <c r="O226" s="379"/>
      <c r="P226" s="379"/>
      <c r="Q226" s="440"/>
      <c r="R226" s="497"/>
      <c r="S226" s="441"/>
      <c r="T226" s="497"/>
      <c r="U226" s="466"/>
      <c r="V226" s="410"/>
      <c r="W226" s="6"/>
    </row>
    <row r="227" spans="1:23" ht="15.6">
      <c r="A227" s="353"/>
      <c r="B227" s="494" t="s">
        <v>127</v>
      </c>
      <c r="C227" s="495"/>
      <c r="D227" s="495"/>
      <c r="E227" s="495"/>
      <c r="F227" s="495"/>
      <c r="G227" s="495"/>
      <c r="H227" s="495"/>
      <c r="I227" s="495"/>
      <c r="J227" s="495"/>
      <c r="K227" s="495"/>
      <c r="L227" s="495"/>
      <c r="M227" s="363"/>
      <c r="N227" s="364"/>
      <c r="O227" s="494"/>
      <c r="P227" s="443"/>
      <c r="Q227" s="443"/>
      <c r="R227" s="443"/>
      <c r="S227" s="496"/>
      <c r="T227" s="443"/>
      <c r="U227" s="443"/>
      <c r="V227" s="355"/>
      <c r="W227" s="6"/>
    </row>
    <row r="228" spans="1:23" ht="15.6">
      <c r="A228" s="353"/>
      <c r="B228" s="287" t="s">
        <v>128</v>
      </c>
      <c r="C228" s="354"/>
      <c r="D228" s="354"/>
      <c r="E228" s="354"/>
      <c r="F228" s="354"/>
      <c r="G228" s="354"/>
      <c r="H228" s="354"/>
      <c r="I228" s="354"/>
      <c r="J228" s="354"/>
      <c r="K228" s="354"/>
      <c r="L228" s="354"/>
      <c r="M228" s="290"/>
      <c r="N228" s="287"/>
      <c r="O228" s="287"/>
      <c r="P228" s="354"/>
      <c r="Q228" s="354"/>
      <c r="R228" s="317"/>
      <c r="S228" s="317"/>
      <c r="T228" s="317"/>
      <c r="U228" s="317"/>
      <c r="V228" s="355"/>
      <c r="W228" s="6"/>
    </row>
    <row r="229" spans="1:23" ht="15.6">
      <c r="A229" s="353"/>
      <c r="B229" s="287" t="s">
        <v>246</v>
      </c>
      <c r="C229" s="287"/>
      <c r="D229" s="287"/>
      <c r="E229" s="287"/>
      <c r="F229" s="287"/>
      <c r="G229" s="287"/>
      <c r="H229" s="287"/>
      <c r="I229" s="287"/>
      <c r="J229" s="287"/>
      <c r="K229" s="287"/>
      <c r="L229" s="287"/>
      <c r="M229" s="287"/>
      <c r="N229" s="287"/>
      <c r="O229" s="287"/>
      <c r="P229" s="287"/>
      <c r="Q229" s="287"/>
      <c r="R229" s="287"/>
      <c r="S229" s="287"/>
      <c r="T229" s="287"/>
      <c r="U229" s="287"/>
      <c r="V229" s="355"/>
      <c r="W229" s="6"/>
    </row>
    <row r="230" spans="1:23" ht="15.6">
      <c r="A230" s="353"/>
      <c r="B230" s="287" t="s">
        <v>129</v>
      </c>
      <c r="C230" s="354"/>
      <c r="D230" s="354"/>
      <c r="E230" s="354"/>
      <c r="F230" s="354"/>
      <c r="G230" s="354"/>
      <c r="H230" s="354"/>
      <c r="I230" s="354"/>
      <c r="J230" s="354"/>
      <c r="K230" s="354"/>
      <c r="L230" s="354"/>
      <c r="M230" s="290"/>
      <c r="N230" s="287"/>
      <c r="O230" s="287"/>
      <c r="P230" s="354"/>
      <c r="Q230" s="354"/>
      <c r="R230" s="317"/>
      <c r="S230" s="317"/>
      <c r="T230" s="317"/>
      <c r="U230" s="317"/>
      <c r="V230" s="355"/>
      <c r="W230" s="6"/>
    </row>
    <row r="231" spans="1:23" ht="15.6">
      <c r="A231" s="353"/>
      <c r="B231" s="287"/>
      <c r="C231" s="354"/>
      <c r="D231" s="354"/>
      <c r="E231" s="354"/>
      <c r="F231" s="354"/>
      <c r="G231" s="354"/>
      <c r="H231" s="354"/>
      <c r="I231" s="354"/>
      <c r="J231" s="354"/>
      <c r="K231" s="354"/>
      <c r="L231" s="354"/>
      <c r="M231" s="290"/>
      <c r="N231" s="287"/>
      <c r="O231" s="287"/>
      <c r="P231" s="354"/>
      <c r="Q231" s="354"/>
      <c r="R231" s="317"/>
      <c r="S231" s="317"/>
      <c r="T231" s="317"/>
      <c r="U231" s="317"/>
      <c r="V231" s="355"/>
      <c r="W231" s="6"/>
    </row>
    <row r="232" spans="1:23" ht="15.6">
      <c r="A232" s="353"/>
      <c r="B232" s="287"/>
      <c r="C232" s="354"/>
      <c r="D232" s="354"/>
      <c r="E232" s="354"/>
      <c r="F232" s="354"/>
      <c r="G232" s="354"/>
      <c r="H232" s="354"/>
      <c r="I232" s="354"/>
      <c r="J232" s="354"/>
      <c r="K232" s="354"/>
      <c r="L232" s="354"/>
      <c r="M232" s="290"/>
      <c r="N232" s="287"/>
      <c r="O232" s="287"/>
      <c r="P232" s="354"/>
      <c r="Q232" s="354"/>
      <c r="R232" s="317"/>
      <c r="S232" s="317"/>
      <c r="T232" s="317"/>
      <c r="U232" s="317"/>
      <c r="V232" s="355"/>
      <c r="W232" s="6"/>
    </row>
    <row r="233" spans="1:23" ht="16.2" thickBot="1">
      <c r="A233" s="353"/>
      <c r="B233" s="287" t="str">
        <f>+B160</f>
        <v>PPAF3 INVESTOR REPORT QUARTER ENDING SEPTMEBER 2011</v>
      </c>
      <c r="C233" s="354"/>
      <c r="D233" s="354"/>
      <c r="E233" s="354"/>
      <c r="F233" s="354"/>
      <c r="G233" s="354"/>
      <c r="H233" s="354"/>
      <c r="I233" s="354"/>
      <c r="J233" s="354"/>
      <c r="K233" s="354"/>
      <c r="L233" s="354"/>
      <c r="M233" s="290"/>
      <c r="N233" s="287"/>
      <c r="O233" s="287"/>
      <c r="P233" s="354"/>
      <c r="Q233" s="354"/>
      <c r="R233" s="317"/>
      <c r="S233" s="317"/>
      <c r="T233" s="317"/>
      <c r="U233" s="317"/>
      <c r="V233" s="356"/>
      <c r="W233" s="6"/>
    </row>
    <row r="234" spans="1:2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row>
  </sheetData>
  <phoneticPr fontId="0" type="noConversion"/>
  <hyperlinks>
    <hyperlink ref="I9" r:id="rId1"/>
    <hyperlink ref="K187"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21" man="1"/>
    <brk id="109" max="16383" man="1"/>
    <brk id="160" max="21" man="1"/>
    <brk id="239" man="1"/>
  </rowBreaks>
  <colBreaks count="1" manualBreakCount="1">
    <brk id="23" max="1048575" man="1"/>
  </colBreaks>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0099"/>
  </sheetPr>
  <dimension ref="A1:Y234"/>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38" t="s">
        <v>223</v>
      </c>
      <c r="B1" s="285" t="s">
        <v>123</v>
      </c>
      <c r="C1" s="239"/>
      <c r="D1" s="239"/>
      <c r="E1" s="239"/>
      <c r="F1" s="239"/>
      <c r="G1" s="239"/>
      <c r="H1" s="239"/>
      <c r="I1" s="239"/>
      <c r="J1" s="239"/>
      <c r="K1" s="239"/>
      <c r="L1" s="239"/>
      <c r="M1" s="240"/>
      <c r="N1" s="240"/>
      <c r="O1" s="240"/>
      <c r="P1" s="240"/>
      <c r="Q1" s="240"/>
      <c r="R1" s="240"/>
      <c r="S1" s="240"/>
      <c r="T1" s="240"/>
      <c r="U1" s="240"/>
      <c r="V1" s="241"/>
      <c r="W1" s="6"/>
    </row>
    <row r="2" spans="1:23" ht="15.6">
      <c r="A2" s="242"/>
      <c r="B2" s="243"/>
      <c r="C2" s="243"/>
      <c r="D2" s="243"/>
      <c r="E2" s="243"/>
      <c r="F2" s="243"/>
      <c r="G2" s="243"/>
      <c r="H2" s="243"/>
      <c r="I2" s="243"/>
      <c r="J2" s="243"/>
      <c r="K2" s="243"/>
      <c r="L2" s="243"/>
      <c r="M2" s="244"/>
      <c r="N2" s="244"/>
      <c r="O2" s="244"/>
      <c r="P2" s="244"/>
      <c r="Q2" s="244"/>
      <c r="R2" s="244"/>
      <c r="S2" s="244"/>
      <c r="T2" s="244"/>
      <c r="U2" s="244"/>
      <c r="V2" s="245"/>
      <c r="W2" s="6"/>
    </row>
    <row r="3" spans="1:23" ht="15.6">
      <c r="A3" s="246"/>
      <c r="B3" s="247" t="s">
        <v>125</v>
      </c>
      <c r="C3" s="244"/>
      <c r="D3" s="244"/>
      <c r="E3" s="244"/>
      <c r="F3" s="244"/>
      <c r="G3" s="244"/>
      <c r="H3" s="244"/>
      <c r="I3" s="244"/>
      <c r="J3" s="244"/>
      <c r="K3" s="244"/>
      <c r="L3" s="244"/>
      <c r="M3" s="244"/>
      <c r="N3" s="244"/>
      <c r="O3" s="244"/>
      <c r="P3" s="244"/>
      <c r="Q3" s="244"/>
      <c r="R3" s="244"/>
      <c r="S3" s="244"/>
      <c r="T3" s="244"/>
      <c r="U3" s="244"/>
      <c r="V3" s="245"/>
      <c r="W3" s="6"/>
    </row>
    <row r="4" spans="1:23" ht="15.6">
      <c r="A4" s="242"/>
      <c r="B4" s="243"/>
      <c r="C4" s="243"/>
      <c r="D4" s="243"/>
      <c r="E4" s="243"/>
      <c r="F4" s="243"/>
      <c r="G4" s="243"/>
      <c r="H4" s="243"/>
      <c r="I4" s="243"/>
      <c r="J4" s="243"/>
      <c r="K4" s="243"/>
      <c r="L4" s="243"/>
      <c r="M4" s="244"/>
      <c r="N4" s="244"/>
      <c r="O4" s="244"/>
      <c r="P4" s="244"/>
      <c r="Q4" s="244"/>
      <c r="R4" s="244"/>
      <c r="S4" s="244"/>
      <c r="T4" s="244"/>
      <c r="U4" s="244"/>
      <c r="V4" s="245"/>
      <c r="W4" s="6"/>
    </row>
    <row r="5" spans="1:23" ht="16.2">
      <c r="A5" s="242"/>
      <c r="B5" s="286" t="s">
        <v>0</v>
      </c>
      <c r="C5" s="248"/>
      <c r="D5" s="248"/>
      <c r="E5" s="248"/>
      <c r="F5" s="248"/>
      <c r="G5" s="248"/>
      <c r="H5" s="248"/>
      <c r="I5" s="248"/>
      <c r="J5" s="248"/>
      <c r="K5" s="248"/>
      <c r="L5" s="248"/>
      <c r="M5" s="244"/>
      <c r="N5" s="244"/>
      <c r="O5" s="244"/>
      <c r="P5" s="244"/>
      <c r="Q5" s="244"/>
      <c r="R5" s="244"/>
      <c r="S5" s="244"/>
      <c r="T5" s="244"/>
      <c r="U5" s="244"/>
      <c r="V5" s="245"/>
      <c r="W5" s="6"/>
    </row>
    <row r="6" spans="1:23" ht="16.2">
      <c r="A6" s="242"/>
      <c r="B6" s="286" t="s">
        <v>1</v>
      </c>
      <c r="C6" s="248"/>
      <c r="D6" s="248"/>
      <c r="E6" s="248"/>
      <c r="F6" s="248"/>
      <c r="G6" s="248"/>
      <c r="H6" s="248"/>
      <c r="I6" s="248"/>
      <c r="J6" s="248"/>
      <c r="K6" s="248"/>
      <c r="L6" s="248"/>
      <c r="M6" s="244"/>
      <c r="N6" s="244"/>
      <c r="O6" s="244"/>
      <c r="P6" s="244"/>
      <c r="Q6" s="244"/>
      <c r="R6" s="244"/>
      <c r="S6" s="244"/>
      <c r="T6" s="244"/>
      <c r="U6" s="244"/>
      <c r="V6" s="245"/>
      <c r="W6" s="6"/>
    </row>
    <row r="7" spans="1:23" ht="16.2">
      <c r="A7" s="242"/>
      <c r="B7" s="286" t="s">
        <v>2</v>
      </c>
      <c r="C7" s="248"/>
      <c r="D7" s="248"/>
      <c r="E7" s="248"/>
      <c r="F7" s="248"/>
      <c r="G7" s="248"/>
      <c r="H7" s="248"/>
      <c r="I7" s="248"/>
      <c r="J7" s="248"/>
      <c r="K7" s="248"/>
      <c r="L7" s="248"/>
      <c r="M7" s="244"/>
      <c r="N7" s="244"/>
      <c r="O7" s="244"/>
      <c r="P7" s="244"/>
      <c r="Q7" s="244"/>
      <c r="R7" s="244"/>
      <c r="S7" s="244"/>
      <c r="T7" s="244"/>
      <c r="U7" s="244"/>
      <c r="V7" s="245"/>
      <c r="W7" s="6"/>
    </row>
    <row r="8" spans="1:23" ht="16.2">
      <c r="A8" s="242"/>
      <c r="B8" s="249"/>
      <c r="C8" s="248"/>
      <c r="D8" s="248"/>
      <c r="E8" s="248"/>
      <c r="F8" s="248"/>
      <c r="G8" s="248"/>
      <c r="H8" s="248"/>
      <c r="I8" s="248"/>
      <c r="J8" s="248"/>
      <c r="K8" s="248"/>
      <c r="L8" s="248"/>
      <c r="M8" s="244"/>
      <c r="N8" s="244"/>
      <c r="O8" s="244"/>
      <c r="P8" s="244"/>
      <c r="Q8" s="244"/>
      <c r="R8" s="244"/>
      <c r="S8" s="244"/>
      <c r="T8" s="244"/>
      <c r="U8" s="244"/>
      <c r="V8" s="245"/>
      <c r="W8" s="6"/>
    </row>
    <row r="9" spans="1:23" ht="18">
      <c r="A9" s="242"/>
      <c r="B9" s="250" t="s">
        <v>194</v>
      </c>
      <c r="C9" s="248"/>
      <c r="D9" s="248"/>
      <c r="E9" s="248"/>
      <c r="F9" s="248"/>
      <c r="G9" s="248"/>
      <c r="H9" s="248"/>
      <c r="I9" s="251" t="s">
        <v>195</v>
      </c>
      <c r="J9" s="248"/>
      <c r="K9" s="248"/>
      <c r="L9" s="248"/>
      <c r="M9" s="244"/>
      <c r="N9" s="244"/>
      <c r="O9" s="244"/>
      <c r="P9" s="244"/>
      <c r="Q9" s="244"/>
      <c r="R9" s="244"/>
      <c r="S9" s="244"/>
      <c r="T9" s="244"/>
      <c r="U9" s="244"/>
      <c r="V9" s="245"/>
      <c r="W9" s="6"/>
    </row>
    <row r="10" spans="1:23" ht="16.2">
      <c r="A10" s="242"/>
      <c r="B10" s="248"/>
      <c r="C10" s="248"/>
      <c r="D10" s="248"/>
      <c r="E10" s="248"/>
      <c r="F10" s="248"/>
      <c r="G10" s="248"/>
      <c r="H10" s="248"/>
      <c r="I10" s="248"/>
      <c r="J10" s="248"/>
      <c r="K10" s="248"/>
      <c r="L10" s="248"/>
      <c r="M10" s="252"/>
      <c r="N10" s="252"/>
      <c r="O10" s="244"/>
      <c r="P10" s="244"/>
      <c r="Q10" s="244"/>
      <c r="R10" s="244"/>
      <c r="S10" s="244"/>
      <c r="T10" s="244"/>
      <c r="U10" s="244"/>
      <c r="V10" s="245"/>
      <c r="W10" s="6"/>
    </row>
    <row r="11" spans="1:23" ht="15.6">
      <c r="A11" s="242"/>
      <c r="B11" s="287" t="s">
        <v>3</v>
      </c>
      <c r="C11" s="252"/>
      <c r="D11" s="252"/>
      <c r="E11" s="252"/>
      <c r="F11" s="252"/>
      <c r="G11" s="252"/>
      <c r="H11" s="252"/>
      <c r="I11" s="252"/>
      <c r="J11" s="252"/>
      <c r="K11" s="252"/>
      <c r="L11" s="252"/>
      <c r="M11" s="244"/>
      <c r="N11" s="244"/>
      <c r="O11" s="244"/>
      <c r="P11" s="244"/>
      <c r="Q11" s="244"/>
      <c r="R11" s="244"/>
      <c r="S11" s="244"/>
      <c r="T11" s="244"/>
      <c r="U11" s="244"/>
      <c r="V11" s="245"/>
      <c r="W11" s="6"/>
    </row>
    <row r="12" spans="1:23" ht="16.2" thickBot="1">
      <c r="A12" s="242"/>
      <c r="B12" s="252"/>
      <c r="C12" s="252"/>
      <c r="D12" s="252"/>
      <c r="E12" s="252"/>
      <c r="F12" s="252"/>
      <c r="G12" s="252"/>
      <c r="H12" s="252"/>
      <c r="I12" s="252"/>
      <c r="J12" s="252"/>
      <c r="K12" s="252"/>
      <c r="L12" s="252"/>
      <c r="M12" s="244"/>
      <c r="N12" s="244"/>
      <c r="O12" s="244"/>
      <c r="P12" s="244"/>
      <c r="Q12" s="244"/>
      <c r="R12" s="244"/>
      <c r="S12" s="244"/>
      <c r="T12" s="244"/>
      <c r="U12" s="244"/>
      <c r="V12" s="245"/>
      <c r="W12" s="6"/>
    </row>
    <row r="13" spans="1:23" ht="15.6">
      <c r="A13" s="238"/>
      <c r="B13" s="240"/>
      <c r="C13" s="240"/>
      <c r="D13" s="240"/>
      <c r="E13" s="240"/>
      <c r="F13" s="240"/>
      <c r="G13" s="240"/>
      <c r="H13" s="240"/>
      <c r="I13" s="240"/>
      <c r="J13" s="240"/>
      <c r="K13" s="240"/>
      <c r="L13" s="240"/>
      <c r="M13" s="240"/>
      <c r="N13" s="240"/>
      <c r="O13" s="240"/>
      <c r="P13" s="240"/>
      <c r="Q13" s="240"/>
      <c r="R13" s="240"/>
      <c r="S13" s="240"/>
      <c r="T13" s="240"/>
      <c r="U13" s="240"/>
      <c r="V13" s="241"/>
      <c r="W13" s="6"/>
    </row>
    <row r="14" spans="1:23" ht="15.6">
      <c r="A14" s="242"/>
      <c r="B14" s="287" t="s">
        <v>4</v>
      </c>
      <c r="C14" s="253"/>
      <c r="D14" s="253"/>
      <c r="E14" s="253"/>
      <c r="F14" s="253"/>
      <c r="G14" s="253"/>
      <c r="H14" s="253"/>
      <c r="I14" s="253"/>
      <c r="J14" s="253"/>
      <c r="K14" s="253"/>
      <c r="L14" s="253"/>
      <c r="M14" s="288"/>
      <c r="N14" s="288"/>
      <c r="O14" s="288"/>
      <c r="P14" s="288"/>
      <c r="Q14" s="288"/>
      <c r="R14" s="288"/>
      <c r="S14" s="288"/>
      <c r="T14" s="288"/>
      <c r="U14" s="289" t="s">
        <v>126</v>
      </c>
      <c r="V14" s="245"/>
      <c r="W14" s="6"/>
    </row>
    <row r="15" spans="1:23" ht="15.6">
      <c r="A15" s="242"/>
      <c r="B15" s="287" t="s">
        <v>5</v>
      </c>
      <c r="C15" s="253"/>
      <c r="D15" s="253"/>
      <c r="E15" s="253"/>
      <c r="F15" s="253"/>
      <c r="G15" s="253"/>
      <c r="H15" s="253"/>
      <c r="I15" s="253"/>
      <c r="J15" s="253"/>
      <c r="K15" s="253"/>
      <c r="L15" s="253"/>
      <c r="M15" s="290" t="s">
        <v>93</v>
      </c>
      <c r="N15" s="291">
        <v>0.1492</v>
      </c>
      <c r="O15" s="290" t="s">
        <v>99</v>
      </c>
      <c r="P15" s="291">
        <v>5.4399999999999997E-2</v>
      </c>
      <c r="Q15" s="290" t="s">
        <v>102</v>
      </c>
      <c r="R15" s="291">
        <v>0.48899999999999999</v>
      </c>
      <c r="S15" s="290" t="s">
        <v>108</v>
      </c>
      <c r="T15" s="291">
        <v>0.30740000000000001</v>
      </c>
      <c r="U15" s="289"/>
      <c r="V15" s="254"/>
      <c r="W15" s="6"/>
    </row>
    <row r="16" spans="1:23" ht="15.6">
      <c r="A16" s="242"/>
      <c r="B16" s="287" t="s">
        <v>6</v>
      </c>
      <c r="C16" s="253"/>
      <c r="D16" s="253"/>
      <c r="E16" s="253"/>
      <c r="F16" s="253"/>
      <c r="G16" s="253"/>
      <c r="H16" s="253"/>
      <c r="I16" s="253"/>
      <c r="J16" s="253"/>
      <c r="K16" s="253"/>
      <c r="L16" s="253"/>
      <c r="M16" s="290" t="s">
        <v>93</v>
      </c>
      <c r="N16" s="291">
        <f>+N198/S221</f>
        <v>1.7116414840860465E-2</v>
      </c>
      <c r="O16" s="290" t="s">
        <v>99</v>
      </c>
      <c r="P16" s="291">
        <f>+S198/S221</f>
        <v>4.8761879488497832E-3</v>
      </c>
      <c r="Q16" s="290" t="s">
        <v>102</v>
      </c>
      <c r="R16" s="291">
        <f>+N211/S221</f>
        <v>0.95179650484578093</v>
      </c>
      <c r="S16" s="290" t="s">
        <v>108</v>
      </c>
      <c r="T16" s="291">
        <f>+S211/S221</f>
        <v>2.6210892364508871E-2</v>
      </c>
      <c r="U16" s="289"/>
      <c r="V16" s="254"/>
      <c r="W16" s="6"/>
    </row>
    <row r="17" spans="1:23" ht="15.6">
      <c r="A17" s="242"/>
      <c r="B17" s="287" t="s">
        <v>7</v>
      </c>
      <c r="C17" s="253"/>
      <c r="D17" s="253"/>
      <c r="E17" s="253"/>
      <c r="F17" s="253"/>
      <c r="G17" s="253"/>
      <c r="H17" s="253"/>
      <c r="I17" s="253"/>
      <c r="J17" s="253"/>
      <c r="K17" s="253"/>
      <c r="L17" s="253"/>
      <c r="M17" s="288"/>
      <c r="N17" s="288"/>
      <c r="O17" s="288"/>
      <c r="P17" s="288"/>
      <c r="Q17" s="288"/>
      <c r="R17" s="288"/>
      <c r="S17" s="288"/>
      <c r="T17" s="288"/>
      <c r="U17" s="292">
        <v>38491</v>
      </c>
      <c r="V17" s="245"/>
      <c r="W17" s="6"/>
    </row>
    <row r="18" spans="1:23" ht="15.6">
      <c r="A18" s="242"/>
      <c r="B18" s="287" t="s">
        <v>8</v>
      </c>
      <c r="C18" s="253"/>
      <c r="D18" s="253"/>
      <c r="E18" s="253"/>
      <c r="F18" s="253"/>
      <c r="G18" s="253"/>
      <c r="H18" s="253"/>
      <c r="I18" s="253"/>
      <c r="J18" s="253"/>
      <c r="K18" s="253"/>
      <c r="L18" s="253"/>
      <c r="M18" s="288"/>
      <c r="N18" s="288"/>
      <c r="O18" s="288"/>
      <c r="P18" s="288"/>
      <c r="Q18" s="288"/>
      <c r="R18" s="288"/>
      <c r="S18" s="288"/>
      <c r="T18" s="288"/>
      <c r="U18" s="292">
        <v>40928</v>
      </c>
      <c r="V18" s="245"/>
      <c r="W18" s="6"/>
    </row>
    <row r="19" spans="1:23" ht="15.6">
      <c r="A19" s="242"/>
      <c r="B19" s="288"/>
      <c r="C19" s="244"/>
      <c r="D19" s="244"/>
      <c r="E19" s="244"/>
      <c r="F19" s="244"/>
      <c r="G19" s="244"/>
      <c r="H19" s="244"/>
      <c r="I19" s="244"/>
      <c r="J19" s="244"/>
      <c r="K19" s="244"/>
      <c r="L19" s="244"/>
      <c r="M19" s="244"/>
      <c r="N19" s="244"/>
      <c r="O19" s="244"/>
      <c r="P19" s="244"/>
      <c r="Q19" s="244"/>
      <c r="R19" s="244"/>
      <c r="S19" s="244"/>
      <c r="T19" s="244"/>
      <c r="U19" s="255"/>
      <c r="V19" s="245"/>
      <c r="W19" s="6"/>
    </row>
    <row r="20" spans="1:23" ht="15.6">
      <c r="A20" s="242"/>
      <c r="B20" s="293" t="s">
        <v>9</v>
      </c>
      <c r="C20" s="244"/>
      <c r="D20" s="244"/>
      <c r="E20" s="244"/>
      <c r="F20" s="244"/>
      <c r="G20" s="244"/>
      <c r="H20" s="244"/>
      <c r="I20" s="244"/>
      <c r="J20" s="244"/>
      <c r="K20" s="244"/>
      <c r="L20" s="244"/>
      <c r="M20" s="244"/>
      <c r="N20" s="244"/>
      <c r="O20" s="244"/>
      <c r="P20" s="244"/>
      <c r="Q20" s="244"/>
      <c r="R20" s="244"/>
      <c r="S20" s="255"/>
      <c r="T20" s="244"/>
      <c r="U20" s="249"/>
      <c r="V20" s="245"/>
      <c r="W20" s="6"/>
    </row>
    <row r="21" spans="1:23" ht="15.6">
      <c r="A21" s="242"/>
      <c r="B21" s="244"/>
      <c r="C21" s="244"/>
      <c r="D21" s="244"/>
      <c r="E21" s="244"/>
      <c r="F21" s="244"/>
      <c r="G21" s="244"/>
      <c r="H21" s="244"/>
      <c r="I21" s="244"/>
      <c r="J21" s="244"/>
      <c r="K21" s="244"/>
      <c r="L21" s="244"/>
      <c r="M21" s="244"/>
      <c r="N21" s="244"/>
      <c r="O21" s="244"/>
      <c r="P21" s="244"/>
      <c r="Q21" s="244"/>
      <c r="R21" s="244"/>
      <c r="S21" s="244"/>
      <c r="T21" s="244"/>
      <c r="U21" s="256"/>
      <c r="V21" s="245"/>
      <c r="W21" s="6"/>
    </row>
    <row r="22" spans="1:23" ht="15.6">
      <c r="A22" s="230"/>
      <c r="B22" s="231"/>
      <c r="C22" s="232" t="s">
        <v>130</v>
      </c>
      <c r="D22" s="232"/>
      <c r="E22" s="232" t="s">
        <v>131</v>
      </c>
      <c r="F22" s="232"/>
      <c r="G22" s="232" t="s">
        <v>132</v>
      </c>
      <c r="H22" s="232"/>
      <c r="I22" s="232" t="s">
        <v>133</v>
      </c>
      <c r="J22" s="232"/>
      <c r="K22" s="232" t="s">
        <v>134</v>
      </c>
      <c r="L22" s="232"/>
      <c r="M22" s="233" t="s">
        <v>135</v>
      </c>
      <c r="N22" s="233"/>
      <c r="O22" s="233" t="s">
        <v>136</v>
      </c>
      <c r="P22" s="233"/>
      <c r="Q22" s="233" t="s">
        <v>137</v>
      </c>
      <c r="R22" s="233"/>
      <c r="S22" s="235"/>
      <c r="T22" s="236"/>
      <c r="U22" s="236"/>
      <c r="V22" s="237"/>
      <c r="W22" s="6"/>
    </row>
    <row r="23" spans="1:23" ht="15.6">
      <c r="A23" s="257"/>
      <c r="B23" s="294" t="s">
        <v>10</v>
      </c>
      <c r="C23" s="295" t="s">
        <v>96</v>
      </c>
      <c r="D23" s="295"/>
      <c r="E23" s="295" t="s">
        <v>96</v>
      </c>
      <c r="F23" s="295"/>
      <c r="G23" s="295" t="s">
        <v>138</v>
      </c>
      <c r="H23" s="295"/>
      <c r="I23" s="295" t="s">
        <v>138</v>
      </c>
      <c r="J23" s="295"/>
      <c r="K23" s="295" t="s">
        <v>104</v>
      </c>
      <c r="L23" s="296"/>
      <c r="M23" s="297" t="s">
        <v>104</v>
      </c>
      <c r="N23" s="297"/>
      <c r="O23" s="297" t="s">
        <v>109</v>
      </c>
      <c r="P23" s="297"/>
      <c r="Q23" s="297" t="s">
        <v>109</v>
      </c>
      <c r="R23" s="258"/>
      <c r="S23" s="258"/>
      <c r="T23" s="259"/>
      <c r="U23" s="259"/>
      <c r="V23" s="260"/>
      <c r="W23" s="6"/>
    </row>
    <row r="24" spans="1:23" ht="15.6">
      <c r="A24" s="378"/>
      <c r="B24" s="379" t="s">
        <v>11</v>
      </c>
      <c r="C24" s="380" t="s">
        <v>97</v>
      </c>
      <c r="D24" s="380"/>
      <c r="E24" s="380" t="s">
        <v>97</v>
      </c>
      <c r="F24" s="380"/>
      <c r="G24" s="380" t="s">
        <v>139</v>
      </c>
      <c r="H24" s="380"/>
      <c r="I24" s="380" t="s">
        <v>139</v>
      </c>
      <c r="J24" s="380"/>
      <c r="K24" s="380" t="s">
        <v>105</v>
      </c>
      <c r="L24" s="381"/>
      <c r="M24" s="382" t="s">
        <v>105</v>
      </c>
      <c r="N24" s="382"/>
      <c r="O24" s="382" t="s">
        <v>110</v>
      </c>
      <c r="P24" s="382"/>
      <c r="Q24" s="382" t="s">
        <v>110</v>
      </c>
      <c r="R24" s="383"/>
      <c r="S24" s="383"/>
      <c r="T24" s="384"/>
      <c r="U24" s="384"/>
      <c r="V24" s="385"/>
      <c r="W24" s="6"/>
    </row>
    <row r="25" spans="1:23" ht="15.6">
      <c r="A25" s="378"/>
      <c r="B25" s="386" t="s">
        <v>12</v>
      </c>
      <c r="C25" s="381" t="s">
        <v>96</v>
      </c>
      <c r="D25" s="381"/>
      <c r="E25" s="381" t="s">
        <v>96</v>
      </c>
      <c r="F25" s="381"/>
      <c r="G25" s="381" t="s">
        <v>138</v>
      </c>
      <c r="H25" s="381"/>
      <c r="I25" s="381" t="s">
        <v>138</v>
      </c>
      <c r="J25" s="386"/>
      <c r="K25" s="381" t="s">
        <v>104</v>
      </c>
      <c r="L25" s="386"/>
      <c r="M25" s="387" t="s">
        <v>104</v>
      </c>
      <c r="N25" s="382"/>
      <c r="O25" s="387" t="s">
        <v>109</v>
      </c>
      <c r="P25" s="382"/>
      <c r="Q25" s="387" t="s">
        <v>109</v>
      </c>
      <c r="R25" s="388"/>
      <c r="S25" s="388"/>
      <c r="T25" s="389"/>
      <c r="U25" s="384"/>
      <c r="V25" s="385"/>
      <c r="W25" s="6"/>
    </row>
    <row r="26" spans="1:23" ht="15.6">
      <c r="A26" s="378"/>
      <c r="B26" s="386" t="s">
        <v>13</v>
      </c>
      <c r="C26" s="381" t="s">
        <v>275</v>
      </c>
      <c r="D26" s="381"/>
      <c r="E26" s="381" t="s">
        <v>275</v>
      </c>
      <c r="F26" s="381"/>
      <c r="G26" s="381" t="s">
        <v>275</v>
      </c>
      <c r="H26" s="381"/>
      <c r="I26" s="381" t="s">
        <v>275</v>
      </c>
      <c r="J26" s="386"/>
      <c r="K26" s="381" t="s">
        <v>105</v>
      </c>
      <c r="L26" s="386"/>
      <c r="M26" s="387" t="s">
        <v>105</v>
      </c>
      <c r="N26" s="382"/>
      <c r="O26" s="387" t="s">
        <v>110</v>
      </c>
      <c r="P26" s="382"/>
      <c r="Q26" s="387" t="s">
        <v>110</v>
      </c>
      <c r="R26" s="388"/>
      <c r="S26" s="388"/>
      <c r="T26" s="389"/>
      <c r="U26" s="384"/>
      <c r="V26" s="385"/>
      <c r="W26" s="6"/>
    </row>
    <row r="27" spans="1:23" ht="15.6">
      <c r="A27" s="378"/>
      <c r="B27" s="379" t="s">
        <v>14</v>
      </c>
      <c r="C27" s="380" t="s">
        <v>140</v>
      </c>
      <c r="D27" s="379"/>
      <c r="E27" s="380" t="s">
        <v>141</v>
      </c>
      <c r="F27" s="379"/>
      <c r="G27" s="380" t="s">
        <v>142</v>
      </c>
      <c r="H27" s="379"/>
      <c r="I27" s="380" t="s">
        <v>258</v>
      </c>
      <c r="J27" s="379"/>
      <c r="K27" s="380" t="s">
        <v>143</v>
      </c>
      <c r="L27" s="379"/>
      <c r="M27" s="379" t="s">
        <v>144</v>
      </c>
      <c r="N27" s="382"/>
      <c r="O27" s="379" t="s">
        <v>145</v>
      </c>
      <c r="P27" s="382"/>
      <c r="Q27" s="379" t="s">
        <v>146</v>
      </c>
      <c r="R27" s="383"/>
      <c r="S27" s="390"/>
      <c r="T27" s="384"/>
      <c r="U27" s="384"/>
      <c r="V27" s="385"/>
      <c r="W27" s="6"/>
    </row>
    <row r="28" spans="1:23" ht="15.6">
      <c r="A28" s="378"/>
      <c r="B28" s="379" t="s">
        <v>147</v>
      </c>
      <c r="C28" s="391">
        <v>146000</v>
      </c>
      <c r="D28" s="380"/>
      <c r="E28" s="392">
        <v>259500</v>
      </c>
      <c r="F28" s="380"/>
      <c r="G28" s="391">
        <v>16000</v>
      </c>
      <c r="H28" s="380"/>
      <c r="I28" s="392">
        <v>35500</v>
      </c>
      <c r="J28" s="379"/>
      <c r="K28" s="391">
        <v>18000</v>
      </c>
      <c r="L28" s="379"/>
      <c r="M28" s="392">
        <v>33000</v>
      </c>
      <c r="N28" s="393"/>
      <c r="O28" s="394">
        <v>24500</v>
      </c>
      <c r="P28" s="394"/>
      <c r="Q28" s="392">
        <v>30000</v>
      </c>
      <c r="R28" s="395"/>
      <c r="S28" s="395"/>
      <c r="T28" s="396"/>
      <c r="U28" s="395"/>
      <c r="V28" s="397"/>
      <c r="W28" s="6"/>
    </row>
    <row r="29" spans="1:23" ht="15.6">
      <c r="A29" s="378"/>
      <c r="B29" s="379" t="s">
        <v>15</v>
      </c>
      <c r="C29" s="391">
        <f>C28*C35</f>
        <v>37876.604800000001</v>
      </c>
      <c r="D29" s="398"/>
      <c r="E29" s="392">
        <f>E28*E35</f>
        <v>67321.7736</v>
      </c>
      <c r="F29" s="398"/>
      <c r="G29" s="391">
        <f>G28*G35</f>
        <v>13597.222400000001</v>
      </c>
      <c r="H29" s="398"/>
      <c r="I29" s="392">
        <f>I28*I35</f>
        <v>30168.837199999998</v>
      </c>
      <c r="J29" s="399"/>
      <c r="K29" s="391">
        <f>K28*K35</f>
        <v>15296.8752</v>
      </c>
      <c r="L29" s="399"/>
      <c r="M29" s="392">
        <f>M28*M35</f>
        <v>28044.271199999999</v>
      </c>
      <c r="N29" s="393"/>
      <c r="O29" s="391">
        <f>O28*O35</f>
        <v>20820.746800000001</v>
      </c>
      <c r="P29" s="394"/>
      <c r="Q29" s="392">
        <f>Q28*Q35</f>
        <v>25494.791999999998</v>
      </c>
      <c r="R29" s="400"/>
      <c r="S29" s="395"/>
      <c r="T29" s="396"/>
      <c r="U29" s="395"/>
      <c r="V29" s="397"/>
      <c r="W29" s="6"/>
    </row>
    <row r="30" spans="1:23" ht="15.6">
      <c r="A30" s="401"/>
      <c r="B30" s="386" t="s">
        <v>148</v>
      </c>
      <c r="C30" s="415">
        <f>C34*C28</f>
        <v>35844.489200000004</v>
      </c>
      <c r="D30" s="505"/>
      <c r="E30" s="406">
        <f>E34*E28</f>
        <v>63709.8969</v>
      </c>
      <c r="F30" s="505"/>
      <c r="G30" s="415">
        <f>G34*G28</f>
        <v>12867.801600000001</v>
      </c>
      <c r="H30" s="505"/>
      <c r="I30" s="406">
        <f>I34*I28</f>
        <v>28550.434799999999</v>
      </c>
      <c r="J30" s="506"/>
      <c r="K30" s="415">
        <f>K34*K28</f>
        <v>14476.2768</v>
      </c>
      <c r="L30" s="399"/>
      <c r="M30" s="406">
        <f>M34*M28</f>
        <v>26539.840799999998</v>
      </c>
      <c r="N30" s="407"/>
      <c r="O30" s="415">
        <f>O34*O28</f>
        <v>19703.821199999998</v>
      </c>
      <c r="P30" s="408"/>
      <c r="Q30" s="406">
        <f>Q34*Q28</f>
        <v>24127.128000000001</v>
      </c>
      <c r="R30" s="408"/>
      <c r="S30" s="408"/>
      <c r="T30" s="409"/>
      <c r="U30" s="408"/>
      <c r="V30" s="410"/>
      <c r="W30" s="6"/>
    </row>
    <row r="31" spans="1:23" ht="15.6">
      <c r="A31" s="401"/>
      <c r="B31" s="379" t="s">
        <v>260</v>
      </c>
      <c r="C31" s="391">
        <v>146000</v>
      </c>
      <c r="D31" s="398"/>
      <c r="E31" s="391">
        <v>178000</v>
      </c>
      <c r="F31" s="391"/>
      <c r="G31" s="391">
        <v>16000</v>
      </c>
      <c r="H31" s="391"/>
      <c r="I31" s="391">
        <v>24500</v>
      </c>
      <c r="J31" s="412"/>
      <c r="K31" s="391">
        <v>18000</v>
      </c>
      <c r="L31" s="412"/>
      <c r="M31" s="391">
        <v>22500</v>
      </c>
      <c r="N31" s="414"/>
      <c r="O31" s="391">
        <v>24500</v>
      </c>
      <c r="P31" s="415"/>
      <c r="Q31" s="391">
        <v>20500</v>
      </c>
      <c r="R31" s="408"/>
      <c r="S31" s="408"/>
      <c r="T31" s="409"/>
      <c r="U31" s="394">
        <f>+Q31+O31+M31+K31+I31+G31+E31+C31</f>
        <v>450000</v>
      </c>
      <c r="V31" s="410"/>
      <c r="W31" s="6"/>
    </row>
    <row r="32" spans="1:23" ht="15.6">
      <c r="A32" s="401"/>
      <c r="B32" s="379" t="s">
        <v>261</v>
      </c>
      <c r="C32" s="391">
        <f>C28*C35</f>
        <v>37876.604800000001</v>
      </c>
      <c r="D32" s="398"/>
      <c r="E32" s="391">
        <f>E31*E35</f>
        <v>46178.326400000005</v>
      </c>
      <c r="F32" s="391"/>
      <c r="G32" s="391">
        <f>G28*G35</f>
        <v>13597.222400000001</v>
      </c>
      <c r="H32" s="391"/>
      <c r="I32" s="391">
        <f>I31*I35</f>
        <v>20820.746800000001</v>
      </c>
      <c r="J32" s="412"/>
      <c r="K32" s="391">
        <f>K28*K35</f>
        <v>15296.8752</v>
      </c>
      <c r="L32" s="412"/>
      <c r="M32" s="391">
        <f>M31*M35</f>
        <v>19121.094000000001</v>
      </c>
      <c r="N32" s="414"/>
      <c r="O32" s="391">
        <f>O28*O35</f>
        <v>20820.746800000001</v>
      </c>
      <c r="P32" s="415"/>
      <c r="Q32" s="391">
        <f>Q31*Q35</f>
        <v>17421.441200000001</v>
      </c>
      <c r="R32" s="391"/>
      <c r="S32" s="408"/>
      <c r="T32" s="409"/>
      <c r="U32" s="394">
        <f>+Q32+O32+M32+K32+I32+G32+E32+C32</f>
        <v>191133.05760000003</v>
      </c>
      <c r="V32" s="410"/>
      <c r="W32" s="6"/>
    </row>
    <row r="33" spans="1:23" ht="15.6">
      <c r="A33" s="401"/>
      <c r="B33" s="386" t="s">
        <v>262</v>
      </c>
      <c r="C33" s="415">
        <f>C34*C28</f>
        <v>35844.489200000004</v>
      </c>
      <c r="D33" s="415"/>
      <c r="E33" s="415">
        <f>E34*E31</f>
        <v>43700.815600000002</v>
      </c>
      <c r="F33" s="415"/>
      <c r="G33" s="415">
        <f>G34*G28</f>
        <v>12867.801600000001</v>
      </c>
      <c r="H33" s="415"/>
      <c r="I33" s="415">
        <f>I34*I31</f>
        <v>19703.821199999998</v>
      </c>
      <c r="J33" s="414"/>
      <c r="K33" s="415">
        <f>K34*K28</f>
        <v>14476.2768</v>
      </c>
      <c r="L33" s="414"/>
      <c r="M33" s="415">
        <f>M34*M31</f>
        <v>18095.346000000001</v>
      </c>
      <c r="N33" s="414"/>
      <c r="O33" s="415">
        <f>O34*O28</f>
        <v>19703.821199999998</v>
      </c>
      <c r="P33" s="415"/>
      <c r="Q33" s="415">
        <f>Q34*Q31</f>
        <v>16486.870800000001</v>
      </c>
      <c r="R33" s="408"/>
      <c r="S33" s="408"/>
      <c r="T33" s="409"/>
      <c r="U33" s="408">
        <f>+Q33+O33+M33+K33+I33+G33+E33+C33</f>
        <v>180879.24240000002</v>
      </c>
      <c r="V33" s="410"/>
      <c r="W33" s="6"/>
    </row>
    <row r="34" spans="1:23" ht="15.6">
      <c r="A34" s="401"/>
      <c r="B34" s="468" t="s">
        <v>149</v>
      </c>
      <c r="C34" s="507">
        <v>0.24551020000000001</v>
      </c>
      <c r="D34" s="507"/>
      <c r="E34" s="507">
        <v>0.24551020000000001</v>
      </c>
      <c r="F34" s="507"/>
      <c r="G34" s="507">
        <v>0.8042376</v>
      </c>
      <c r="H34" s="507"/>
      <c r="I34" s="507">
        <v>0.8042376</v>
      </c>
      <c r="J34" s="507"/>
      <c r="K34" s="507">
        <v>0.8042376</v>
      </c>
      <c r="L34" s="507"/>
      <c r="M34" s="507">
        <v>0.8042376</v>
      </c>
      <c r="N34" s="507"/>
      <c r="O34" s="507">
        <v>0.8042376</v>
      </c>
      <c r="P34" s="507"/>
      <c r="Q34" s="507">
        <v>0.8042376</v>
      </c>
      <c r="R34" s="508"/>
      <c r="S34" s="420"/>
      <c r="T34" s="421"/>
      <c r="U34" s="420"/>
      <c r="V34" s="385"/>
      <c r="W34" s="6"/>
    </row>
    <row r="35" spans="1:23" ht="15.6">
      <c r="A35" s="401"/>
      <c r="B35" s="468" t="s">
        <v>150</v>
      </c>
      <c r="C35" s="507">
        <v>0.25942880000000001</v>
      </c>
      <c r="D35" s="507"/>
      <c r="E35" s="507">
        <v>0.25942880000000001</v>
      </c>
      <c r="F35" s="507"/>
      <c r="G35" s="507">
        <v>0.84982639999999998</v>
      </c>
      <c r="H35" s="507"/>
      <c r="I35" s="507">
        <v>0.84982639999999998</v>
      </c>
      <c r="J35" s="507"/>
      <c r="K35" s="507">
        <v>0.84982639999999998</v>
      </c>
      <c r="L35" s="507"/>
      <c r="M35" s="507">
        <v>0.84982639999999998</v>
      </c>
      <c r="N35" s="507"/>
      <c r="O35" s="507">
        <v>0.84982639999999998</v>
      </c>
      <c r="P35" s="507"/>
      <c r="Q35" s="507">
        <v>0.84982639999999998</v>
      </c>
      <c r="R35" s="508"/>
      <c r="S35" s="420"/>
      <c r="T35" s="421"/>
      <c r="U35" s="420"/>
      <c r="V35" s="385"/>
      <c r="W35" s="6"/>
    </row>
    <row r="36" spans="1:23" ht="15.6">
      <c r="A36" s="378"/>
      <c r="B36" s="379" t="s">
        <v>153</v>
      </c>
      <c r="C36" s="380" t="s">
        <v>163</v>
      </c>
      <c r="D36" s="380"/>
      <c r="E36" s="380" t="s">
        <v>163</v>
      </c>
      <c r="F36" s="380"/>
      <c r="G36" s="380" t="s">
        <v>164</v>
      </c>
      <c r="H36" s="380"/>
      <c r="I36" s="380" t="s">
        <v>164</v>
      </c>
      <c r="J36" s="380"/>
      <c r="K36" s="380" t="s">
        <v>106</v>
      </c>
      <c r="L36" s="380"/>
      <c r="M36" s="380" t="s">
        <v>165</v>
      </c>
      <c r="N36" s="380"/>
      <c r="O36" s="380" t="s">
        <v>166</v>
      </c>
      <c r="P36" s="380"/>
      <c r="Q36" s="380" t="s">
        <v>167</v>
      </c>
      <c r="R36" s="380"/>
      <c r="S36" s="380"/>
      <c r="T36" s="379"/>
      <c r="U36" s="424"/>
      <c r="V36" s="410"/>
      <c r="W36" s="6"/>
    </row>
    <row r="37" spans="1:23" ht="15.6">
      <c r="A37" s="378"/>
      <c r="B37" s="379" t="s">
        <v>151</v>
      </c>
      <c r="C37" s="509">
        <v>1.40669E-2</v>
      </c>
      <c r="D37" s="509"/>
      <c r="E37" s="509">
        <v>2.0119999999999999E-2</v>
      </c>
      <c r="F37" s="509"/>
      <c r="G37" s="509">
        <v>1.6266900000000001E-2</v>
      </c>
      <c r="H37" s="509"/>
      <c r="I37" s="509">
        <v>2.232E-2</v>
      </c>
      <c r="J37" s="509"/>
      <c r="K37" s="509">
        <v>2.1666899999999999E-2</v>
      </c>
      <c r="L37" s="509"/>
      <c r="M37" s="509">
        <v>2.7119999999999998E-2</v>
      </c>
      <c r="N37" s="509"/>
      <c r="O37" s="509">
        <v>2.8666899999999999E-2</v>
      </c>
      <c r="P37" s="509"/>
      <c r="Q37" s="509">
        <v>3.372E-2</v>
      </c>
      <c r="R37" s="427"/>
      <c r="S37" s="509"/>
      <c r="T37" s="379"/>
      <c r="U37" s="380"/>
      <c r="V37" s="410"/>
      <c r="W37" s="6"/>
    </row>
    <row r="38" spans="1:23" ht="15.6">
      <c r="A38" s="378"/>
      <c r="B38" s="379" t="s">
        <v>152</v>
      </c>
      <c r="C38" s="509">
        <v>1.26719E-2</v>
      </c>
      <c r="D38" s="509"/>
      <c r="E38" s="509">
        <v>2.0449999999999999E-2</v>
      </c>
      <c r="F38" s="509"/>
      <c r="G38" s="509">
        <v>1.48719E-2</v>
      </c>
      <c r="H38" s="509"/>
      <c r="I38" s="509">
        <v>2.265E-2</v>
      </c>
      <c r="J38" s="509"/>
      <c r="K38" s="509">
        <v>2.0271899999999999E-2</v>
      </c>
      <c r="L38" s="509"/>
      <c r="M38" s="509">
        <v>2.7449999999999999E-2</v>
      </c>
      <c r="N38" s="509"/>
      <c r="O38" s="509">
        <v>2.7271900000000002E-2</v>
      </c>
      <c r="P38" s="509"/>
      <c r="Q38" s="509">
        <v>3.4049999999999997E-2</v>
      </c>
      <c r="R38" s="427"/>
      <c r="S38" s="509"/>
      <c r="T38" s="379"/>
      <c r="U38" s="424"/>
      <c r="V38" s="410"/>
      <c r="W38" s="6"/>
    </row>
    <row r="39" spans="1:23" ht="15.6">
      <c r="A39" s="378"/>
      <c r="B39" s="379" t="s">
        <v>263</v>
      </c>
      <c r="C39" s="380" t="s">
        <v>163</v>
      </c>
      <c r="D39" s="379"/>
      <c r="E39" s="380" t="s">
        <v>228</v>
      </c>
      <c r="F39" s="379"/>
      <c r="G39" s="380" t="s">
        <v>164</v>
      </c>
      <c r="H39" s="379"/>
      <c r="I39" s="380" t="s">
        <v>226</v>
      </c>
      <c r="J39" s="379"/>
      <c r="K39" s="380" t="s">
        <v>106</v>
      </c>
      <c r="L39" s="379"/>
      <c r="M39" s="380" t="s">
        <v>227</v>
      </c>
      <c r="N39" s="379"/>
      <c r="O39" s="380" t="s">
        <v>166</v>
      </c>
      <c r="P39" s="380"/>
      <c r="Q39" s="380" t="s">
        <v>229</v>
      </c>
      <c r="R39" s="427"/>
      <c r="S39" s="509"/>
      <c r="T39" s="379"/>
      <c r="U39" s="424"/>
      <c r="V39" s="410"/>
      <c r="W39" s="6"/>
    </row>
    <row r="40" spans="1:23" ht="15.6">
      <c r="A40" s="378"/>
      <c r="B40" s="379" t="s">
        <v>264</v>
      </c>
      <c r="C40" s="509">
        <f>+C37</f>
        <v>1.40669E-2</v>
      </c>
      <c r="D40" s="509"/>
      <c r="E40" s="509">
        <v>1.46429E-2</v>
      </c>
      <c r="F40" s="509"/>
      <c r="G40" s="509">
        <f>+G37</f>
        <v>1.6266900000000001E-2</v>
      </c>
      <c r="H40" s="509"/>
      <c r="I40" s="509">
        <v>1.6999899999999998E-2</v>
      </c>
      <c r="J40" s="509"/>
      <c r="K40" s="509">
        <f>+K37</f>
        <v>2.1666899999999999E-2</v>
      </c>
      <c r="L40" s="510"/>
      <c r="M40" s="509">
        <v>2.2227299999999998E-2</v>
      </c>
      <c r="N40" s="510"/>
      <c r="O40" s="509">
        <f>+O37</f>
        <v>2.8666899999999999E-2</v>
      </c>
      <c r="P40" s="509"/>
      <c r="Q40" s="509">
        <v>2.94933E-2</v>
      </c>
      <c r="R40" s="427"/>
      <c r="S40" s="509"/>
      <c r="T40" s="379"/>
      <c r="U40" s="427">
        <f>SUMPRODUCT(C40:Q40,C32:Q32)/U32</f>
        <v>1.9103207787586399E-2</v>
      </c>
      <c r="V40" s="410"/>
      <c r="W40" s="6"/>
    </row>
    <row r="41" spans="1:23" ht="15.6">
      <c r="A41" s="378"/>
      <c r="B41" s="379" t="s">
        <v>265</v>
      </c>
      <c r="C41" s="509">
        <f>+C38</f>
        <v>1.26719E-2</v>
      </c>
      <c r="D41" s="509"/>
      <c r="E41" s="509">
        <v>1.32479E-2</v>
      </c>
      <c r="F41" s="509"/>
      <c r="G41" s="509">
        <f>+G38</f>
        <v>1.48719E-2</v>
      </c>
      <c r="H41" s="509"/>
      <c r="I41" s="509">
        <v>1.56049E-2</v>
      </c>
      <c r="J41" s="509"/>
      <c r="K41" s="509">
        <f>+K38</f>
        <v>2.0271899999999999E-2</v>
      </c>
      <c r="L41" s="510"/>
      <c r="M41" s="509">
        <v>2.0832300000000002E-2</v>
      </c>
      <c r="N41" s="510"/>
      <c r="O41" s="509">
        <f>+O38</f>
        <v>2.7271900000000002E-2</v>
      </c>
      <c r="P41" s="509"/>
      <c r="Q41" s="509">
        <v>2.80983E-2</v>
      </c>
      <c r="R41" s="427"/>
      <c r="S41" s="509"/>
      <c r="T41" s="379"/>
      <c r="U41" s="424"/>
      <c r="V41" s="410"/>
      <c r="W41" s="6"/>
    </row>
    <row r="42" spans="1:23" ht="15.6">
      <c r="A42" s="378"/>
      <c r="B42" s="379" t="s">
        <v>17</v>
      </c>
      <c r="C42" s="429">
        <v>39918</v>
      </c>
      <c r="D42" s="429"/>
      <c r="E42" s="429">
        <v>39918</v>
      </c>
      <c r="F42" s="429"/>
      <c r="G42" s="429">
        <v>39918</v>
      </c>
      <c r="H42" s="429"/>
      <c r="I42" s="429">
        <v>39918</v>
      </c>
      <c r="J42" s="429"/>
      <c r="K42" s="429">
        <v>39918</v>
      </c>
      <c r="L42" s="429"/>
      <c r="M42" s="429">
        <v>39918</v>
      </c>
      <c r="N42" s="429"/>
      <c r="O42" s="429">
        <v>39918</v>
      </c>
      <c r="P42" s="429"/>
      <c r="Q42" s="429">
        <v>39918</v>
      </c>
      <c r="R42" s="380"/>
      <c r="S42" s="380"/>
      <c r="T42" s="379"/>
      <c r="U42" s="424"/>
      <c r="V42" s="410"/>
      <c r="W42" s="6"/>
    </row>
    <row r="43" spans="1:23" ht="15.6">
      <c r="A43" s="378"/>
      <c r="B43" s="379" t="s">
        <v>18</v>
      </c>
      <c r="C43" s="429">
        <v>40283</v>
      </c>
      <c r="D43" s="430"/>
      <c r="E43" s="429">
        <v>40283</v>
      </c>
      <c r="F43" s="430"/>
      <c r="G43" s="429">
        <v>40283</v>
      </c>
      <c r="H43" s="430"/>
      <c r="I43" s="429">
        <v>40283</v>
      </c>
      <c r="J43" s="430"/>
      <c r="K43" s="429">
        <v>40283</v>
      </c>
      <c r="L43" s="430"/>
      <c r="M43" s="429">
        <v>40283</v>
      </c>
      <c r="N43" s="430"/>
      <c r="O43" s="429">
        <v>40283</v>
      </c>
      <c r="P43" s="429"/>
      <c r="Q43" s="429">
        <v>40283</v>
      </c>
      <c r="R43" s="380"/>
      <c r="S43" s="380"/>
      <c r="T43" s="424"/>
      <c r="U43" s="424"/>
      <c r="V43" s="410"/>
      <c r="W43" s="6"/>
    </row>
    <row r="44" spans="1:23" ht="15.6">
      <c r="A44" s="378"/>
      <c r="B44" s="379" t="s">
        <v>154</v>
      </c>
      <c r="C44" s="380" t="s">
        <v>163</v>
      </c>
      <c r="D44" s="380"/>
      <c r="E44" s="380" t="s">
        <v>163</v>
      </c>
      <c r="F44" s="380"/>
      <c r="G44" s="380" t="s">
        <v>164</v>
      </c>
      <c r="H44" s="380"/>
      <c r="I44" s="380" t="s">
        <v>164</v>
      </c>
      <c r="J44" s="380"/>
      <c r="K44" s="380" t="s">
        <v>106</v>
      </c>
      <c r="L44" s="380"/>
      <c r="M44" s="380" t="s">
        <v>165</v>
      </c>
      <c r="N44" s="380"/>
      <c r="O44" s="380" t="s">
        <v>166</v>
      </c>
      <c r="P44" s="380"/>
      <c r="Q44" s="380" t="s">
        <v>167</v>
      </c>
      <c r="R44" s="380"/>
      <c r="S44" s="380"/>
      <c r="T44" s="424"/>
      <c r="U44" s="424"/>
      <c r="V44" s="410"/>
      <c r="W44" s="6"/>
    </row>
    <row r="45" spans="1:23" ht="15.6">
      <c r="A45" s="378"/>
      <c r="B45" s="379" t="s">
        <v>266</v>
      </c>
      <c r="C45" s="380" t="s">
        <v>163</v>
      </c>
      <c r="D45" s="379"/>
      <c r="E45" s="380" t="s">
        <v>228</v>
      </c>
      <c r="F45" s="379"/>
      <c r="G45" s="380" t="s">
        <v>164</v>
      </c>
      <c r="H45" s="379"/>
      <c r="I45" s="380" t="s">
        <v>226</v>
      </c>
      <c r="J45" s="379"/>
      <c r="K45" s="380" t="s">
        <v>106</v>
      </c>
      <c r="L45" s="379"/>
      <c r="M45" s="380" t="s">
        <v>227</v>
      </c>
      <c r="N45" s="379"/>
      <c r="O45" s="380" t="s">
        <v>166</v>
      </c>
      <c r="P45" s="380"/>
      <c r="Q45" s="380" t="s">
        <v>229</v>
      </c>
      <c r="R45" s="380"/>
      <c r="S45" s="380"/>
      <c r="T45" s="424"/>
      <c r="U45" s="424"/>
      <c r="V45" s="410"/>
      <c r="W45" s="6"/>
    </row>
    <row r="46" spans="1:23" ht="15.6">
      <c r="A46" s="378"/>
      <c r="B46" s="379"/>
      <c r="C46" s="379"/>
      <c r="D46" s="379"/>
      <c r="E46" s="379"/>
      <c r="F46" s="379"/>
      <c r="G46" s="379"/>
      <c r="H46" s="379"/>
      <c r="I46" s="379"/>
      <c r="J46" s="379"/>
      <c r="K46" s="379"/>
      <c r="L46" s="379"/>
      <c r="M46" s="431"/>
      <c r="N46" s="431"/>
      <c r="O46" s="379"/>
      <c r="P46" s="431"/>
      <c r="Q46" s="431"/>
      <c r="R46" s="431"/>
      <c r="S46" s="431"/>
      <c r="T46" s="431"/>
      <c r="U46" s="431"/>
      <c r="V46" s="410"/>
      <c r="W46" s="6"/>
    </row>
    <row r="47" spans="1:23" ht="15.6">
      <c r="A47" s="378"/>
      <c r="B47" s="379" t="s">
        <v>201</v>
      </c>
      <c r="C47" s="379"/>
      <c r="D47" s="379"/>
      <c r="E47" s="379"/>
      <c r="F47" s="379"/>
      <c r="G47" s="379"/>
      <c r="H47" s="379"/>
      <c r="I47" s="379"/>
      <c r="J47" s="379"/>
      <c r="K47" s="379"/>
      <c r="L47" s="379"/>
      <c r="M47" s="379"/>
      <c r="N47" s="379"/>
      <c r="O47" s="379"/>
      <c r="P47" s="379"/>
      <c r="Q47" s="379"/>
      <c r="R47" s="379"/>
      <c r="S47" s="379"/>
      <c r="T47" s="379"/>
      <c r="U47" s="427">
        <f>SUM(G31:Q31)/(C31+E31)</f>
        <v>0.3888888888888889</v>
      </c>
      <c r="V47" s="410"/>
      <c r="W47" s="6"/>
    </row>
    <row r="48" spans="1:23" ht="15.6">
      <c r="A48" s="378"/>
      <c r="B48" s="379" t="s">
        <v>202</v>
      </c>
      <c r="C48" s="379"/>
      <c r="D48" s="379"/>
      <c r="E48" s="379"/>
      <c r="F48" s="379"/>
      <c r="G48" s="379"/>
      <c r="H48" s="379"/>
      <c r="I48" s="379"/>
      <c r="J48" s="379"/>
      <c r="K48" s="379"/>
      <c r="L48" s="379"/>
      <c r="M48" s="379"/>
      <c r="N48" s="379"/>
      <c r="O48" s="379"/>
      <c r="P48" s="379"/>
      <c r="Q48" s="379"/>
      <c r="R48" s="379"/>
      <c r="S48" s="379"/>
      <c r="T48" s="379"/>
      <c r="U48" s="427">
        <f>SUM(F33:Q33)/(C33+E33)</f>
        <v>1.2739147565627278</v>
      </c>
      <c r="V48" s="410"/>
      <c r="W48" s="6"/>
    </row>
    <row r="49" spans="1:23" ht="15.6">
      <c r="A49" s="378"/>
      <c r="B49" s="379" t="s">
        <v>203</v>
      </c>
      <c r="C49" s="379"/>
      <c r="D49" s="379"/>
      <c r="E49" s="379"/>
      <c r="F49" s="379"/>
      <c r="G49" s="379"/>
      <c r="H49" s="379"/>
      <c r="I49" s="379"/>
      <c r="J49" s="379"/>
      <c r="K49" s="379"/>
      <c r="L49" s="379"/>
      <c r="M49" s="379"/>
      <c r="N49" s="379"/>
      <c r="O49" s="379"/>
      <c r="P49" s="379"/>
      <c r="Q49" s="379"/>
      <c r="R49" s="379"/>
      <c r="S49" s="380" t="s">
        <v>95</v>
      </c>
      <c r="T49" s="380" t="s">
        <v>117</v>
      </c>
      <c r="U49" s="394">
        <v>99000</v>
      </c>
      <c r="V49" s="410"/>
      <c r="W49" s="6"/>
    </row>
    <row r="50" spans="1:23" ht="15.6">
      <c r="A50" s="378"/>
      <c r="B50" s="379"/>
      <c r="C50" s="379"/>
      <c r="D50" s="379"/>
      <c r="E50" s="379"/>
      <c r="F50" s="379"/>
      <c r="G50" s="379"/>
      <c r="H50" s="379"/>
      <c r="I50" s="379"/>
      <c r="J50" s="379"/>
      <c r="K50" s="379"/>
      <c r="L50" s="379"/>
      <c r="M50" s="379"/>
      <c r="N50" s="379"/>
      <c r="O50" s="379"/>
      <c r="P50" s="379"/>
      <c r="Q50" s="379"/>
      <c r="R50" s="379"/>
      <c r="S50" s="379" t="s">
        <v>213</v>
      </c>
      <c r="T50" s="379"/>
      <c r="U50" s="432"/>
      <c r="V50" s="410"/>
      <c r="W50" s="6"/>
    </row>
    <row r="51" spans="1:23" ht="15.6">
      <c r="A51" s="378"/>
      <c r="B51" s="379" t="s">
        <v>19</v>
      </c>
      <c r="C51" s="379"/>
      <c r="D51" s="379"/>
      <c r="E51" s="379"/>
      <c r="F51" s="379"/>
      <c r="G51" s="379"/>
      <c r="H51" s="379"/>
      <c r="I51" s="379"/>
      <c r="J51" s="379"/>
      <c r="K51" s="379"/>
      <c r="L51" s="379"/>
      <c r="M51" s="379"/>
      <c r="N51" s="379"/>
      <c r="O51" s="379"/>
      <c r="P51" s="379"/>
      <c r="Q51" s="379"/>
      <c r="R51" s="379"/>
      <c r="S51" s="380"/>
      <c r="T51" s="380"/>
      <c r="U51" s="380" t="s">
        <v>118</v>
      </c>
      <c r="V51" s="410"/>
      <c r="W51" s="6"/>
    </row>
    <row r="52" spans="1:23" ht="15.6">
      <c r="A52" s="401"/>
      <c r="B52" s="386" t="s">
        <v>20</v>
      </c>
      <c r="C52" s="386"/>
      <c r="D52" s="386"/>
      <c r="E52" s="386"/>
      <c r="F52" s="386"/>
      <c r="G52" s="386"/>
      <c r="H52" s="386"/>
      <c r="I52" s="386"/>
      <c r="J52" s="386"/>
      <c r="K52" s="386"/>
      <c r="L52" s="386"/>
      <c r="M52" s="386"/>
      <c r="N52" s="386"/>
      <c r="O52" s="386"/>
      <c r="P52" s="386"/>
      <c r="Q52" s="386"/>
      <c r="R52" s="386"/>
      <c r="S52" s="433"/>
      <c r="T52" s="433"/>
      <c r="U52" s="434">
        <v>40924</v>
      </c>
      <c r="V52" s="435"/>
      <c r="W52" s="6"/>
    </row>
    <row r="53" spans="1:23" ht="15.6">
      <c r="A53" s="378"/>
      <c r="B53" s="379" t="s">
        <v>155</v>
      </c>
      <c r="C53" s="379"/>
      <c r="D53" s="379"/>
      <c r="E53" s="379"/>
      <c r="F53" s="379"/>
      <c r="G53" s="379"/>
      <c r="H53" s="379"/>
      <c r="I53" s="379"/>
      <c r="J53" s="379"/>
      <c r="K53" s="379"/>
      <c r="L53" s="379"/>
      <c r="M53" s="379"/>
      <c r="N53" s="379"/>
      <c r="O53" s="379"/>
      <c r="P53" s="379"/>
      <c r="Q53" s="424"/>
      <c r="R53" s="379">
        <f>U53-S53+1</f>
        <v>94</v>
      </c>
      <c r="S53" s="436">
        <v>40739</v>
      </c>
      <c r="T53" s="429"/>
      <c r="U53" s="436">
        <v>40832</v>
      </c>
      <c r="V53" s="410"/>
      <c r="W53" s="6"/>
    </row>
    <row r="54" spans="1:23" ht="15.6">
      <c r="A54" s="378"/>
      <c r="B54" s="379" t="s">
        <v>156</v>
      </c>
      <c r="C54" s="379"/>
      <c r="D54" s="379"/>
      <c r="E54" s="379"/>
      <c r="F54" s="379"/>
      <c r="G54" s="379"/>
      <c r="H54" s="379"/>
      <c r="I54" s="379"/>
      <c r="J54" s="379"/>
      <c r="K54" s="379"/>
      <c r="L54" s="379"/>
      <c r="M54" s="379"/>
      <c r="N54" s="379"/>
      <c r="O54" s="379"/>
      <c r="P54" s="379"/>
      <c r="Q54" s="424"/>
      <c r="R54" s="379">
        <f>U54-S54+1</f>
        <v>91</v>
      </c>
      <c r="S54" s="436">
        <v>40833</v>
      </c>
      <c r="T54" s="429"/>
      <c r="U54" s="436">
        <v>40923</v>
      </c>
      <c r="V54" s="410"/>
      <c r="W54" s="6"/>
    </row>
    <row r="55" spans="1:23" ht="15.6">
      <c r="A55" s="378"/>
      <c r="B55" s="379" t="s">
        <v>21</v>
      </c>
      <c r="C55" s="379"/>
      <c r="D55" s="379"/>
      <c r="E55" s="379"/>
      <c r="F55" s="379"/>
      <c r="G55" s="379"/>
      <c r="H55" s="379"/>
      <c r="I55" s="379"/>
      <c r="J55" s="379"/>
      <c r="K55" s="379"/>
      <c r="L55" s="379"/>
      <c r="M55" s="379"/>
      <c r="N55" s="379"/>
      <c r="O55" s="379"/>
      <c r="P55" s="379"/>
      <c r="Q55" s="379"/>
      <c r="R55" s="379"/>
      <c r="S55" s="436"/>
      <c r="T55" s="429"/>
      <c r="U55" s="436" t="s">
        <v>119</v>
      </c>
      <c r="V55" s="410"/>
      <c r="W55" s="6"/>
    </row>
    <row r="56" spans="1:23" ht="15.6">
      <c r="A56" s="378"/>
      <c r="B56" s="379" t="s">
        <v>22</v>
      </c>
      <c r="C56" s="379"/>
      <c r="D56" s="379"/>
      <c r="E56" s="379"/>
      <c r="F56" s="379"/>
      <c r="G56" s="379"/>
      <c r="H56" s="379"/>
      <c r="I56" s="379"/>
      <c r="J56" s="379"/>
      <c r="K56" s="379"/>
      <c r="L56" s="379"/>
      <c r="M56" s="379"/>
      <c r="N56" s="379"/>
      <c r="O56" s="379"/>
      <c r="P56" s="379"/>
      <c r="Q56" s="379"/>
      <c r="R56" s="379"/>
      <c r="S56" s="436"/>
      <c r="T56" s="429"/>
      <c r="U56" s="436">
        <v>40911</v>
      </c>
      <c r="V56" s="410"/>
      <c r="W56" s="6"/>
    </row>
    <row r="57" spans="1:23" ht="15.6">
      <c r="A57" s="242"/>
      <c r="B57" s="364"/>
      <c r="C57" s="364"/>
      <c r="D57" s="364"/>
      <c r="E57" s="364"/>
      <c r="F57" s="364"/>
      <c r="G57" s="364"/>
      <c r="H57" s="364"/>
      <c r="I57" s="364"/>
      <c r="J57" s="364"/>
      <c r="K57" s="364"/>
      <c r="L57" s="364"/>
      <c r="M57" s="364"/>
      <c r="N57" s="364"/>
      <c r="O57" s="364"/>
      <c r="P57" s="364"/>
      <c r="Q57" s="364"/>
      <c r="R57" s="364"/>
      <c r="S57" s="364"/>
      <c r="T57" s="364"/>
      <c r="U57" s="377"/>
      <c r="V57" s="303"/>
      <c r="W57" s="6"/>
    </row>
    <row r="58" spans="1:23" ht="15.6">
      <c r="A58" s="242"/>
      <c r="B58" s="288"/>
      <c r="C58" s="288"/>
      <c r="D58" s="288"/>
      <c r="E58" s="288"/>
      <c r="F58" s="288"/>
      <c r="G58" s="288"/>
      <c r="H58" s="288"/>
      <c r="I58" s="288"/>
      <c r="J58" s="288"/>
      <c r="K58" s="288"/>
      <c r="L58" s="288"/>
      <c r="M58" s="288"/>
      <c r="N58" s="288"/>
      <c r="O58" s="288"/>
      <c r="P58" s="288"/>
      <c r="Q58" s="288"/>
      <c r="R58" s="288"/>
      <c r="S58" s="288"/>
      <c r="T58" s="288"/>
      <c r="U58" s="302"/>
      <c r="V58" s="303"/>
      <c r="W58" s="6"/>
    </row>
    <row r="59" spans="1:23" ht="16.2" thickBot="1">
      <c r="A59" s="261"/>
      <c r="B59" s="304" t="s">
        <v>277</v>
      </c>
      <c r="C59" s="305"/>
      <c r="D59" s="305"/>
      <c r="E59" s="305"/>
      <c r="F59" s="305"/>
      <c r="G59" s="305"/>
      <c r="H59" s="305"/>
      <c r="I59" s="305"/>
      <c r="J59" s="305"/>
      <c r="K59" s="305"/>
      <c r="L59" s="305"/>
      <c r="M59" s="305"/>
      <c r="N59" s="305"/>
      <c r="O59" s="305"/>
      <c r="P59" s="305"/>
      <c r="Q59" s="305"/>
      <c r="R59" s="305"/>
      <c r="S59" s="305"/>
      <c r="T59" s="305"/>
      <c r="U59" s="306"/>
      <c r="V59" s="307"/>
      <c r="W59" s="6"/>
    </row>
    <row r="60" spans="1:23" ht="15.6">
      <c r="A60" s="230"/>
      <c r="B60" s="511" t="s">
        <v>23</v>
      </c>
      <c r="C60" s="511"/>
      <c r="D60" s="511"/>
      <c r="E60" s="511"/>
      <c r="F60" s="511"/>
      <c r="G60" s="511"/>
      <c r="H60" s="511"/>
      <c r="I60" s="511"/>
      <c r="J60" s="511"/>
      <c r="K60" s="511"/>
      <c r="L60" s="511"/>
      <c r="M60" s="231"/>
      <c r="N60" s="231"/>
      <c r="O60" s="231"/>
      <c r="P60" s="231"/>
      <c r="Q60" s="231"/>
      <c r="R60" s="231"/>
      <c r="S60" s="231"/>
      <c r="T60" s="231"/>
      <c r="U60" s="309"/>
      <c r="V60" s="237"/>
      <c r="W60" s="6"/>
    </row>
    <row r="61" spans="1:23" ht="15.6">
      <c r="A61" s="242"/>
      <c r="B61" s="252"/>
      <c r="C61" s="252"/>
      <c r="D61" s="252"/>
      <c r="E61" s="252"/>
      <c r="F61" s="252"/>
      <c r="G61" s="252"/>
      <c r="H61" s="252"/>
      <c r="I61" s="252"/>
      <c r="J61" s="252"/>
      <c r="K61" s="252"/>
      <c r="L61" s="252"/>
      <c r="M61" s="244"/>
      <c r="N61" s="244"/>
      <c r="O61" s="244"/>
      <c r="P61" s="244"/>
      <c r="Q61" s="244"/>
      <c r="R61" s="244"/>
      <c r="S61" s="244"/>
      <c r="T61" s="244"/>
      <c r="U61" s="263"/>
      <c r="V61" s="245"/>
      <c r="W61" s="6"/>
    </row>
    <row r="62" spans="1:23" s="151" customFormat="1" ht="46.8">
      <c r="A62" s="264"/>
      <c r="B62" s="512"/>
      <c r="C62" s="513"/>
      <c r="D62" s="513"/>
      <c r="E62" s="513"/>
      <c r="F62" s="513"/>
      <c r="G62" s="513"/>
      <c r="H62" s="513"/>
      <c r="I62" s="513"/>
      <c r="J62" s="513"/>
      <c r="K62" s="513" t="s">
        <v>197</v>
      </c>
      <c r="L62" s="513"/>
      <c r="M62" s="513" t="s">
        <v>98</v>
      </c>
      <c r="N62" s="513"/>
      <c r="O62" s="513" t="s">
        <v>107</v>
      </c>
      <c r="P62" s="513"/>
      <c r="Q62" s="513" t="s">
        <v>111</v>
      </c>
      <c r="R62" s="513"/>
      <c r="S62" s="513" t="s">
        <v>113</v>
      </c>
      <c r="T62" s="513"/>
      <c r="U62" s="514" t="s">
        <v>120</v>
      </c>
      <c r="V62" s="515"/>
      <c r="W62" s="150"/>
    </row>
    <row r="63" spans="1:23" ht="15.6">
      <c r="A63" s="378"/>
      <c r="B63" s="379" t="s">
        <v>24</v>
      </c>
      <c r="C63" s="440"/>
      <c r="D63" s="440"/>
      <c r="E63" s="440"/>
      <c r="F63" s="440"/>
      <c r="G63" s="440"/>
      <c r="H63" s="440"/>
      <c r="I63" s="440"/>
      <c r="J63" s="440"/>
      <c r="K63" s="440">
        <f>265+63566+3306</f>
        <v>67137</v>
      </c>
      <c r="L63" s="440"/>
      <c r="M63" s="440">
        <v>9124</v>
      </c>
      <c r="N63" s="440"/>
      <c r="O63" s="440">
        <f>295+7+62</f>
        <v>364</v>
      </c>
      <c r="P63" s="440"/>
      <c r="Q63" s="440">
        <v>0</v>
      </c>
      <c r="R63" s="440"/>
      <c r="S63" s="440">
        <v>0</v>
      </c>
      <c r="T63" s="440"/>
      <c r="U63" s="441">
        <f>+M63-O63+Q63-S63</f>
        <v>8760</v>
      </c>
      <c r="V63" s="410"/>
      <c r="W63" s="6"/>
    </row>
    <row r="64" spans="1:23" ht="15.6">
      <c r="A64" s="378"/>
      <c r="B64" s="379" t="s">
        <v>25</v>
      </c>
      <c r="C64" s="440"/>
      <c r="D64" s="440"/>
      <c r="E64" s="440"/>
      <c r="F64" s="440"/>
      <c r="G64" s="440"/>
      <c r="H64" s="440"/>
      <c r="I64" s="440"/>
      <c r="J64" s="440"/>
      <c r="K64" s="440"/>
      <c r="L64" s="440"/>
      <c r="M64" s="440"/>
      <c r="N64" s="440"/>
      <c r="O64" s="440"/>
      <c r="P64" s="440"/>
      <c r="Q64" s="440">
        <v>0</v>
      </c>
      <c r="R64" s="440"/>
      <c r="S64" s="440">
        <v>0</v>
      </c>
      <c r="T64" s="440"/>
      <c r="U64" s="441">
        <f>M64-O64</f>
        <v>0</v>
      </c>
      <c r="V64" s="410"/>
      <c r="W64" s="6"/>
    </row>
    <row r="65" spans="1:24" ht="15.6">
      <c r="A65" s="378"/>
      <c r="B65" s="379"/>
      <c r="C65" s="440"/>
      <c r="D65" s="440"/>
      <c r="E65" s="440"/>
      <c r="F65" s="440"/>
      <c r="G65" s="440"/>
      <c r="H65" s="440"/>
      <c r="I65" s="440"/>
      <c r="J65" s="440"/>
      <c r="K65" s="440"/>
      <c r="L65" s="440"/>
      <c r="M65" s="440"/>
      <c r="N65" s="440"/>
      <c r="O65" s="440"/>
      <c r="P65" s="440"/>
      <c r="Q65" s="440"/>
      <c r="R65" s="440"/>
      <c r="S65" s="440"/>
      <c r="T65" s="440"/>
      <c r="U65" s="441"/>
      <c r="V65" s="410"/>
      <c r="W65" s="6"/>
    </row>
    <row r="66" spans="1:24" ht="15.6">
      <c r="A66" s="378"/>
      <c r="B66" s="379" t="s">
        <v>26</v>
      </c>
      <c r="C66" s="440"/>
      <c r="D66" s="440"/>
      <c r="E66" s="440"/>
      <c r="F66" s="440"/>
      <c r="G66" s="440"/>
      <c r="H66" s="440"/>
      <c r="I66" s="440"/>
      <c r="J66" s="440"/>
      <c r="K66" s="440">
        <v>24470</v>
      </c>
      <c r="L66" s="440"/>
      <c r="M66" s="440">
        <v>2463</v>
      </c>
      <c r="N66" s="440"/>
      <c r="O66" s="440">
        <f>179</f>
        <v>179</v>
      </c>
      <c r="P66" s="440"/>
      <c r="Q66" s="440">
        <v>0</v>
      </c>
      <c r="R66" s="440"/>
      <c r="S66" s="440">
        <f>SUM(S63:S65)</f>
        <v>0</v>
      </c>
      <c r="T66" s="440"/>
      <c r="U66" s="441">
        <f>+M66-O66+Q66-S66</f>
        <v>2284</v>
      </c>
      <c r="V66" s="410"/>
      <c r="W66" s="6"/>
    </row>
    <row r="67" spans="1:24" ht="15.6">
      <c r="A67" s="378"/>
      <c r="B67" s="379" t="s">
        <v>25</v>
      </c>
      <c r="C67" s="440"/>
      <c r="D67" s="440"/>
      <c r="E67" s="440"/>
      <c r="F67" s="440"/>
      <c r="G67" s="440"/>
      <c r="H67" s="440"/>
      <c r="I67" s="440"/>
      <c r="J67" s="440"/>
      <c r="K67" s="440"/>
      <c r="L67" s="440"/>
      <c r="M67" s="440"/>
      <c r="N67" s="440"/>
      <c r="O67" s="440"/>
      <c r="P67" s="440"/>
      <c r="Q67" s="440">
        <v>0</v>
      </c>
      <c r="R67" s="440"/>
      <c r="S67" s="440">
        <v>0</v>
      </c>
      <c r="T67" s="440"/>
      <c r="U67" s="440"/>
      <c r="V67" s="410"/>
      <c r="W67" s="6"/>
    </row>
    <row r="68" spans="1:24" ht="15.6">
      <c r="A68" s="378"/>
      <c r="B68" s="386"/>
      <c r="C68" s="440"/>
      <c r="D68" s="440"/>
      <c r="E68" s="440"/>
      <c r="F68" s="440"/>
      <c r="G68" s="440"/>
      <c r="H68" s="440"/>
      <c r="I68" s="440"/>
      <c r="J68" s="440"/>
      <c r="K68" s="440"/>
      <c r="L68" s="440"/>
      <c r="M68" s="440"/>
      <c r="N68" s="440"/>
      <c r="O68" s="442"/>
      <c r="P68" s="440"/>
      <c r="Q68" s="440"/>
      <c r="R68" s="440"/>
      <c r="S68" s="440"/>
      <c r="T68" s="440"/>
      <c r="U68" s="440"/>
      <c r="V68" s="410"/>
      <c r="W68" s="6"/>
    </row>
    <row r="69" spans="1:24" ht="15.6">
      <c r="A69" s="378"/>
      <c r="B69" s="379" t="s">
        <v>27</v>
      </c>
      <c r="C69" s="440"/>
      <c r="D69" s="440"/>
      <c r="E69" s="440"/>
      <c r="F69" s="440"/>
      <c r="G69" s="440"/>
      <c r="H69" s="440"/>
      <c r="I69" s="440"/>
      <c r="J69" s="440"/>
      <c r="K69" s="440">
        <v>220072</v>
      </c>
      <c r="L69" s="440"/>
      <c r="M69" s="440">
        <v>184925</v>
      </c>
      <c r="N69" s="440"/>
      <c r="O69" s="440">
        <f>6625+796</f>
        <v>7421</v>
      </c>
      <c r="P69" s="440"/>
      <c r="Q69" s="440">
        <v>0</v>
      </c>
      <c r="R69" s="440"/>
      <c r="S69" s="440">
        <v>0</v>
      </c>
      <c r="T69" s="440"/>
      <c r="U69" s="441">
        <f>+M69-O69+Q69-S69</f>
        <v>177504</v>
      </c>
      <c r="V69" s="410"/>
      <c r="W69" s="6"/>
    </row>
    <row r="70" spans="1:24" ht="15.6">
      <c r="A70" s="378"/>
      <c r="B70" s="379" t="s">
        <v>25</v>
      </c>
      <c r="C70" s="440"/>
      <c r="D70" s="440"/>
      <c r="E70" s="440"/>
      <c r="F70" s="440"/>
      <c r="G70" s="440"/>
      <c r="H70" s="440"/>
      <c r="I70" s="440"/>
      <c r="J70" s="440"/>
      <c r="K70" s="440"/>
      <c r="L70" s="440"/>
      <c r="M70" s="440"/>
      <c r="N70" s="440"/>
      <c r="O70" s="440"/>
      <c r="P70" s="440"/>
      <c r="Q70" s="440">
        <v>0</v>
      </c>
      <c r="R70" s="440"/>
      <c r="S70" s="440">
        <v>0</v>
      </c>
      <c r="T70" s="440"/>
      <c r="U70" s="441">
        <f>M70-O70+Q70-S70</f>
        <v>0</v>
      </c>
      <c r="V70" s="410"/>
      <c r="W70" s="6"/>
    </row>
    <row r="71" spans="1:24" ht="15.6">
      <c r="A71" s="378"/>
      <c r="B71" s="379"/>
      <c r="C71" s="440"/>
      <c r="D71" s="440"/>
      <c r="E71" s="440"/>
      <c r="F71" s="440"/>
      <c r="G71" s="440"/>
      <c r="H71" s="440"/>
      <c r="I71" s="440"/>
      <c r="J71" s="440"/>
      <c r="K71" s="440"/>
      <c r="L71" s="440"/>
      <c r="M71" s="440"/>
      <c r="N71" s="440"/>
      <c r="O71" s="440"/>
      <c r="P71" s="440"/>
      <c r="Q71" s="440"/>
      <c r="R71" s="440"/>
      <c r="S71" s="440"/>
      <c r="T71" s="440"/>
      <c r="U71" s="441"/>
      <c r="V71" s="410"/>
      <c r="W71" s="6"/>
    </row>
    <row r="72" spans="1:24" ht="15.6">
      <c r="A72" s="378"/>
      <c r="B72" s="379" t="s">
        <v>28</v>
      </c>
      <c r="C72" s="440"/>
      <c r="D72" s="440"/>
      <c r="E72" s="440"/>
      <c r="F72" s="440"/>
      <c r="G72" s="440"/>
      <c r="H72" s="440"/>
      <c r="I72" s="440"/>
      <c r="J72" s="440"/>
      <c r="K72" s="440">
        <v>138321</v>
      </c>
      <c r="L72" s="440"/>
      <c r="M72" s="440">
        <v>6821</v>
      </c>
      <c r="N72" s="440"/>
      <c r="O72" s="440">
        <f>1349+171</f>
        <v>1520</v>
      </c>
      <c r="P72" s="440"/>
      <c r="Q72" s="440">
        <v>0</v>
      </c>
      <c r="R72" s="440"/>
      <c r="S72" s="440">
        <v>0</v>
      </c>
      <c r="T72" s="440"/>
      <c r="U72" s="441">
        <f>+M72-O72+Q72-S72</f>
        <v>5301</v>
      </c>
      <c r="V72" s="410"/>
      <c r="W72" s="6"/>
    </row>
    <row r="73" spans="1:24" ht="15.6">
      <c r="A73" s="378"/>
      <c r="B73" s="379" t="s">
        <v>25</v>
      </c>
      <c r="C73" s="440"/>
      <c r="D73" s="440"/>
      <c r="E73" s="440"/>
      <c r="F73" s="440"/>
      <c r="G73" s="440"/>
      <c r="H73" s="440"/>
      <c r="I73" s="440"/>
      <c r="J73" s="440"/>
      <c r="K73" s="440"/>
      <c r="L73" s="440"/>
      <c r="M73" s="440"/>
      <c r="N73" s="440"/>
      <c r="O73" s="440"/>
      <c r="P73" s="440"/>
      <c r="Q73" s="440">
        <v>0</v>
      </c>
      <c r="R73" s="440"/>
      <c r="S73" s="440">
        <v>0</v>
      </c>
      <c r="T73" s="440"/>
      <c r="U73" s="441"/>
      <c r="V73" s="410"/>
      <c r="W73" s="6"/>
    </row>
    <row r="74" spans="1:24" ht="15.6">
      <c r="A74" s="378"/>
      <c r="B74" s="440"/>
      <c r="C74" s="440"/>
      <c r="D74" s="440"/>
      <c r="E74" s="440"/>
      <c r="F74" s="440"/>
      <c r="G74" s="440"/>
      <c r="H74" s="440"/>
      <c r="I74" s="440"/>
      <c r="J74" s="440"/>
      <c r="K74" s="440"/>
      <c r="L74" s="440"/>
      <c r="M74" s="440"/>
      <c r="N74" s="440"/>
      <c r="O74" s="440"/>
      <c r="P74" s="440"/>
      <c r="Q74" s="440"/>
      <c r="R74" s="440"/>
      <c r="S74" s="440"/>
      <c r="T74" s="440"/>
      <c r="U74" s="441"/>
      <c r="V74" s="410"/>
      <c r="W74" s="6"/>
    </row>
    <row r="75" spans="1:24" ht="15.6">
      <c r="A75" s="378"/>
      <c r="B75" s="379" t="s">
        <v>29</v>
      </c>
      <c r="C75" s="440"/>
      <c r="D75" s="440"/>
      <c r="E75" s="440"/>
      <c r="F75" s="440"/>
      <c r="G75" s="440"/>
      <c r="H75" s="440"/>
      <c r="I75" s="440"/>
      <c r="J75" s="440"/>
      <c r="K75" s="440">
        <f>SUM(K63:K72)</f>
        <v>450000</v>
      </c>
      <c r="L75" s="440"/>
      <c r="M75" s="440">
        <f>SUM(M63:M72)</f>
        <v>203333</v>
      </c>
      <c r="N75" s="440"/>
      <c r="O75" s="440">
        <f>SUM(O63:O73)</f>
        <v>9484</v>
      </c>
      <c r="P75" s="440"/>
      <c r="Q75" s="440">
        <f>SUM(Q63:Q73)</f>
        <v>0</v>
      </c>
      <c r="R75" s="440"/>
      <c r="S75" s="440">
        <f>SUM(S70:S74)</f>
        <v>0</v>
      </c>
      <c r="T75" s="440"/>
      <c r="U75" s="440">
        <f>SUM(U63:U73)</f>
        <v>193849</v>
      </c>
      <c r="V75" s="410"/>
      <c r="W75" s="6"/>
      <c r="X75" s="182"/>
    </row>
    <row r="76" spans="1:24" ht="15.6">
      <c r="A76" s="378"/>
      <c r="B76" s="379"/>
      <c r="C76" s="440"/>
      <c r="D76" s="440"/>
      <c r="E76" s="440"/>
      <c r="F76" s="440"/>
      <c r="G76" s="440"/>
      <c r="H76" s="440"/>
      <c r="I76" s="440"/>
      <c r="J76" s="440"/>
      <c r="K76" s="440"/>
      <c r="L76" s="440"/>
      <c r="M76" s="440"/>
      <c r="N76" s="440"/>
      <c r="O76" s="440"/>
      <c r="P76" s="440"/>
      <c r="Q76" s="440"/>
      <c r="R76" s="440"/>
      <c r="S76" s="440"/>
      <c r="T76" s="440"/>
      <c r="U76" s="440"/>
      <c r="V76" s="410"/>
      <c r="W76" s="6"/>
    </row>
    <row r="77" spans="1:24" ht="15.6">
      <c r="A77" s="378"/>
      <c r="B77" s="379" t="s">
        <v>214</v>
      </c>
      <c r="C77" s="440"/>
      <c r="D77" s="440"/>
      <c r="E77" s="440"/>
      <c r="F77" s="440"/>
      <c r="G77" s="440"/>
      <c r="H77" s="440"/>
      <c r="I77" s="440"/>
      <c r="J77" s="440"/>
      <c r="K77" s="440">
        <v>0</v>
      </c>
      <c r="L77" s="440"/>
      <c r="M77" s="440">
        <v>-12200</v>
      </c>
      <c r="N77" s="440"/>
      <c r="O77" s="440">
        <v>770</v>
      </c>
      <c r="P77" s="440"/>
      <c r="Q77" s="440"/>
      <c r="R77" s="440"/>
      <c r="S77" s="440"/>
      <c r="T77" s="440"/>
      <c r="U77" s="441">
        <f>+M77-O77</f>
        <v>-12970</v>
      </c>
      <c r="V77" s="410"/>
      <c r="W77" s="6"/>
    </row>
    <row r="78" spans="1:24" ht="15.6">
      <c r="A78" s="378"/>
      <c r="B78" s="379" t="s">
        <v>30</v>
      </c>
      <c r="C78" s="440"/>
      <c r="D78" s="440"/>
      <c r="E78" s="440"/>
      <c r="F78" s="440"/>
      <c r="G78" s="440"/>
      <c r="H78" s="440"/>
      <c r="I78" s="440"/>
      <c r="J78" s="440"/>
      <c r="K78" s="440">
        <v>0</v>
      </c>
      <c r="L78" s="440"/>
      <c r="M78" s="440">
        <v>0</v>
      </c>
      <c r="N78" s="440"/>
      <c r="O78" s="440">
        <v>0</v>
      </c>
      <c r="P78" s="440"/>
      <c r="Q78" s="440">
        <v>0</v>
      </c>
      <c r="R78" s="440"/>
      <c r="S78" s="440"/>
      <c r="T78" s="440"/>
      <c r="U78" s="440">
        <v>0</v>
      </c>
      <c r="V78" s="410"/>
      <c r="W78" s="6"/>
      <c r="X78" s="182"/>
    </row>
    <row r="79" spans="1:24" ht="15.6">
      <c r="A79" s="378"/>
      <c r="B79" s="379" t="s">
        <v>31</v>
      </c>
      <c r="C79" s="440"/>
      <c r="D79" s="440"/>
      <c r="E79" s="440"/>
      <c r="F79" s="440"/>
      <c r="G79" s="440"/>
      <c r="H79" s="440"/>
      <c r="I79" s="440"/>
      <c r="J79" s="440"/>
      <c r="K79" s="440">
        <v>0</v>
      </c>
      <c r="L79" s="440"/>
      <c r="M79" s="440">
        <v>0</v>
      </c>
      <c r="N79" s="440"/>
      <c r="O79" s="440"/>
      <c r="P79" s="440"/>
      <c r="Q79" s="440">
        <v>0</v>
      </c>
      <c r="R79" s="440"/>
      <c r="S79" s="440"/>
      <c r="T79" s="440"/>
      <c r="U79" s="440">
        <f>Q79+M79</f>
        <v>0</v>
      </c>
      <c r="V79" s="410"/>
      <c r="W79" s="6"/>
    </row>
    <row r="80" spans="1:24" ht="15.6">
      <c r="A80" s="378"/>
      <c r="B80" s="379" t="s">
        <v>16</v>
      </c>
      <c r="C80" s="440"/>
      <c r="D80" s="440"/>
      <c r="E80" s="440"/>
      <c r="F80" s="440"/>
      <c r="G80" s="440"/>
      <c r="H80" s="440"/>
      <c r="I80" s="440"/>
      <c r="J80" s="440"/>
      <c r="K80" s="440">
        <f>SUM(K75:K79)</f>
        <v>450000</v>
      </c>
      <c r="L80" s="440"/>
      <c r="M80" s="440">
        <f>SUM(M75:M79)</f>
        <v>191133</v>
      </c>
      <c r="N80" s="440"/>
      <c r="O80" s="440">
        <f>O78-O79</f>
        <v>0</v>
      </c>
      <c r="P80" s="440"/>
      <c r="Q80" s="440"/>
      <c r="R80" s="440"/>
      <c r="S80" s="440"/>
      <c r="T80" s="440"/>
      <c r="U80" s="440">
        <f>SUM(U75:U79)</f>
        <v>180879</v>
      </c>
      <c r="V80" s="410"/>
      <c r="W80" s="6"/>
    </row>
    <row r="81" spans="1:24" ht="15.6">
      <c r="A81" s="242"/>
      <c r="B81" s="437"/>
      <c r="C81" s="438"/>
      <c r="D81" s="438"/>
      <c r="E81" s="438"/>
      <c r="F81" s="438"/>
      <c r="G81" s="438"/>
      <c r="H81" s="438"/>
      <c r="I81" s="438"/>
      <c r="J81" s="438"/>
      <c r="K81" s="438"/>
      <c r="L81" s="438"/>
      <c r="M81" s="438"/>
      <c r="N81" s="438"/>
      <c r="O81" s="438"/>
      <c r="P81" s="438"/>
      <c r="Q81" s="438"/>
      <c r="R81" s="438"/>
      <c r="S81" s="439"/>
      <c r="T81" s="438"/>
      <c r="U81" s="439"/>
      <c r="V81" s="245"/>
      <c r="W81" s="6"/>
    </row>
    <row r="82" spans="1:24" ht="15.6">
      <c r="A82" s="230"/>
      <c r="B82" s="511" t="s">
        <v>32</v>
      </c>
      <c r="C82" s="511"/>
      <c r="D82" s="511"/>
      <c r="E82" s="511"/>
      <c r="F82" s="511"/>
      <c r="G82" s="511"/>
      <c r="H82" s="511"/>
      <c r="I82" s="511"/>
      <c r="J82" s="511"/>
      <c r="K82" s="511"/>
      <c r="L82" s="511"/>
      <c r="M82" s="511"/>
      <c r="N82" s="511"/>
      <c r="O82" s="511"/>
      <c r="P82" s="511"/>
      <c r="Q82" s="511"/>
      <c r="R82" s="232"/>
      <c r="S82" s="232"/>
      <c r="T82" s="232"/>
      <c r="U82" s="232" t="s">
        <v>121</v>
      </c>
      <c r="V82" s="516"/>
      <c r="W82" s="6"/>
    </row>
    <row r="83" spans="1:24" ht="15.6">
      <c r="A83" s="315"/>
      <c r="B83" s="294" t="s">
        <v>33</v>
      </c>
      <c r="C83" s="294"/>
      <c r="D83" s="294"/>
      <c r="E83" s="294"/>
      <c r="F83" s="294"/>
      <c r="G83" s="294"/>
      <c r="H83" s="294"/>
      <c r="I83" s="294"/>
      <c r="J83" s="294"/>
      <c r="K83" s="294"/>
      <c r="L83" s="294"/>
      <c r="M83" s="294"/>
      <c r="N83" s="294"/>
      <c r="O83" s="310"/>
      <c r="P83" s="294"/>
      <c r="Q83" s="294"/>
      <c r="R83" s="294"/>
      <c r="S83" s="310"/>
      <c r="T83" s="294"/>
      <c r="U83" s="311">
        <v>53688</v>
      </c>
      <c r="V83" s="298"/>
      <c r="W83" s="6"/>
    </row>
    <row r="84" spans="1:24" ht="15.6">
      <c r="A84" s="444"/>
      <c r="B84" s="379" t="s">
        <v>34</v>
      </c>
      <c r="C84" s="431"/>
      <c r="D84" s="431"/>
      <c r="E84" s="431"/>
      <c r="F84" s="431"/>
      <c r="G84" s="431"/>
      <c r="H84" s="431"/>
      <c r="I84" s="431"/>
      <c r="J84" s="431"/>
      <c r="K84" s="431"/>
      <c r="L84" s="431"/>
      <c r="M84" s="430"/>
      <c r="N84" s="379"/>
      <c r="O84" s="379"/>
      <c r="P84" s="379"/>
      <c r="Q84" s="379"/>
      <c r="R84" s="379"/>
      <c r="S84" s="440"/>
      <c r="T84" s="379"/>
      <c r="U84" s="441">
        <f>218+101+5-19</f>
        <v>305</v>
      </c>
      <c r="V84" s="410"/>
      <c r="W84" s="6"/>
    </row>
    <row r="85" spans="1:24" ht="15.6">
      <c r="A85" s="444"/>
      <c r="B85" s="379" t="s">
        <v>230</v>
      </c>
      <c r="C85" s="379"/>
      <c r="D85" s="379"/>
      <c r="E85" s="379"/>
      <c r="F85" s="379"/>
      <c r="G85" s="379"/>
      <c r="H85" s="379"/>
      <c r="I85" s="379"/>
      <c r="J85" s="379"/>
      <c r="K85" s="379"/>
      <c r="L85" s="379"/>
      <c r="M85" s="379"/>
      <c r="N85" s="379"/>
      <c r="O85" s="379"/>
      <c r="P85" s="379"/>
      <c r="Q85" s="379"/>
      <c r="R85" s="379"/>
      <c r="S85" s="440"/>
      <c r="T85" s="379"/>
      <c r="U85" s="441">
        <v>0</v>
      </c>
      <c r="V85" s="410"/>
      <c r="W85" s="6"/>
      <c r="X85" s="64"/>
    </row>
    <row r="86" spans="1:24" ht="15.6">
      <c r="A86" s="444"/>
      <c r="B86" s="379" t="s">
        <v>231</v>
      </c>
      <c r="C86" s="379"/>
      <c r="D86" s="379"/>
      <c r="E86" s="379"/>
      <c r="F86" s="379"/>
      <c r="G86" s="379"/>
      <c r="H86" s="379"/>
      <c r="I86" s="379"/>
      <c r="J86" s="379"/>
      <c r="K86" s="379"/>
      <c r="L86" s="379"/>
      <c r="M86" s="379"/>
      <c r="N86" s="379"/>
      <c r="O86" s="379"/>
      <c r="P86" s="379"/>
      <c r="Q86" s="379"/>
      <c r="R86" s="379"/>
      <c r="S86" s="440"/>
      <c r="T86" s="379"/>
      <c r="U86" s="441">
        <v>0</v>
      </c>
      <c r="V86" s="410"/>
      <c r="W86" s="6"/>
      <c r="X86" s="64"/>
    </row>
    <row r="87" spans="1:24" ht="15.6">
      <c r="A87" s="444"/>
      <c r="B87" s="379" t="s">
        <v>35</v>
      </c>
      <c r="C87" s="379"/>
      <c r="D87" s="379"/>
      <c r="E87" s="379"/>
      <c r="F87" s="379"/>
      <c r="G87" s="379"/>
      <c r="H87" s="379"/>
      <c r="I87" s="379"/>
      <c r="J87" s="379"/>
      <c r="K87" s="379"/>
      <c r="L87" s="379"/>
      <c r="M87" s="379"/>
      <c r="N87" s="379"/>
      <c r="O87" s="379"/>
      <c r="P87" s="379"/>
      <c r="Q87" s="379"/>
      <c r="R87" s="379"/>
      <c r="S87" s="440"/>
      <c r="T87" s="379"/>
      <c r="U87" s="441">
        <f>SUM(U83:U86)</f>
        <v>53993</v>
      </c>
      <c r="V87" s="410"/>
      <c r="W87" s="6"/>
      <c r="X87" s="64"/>
    </row>
    <row r="88" spans="1:24" ht="15.6">
      <c r="A88" s="444"/>
      <c r="B88" s="379"/>
      <c r="C88" s="379"/>
      <c r="D88" s="379"/>
      <c r="E88" s="379"/>
      <c r="F88" s="379"/>
      <c r="G88" s="379"/>
      <c r="H88" s="379"/>
      <c r="I88" s="379"/>
      <c r="J88" s="379"/>
      <c r="K88" s="379"/>
      <c r="L88" s="379"/>
      <c r="M88" s="379"/>
      <c r="N88" s="379"/>
      <c r="O88" s="379"/>
      <c r="P88" s="379"/>
      <c r="Q88" s="379"/>
      <c r="R88" s="379"/>
      <c r="S88" s="440"/>
      <c r="T88" s="379"/>
      <c r="U88" s="440"/>
      <c r="V88" s="410"/>
      <c r="W88" s="6"/>
    </row>
    <row r="89" spans="1:24" ht="15.6">
      <c r="A89" s="444"/>
      <c r="B89" s="446" t="s">
        <v>36</v>
      </c>
      <c r="C89" s="446"/>
      <c r="D89" s="446"/>
      <c r="E89" s="446"/>
      <c r="F89" s="446"/>
      <c r="G89" s="446"/>
      <c r="H89" s="446"/>
      <c r="I89" s="446"/>
      <c r="J89" s="446"/>
      <c r="K89" s="446"/>
      <c r="L89" s="446"/>
      <c r="M89" s="379"/>
      <c r="N89" s="379"/>
      <c r="O89" s="379"/>
      <c r="P89" s="379"/>
      <c r="Q89" s="379"/>
      <c r="R89" s="379"/>
      <c r="S89" s="440"/>
      <c r="T89" s="379"/>
      <c r="U89" s="441"/>
      <c r="V89" s="410"/>
      <c r="W89" s="6"/>
      <c r="X89" s="64"/>
    </row>
    <row r="90" spans="1:24" ht="15.6">
      <c r="A90" s="444">
        <v>1</v>
      </c>
      <c r="B90" s="379" t="s">
        <v>37</v>
      </c>
      <c r="C90" s="379"/>
      <c r="D90" s="379"/>
      <c r="E90" s="379"/>
      <c r="F90" s="379"/>
      <c r="G90" s="379"/>
      <c r="H90" s="379"/>
      <c r="I90" s="379"/>
      <c r="J90" s="379"/>
      <c r="K90" s="379"/>
      <c r="L90" s="379"/>
      <c r="M90" s="379"/>
      <c r="N90" s="379"/>
      <c r="O90" s="379"/>
      <c r="P90" s="379"/>
      <c r="Q90" s="379"/>
      <c r="R90" s="379"/>
      <c r="S90" s="379"/>
      <c r="T90" s="379"/>
      <c r="U90" s="441">
        <v>-2</v>
      </c>
      <c r="V90" s="410"/>
      <c r="W90" s="6"/>
    </row>
    <row r="91" spans="1:24" ht="15.6">
      <c r="A91" s="444">
        <f>A90+1</f>
        <v>2</v>
      </c>
      <c r="B91" s="379" t="s">
        <v>168</v>
      </c>
      <c r="C91" s="379"/>
      <c r="D91" s="379"/>
      <c r="E91" s="379"/>
      <c r="F91" s="379"/>
      <c r="G91" s="379"/>
      <c r="H91" s="379"/>
      <c r="I91" s="379"/>
      <c r="J91" s="379"/>
      <c r="K91" s="379"/>
      <c r="L91" s="379"/>
      <c r="M91" s="379"/>
      <c r="N91" s="379"/>
      <c r="O91" s="379"/>
      <c r="P91" s="379"/>
      <c r="Q91" s="379"/>
      <c r="R91" s="379"/>
      <c r="S91" s="379"/>
      <c r="T91" s="379"/>
      <c r="U91" s="441">
        <f>-192-102-3</f>
        <v>-297</v>
      </c>
      <c r="V91" s="410"/>
      <c r="W91" s="6"/>
      <c r="X91" s="64"/>
    </row>
    <row r="92" spans="1:24" ht="15.6">
      <c r="A92" s="444">
        <v>3</v>
      </c>
      <c r="B92" s="379" t="s">
        <v>38</v>
      </c>
      <c r="C92" s="379"/>
      <c r="D92" s="379"/>
      <c r="E92" s="379"/>
      <c r="F92" s="379"/>
      <c r="G92" s="379"/>
      <c r="H92" s="379"/>
      <c r="I92" s="379"/>
      <c r="J92" s="379"/>
      <c r="K92" s="379"/>
      <c r="L92" s="379"/>
      <c r="M92" s="379"/>
      <c r="N92" s="379"/>
      <c r="O92" s="379"/>
      <c r="P92" s="379"/>
      <c r="Q92" s="379"/>
      <c r="R92" s="379"/>
      <c r="S92" s="379"/>
      <c r="T92" s="379"/>
      <c r="U92" s="441">
        <v>-135</v>
      </c>
      <c r="V92" s="410"/>
      <c r="W92" s="6"/>
      <c r="X92" s="64"/>
    </row>
    <row r="93" spans="1:24" ht="15.6">
      <c r="A93" s="447" t="s">
        <v>190</v>
      </c>
      <c r="B93" s="379" t="s">
        <v>169</v>
      </c>
      <c r="C93" s="379"/>
      <c r="D93" s="379"/>
      <c r="E93" s="379"/>
      <c r="F93" s="379"/>
      <c r="G93" s="379"/>
      <c r="H93" s="379"/>
      <c r="I93" s="379"/>
      <c r="J93" s="379"/>
      <c r="K93" s="379"/>
      <c r="L93" s="379"/>
      <c r="M93" s="379"/>
      <c r="N93" s="379"/>
      <c r="O93" s="379"/>
      <c r="P93" s="379"/>
      <c r="Q93" s="379"/>
      <c r="R93" s="379"/>
      <c r="S93" s="379"/>
      <c r="T93" s="379"/>
      <c r="U93" s="441">
        <v>-133</v>
      </c>
      <c r="V93" s="410"/>
      <c r="W93" s="6"/>
      <c r="X93" s="64"/>
    </row>
    <row r="94" spans="1:24" ht="15.6">
      <c r="A94" s="447" t="s">
        <v>191</v>
      </c>
      <c r="B94" s="379" t="s">
        <v>170</v>
      </c>
      <c r="C94" s="379"/>
      <c r="D94" s="379"/>
      <c r="E94" s="379"/>
      <c r="F94" s="379"/>
      <c r="G94" s="379"/>
      <c r="H94" s="379"/>
      <c r="I94" s="379"/>
      <c r="J94" s="379"/>
      <c r="K94" s="379"/>
      <c r="L94" s="379"/>
      <c r="M94" s="379"/>
      <c r="N94" s="379"/>
      <c r="O94" s="379"/>
      <c r="P94" s="379"/>
      <c r="Q94" s="379"/>
      <c r="R94" s="379"/>
      <c r="S94" s="379"/>
      <c r="T94" s="379"/>
      <c r="U94" s="441">
        <v>-168</v>
      </c>
      <c r="V94" s="410"/>
      <c r="W94" s="6"/>
      <c r="X94" s="182"/>
    </row>
    <row r="95" spans="1:24" ht="15.6">
      <c r="A95" s="444">
        <v>5</v>
      </c>
      <c r="B95" s="379" t="s">
        <v>171</v>
      </c>
      <c r="C95" s="379"/>
      <c r="D95" s="379"/>
      <c r="E95" s="379"/>
      <c r="F95" s="379"/>
      <c r="G95" s="379"/>
      <c r="H95" s="379"/>
      <c r="I95" s="379"/>
      <c r="J95" s="379"/>
      <c r="K95" s="379"/>
      <c r="L95" s="379"/>
      <c r="M95" s="379"/>
      <c r="N95" s="379"/>
      <c r="O95" s="379"/>
      <c r="P95" s="379"/>
      <c r="Q95" s="379"/>
      <c r="R95" s="379"/>
      <c r="S95" s="379"/>
      <c r="T95" s="379"/>
      <c r="U95" s="441">
        <v>-7</v>
      </c>
      <c r="V95" s="410"/>
      <c r="W95" s="6"/>
    </row>
    <row r="96" spans="1:24" ht="15.6">
      <c r="A96" s="447" t="s">
        <v>174</v>
      </c>
      <c r="B96" s="379" t="s">
        <v>172</v>
      </c>
      <c r="C96" s="379"/>
      <c r="D96" s="379"/>
      <c r="E96" s="379"/>
      <c r="F96" s="379"/>
      <c r="G96" s="379"/>
      <c r="H96" s="379"/>
      <c r="I96" s="379"/>
      <c r="J96" s="379"/>
      <c r="K96" s="379"/>
      <c r="L96" s="379"/>
      <c r="M96" s="379"/>
      <c r="N96" s="379"/>
      <c r="O96" s="379"/>
      <c r="P96" s="379"/>
      <c r="Q96" s="379"/>
      <c r="R96" s="379"/>
      <c r="S96" s="379"/>
      <c r="T96" s="379"/>
      <c r="U96" s="441">
        <v>-55</v>
      </c>
      <c r="V96" s="410"/>
      <c r="W96" s="6"/>
      <c r="X96" s="182"/>
    </row>
    <row r="97" spans="1:24" ht="15.6">
      <c r="A97" s="447" t="s">
        <v>176</v>
      </c>
      <c r="B97" s="379" t="s">
        <v>173</v>
      </c>
      <c r="C97" s="379"/>
      <c r="D97" s="379"/>
      <c r="E97" s="379"/>
      <c r="F97" s="379"/>
      <c r="G97" s="379"/>
      <c r="H97" s="379"/>
      <c r="I97" s="379"/>
      <c r="J97" s="379"/>
      <c r="K97" s="379"/>
      <c r="L97" s="379"/>
      <c r="M97" s="379"/>
      <c r="N97" s="379"/>
      <c r="O97" s="379"/>
      <c r="P97" s="379"/>
      <c r="Q97" s="379"/>
      <c r="R97" s="379"/>
      <c r="S97" s="379"/>
      <c r="T97" s="379"/>
      <c r="U97" s="441">
        <v>-88</v>
      </c>
      <c r="V97" s="410"/>
      <c r="W97" s="119"/>
      <c r="X97" s="182"/>
    </row>
    <row r="98" spans="1:24" ht="15.6">
      <c r="A98" s="447" t="s">
        <v>178</v>
      </c>
      <c r="B98" s="379" t="s">
        <v>175</v>
      </c>
      <c r="C98" s="379"/>
      <c r="D98" s="379"/>
      <c r="E98" s="379"/>
      <c r="F98" s="379"/>
      <c r="G98" s="379"/>
      <c r="H98" s="379"/>
      <c r="I98" s="379"/>
      <c r="J98" s="379"/>
      <c r="K98" s="379"/>
      <c r="L98" s="379"/>
      <c r="M98" s="379"/>
      <c r="N98" s="379"/>
      <c r="O98" s="379"/>
      <c r="P98" s="379"/>
      <c r="Q98" s="379"/>
      <c r="R98" s="379"/>
      <c r="S98" s="379"/>
      <c r="T98" s="379"/>
      <c r="U98" s="441">
        <v>-82</v>
      </c>
      <c r="V98" s="410"/>
      <c r="W98" s="6"/>
      <c r="X98" s="182"/>
    </row>
    <row r="99" spans="1:24" ht="15.6">
      <c r="A99" s="447" t="s">
        <v>180</v>
      </c>
      <c r="B99" s="379" t="s">
        <v>177</v>
      </c>
      <c r="C99" s="379"/>
      <c r="D99" s="379"/>
      <c r="E99" s="379"/>
      <c r="F99" s="379"/>
      <c r="G99" s="379"/>
      <c r="H99" s="379"/>
      <c r="I99" s="379"/>
      <c r="J99" s="379"/>
      <c r="K99" s="379"/>
      <c r="L99" s="379"/>
      <c r="M99" s="379"/>
      <c r="N99" s="379"/>
      <c r="O99" s="379"/>
      <c r="P99" s="379"/>
      <c r="Q99" s="379"/>
      <c r="R99" s="379"/>
      <c r="S99" s="379"/>
      <c r="T99" s="379"/>
      <c r="U99" s="441">
        <v>-106</v>
      </c>
      <c r="V99" s="410"/>
      <c r="W99" s="119"/>
      <c r="X99" s="182"/>
    </row>
    <row r="100" spans="1:24" ht="15.6">
      <c r="A100" s="447" t="s">
        <v>192</v>
      </c>
      <c r="B100" s="379" t="s">
        <v>179</v>
      </c>
      <c r="C100" s="379"/>
      <c r="D100" s="379"/>
      <c r="E100" s="379"/>
      <c r="F100" s="379"/>
      <c r="G100" s="379"/>
      <c r="H100" s="379"/>
      <c r="I100" s="379"/>
      <c r="J100" s="379"/>
      <c r="K100" s="379"/>
      <c r="L100" s="379"/>
      <c r="M100" s="379"/>
      <c r="N100" s="379"/>
      <c r="O100" s="379"/>
      <c r="P100" s="379"/>
      <c r="Q100" s="379"/>
      <c r="R100" s="379"/>
      <c r="S100" s="379"/>
      <c r="T100" s="379"/>
      <c r="U100" s="441">
        <v>-148</v>
      </c>
      <c r="V100" s="410"/>
      <c r="W100" s="6"/>
      <c r="X100" s="182"/>
    </row>
    <row r="101" spans="1:24" ht="15.6">
      <c r="A101" s="447" t="s">
        <v>193</v>
      </c>
      <c r="B101" s="379" t="s">
        <v>181</v>
      </c>
      <c r="C101" s="379"/>
      <c r="D101" s="379"/>
      <c r="E101" s="379"/>
      <c r="F101" s="379"/>
      <c r="G101" s="379"/>
      <c r="H101" s="379"/>
      <c r="I101" s="379"/>
      <c r="J101" s="379"/>
      <c r="K101" s="379"/>
      <c r="L101" s="379"/>
      <c r="M101" s="379"/>
      <c r="N101" s="379"/>
      <c r="O101" s="379"/>
      <c r="P101" s="379"/>
      <c r="Q101" s="379"/>
      <c r="R101" s="379"/>
      <c r="S101" s="379"/>
      <c r="T101" s="379"/>
      <c r="U101" s="441">
        <v>-128</v>
      </c>
      <c r="V101" s="410"/>
      <c r="W101" s="119"/>
      <c r="X101" s="182"/>
    </row>
    <row r="102" spans="1:24" ht="15.6">
      <c r="A102" s="444">
        <v>9</v>
      </c>
      <c r="B102" s="379" t="s">
        <v>257</v>
      </c>
      <c r="C102" s="379"/>
      <c r="D102" s="379"/>
      <c r="E102" s="379"/>
      <c r="F102" s="379"/>
      <c r="G102" s="379"/>
      <c r="H102" s="379"/>
      <c r="I102" s="379"/>
      <c r="J102" s="379"/>
      <c r="K102" s="379"/>
      <c r="L102" s="379"/>
      <c r="M102" s="379"/>
      <c r="N102" s="379"/>
      <c r="O102" s="379"/>
      <c r="P102" s="379"/>
      <c r="Q102" s="379"/>
      <c r="R102" s="379"/>
      <c r="S102" s="379"/>
      <c r="T102" s="379"/>
      <c r="U102" s="441">
        <f>+S219-U32</f>
        <v>-10254.057600000029</v>
      </c>
      <c r="V102" s="410"/>
      <c r="W102" s="6"/>
      <c r="X102" s="182"/>
    </row>
    <row r="103" spans="1:24" ht="15.6">
      <c r="A103" s="444">
        <v>10</v>
      </c>
      <c r="B103" s="379" t="s">
        <v>234</v>
      </c>
      <c r="C103" s="379"/>
      <c r="D103" s="379"/>
      <c r="E103" s="379"/>
      <c r="F103" s="379"/>
      <c r="G103" s="379"/>
      <c r="H103" s="379"/>
      <c r="I103" s="379"/>
      <c r="J103" s="379"/>
      <c r="K103" s="379"/>
      <c r="L103" s="379"/>
      <c r="M103" s="379"/>
      <c r="N103" s="379"/>
      <c r="O103" s="379"/>
      <c r="P103" s="379"/>
      <c r="Q103" s="379"/>
      <c r="R103" s="379"/>
      <c r="S103" s="379"/>
      <c r="T103" s="379"/>
      <c r="U103" s="441">
        <v>-40500</v>
      </c>
      <c r="V103" s="410"/>
      <c r="W103" s="6"/>
      <c r="X103" s="64"/>
    </row>
    <row r="104" spans="1:24" ht="15.6">
      <c r="A104" s="444">
        <v>11</v>
      </c>
      <c r="B104" s="379" t="s">
        <v>183</v>
      </c>
      <c r="C104" s="379"/>
      <c r="D104" s="379"/>
      <c r="E104" s="379"/>
      <c r="F104" s="379"/>
      <c r="G104" s="379"/>
      <c r="H104" s="379"/>
      <c r="I104" s="379"/>
      <c r="J104" s="379"/>
      <c r="K104" s="379"/>
      <c r="L104" s="379"/>
      <c r="M104" s="379"/>
      <c r="N104" s="379"/>
      <c r="O104" s="379"/>
      <c r="P104" s="379"/>
      <c r="Q104" s="379"/>
      <c r="R104" s="379"/>
      <c r="S104" s="379"/>
      <c r="T104" s="379"/>
      <c r="U104" s="441">
        <v>0</v>
      </c>
      <c r="V104" s="410"/>
      <c r="W104" s="6"/>
      <c r="X104" s="64"/>
    </row>
    <row r="105" spans="1:24" ht="15.6">
      <c r="A105" s="444">
        <v>12</v>
      </c>
      <c r="B105" s="379" t="s">
        <v>184</v>
      </c>
      <c r="C105" s="379"/>
      <c r="D105" s="379"/>
      <c r="E105" s="379"/>
      <c r="F105" s="379"/>
      <c r="G105" s="379"/>
      <c r="H105" s="379"/>
      <c r="I105" s="379"/>
      <c r="J105" s="379"/>
      <c r="K105" s="379"/>
      <c r="L105" s="379"/>
      <c r="M105" s="379"/>
      <c r="N105" s="379"/>
      <c r="O105" s="379"/>
      <c r="P105" s="379"/>
      <c r="Q105" s="379"/>
      <c r="R105" s="379"/>
      <c r="S105" s="379"/>
      <c r="T105" s="379"/>
      <c r="U105" s="441">
        <v>-216</v>
      </c>
      <c r="V105" s="410"/>
      <c r="W105" s="6"/>
      <c r="X105" s="182"/>
    </row>
    <row r="106" spans="1:24" ht="15.6">
      <c r="A106" s="444">
        <v>13</v>
      </c>
      <c r="B106" s="379" t="s">
        <v>40</v>
      </c>
      <c r="C106" s="379"/>
      <c r="D106" s="379"/>
      <c r="E106" s="379"/>
      <c r="F106" s="379"/>
      <c r="G106" s="379"/>
      <c r="H106" s="379"/>
      <c r="I106" s="379"/>
      <c r="J106" s="379"/>
      <c r="K106" s="379"/>
      <c r="L106" s="379"/>
      <c r="M106" s="379"/>
      <c r="N106" s="379"/>
      <c r="O106" s="379"/>
      <c r="P106" s="379"/>
      <c r="Q106" s="379"/>
      <c r="R106" s="379"/>
      <c r="S106" s="379"/>
      <c r="T106" s="379"/>
      <c r="U106" s="441">
        <f>-SUM(U87:V105)</f>
        <v>-1673.9423999999708</v>
      </c>
      <c r="V106" s="410"/>
      <c r="W106" s="6"/>
      <c r="X106" s="182"/>
    </row>
    <row r="107" spans="1:24" ht="15.6">
      <c r="A107" s="316"/>
      <c r="B107" s="443"/>
      <c r="C107" s="364"/>
      <c r="D107" s="364"/>
      <c r="E107" s="364"/>
      <c r="F107" s="364"/>
      <c r="G107" s="364"/>
      <c r="H107" s="364"/>
      <c r="I107" s="364"/>
      <c r="J107" s="364"/>
      <c r="K107" s="364"/>
      <c r="L107" s="364"/>
      <c r="M107" s="364"/>
      <c r="N107" s="364"/>
      <c r="O107" s="364"/>
      <c r="P107" s="364"/>
      <c r="Q107" s="364"/>
      <c r="R107" s="364"/>
      <c r="S107" s="360"/>
      <c r="T107" s="360"/>
      <c r="U107" s="360"/>
      <c r="V107" s="303"/>
      <c r="W107" s="6"/>
      <c r="X107" s="182"/>
    </row>
    <row r="108" spans="1:24" ht="15.6">
      <c r="A108" s="316"/>
      <c r="B108" s="317"/>
      <c r="C108" s="288"/>
      <c r="D108" s="288"/>
      <c r="E108" s="288"/>
      <c r="F108" s="288"/>
      <c r="G108" s="288"/>
      <c r="H108" s="288"/>
      <c r="I108" s="288"/>
      <c r="J108" s="288"/>
      <c r="K108" s="288"/>
      <c r="L108" s="288"/>
      <c r="M108" s="288"/>
      <c r="N108" s="288"/>
      <c r="O108" s="288"/>
      <c r="P108" s="288"/>
      <c r="Q108" s="288"/>
      <c r="R108" s="288"/>
      <c r="S108" s="318"/>
      <c r="T108" s="318"/>
      <c r="U108" s="318"/>
      <c r="V108" s="303"/>
      <c r="W108" s="6"/>
    </row>
    <row r="109" spans="1:24" ht="16.2" thickBot="1">
      <c r="A109" s="319"/>
      <c r="B109" s="304" t="str">
        <f>+B59</f>
        <v>PPAF3 INVESTOR REPORT QUARTER ENDING DECEMBER 2011</v>
      </c>
      <c r="C109" s="305"/>
      <c r="D109" s="305"/>
      <c r="E109" s="305"/>
      <c r="F109" s="305"/>
      <c r="G109" s="305"/>
      <c r="H109" s="305"/>
      <c r="I109" s="305"/>
      <c r="J109" s="305"/>
      <c r="K109" s="305"/>
      <c r="L109" s="305"/>
      <c r="M109" s="305"/>
      <c r="N109" s="305"/>
      <c r="O109" s="305"/>
      <c r="P109" s="305"/>
      <c r="Q109" s="305"/>
      <c r="R109" s="305"/>
      <c r="S109" s="320"/>
      <c r="T109" s="320"/>
      <c r="U109" s="320"/>
      <c r="V109" s="307"/>
      <c r="W109" s="6"/>
    </row>
    <row r="110" spans="1:24" ht="15.6">
      <c r="A110" s="238"/>
      <c r="B110" s="240"/>
      <c r="C110" s="240"/>
      <c r="D110" s="240"/>
      <c r="E110" s="240"/>
      <c r="F110" s="240"/>
      <c r="G110" s="240"/>
      <c r="H110" s="240"/>
      <c r="I110" s="240"/>
      <c r="J110" s="240"/>
      <c r="K110" s="240"/>
      <c r="L110" s="240"/>
      <c r="M110" s="240"/>
      <c r="N110" s="240"/>
      <c r="O110" s="240"/>
      <c r="P110" s="240"/>
      <c r="Q110" s="240"/>
      <c r="R110" s="240"/>
      <c r="S110" s="269"/>
      <c r="T110" s="269"/>
      <c r="U110" s="269"/>
      <c r="V110" s="241"/>
      <c r="W110" s="6"/>
    </row>
    <row r="111" spans="1:24" ht="15.6">
      <c r="A111" s="321"/>
      <c r="B111" s="517" t="s">
        <v>41</v>
      </c>
      <c r="C111" s="322"/>
      <c r="D111" s="322"/>
      <c r="E111" s="322"/>
      <c r="F111" s="322"/>
      <c r="G111" s="322"/>
      <c r="H111" s="322"/>
      <c r="I111" s="322"/>
      <c r="J111" s="322"/>
      <c r="K111" s="322"/>
      <c r="L111" s="322"/>
      <c r="M111" s="322"/>
      <c r="N111" s="322"/>
      <c r="O111" s="322"/>
      <c r="P111" s="322"/>
      <c r="Q111" s="322"/>
      <c r="R111" s="322"/>
      <c r="S111" s="322"/>
      <c r="T111" s="322"/>
      <c r="U111" s="323"/>
      <c r="V111" s="324"/>
      <c r="W111" s="6"/>
    </row>
    <row r="112" spans="1:24" ht="15.6">
      <c r="A112" s="270"/>
      <c r="B112" s="271"/>
      <c r="C112" s="271"/>
      <c r="D112" s="271"/>
      <c r="E112" s="271"/>
      <c r="F112" s="271"/>
      <c r="G112" s="271"/>
      <c r="H112" s="271"/>
      <c r="I112" s="271"/>
      <c r="J112" s="271"/>
      <c r="K112" s="271"/>
      <c r="L112" s="271"/>
      <c r="M112" s="271"/>
      <c r="N112" s="271"/>
      <c r="O112" s="271"/>
      <c r="P112" s="271"/>
      <c r="Q112" s="271"/>
      <c r="R112" s="271"/>
      <c r="S112" s="271"/>
      <c r="T112" s="271"/>
      <c r="U112" s="272"/>
      <c r="V112" s="273"/>
      <c r="W112" s="6"/>
    </row>
    <row r="113" spans="1:24" ht="15.6">
      <c r="A113" s="242"/>
      <c r="B113" s="274" t="s">
        <v>42</v>
      </c>
      <c r="C113" s="252"/>
      <c r="D113" s="252"/>
      <c r="E113" s="252"/>
      <c r="F113" s="252"/>
      <c r="G113" s="252"/>
      <c r="H113" s="252"/>
      <c r="I113" s="252"/>
      <c r="J113" s="252"/>
      <c r="K113" s="252"/>
      <c r="L113" s="252"/>
      <c r="M113" s="244"/>
      <c r="N113" s="244"/>
      <c r="O113" s="244"/>
      <c r="P113" s="244"/>
      <c r="Q113" s="244"/>
      <c r="R113" s="244"/>
      <c r="S113" s="244"/>
      <c r="T113" s="244"/>
      <c r="U113" s="263"/>
      <c r="V113" s="245"/>
      <c r="W113" s="6"/>
    </row>
    <row r="114" spans="1:24" ht="15.6">
      <c r="A114" s="378"/>
      <c r="B114" s="379" t="s">
        <v>43</v>
      </c>
      <c r="C114" s="379"/>
      <c r="D114" s="379"/>
      <c r="E114" s="379"/>
      <c r="F114" s="379"/>
      <c r="G114" s="379"/>
      <c r="H114" s="379"/>
      <c r="I114" s="379"/>
      <c r="J114" s="379"/>
      <c r="K114" s="379"/>
      <c r="L114" s="379"/>
      <c r="M114" s="379"/>
      <c r="N114" s="379"/>
      <c r="O114" s="379"/>
      <c r="P114" s="379"/>
      <c r="Q114" s="379"/>
      <c r="R114" s="379"/>
      <c r="S114" s="379"/>
      <c r="T114" s="379"/>
      <c r="U114" s="441">
        <v>40500</v>
      </c>
      <c r="V114" s="410"/>
      <c r="W114" s="6"/>
    </row>
    <row r="115" spans="1:24" ht="15.6">
      <c r="A115" s="378"/>
      <c r="B115" s="379" t="s">
        <v>240</v>
      </c>
      <c r="C115" s="379"/>
      <c r="D115" s="379"/>
      <c r="E115" s="379"/>
      <c r="F115" s="379"/>
      <c r="G115" s="379"/>
      <c r="H115" s="379"/>
      <c r="I115" s="379"/>
      <c r="J115" s="379"/>
      <c r="K115" s="379"/>
      <c r="L115" s="379"/>
      <c r="M115" s="379"/>
      <c r="N115" s="379"/>
      <c r="O115" s="379"/>
      <c r="P115" s="379"/>
      <c r="Q115" s="379"/>
      <c r="R115" s="379"/>
      <c r="S115" s="379"/>
      <c r="T115" s="379"/>
      <c r="U115" s="441">
        <v>40500</v>
      </c>
      <c r="V115" s="410"/>
      <c r="W115" s="6"/>
    </row>
    <row r="116" spans="1:24" ht="15.6">
      <c r="A116" s="378"/>
      <c r="B116" s="379" t="s">
        <v>241</v>
      </c>
      <c r="C116" s="379"/>
      <c r="D116" s="379"/>
      <c r="E116" s="379"/>
      <c r="F116" s="379"/>
      <c r="G116" s="379"/>
      <c r="H116" s="379"/>
      <c r="I116" s="379"/>
      <c r="J116" s="379"/>
      <c r="K116" s="379"/>
      <c r="L116" s="379"/>
      <c r="M116" s="379"/>
      <c r="N116" s="379"/>
      <c r="O116" s="379"/>
      <c r="P116" s="379"/>
      <c r="Q116" s="379"/>
      <c r="R116" s="379"/>
      <c r="S116" s="379"/>
      <c r="T116" s="379"/>
      <c r="U116" s="441">
        <v>0</v>
      </c>
      <c r="V116" s="410"/>
      <c r="W116" s="6"/>
    </row>
    <row r="117" spans="1:24" ht="15.6">
      <c r="A117" s="378"/>
      <c r="B117" s="379" t="s">
        <v>209</v>
      </c>
      <c r="C117" s="379"/>
      <c r="D117" s="379"/>
      <c r="E117" s="379"/>
      <c r="F117" s="379"/>
      <c r="G117" s="379"/>
      <c r="H117" s="379"/>
      <c r="I117" s="379"/>
      <c r="J117" s="379"/>
      <c r="K117" s="379"/>
      <c r="L117" s="379"/>
      <c r="M117" s="379"/>
      <c r="N117" s="379"/>
      <c r="O117" s="379"/>
      <c r="P117" s="379"/>
      <c r="Q117" s="379"/>
      <c r="R117" s="379"/>
      <c r="S117" s="379"/>
      <c r="T117" s="379"/>
      <c r="U117" s="441">
        <v>0</v>
      </c>
      <c r="V117" s="410"/>
      <c r="W117" s="6"/>
    </row>
    <row r="118" spans="1:24" ht="15.6">
      <c r="A118" s="378"/>
      <c r="B118" s="379" t="s">
        <v>210</v>
      </c>
      <c r="C118" s="379"/>
      <c r="D118" s="379"/>
      <c r="E118" s="379"/>
      <c r="F118" s="379"/>
      <c r="G118" s="379"/>
      <c r="H118" s="379"/>
      <c r="I118" s="379"/>
      <c r="J118" s="379"/>
      <c r="K118" s="379"/>
      <c r="L118" s="379"/>
      <c r="M118" s="379"/>
      <c r="N118" s="379"/>
      <c r="O118" s="379"/>
      <c r="P118" s="379"/>
      <c r="Q118" s="379"/>
      <c r="R118" s="379"/>
      <c r="S118" s="379"/>
      <c r="T118" s="379"/>
      <c r="U118" s="441">
        <v>0</v>
      </c>
      <c r="V118" s="410"/>
      <c r="W118" s="6"/>
    </row>
    <row r="119" spans="1:24" ht="15.6">
      <c r="A119" s="378"/>
      <c r="B119" s="379" t="s">
        <v>211</v>
      </c>
      <c r="C119" s="379"/>
      <c r="D119" s="379"/>
      <c r="E119" s="379"/>
      <c r="F119" s="379"/>
      <c r="G119" s="379"/>
      <c r="H119" s="379"/>
      <c r="I119" s="379"/>
      <c r="J119" s="379"/>
      <c r="K119" s="379"/>
      <c r="L119" s="379"/>
      <c r="M119" s="379"/>
      <c r="N119" s="379"/>
      <c r="O119" s="379"/>
      <c r="P119" s="379"/>
      <c r="Q119" s="379"/>
      <c r="R119" s="379"/>
      <c r="S119" s="379"/>
      <c r="T119" s="379"/>
      <c r="U119" s="441">
        <v>0</v>
      </c>
      <c r="V119" s="410"/>
      <c r="W119" s="6"/>
    </row>
    <row r="120" spans="1:24" ht="15.6">
      <c r="A120" s="378"/>
      <c r="B120" s="379" t="s">
        <v>212</v>
      </c>
      <c r="C120" s="379"/>
      <c r="D120" s="379"/>
      <c r="E120" s="379"/>
      <c r="F120" s="379"/>
      <c r="G120" s="379"/>
      <c r="H120" s="379"/>
      <c r="I120" s="379"/>
      <c r="J120" s="379"/>
      <c r="K120" s="379"/>
      <c r="L120" s="379"/>
      <c r="M120" s="379"/>
      <c r="N120" s="379"/>
      <c r="O120" s="379"/>
      <c r="P120" s="379"/>
      <c r="Q120" s="379"/>
      <c r="R120" s="379"/>
      <c r="S120" s="379"/>
      <c r="T120" s="379"/>
      <c r="U120" s="441">
        <v>0</v>
      </c>
      <c r="V120" s="410"/>
      <c r="W120" s="6"/>
    </row>
    <row r="121" spans="1:24" ht="15.6">
      <c r="A121" s="378"/>
      <c r="B121" s="379" t="s">
        <v>242</v>
      </c>
      <c r="C121" s="379"/>
      <c r="D121" s="379"/>
      <c r="E121" s="379"/>
      <c r="F121" s="379"/>
      <c r="G121" s="379"/>
      <c r="H121" s="379"/>
      <c r="I121" s="379"/>
      <c r="J121" s="379"/>
      <c r="K121" s="379"/>
      <c r="L121" s="379"/>
      <c r="M121" s="379"/>
      <c r="N121" s="379"/>
      <c r="O121" s="379"/>
      <c r="P121" s="379"/>
      <c r="Q121" s="379"/>
      <c r="R121" s="379"/>
      <c r="S121" s="379"/>
      <c r="T121" s="379"/>
      <c r="U121" s="441">
        <v>0</v>
      </c>
      <c r="V121" s="410"/>
      <c r="W121" s="6"/>
    </row>
    <row r="122" spans="1:24" ht="15.6">
      <c r="A122" s="378"/>
      <c r="B122" s="379" t="s">
        <v>45</v>
      </c>
      <c r="C122" s="379"/>
      <c r="D122" s="379"/>
      <c r="E122" s="379"/>
      <c r="F122" s="379"/>
      <c r="G122" s="379"/>
      <c r="H122" s="379"/>
      <c r="I122" s="379"/>
      <c r="J122" s="379"/>
      <c r="K122" s="379"/>
      <c r="L122" s="379"/>
      <c r="M122" s="379"/>
      <c r="N122" s="379"/>
      <c r="O122" s="379"/>
      <c r="P122" s="379"/>
      <c r="Q122" s="379"/>
      <c r="R122" s="379"/>
      <c r="S122" s="379"/>
      <c r="T122" s="379"/>
      <c r="U122" s="441">
        <f>SUM(U115:U121)</f>
        <v>40500</v>
      </c>
      <c r="V122" s="410"/>
      <c r="W122" s="6"/>
    </row>
    <row r="123" spans="1:24" ht="15.6">
      <c r="A123" s="242"/>
      <c r="B123" s="438"/>
      <c r="C123" s="438"/>
      <c r="D123" s="438"/>
      <c r="E123" s="438"/>
      <c r="F123" s="438"/>
      <c r="G123" s="438"/>
      <c r="H123" s="438"/>
      <c r="I123" s="438"/>
      <c r="J123" s="438"/>
      <c r="K123" s="438"/>
      <c r="L123" s="438"/>
      <c r="M123" s="438"/>
      <c r="N123" s="438"/>
      <c r="O123" s="438"/>
      <c r="P123" s="438"/>
      <c r="Q123" s="438"/>
      <c r="R123" s="438"/>
      <c r="S123" s="438"/>
      <c r="T123" s="438"/>
      <c r="U123" s="448"/>
      <c r="V123" s="245"/>
      <c r="W123" s="6"/>
    </row>
    <row r="124" spans="1:24" ht="15.6">
      <c r="A124" s="242"/>
      <c r="B124" s="274" t="s">
        <v>46</v>
      </c>
      <c r="C124" s="252"/>
      <c r="D124" s="252"/>
      <c r="E124" s="252"/>
      <c r="F124" s="252"/>
      <c r="G124" s="252"/>
      <c r="H124" s="252"/>
      <c r="I124" s="252"/>
      <c r="J124" s="252"/>
      <c r="K124" s="252"/>
      <c r="L124" s="252"/>
      <c r="M124" s="244"/>
      <c r="N124" s="244"/>
      <c r="O124" s="244"/>
      <c r="P124" s="275"/>
      <c r="Q124" s="244"/>
      <c r="R124" s="244"/>
      <c r="S124" s="244"/>
      <c r="T124" s="244"/>
      <c r="U124" s="276"/>
      <c r="V124" s="245"/>
      <c r="W124" s="6"/>
    </row>
    <row r="125" spans="1:24" ht="15.6">
      <c r="A125" s="230"/>
      <c r="B125" s="511"/>
      <c r="C125" s="232" t="s">
        <v>185</v>
      </c>
      <c r="D125" s="232"/>
      <c r="E125" s="232" t="s">
        <v>99</v>
      </c>
      <c r="F125" s="232"/>
      <c r="G125" s="232" t="s">
        <v>102</v>
      </c>
      <c r="H125" s="232"/>
      <c r="I125" s="232" t="s">
        <v>108</v>
      </c>
      <c r="J125" s="232"/>
      <c r="K125" s="232"/>
      <c r="L125" s="232"/>
      <c r="M125" s="232"/>
      <c r="N125" s="232"/>
      <c r="O125" s="232"/>
      <c r="P125" s="326"/>
      <c r="Q125" s="326"/>
      <c r="R125" s="231"/>
      <c r="S125" s="231"/>
      <c r="T125" s="231"/>
      <c r="U125" s="309"/>
      <c r="V125" s="237"/>
      <c r="W125" s="6"/>
    </row>
    <row r="126" spans="1:24" ht="15.6">
      <c r="A126" s="257"/>
      <c r="B126" s="294" t="s">
        <v>122</v>
      </c>
      <c r="C126" s="310">
        <f>+N199-'September 11'!N199</f>
        <v>-40</v>
      </c>
      <c r="D126" s="294"/>
      <c r="E126" s="310">
        <f>+S199-'September 11'!S199</f>
        <v>1</v>
      </c>
      <c r="F126" s="294"/>
      <c r="G126" s="310">
        <f>+'Dec 11'!N212-'September 11'!N212</f>
        <v>803</v>
      </c>
      <c r="H126" s="294"/>
      <c r="I126" s="310">
        <f>+S212-'September 11'!S212</f>
        <v>6</v>
      </c>
      <c r="J126" s="294"/>
      <c r="K126" s="294"/>
      <c r="L126" s="294"/>
      <c r="M126" s="294"/>
      <c r="N126" s="294"/>
      <c r="O126" s="294"/>
      <c r="P126" s="325"/>
      <c r="Q126" s="325"/>
      <c r="R126" s="294"/>
      <c r="S126" s="294"/>
      <c r="T126" s="294"/>
      <c r="U126" s="311">
        <f>SUM(C126:I126)</f>
        <v>770</v>
      </c>
      <c r="V126" s="298"/>
      <c r="W126" s="6"/>
      <c r="X126" s="182"/>
    </row>
    <row r="127" spans="1:24" ht="15.6">
      <c r="A127" s="378"/>
      <c r="B127" s="379" t="s">
        <v>47</v>
      </c>
      <c r="C127" s="379">
        <v>62</v>
      </c>
      <c r="D127" s="379"/>
      <c r="E127" s="379">
        <v>0</v>
      </c>
      <c r="F127" s="379"/>
      <c r="G127" s="379">
        <v>796</v>
      </c>
      <c r="H127" s="379"/>
      <c r="I127" s="440">
        <v>171</v>
      </c>
      <c r="J127" s="379"/>
      <c r="K127" s="379"/>
      <c r="L127" s="379"/>
      <c r="M127" s="379"/>
      <c r="N127" s="379"/>
      <c r="O127" s="379"/>
      <c r="P127" s="450"/>
      <c r="Q127" s="450"/>
      <c r="R127" s="379"/>
      <c r="S127" s="379"/>
      <c r="T127" s="379"/>
      <c r="U127" s="441">
        <f>SUM(C127:I127)</f>
        <v>1029</v>
      </c>
      <c r="V127" s="410"/>
      <c r="W127" s="6"/>
    </row>
    <row r="128" spans="1:24" ht="15.6">
      <c r="A128" s="242"/>
      <c r="B128" s="364" t="s">
        <v>48</v>
      </c>
      <c r="C128" s="364"/>
      <c r="D128" s="364"/>
      <c r="E128" s="364"/>
      <c r="F128" s="364"/>
      <c r="G128" s="364"/>
      <c r="H128" s="364"/>
      <c r="I128" s="364"/>
      <c r="J128" s="364"/>
      <c r="K128" s="364"/>
      <c r="L128" s="364"/>
      <c r="M128" s="364"/>
      <c r="N128" s="364"/>
      <c r="O128" s="364"/>
      <c r="P128" s="364"/>
      <c r="Q128" s="364"/>
      <c r="R128" s="364"/>
      <c r="S128" s="364"/>
      <c r="T128" s="364"/>
      <c r="U128" s="449">
        <f>SUM(U126:U127)</f>
        <v>1799</v>
      </c>
      <c r="V128" s="303"/>
      <c r="W128" s="6"/>
      <c r="X128" s="182"/>
    </row>
    <row r="129" spans="1:25" ht="15.6">
      <c r="A129" s="242"/>
      <c r="B129" s="274" t="s">
        <v>49</v>
      </c>
      <c r="C129" s="252"/>
      <c r="D129" s="252"/>
      <c r="E129" s="252"/>
      <c r="F129" s="252"/>
      <c r="G129" s="252"/>
      <c r="H129" s="252"/>
      <c r="I129" s="252"/>
      <c r="J129" s="252"/>
      <c r="K129" s="252"/>
      <c r="L129" s="252"/>
      <c r="M129" s="244"/>
      <c r="N129" s="244"/>
      <c r="O129" s="244"/>
      <c r="P129" s="244"/>
      <c r="Q129" s="244"/>
      <c r="R129" s="244"/>
      <c r="S129" s="244"/>
      <c r="T129" s="244"/>
      <c r="U129" s="263"/>
      <c r="V129" s="245"/>
      <c r="W129" s="6"/>
    </row>
    <row r="130" spans="1:25" ht="15.6">
      <c r="A130" s="444"/>
      <c r="B130" s="379" t="s">
        <v>50</v>
      </c>
      <c r="C130" s="386"/>
      <c r="D130" s="386"/>
      <c r="E130" s="386"/>
      <c r="F130" s="386"/>
      <c r="G130" s="386"/>
      <c r="H130" s="386"/>
      <c r="I130" s="386"/>
      <c r="J130" s="386"/>
      <c r="K130" s="386"/>
      <c r="L130" s="386"/>
      <c r="M130" s="379"/>
      <c r="N130" s="379"/>
      <c r="O130" s="379"/>
      <c r="P130" s="379"/>
      <c r="Q130" s="379"/>
      <c r="R130" s="379"/>
      <c r="S130" s="379"/>
      <c r="T130" s="379"/>
      <c r="U130" s="441">
        <f>U75+U77</f>
        <v>180879</v>
      </c>
      <c r="V130" s="410"/>
      <c r="W130" s="6"/>
      <c r="X130" s="182"/>
    </row>
    <row r="131" spans="1:25" ht="15.6">
      <c r="A131" s="444"/>
      <c r="B131" s="379" t="s">
        <v>51</v>
      </c>
      <c r="C131" s="386"/>
      <c r="D131" s="386"/>
      <c r="E131" s="386"/>
      <c r="F131" s="386"/>
      <c r="G131" s="386"/>
      <c r="H131" s="386"/>
      <c r="I131" s="386"/>
      <c r="J131" s="386"/>
      <c r="K131" s="386"/>
      <c r="L131" s="386"/>
      <c r="M131" s="379"/>
      <c r="N131" s="379"/>
      <c r="O131" s="379"/>
      <c r="P131" s="379"/>
      <c r="Q131" s="379"/>
      <c r="R131" s="379"/>
      <c r="S131" s="379"/>
      <c r="T131" s="379"/>
      <c r="U131" s="441">
        <v>0</v>
      </c>
      <c r="V131" s="410"/>
      <c r="W131" s="6"/>
      <c r="Y131" s="182"/>
    </row>
    <row r="132" spans="1:25" ht="15.6">
      <c r="A132" s="444"/>
      <c r="B132" s="379" t="s">
        <v>52</v>
      </c>
      <c r="C132" s="386"/>
      <c r="D132" s="386"/>
      <c r="E132" s="386"/>
      <c r="F132" s="386"/>
      <c r="G132" s="386"/>
      <c r="H132" s="386"/>
      <c r="I132" s="386"/>
      <c r="J132" s="386"/>
      <c r="K132" s="386"/>
      <c r="L132" s="386"/>
      <c r="M132" s="379"/>
      <c r="N132" s="379"/>
      <c r="O132" s="379"/>
      <c r="P132" s="379"/>
      <c r="Q132" s="379"/>
      <c r="R132" s="379"/>
      <c r="S132" s="379"/>
      <c r="T132" s="379"/>
      <c r="U132" s="441">
        <f>+U130+U131</f>
        <v>180879</v>
      </c>
      <c r="V132" s="410"/>
      <c r="W132" s="6"/>
    </row>
    <row r="133" spans="1:25" ht="15.6">
      <c r="A133" s="444"/>
      <c r="B133" s="379" t="s">
        <v>53</v>
      </c>
      <c r="C133" s="386"/>
      <c r="D133" s="386"/>
      <c r="E133" s="386"/>
      <c r="F133" s="386"/>
      <c r="G133" s="386"/>
      <c r="H133" s="386"/>
      <c r="I133" s="386"/>
      <c r="J133" s="386"/>
      <c r="K133" s="386"/>
      <c r="L133" s="386"/>
      <c r="M133" s="379"/>
      <c r="N133" s="379"/>
      <c r="O133" s="379"/>
      <c r="P133" s="379"/>
      <c r="Q133" s="379"/>
      <c r="R133" s="379"/>
      <c r="S133" s="379"/>
      <c r="T133" s="379"/>
      <c r="U133" s="441">
        <f>U80</f>
        <v>180879</v>
      </c>
      <c r="V133" s="410"/>
      <c r="W133" s="6"/>
      <c r="X133" s="64"/>
    </row>
    <row r="134" spans="1:25" ht="15.6">
      <c r="A134" s="242"/>
      <c r="B134" s="438"/>
      <c r="C134" s="438"/>
      <c r="D134" s="438"/>
      <c r="E134" s="438"/>
      <c r="F134" s="438"/>
      <c r="G134" s="438"/>
      <c r="H134" s="438"/>
      <c r="I134" s="438"/>
      <c r="J134" s="438"/>
      <c r="K134" s="438"/>
      <c r="L134" s="438"/>
      <c r="M134" s="438"/>
      <c r="N134" s="438"/>
      <c r="O134" s="438"/>
      <c r="P134" s="438"/>
      <c r="Q134" s="438"/>
      <c r="R134" s="438"/>
      <c r="S134" s="438"/>
      <c r="T134" s="438"/>
      <c r="U134" s="451"/>
      <c r="V134" s="245"/>
      <c r="W134" s="6"/>
    </row>
    <row r="135" spans="1:25" ht="15.6">
      <c r="A135" s="242"/>
      <c r="B135" s="274" t="s">
        <v>54</v>
      </c>
      <c r="C135" s="247"/>
      <c r="D135" s="247"/>
      <c r="E135" s="247"/>
      <c r="F135" s="247"/>
      <c r="G135" s="247"/>
      <c r="H135" s="247"/>
      <c r="I135" s="247"/>
      <c r="J135" s="247"/>
      <c r="K135" s="247"/>
      <c r="L135" s="247"/>
      <c r="M135" s="247"/>
      <c r="N135" s="247"/>
      <c r="O135" s="247"/>
      <c r="P135" s="247"/>
      <c r="Q135" s="277" t="s">
        <v>112</v>
      </c>
      <c r="R135" s="278"/>
      <c r="S135" s="277" t="s">
        <v>114</v>
      </c>
      <c r="T135" s="247"/>
      <c r="U135" s="279" t="s">
        <v>90</v>
      </c>
      <c r="V135" s="245"/>
      <c r="W135" s="6"/>
    </row>
    <row r="136" spans="1:25" ht="15.6">
      <c r="A136" s="378"/>
      <c r="B136" s="379" t="s">
        <v>55</v>
      </c>
      <c r="C136" s="379"/>
      <c r="D136" s="379"/>
      <c r="E136" s="379"/>
      <c r="F136" s="379"/>
      <c r="G136" s="379"/>
      <c r="H136" s="379"/>
      <c r="I136" s="379"/>
      <c r="J136" s="379"/>
      <c r="K136" s="379"/>
      <c r="L136" s="379"/>
      <c r="M136" s="379"/>
      <c r="N136" s="379"/>
      <c r="O136" s="379"/>
      <c r="P136" s="379"/>
      <c r="Q136" s="441">
        <v>0</v>
      </c>
      <c r="R136" s="379"/>
      <c r="S136" s="453" t="s">
        <v>115</v>
      </c>
      <c r="T136" s="379"/>
      <c r="U136" s="441">
        <f>Q136</f>
        <v>0</v>
      </c>
      <c r="V136" s="385"/>
      <c r="W136" s="6"/>
    </row>
    <row r="137" spans="1:25" ht="15.6">
      <c r="A137" s="378"/>
      <c r="B137" s="379" t="s">
        <v>56</v>
      </c>
      <c r="C137" s="379"/>
      <c r="D137" s="379"/>
      <c r="E137" s="379"/>
      <c r="F137" s="379"/>
      <c r="G137" s="379"/>
      <c r="H137" s="379"/>
      <c r="I137" s="379"/>
      <c r="J137" s="379"/>
      <c r="K137" s="379"/>
      <c r="L137" s="379"/>
      <c r="M137" s="379"/>
      <c r="N137" s="379"/>
      <c r="O137" s="379"/>
      <c r="P137" s="379"/>
      <c r="Q137" s="441">
        <f>+'September 11'!Q139</f>
        <v>4229</v>
      </c>
      <c r="R137" s="379"/>
      <c r="S137" s="453" t="s">
        <v>115</v>
      </c>
      <c r="T137" s="379"/>
      <c r="U137" s="441">
        <f>Q137</f>
        <v>4229</v>
      </c>
      <c r="V137" s="385"/>
      <c r="W137" s="6"/>
    </row>
    <row r="138" spans="1:25" ht="15.6">
      <c r="A138" s="378"/>
      <c r="B138" s="379" t="s">
        <v>57</v>
      </c>
      <c r="C138" s="379"/>
      <c r="D138" s="379"/>
      <c r="E138" s="379"/>
      <c r="F138" s="379"/>
      <c r="G138" s="379"/>
      <c r="H138" s="379"/>
      <c r="I138" s="379"/>
      <c r="J138" s="379"/>
      <c r="K138" s="379"/>
      <c r="L138" s="379"/>
      <c r="M138" s="379"/>
      <c r="N138" s="379"/>
      <c r="O138" s="379"/>
      <c r="P138" s="379"/>
      <c r="Q138" s="441">
        <v>0</v>
      </c>
      <c r="R138" s="379"/>
      <c r="S138" s="453" t="s">
        <v>115</v>
      </c>
      <c r="T138" s="379"/>
      <c r="U138" s="441">
        <f>Q138</f>
        <v>0</v>
      </c>
      <c r="V138" s="385"/>
      <c r="W138" s="6"/>
    </row>
    <row r="139" spans="1:25" ht="15.6">
      <c r="A139" s="378"/>
      <c r="B139" s="379" t="s">
        <v>58</v>
      </c>
      <c r="C139" s="379"/>
      <c r="D139" s="379"/>
      <c r="E139" s="379"/>
      <c r="F139" s="379"/>
      <c r="G139" s="379"/>
      <c r="H139" s="379"/>
      <c r="I139" s="379"/>
      <c r="J139" s="379"/>
      <c r="K139" s="379"/>
      <c r="L139" s="379"/>
      <c r="M139" s="379"/>
      <c r="N139" s="379"/>
      <c r="O139" s="379"/>
      <c r="P139" s="379"/>
      <c r="Q139" s="441">
        <f>SUM(Q137:Q138)</f>
        <v>4229</v>
      </c>
      <c r="R139" s="379"/>
      <c r="S139" s="453" t="s">
        <v>115</v>
      </c>
      <c r="T139" s="379"/>
      <c r="U139" s="441">
        <f>Q139</f>
        <v>4229</v>
      </c>
      <c r="V139" s="385"/>
      <c r="W139" s="6"/>
    </row>
    <row r="140" spans="1:25" ht="15.6">
      <c r="A140" s="378"/>
      <c r="B140" s="379" t="s">
        <v>215</v>
      </c>
      <c r="C140" s="379"/>
      <c r="D140" s="379"/>
      <c r="E140" s="379"/>
      <c r="F140" s="379"/>
      <c r="G140" s="379"/>
      <c r="H140" s="379"/>
      <c r="I140" s="379"/>
      <c r="J140" s="379"/>
      <c r="K140" s="379"/>
      <c r="L140" s="379"/>
      <c r="M140" s="379"/>
      <c r="N140" s="379"/>
      <c r="O140" s="379"/>
      <c r="P140" s="379"/>
      <c r="Q140" s="441"/>
      <c r="R140" s="379"/>
      <c r="S140" s="453"/>
      <c r="T140" s="379"/>
      <c r="U140" s="441"/>
      <c r="V140" s="385"/>
      <c r="W140" s="6"/>
    </row>
    <row r="141" spans="1:25" ht="15.6">
      <c r="A141" s="378"/>
      <c r="B141" s="454"/>
      <c r="C141" s="454"/>
      <c r="D141" s="454"/>
      <c r="E141" s="454"/>
      <c r="F141" s="454"/>
      <c r="G141" s="454"/>
      <c r="H141" s="454"/>
      <c r="I141" s="454"/>
      <c r="J141" s="454"/>
      <c r="K141" s="454"/>
      <c r="L141" s="454"/>
      <c r="M141" s="454"/>
      <c r="N141" s="454"/>
      <c r="O141" s="454"/>
      <c r="P141" s="454"/>
      <c r="Q141" s="454"/>
      <c r="R141" s="454"/>
      <c r="S141" s="454"/>
      <c r="T141" s="454"/>
      <c r="U141" s="454"/>
      <c r="V141" s="385"/>
      <c r="W141" s="6"/>
    </row>
    <row r="142" spans="1:25" ht="15.6">
      <c r="A142" s="242"/>
      <c r="B142" s="452"/>
      <c r="C142" s="452"/>
      <c r="D142" s="452"/>
      <c r="E142" s="452"/>
      <c r="F142" s="452"/>
      <c r="G142" s="452"/>
      <c r="H142" s="452"/>
      <c r="I142" s="452"/>
      <c r="J142" s="452"/>
      <c r="K142" s="452"/>
      <c r="L142" s="452"/>
      <c r="M142" s="452"/>
      <c r="N142" s="452"/>
      <c r="O142" s="452"/>
      <c r="P142" s="452"/>
      <c r="Q142" s="452"/>
      <c r="R142" s="452"/>
      <c r="S142" s="452"/>
      <c r="T142" s="452"/>
      <c r="U142" s="452"/>
      <c r="V142" s="284"/>
      <c r="W142" s="6"/>
    </row>
    <row r="143" spans="1:25" ht="15.6">
      <c r="A143" s="230"/>
      <c r="B143" s="511" t="s">
        <v>59</v>
      </c>
      <c r="C143" s="518"/>
      <c r="D143" s="518"/>
      <c r="E143" s="518"/>
      <c r="F143" s="518"/>
      <c r="G143" s="518"/>
      <c r="H143" s="518"/>
      <c r="I143" s="518"/>
      <c r="J143" s="518"/>
      <c r="K143" s="518"/>
      <c r="L143" s="518"/>
      <c r="M143" s="518"/>
      <c r="N143" s="518"/>
      <c r="O143" s="518"/>
      <c r="P143" s="519"/>
      <c r="Q143" s="519"/>
      <c r="R143" s="519"/>
      <c r="S143" s="519">
        <v>40907</v>
      </c>
      <c r="T143" s="231"/>
      <c r="U143" s="231"/>
      <c r="V143" s="237"/>
      <c r="W143" s="6"/>
    </row>
    <row r="144" spans="1:25" ht="15.6">
      <c r="A144" s="281"/>
      <c r="B144" s="294" t="s">
        <v>60</v>
      </c>
      <c r="C144" s="329"/>
      <c r="D144" s="329"/>
      <c r="E144" s="329"/>
      <c r="F144" s="329"/>
      <c r="G144" s="329"/>
      <c r="H144" s="329"/>
      <c r="I144" s="329"/>
      <c r="J144" s="329"/>
      <c r="K144" s="329"/>
      <c r="L144" s="329"/>
      <c r="M144" s="329"/>
      <c r="N144" s="329"/>
      <c r="O144" s="329"/>
      <c r="P144" s="300"/>
      <c r="Q144" s="300"/>
      <c r="R144" s="300"/>
      <c r="S144" s="299">
        <v>0.10630000000000001</v>
      </c>
      <c r="T144" s="294"/>
      <c r="U144" s="294"/>
      <c r="V144" s="260"/>
      <c r="W144" s="6"/>
    </row>
    <row r="145" spans="1:23" ht="15.6">
      <c r="A145" s="458"/>
      <c r="B145" s="379" t="s">
        <v>61</v>
      </c>
      <c r="C145" s="459"/>
      <c r="D145" s="459"/>
      <c r="E145" s="459"/>
      <c r="F145" s="459"/>
      <c r="G145" s="459"/>
      <c r="H145" s="459"/>
      <c r="I145" s="459"/>
      <c r="J145" s="459"/>
      <c r="K145" s="459"/>
      <c r="L145" s="459"/>
      <c r="M145" s="459"/>
      <c r="N145" s="459"/>
      <c r="O145" s="459"/>
      <c r="P145" s="433"/>
      <c r="Q145" s="433"/>
      <c r="R145" s="433"/>
      <c r="S145" s="427">
        <v>5.2200000000000003E-2</v>
      </c>
      <c r="T145" s="427"/>
      <c r="U145" s="379"/>
      <c r="V145" s="385"/>
      <c r="W145" s="6"/>
    </row>
    <row r="146" spans="1:23" ht="15.6">
      <c r="A146" s="458"/>
      <c r="B146" s="379" t="s">
        <v>62</v>
      </c>
      <c r="C146" s="459"/>
      <c r="D146" s="459"/>
      <c r="E146" s="459"/>
      <c r="F146" s="459"/>
      <c r="G146" s="459"/>
      <c r="H146" s="459"/>
      <c r="I146" s="459"/>
      <c r="J146" s="459"/>
      <c r="K146" s="459"/>
      <c r="L146" s="459"/>
      <c r="M146" s="459"/>
      <c r="N146" s="459"/>
      <c r="O146" s="459"/>
      <c r="P146" s="433"/>
      <c r="Q146" s="433"/>
      <c r="R146" s="433"/>
      <c r="S146" s="427">
        <f>S144-S145</f>
        <v>5.4100000000000002E-2</v>
      </c>
      <c r="T146" s="379"/>
      <c r="U146" s="379"/>
      <c r="V146" s="385"/>
      <c r="W146" s="6"/>
    </row>
    <row r="147" spans="1:23" ht="15.6">
      <c r="A147" s="458"/>
      <c r="B147" s="379" t="s">
        <v>63</v>
      </c>
      <c r="C147" s="459"/>
      <c r="D147" s="459"/>
      <c r="E147" s="459"/>
      <c r="F147" s="459"/>
      <c r="G147" s="459"/>
      <c r="H147" s="459"/>
      <c r="I147" s="459"/>
      <c r="J147" s="459"/>
      <c r="K147" s="459"/>
      <c r="L147" s="459"/>
      <c r="M147" s="459"/>
      <c r="N147" s="459"/>
      <c r="O147" s="459"/>
      <c r="P147" s="433"/>
      <c r="Q147" s="433"/>
      <c r="R147" s="433"/>
      <c r="S147" s="427">
        <v>9.1840000000000005E-2</v>
      </c>
      <c r="T147" s="379"/>
      <c r="U147" s="379"/>
      <c r="V147" s="385"/>
      <c r="W147" s="6"/>
    </row>
    <row r="148" spans="1:23" ht="15.6">
      <c r="A148" s="458"/>
      <c r="B148" s="379" t="s">
        <v>64</v>
      </c>
      <c r="C148" s="459"/>
      <c r="D148" s="459"/>
      <c r="E148" s="459"/>
      <c r="F148" s="459"/>
      <c r="G148" s="459"/>
      <c r="H148" s="459"/>
      <c r="I148" s="459"/>
      <c r="J148" s="459"/>
      <c r="K148" s="459"/>
      <c r="L148" s="459"/>
      <c r="M148" s="459"/>
      <c r="N148" s="459"/>
      <c r="O148" s="459"/>
      <c r="P148" s="433"/>
      <c r="Q148" s="433"/>
      <c r="R148" s="433"/>
      <c r="S148" s="427">
        <f>+U40</f>
        <v>1.9103207787586399E-2</v>
      </c>
      <c r="T148" s="379"/>
      <c r="U148" s="379"/>
      <c r="V148" s="385"/>
      <c r="W148" s="6"/>
    </row>
    <row r="149" spans="1:23" ht="15.6">
      <c r="A149" s="458"/>
      <c r="B149" s="379" t="s">
        <v>65</v>
      </c>
      <c r="C149" s="459"/>
      <c r="D149" s="459"/>
      <c r="E149" s="459"/>
      <c r="F149" s="459"/>
      <c r="G149" s="459"/>
      <c r="H149" s="459"/>
      <c r="I149" s="459"/>
      <c r="J149" s="459"/>
      <c r="K149" s="459"/>
      <c r="L149" s="459"/>
      <c r="M149" s="459"/>
      <c r="N149" s="459"/>
      <c r="O149" s="459"/>
      <c r="P149" s="433"/>
      <c r="Q149" s="433"/>
      <c r="R149" s="433"/>
      <c r="S149" s="427">
        <f>S147-S148</f>
        <v>7.2736792212413609E-2</v>
      </c>
      <c r="T149" s="379"/>
      <c r="U149" s="379"/>
      <c r="V149" s="385"/>
      <c r="W149" s="6"/>
    </row>
    <row r="150" spans="1:23" ht="15.6">
      <c r="A150" s="458"/>
      <c r="B150" s="379" t="s">
        <v>204</v>
      </c>
      <c r="C150" s="459"/>
      <c r="D150" s="459"/>
      <c r="E150" s="459"/>
      <c r="F150" s="459"/>
      <c r="G150" s="459"/>
      <c r="H150" s="459"/>
      <c r="I150" s="459"/>
      <c r="J150" s="459"/>
      <c r="K150" s="459"/>
      <c r="L150" s="459"/>
      <c r="M150" s="459"/>
      <c r="N150" s="459"/>
      <c r="O150" s="459"/>
      <c r="P150" s="433"/>
      <c r="Q150" s="433"/>
      <c r="R150" s="433"/>
      <c r="S150" s="429">
        <v>49780</v>
      </c>
      <c r="T150" s="379"/>
      <c r="U150" s="379"/>
      <c r="V150" s="385"/>
      <c r="W150" s="6"/>
    </row>
    <row r="151" spans="1:23" ht="15.6">
      <c r="A151" s="458"/>
      <c r="B151" s="379" t="s">
        <v>205</v>
      </c>
      <c r="C151" s="459"/>
      <c r="D151" s="459"/>
      <c r="E151" s="459"/>
      <c r="F151" s="459"/>
      <c r="G151" s="459"/>
      <c r="H151" s="459"/>
      <c r="I151" s="459"/>
      <c r="J151" s="459"/>
      <c r="K151" s="459"/>
      <c r="L151" s="459"/>
      <c r="M151" s="459"/>
      <c r="N151" s="459"/>
      <c r="O151" s="459"/>
      <c r="P151" s="433"/>
      <c r="Q151" s="433"/>
      <c r="R151" s="433"/>
      <c r="S151" s="429">
        <v>49780</v>
      </c>
      <c r="T151" s="379"/>
      <c r="U151" s="379"/>
      <c r="V151" s="385"/>
      <c r="W151" s="6"/>
    </row>
    <row r="152" spans="1:23" ht="15.6">
      <c r="A152" s="458"/>
      <c r="B152" s="379" t="s">
        <v>206</v>
      </c>
      <c r="C152" s="459"/>
      <c r="D152" s="459"/>
      <c r="E152" s="459"/>
      <c r="F152" s="459"/>
      <c r="G152" s="459"/>
      <c r="H152" s="459"/>
      <c r="I152" s="459"/>
      <c r="J152" s="459"/>
      <c r="K152" s="459"/>
      <c r="L152" s="459"/>
      <c r="M152" s="459"/>
      <c r="N152" s="459"/>
      <c r="O152" s="459"/>
      <c r="P152" s="433"/>
      <c r="Q152" s="433"/>
      <c r="R152" s="433"/>
      <c r="S152" s="429">
        <v>49780</v>
      </c>
      <c r="T152" s="379"/>
      <c r="U152" s="379"/>
      <c r="V152" s="385"/>
      <c r="W152" s="6"/>
    </row>
    <row r="153" spans="1:23" ht="15.6">
      <c r="A153" s="458"/>
      <c r="B153" s="379" t="s">
        <v>207</v>
      </c>
      <c r="C153" s="459"/>
      <c r="D153" s="459"/>
      <c r="E153" s="459"/>
      <c r="F153" s="459"/>
      <c r="G153" s="459"/>
      <c r="H153" s="459"/>
      <c r="I153" s="459"/>
      <c r="J153" s="459"/>
      <c r="K153" s="459"/>
      <c r="L153" s="459"/>
      <c r="M153" s="459"/>
      <c r="N153" s="459"/>
      <c r="O153" s="459"/>
      <c r="P153" s="433"/>
      <c r="Q153" s="433"/>
      <c r="R153" s="433"/>
      <c r="S153" s="429">
        <v>49780</v>
      </c>
      <c r="T153" s="379"/>
      <c r="U153" s="379"/>
      <c r="V153" s="385"/>
      <c r="W153" s="6"/>
    </row>
    <row r="154" spans="1:23" ht="15.6">
      <c r="A154" s="458"/>
      <c r="B154" s="379" t="s">
        <v>221</v>
      </c>
      <c r="C154" s="459"/>
      <c r="D154" s="459"/>
      <c r="E154" s="459"/>
      <c r="F154" s="459"/>
      <c r="G154" s="459"/>
      <c r="H154" s="459"/>
      <c r="I154" s="459"/>
      <c r="J154" s="459"/>
      <c r="K154" s="459"/>
      <c r="L154" s="459"/>
      <c r="M154" s="459"/>
      <c r="N154" s="459"/>
      <c r="O154" s="459"/>
      <c r="P154" s="433"/>
      <c r="Q154" s="433"/>
      <c r="R154" s="433"/>
      <c r="S154" s="432">
        <v>111.34</v>
      </c>
      <c r="T154" s="379"/>
      <c r="U154" s="379"/>
      <c r="V154" s="385"/>
      <c r="W154" s="6"/>
    </row>
    <row r="155" spans="1:23" ht="15.6">
      <c r="A155" s="458"/>
      <c r="B155" s="379" t="s">
        <v>222</v>
      </c>
      <c r="C155" s="459"/>
      <c r="D155" s="459"/>
      <c r="E155" s="459"/>
      <c r="F155" s="459"/>
      <c r="G155" s="459"/>
      <c r="H155" s="459"/>
      <c r="I155" s="459"/>
      <c r="J155" s="459"/>
      <c r="K155" s="459"/>
      <c r="L155" s="459"/>
      <c r="M155" s="459"/>
      <c r="N155" s="459"/>
      <c r="O155" s="459"/>
      <c r="P155" s="433"/>
      <c r="Q155" s="433"/>
      <c r="R155" s="433"/>
      <c r="S155" s="432">
        <v>156.11000000000001</v>
      </c>
      <c r="T155" s="379"/>
      <c r="U155" s="379"/>
      <c r="V155" s="385"/>
      <c r="W155" s="6"/>
    </row>
    <row r="156" spans="1:23" ht="15.6">
      <c r="A156" s="458" t="s">
        <v>223</v>
      </c>
      <c r="B156" s="379" t="s">
        <v>66</v>
      </c>
      <c r="C156" s="459"/>
      <c r="D156" s="459"/>
      <c r="E156" s="459"/>
      <c r="F156" s="459"/>
      <c r="G156" s="459"/>
      <c r="H156" s="459"/>
      <c r="I156" s="459"/>
      <c r="J156" s="459"/>
      <c r="K156" s="459"/>
      <c r="L156" s="459"/>
      <c r="M156" s="459"/>
      <c r="N156" s="459"/>
      <c r="O156" s="459"/>
      <c r="P156" s="433"/>
      <c r="Q156" s="433"/>
      <c r="R156" s="433"/>
      <c r="S156" s="427">
        <v>4.3799999999999999E-2</v>
      </c>
      <c r="T156" s="379"/>
      <c r="U156" s="379"/>
      <c r="V156" s="385"/>
      <c r="W156" s="6"/>
    </row>
    <row r="157" spans="1:23" ht="15.6">
      <c r="A157" s="458"/>
      <c r="B157" s="379" t="s">
        <v>67</v>
      </c>
      <c r="C157" s="459"/>
      <c r="D157" s="459"/>
      <c r="E157" s="459"/>
      <c r="F157" s="459"/>
      <c r="G157" s="459"/>
      <c r="H157" s="459"/>
      <c r="I157" s="459"/>
      <c r="J157" s="459"/>
      <c r="K157" s="459"/>
      <c r="L157" s="459"/>
      <c r="M157" s="459"/>
      <c r="N157" s="459"/>
      <c r="O157" s="459"/>
      <c r="P157" s="433"/>
      <c r="Q157" s="433"/>
      <c r="R157" s="433"/>
      <c r="S157" s="427">
        <v>0.31109999999999999</v>
      </c>
      <c r="T157" s="379"/>
      <c r="U157" s="379"/>
      <c r="V157" s="385"/>
      <c r="W157" s="6"/>
    </row>
    <row r="158" spans="1:23" ht="15.6">
      <c r="A158" s="280"/>
      <c r="B158" s="364"/>
      <c r="C158" s="364"/>
      <c r="D158" s="364"/>
      <c r="E158" s="364"/>
      <c r="F158" s="364"/>
      <c r="G158" s="364"/>
      <c r="H158" s="364"/>
      <c r="I158" s="364"/>
      <c r="J158" s="364"/>
      <c r="K158" s="364"/>
      <c r="L158" s="364"/>
      <c r="M158" s="364"/>
      <c r="N158" s="364"/>
      <c r="O158" s="364"/>
      <c r="P158" s="364"/>
      <c r="Q158" s="364"/>
      <c r="R158" s="455"/>
      <c r="S158" s="456"/>
      <c r="T158" s="364"/>
      <c r="U158" s="457"/>
      <c r="V158" s="245"/>
      <c r="W158" s="6"/>
    </row>
    <row r="159" spans="1:23" ht="15.6">
      <c r="A159" s="280"/>
      <c r="B159" s="288"/>
      <c r="C159" s="288"/>
      <c r="D159" s="288"/>
      <c r="E159" s="288"/>
      <c r="F159" s="288"/>
      <c r="G159" s="288"/>
      <c r="H159" s="288"/>
      <c r="I159" s="288"/>
      <c r="J159" s="288"/>
      <c r="K159" s="288"/>
      <c r="L159" s="288"/>
      <c r="M159" s="288"/>
      <c r="N159" s="288"/>
      <c r="O159" s="288"/>
      <c r="P159" s="288"/>
      <c r="Q159" s="288"/>
      <c r="R159" s="331"/>
      <c r="S159" s="332"/>
      <c r="T159" s="288"/>
      <c r="U159" s="333"/>
      <c r="V159" s="245"/>
      <c r="W159" s="6"/>
    </row>
    <row r="160" spans="1:23" ht="16.2" thickBot="1">
      <c r="A160" s="282"/>
      <c r="B160" s="304" t="str">
        <f>+B109</f>
        <v>PPAF3 INVESTOR REPORT QUARTER ENDING DECEMBER 2011</v>
      </c>
      <c r="C160" s="305"/>
      <c r="D160" s="305"/>
      <c r="E160" s="305"/>
      <c r="F160" s="305"/>
      <c r="G160" s="305"/>
      <c r="H160" s="305"/>
      <c r="I160" s="305"/>
      <c r="J160" s="305"/>
      <c r="K160" s="305"/>
      <c r="L160" s="305"/>
      <c r="M160" s="305"/>
      <c r="N160" s="305"/>
      <c r="O160" s="305"/>
      <c r="P160" s="305"/>
      <c r="Q160" s="305"/>
      <c r="R160" s="334"/>
      <c r="S160" s="335"/>
      <c r="T160" s="305"/>
      <c r="U160" s="336"/>
      <c r="V160" s="262"/>
      <c r="W160" s="6"/>
    </row>
    <row r="161" spans="1:23" ht="15.6">
      <c r="A161" s="337"/>
      <c r="B161" s="520" t="s">
        <v>68</v>
      </c>
      <c r="C161" s="521"/>
      <c r="D161" s="521"/>
      <c r="E161" s="521"/>
      <c r="F161" s="521"/>
      <c r="G161" s="521"/>
      <c r="H161" s="521"/>
      <c r="I161" s="521"/>
      <c r="J161" s="521"/>
      <c r="K161" s="521"/>
      <c r="L161" s="521"/>
      <c r="M161" s="522"/>
      <c r="N161" s="521"/>
      <c r="O161" s="522"/>
      <c r="P161" s="521"/>
      <c r="Q161" s="522"/>
      <c r="R161" s="521" t="s">
        <v>94</v>
      </c>
      <c r="S161" s="522" t="s">
        <v>116</v>
      </c>
      <c r="T161" s="340"/>
      <c r="U161" s="340"/>
      <c r="V161" s="341"/>
      <c r="W161" s="6"/>
    </row>
    <row r="162" spans="1:23" ht="15.6">
      <c r="A162" s="283"/>
      <c r="B162" s="294" t="s">
        <v>216</v>
      </c>
      <c r="C162" s="310"/>
      <c r="D162" s="310"/>
      <c r="E162" s="310"/>
      <c r="F162" s="310"/>
      <c r="G162" s="310"/>
      <c r="H162" s="310"/>
      <c r="I162" s="310"/>
      <c r="J162" s="310"/>
      <c r="K162" s="310"/>
      <c r="L162" s="310"/>
      <c r="M162" s="310"/>
      <c r="N162" s="310"/>
      <c r="O162" s="294"/>
      <c r="P162" s="294"/>
      <c r="Q162" s="294"/>
      <c r="R162" s="310">
        <v>873</v>
      </c>
      <c r="S162" s="311">
        <v>23644</v>
      </c>
      <c r="T162" s="311"/>
      <c r="U162" s="330"/>
      <c r="V162" s="342"/>
      <c r="W162" s="6"/>
    </row>
    <row r="163" spans="1:23" ht="15.6">
      <c r="A163" s="465"/>
      <c r="B163" s="379" t="s">
        <v>217</v>
      </c>
      <c r="C163" s="440"/>
      <c r="D163" s="440"/>
      <c r="E163" s="440"/>
      <c r="F163" s="440"/>
      <c r="G163" s="440"/>
      <c r="H163" s="440"/>
      <c r="I163" s="440"/>
      <c r="J163" s="440"/>
      <c r="K163" s="440"/>
      <c r="L163" s="440"/>
      <c r="M163" s="440"/>
      <c r="N163" s="440"/>
      <c r="O163" s="379"/>
      <c r="P163" s="379"/>
      <c r="Q163" s="379"/>
      <c r="R163" s="539">
        <v>20</v>
      </c>
      <c r="S163" s="540">
        <v>147</v>
      </c>
      <c r="T163" s="441"/>
      <c r="U163" s="466"/>
      <c r="V163" s="467"/>
      <c r="W163" s="6"/>
    </row>
    <row r="164" spans="1:23" ht="15.6">
      <c r="A164" s="465"/>
      <c r="B164" s="379" t="s">
        <v>218</v>
      </c>
      <c r="C164" s="440"/>
      <c r="D164" s="440"/>
      <c r="E164" s="440"/>
      <c r="F164" s="440"/>
      <c r="G164" s="440"/>
      <c r="H164" s="440"/>
      <c r="I164" s="440"/>
      <c r="J164" s="440"/>
      <c r="K164" s="440"/>
      <c r="L164" s="440"/>
      <c r="M164" s="440"/>
      <c r="N164" s="440"/>
      <c r="O164" s="379"/>
      <c r="P164" s="379"/>
      <c r="Q164" s="379"/>
      <c r="R164" s="539">
        <v>158</v>
      </c>
      <c r="S164" s="540">
        <v>157</v>
      </c>
      <c r="T164" s="441"/>
      <c r="U164" s="466"/>
      <c r="V164" s="467"/>
      <c r="W164" s="6"/>
    </row>
    <row r="165" spans="1:23" ht="15.6">
      <c r="A165" s="465"/>
      <c r="B165" s="379" t="s">
        <v>219</v>
      </c>
      <c r="C165" s="440"/>
      <c r="D165" s="440"/>
      <c r="E165" s="440"/>
      <c r="F165" s="440"/>
      <c r="G165" s="440"/>
      <c r="H165" s="440"/>
      <c r="I165" s="440"/>
      <c r="J165" s="440"/>
      <c r="K165" s="440"/>
      <c r="L165" s="440"/>
      <c r="M165" s="440"/>
      <c r="N165" s="440"/>
      <c r="O165" s="379"/>
      <c r="P165" s="379"/>
      <c r="Q165" s="379"/>
      <c r="R165" s="539">
        <v>150</v>
      </c>
      <c r="S165" s="540">
        <v>431</v>
      </c>
      <c r="T165" s="441"/>
      <c r="U165" s="466"/>
      <c r="V165" s="467"/>
      <c r="W165" s="6"/>
    </row>
    <row r="166" spans="1:23" ht="15.6">
      <c r="A166" s="465"/>
      <c r="B166" s="379" t="s">
        <v>90</v>
      </c>
      <c r="C166" s="440"/>
      <c r="D166" s="440"/>
      <c r="E166" s="440"/>
      <c r="F166" s="440"/>
      <c r="G166" s="440"/>
      <c r="H166" s="440"/>
      <c r="I166" s="440"/>
      <c r="J166" s="440"/>
      <c r="K166" s="440"/>
      <c r="L166" s="440"/>
      <c r="M166" s="440"/>
      <c r="N166" s="440"/>
      <c r="O166" s="379"/>
      <c r="P166" s="379"/>
      <c r="Q166" s="379"/>
      <c r="R166" s="541">
        <f>SUM(R162:R165)</f>
        <v>1201</v>
      </c>
      <c r="S166" s="540">
        <f>SUM(S162:S165)</f>
        <v>24379</v>
      </c>
      <c r="T166" s="441"/>
      <c r="U166" s="466"/>
      <c r="V166" s="467"/>
      <c r="W166" s="6"/>
    </row>
    <row r="167" spans="1:23" ht="15.6">
      <c r="A167" s="465"/>
      <c r="B167" s="379"/>
      <c r="C167" s="440"/>
      <c r="D167" s="440"/>
      <c r="E167" s="440"/>
      <c r="F167" s="440"/>
      <c r="G167" s="440"/>
      <c r="H167" s="440"/>
      <c r="I167" s="440"/>
      <c r="J167" s="440"/>
      <c r="K167" s="440"/>
      <c r="L167" s="440"/>
      <c r="M167" s="440"/>
      <c r="N167" s="440"/>
      <c r="O167" s="379"/>
      <c r="P167" s="379"/>
      <c r="Q167" s="379"/>
      <c r="R167" s="379"/>
      <c r="S167" s="441"/>
      <c r="T167" s="441"/>
      <c r="U167" s="466"/>
      <c r="V167" s="467"/>
      <c r="W167" s="6"/>
    </row>
    <row r="168" spans="1:23" ht="15.6">
      <c r="A168" s="465"/>
      <c r="B168" s="379" t="s">
        <v>220</v>
      </c>
      <c r="C168" s="440"/>
      <c r="D168" s="440"/>
      <c r="E168" s="440"/>
      <c r="F168" s="440"/>
      <c r="G168" s="440"/>
      <c r="H168" s="440"/>
      <c r="I168" s="440"/>
      <c r="J168" s="440"/>
      <c r="K168" s="440"/>
      <c r="L168" s="440"/>
      <c r="M168" s="440"/>
      <c r="N168" s="440"/>
      <c r="O168" s="379"/>
      <c r="P168" s="379"/>
      <c r="Q168" s="379"/>
      <c r="R168" s="539">
        <v>0</v>
      </c>
      <c r="S168" s="540">
        <v>0</v>
      </c>
      <c r="T168" s="441"/>
      <c r="U168" s="466"/>
      <c r="V168" s="467"/>
      <c r="W168" s="6"/>
    </row>
    <row r="169" spans="1:23" ht="15.6">
      <c r="A169" s="465"/>
      <c r="B169" s="379" t="s">
        <v>224</v>
      </c>
      <c r="C169" s="440"/>
      <c r="D169" s="440"/>
      <c r="E169" s="440"/>
      <c r="F169" s="440"/>
      <c r="G169" s="440"/>
      <c r="H169" s="440"/>
      <c r="I169" s="440"/>
      <c r="J169" s="440"/>
      <c r="K169" s="440"/>
      <c r="L169" s="440"/>
      <c r="M169" s="440"/>
      <c r="N169" s="440"/>
      <c r="O169" s="379"/>
      <c r="P169" s="379"/>
      <c r="Q169" s="379"/>
      <c r="R169" s="539">
        <v>2</v>
      </c>
      <c r="S169" s="540">
        <v>64</v>
      </c>
      <c r="T169" s="441"/>
      <c r="U169" s="466"/>
      <c r="V169" s="467"/>
      <c r="W169" s="6"/>
    </row>
    <row r="170" spans="1:23" ht="15.6">
      <c r="A170" s="465"/>
      <c r="B170" s="468" t="s">
        <v>69</v>
      </c>
      <c r="C170" s="469"/>
      <c r="D170" s="469"/>
      <c r="E170" s="469"/>
      <c r="F170" s="469"/>
      <c r="G170" s="469"/>
      <c r="H170" s="469"/>
      <c r="I170" s="469"/>
      <c r="J170" s="469"/>
      <c r="K170" s="469"/>
      <c r="L170" s="469"/>
      <c r="M170" s="469"/>
      <c r="N170" s="469"/>
      <c r="O170" s="454"/>
      <c r="P170" s="454"/>
      <c r="Q170" s="454"/>
      <c r="R170" s="539"/>
      <c r="S170" s="540">
        <v>0</v>
      </c>
      <c r="T170" s="454"/>
      <c r="U170" s="470"/>
      <c r="V170" s="471"/>
      <c r="W170" s="6"/>
    </row>
    <row r="171" spans="1:23" ht="15.6">
      <c r="A171" s="465"/>
      <c r="B171" s="468" t="s">
        <v>70</v>
      </c>
      <c r="C171" s="469"/>
      <c r="D171" s="469"/>
      <c r="E171" s="469"/>
      <c r="F171" s="469"/>
      <c r="G171" s="469"/>
      <c r="H171" s="469"/>
      <c r="I171" s="469"/>
      <c r="J171" s="469"/>
      <c r="K171" s="469"/>
      <c r="L171" s="469"/>
      <c r="M171" s="469"/>
      <c r="N171" s="469"/>
      <c r="O171" s="454"/>
      <c r="P171" s="454"/>
      <c r="Q171" s="454"/>
      <c r="R171" s="539"/>
      <c r="S171" s="540">
        <f>Q75</f>
        <v>0</v>
      </c>
      <c r="T171" s="454"/>
      <c r="U171" s="470"/>
      <c r="V171" s="471"/>
      <c r="W171" s="6"/>
    </row>
    <row r="172" spans="1:23" ht="15.6">
      <c r="A172" s="472"/>
      <c r="B172" s="468" t="s">
        <v>71</v>
      </c>
      <c r="C172" s="469"/>
      <c r="D172" s="469"/>
      <c r="E172" s="469"/>
      <c r="F172" s="469"/>
      <c r="G172" s="469"/>
      <c r="H172" s="469"/>
      <c r="I172" s="469"/>
      <c r="J172" s="469"/>
      <c r="K172" s="469"/>
      <c r="L172" s="469"/>
      <c r="M172" s="473"/>
      <c r="N172" s="473"/>
      <c r="O172" s="473"/>
      <c r="P172" s="454"/>
      <c r="Q172" s="454"/>
      <c r="R172" s="379"/>
      <c r="S172" s="500"/>
      <c r="T172" s="454"/>
      <c r="U172" s="470"/>
      <c r="V172" s="474"/>
      <c r="W172" s="6"/>
    </row>
    <row r="173" spans="1:23" ht="15.6">
      <c r="A173" s="465"/>
      <c r="B173" s="379" t="s">
        <v>72</v>
      </c>
      <c r="C173" s="469"/>
      <c r="D173" s="469"/>
      <c r="E173" s="469"/>
      <c r="F173" s="469"/>
      <c r="G173" s="469"/>
      <c r="H173" s="469"/>
      <c r="I173" s="469"/>
      <c r="J173" s="469"/>
      <c r="K173" s="469"/>
      <c r="L173" s="469"/>
      <c r="M173" s="469"/>
      <c r="N173" s="469"/>
      <c r="O173" s="469"/>
      <c r="P173" s="454"/>
      <c r="Q173" s="454"/>
      <c r="R173" s="379"/>
      <c r="S173" s="441">
        <f>U128</f>
        <v>1799</v>
      </c>
      <c r="T173" s="454"/>
      <c r="U173" s="470"/>
      <c r="V173" s="474"/>
      <c r="W173" s="6"/>
    </row>
    <row r="174" spans="1:23" ht="15.6">
      <c r="A174" s="465"/>
      <c r="B174" s="379" t="s">
        <v>73</v>
      </c>
      <c r="C174" s="469"/>
      <c r="D174" s="469"/>
      <c r="E174" s="469"/>
      <c r="F174" s="469"/>
      <c r="G174" s="469"/>
      <c r="H174" s="469"/>
      <c r="I174" s="469"/>
      <c r="J174" s="469"/>
      <c r="K174" s="469"/>
      <c r="L174" s="469"/>
      <c r="M174" s="469"/>
      <c r="N174" s="469"/>
      <c r="O174" s="469"/>
      <c r="P174" s="454"/>
      <c r="Q174" s="454"/>
      <c r="R174" s="379"/>
      <c r="S174" s="441">
        <f>'September 11'!S174+S173</f>
        <v>78841</v>
      </c>
      <c r="T174" s="454"/>
      <c r="U174" s="470"/>
      <c r="V174" s="474"/>
      <c r="W174" s="6"/>
    </row>
    <row r="175" spans="1:23" ht="15.6">
      <c r="A175" s="465"/>
      <c r="B175" s="379" t="s">
        <v>74</v>
      </c>
      <c r="C175" s="469"/>
      <c r="D175" s="469"/>
      <c r="E175" s="469"/>
      <c r="F175" s="469"/>
      <c r="G175" s="469"/>
      <c r="H175" s="469"/>
      <c r="I175" s="469"/>
      <c r="J175" s="469"/>
      <c r="K175" s="469"/>
      <c r="L175" s="469"/>
      <c r="M175" s="469"/>
      <c r="N175" s="469"/>
      <c r="O175" s="469"/>
      <c r="P175" s="454"/>
      <c r="Q175" s="454"/>
      <c r="R175" s="379"/>
      <c r="S175" s="441">
        <f>'September 11'!S175+680</f>
        <v>17239</v>
      </c>
      <c r="T175" s="454"/>
      <c r="U175" s="470"/>
      <c r="V175" s="474"/>
      <c r="W175" s="6"/>
    </row>
    <row r="176" spans="1:23" ht="15.6">
      <c r="A176" s="465"/>
      <c r="B176" s="473"/>
      <c r="C176" s="469"/>
      <c r="D176" s="469"/>
      <c r="E176" s="469"/>
      <c r="F176" s="469"/>
      <c r="G176" s="469"/>
      <c r="H176" s="469"/>
      <c r="I176" s="469"/>
      <c r="J176" s="469"/>
      <c r="K176" s="469"/>
      <c r="L176" s="469"/>
      <c r="M176" s="469"/>
      <c r="N176" s="469"/>
      <c r="O176" s="469"/>
      <c r="P176" s="454"/>
      <c r="Q176" s="454"/>
      <c r="R176" s="379"/>
      <c r="S176" s="441"/>
      <c r="T176" s="454"/>
      <c r="U176" s="470"/>
      <c r="V176" s="474"/>
      <c r="W176" s="6"/>
    </row>
    <row r="177" spans="1:23" ht="15.6">
      <c r="A177" s="472"/>
      <c r="B177" s="468" t="s">
        <v>259</v>
      </c>
      <c r="C177" s="469"/>
      <c r="D177" s="469"/>
      <c r="E177" s="469"/>
      <c r="F177" s="469"/>
      <c r="G177" s="469"/>
      <c r="H177" s="469"/>
      <c r="I177" s="469"/>
      <c r="J177" s="469"/>
      <c r="K177" s="469"/>
      <c r="L177" s="469"/>
      <c r="M177" s="473"/>
      <c r="N177" s="473"/>
      <c r="O177" s="473"/>
      <c r="P177" s="454"/>
      <c r="Q177" s="454"/>
      <c r="R177" s="379"/>
      <c r="S177" s="453"/>
      <c r="T177" s="454"/>
      <c r="U177" s="470"/>
      <c r="V177" s="474"/>
      <c r="W177" s="6"/>
    </row>
    <row r="178" spans="1:23" ht="15.6">
      <c r="A178" s="472"/>
      <c r="B178" s="379" t="s">
        <v>254</v>
      </c>
      <c r="C178" s="469"/>
      <c r="D178" s="469"/>
      <c r="E178" s="469"/>
      <c r="F178" s="469"/>
      <c r="G178" s="469"/>
      <c r="H178" s="469"/>
      <c r="I178" s="469"/>
      <c r="J178" s="469"/>
      <c r="K178" s="469"/>
      <c r="L178" s="469"/>
      <c r="M178" s="473"/>
      <c r="N178" s="473"/>
      <c r="O178" s="473"/>
      <c r="P178" s="454"/>
      <c r="Q178" s="454"/>
      <c r="R178" s="379"/>
      <c r="S178" s="543">
        <v>0</v>
      </c>
      <c r="T178" s="454"/>
      <c r="U178" s="470"/>
      <c r="V178" s="474"/>
      <c r="W178" s="6"/>
    </row>
    <row r="179" spans="1:23" ht="15.6">
      <c r="A179" s="465"/>
      <c r="B179" s="379" t="s">
        <v>75</v>
      </c>
      <c r="C179" s="469"/>
      <c r="D179" s="469"/>
      <c r="E179" s="469"/>
      <c r="F179" s="469"/>
      <c r="G179" s="469"/>
      <c r="H179" s="469"/>
      <c r="I179" s="469"/>
      <c r="J179" s="469"/>
      <c r="K179" s="469"/>
      <c r="L179" s="469"/>
      <c r="M179" s="475"/>
      <c r="N179" s="475"/>
      <c r="O179" s="476"/>
      <c r="P179" s="454"/>
      <c r="Q179" s="454"/>
      <c r="R179" s="379"/>
      <c r="S179" s="544">
        <v>0</v>
      </c>
      <c r="T179" s="454"/>
      <c r="U179" s="470"/>
      <c r="V179" s="474"/>
      <c r="W179" s="6"/>
    </row>
    <row r="180" spans="1:23" ht="15.6">
      <c r="A180" s="465"/>
      <c r="B180" s="379" t="s">
        <v>76</v>
      </c>
      <c r="C180" s="469"/>
      <c r="D180" s="469"/>
      <c r="E180" s="469"/>
      <c r="F180" s="469"/>
      <c r="G180" s="469"/>
      <c r="H180" s="469"/>
      <c r="I180" s="469"/>
      <c r="J180" s="469"/>
      <c r="K180" s="469"/>
      <c r="L180" s="469"/>
      <c r="M180" s="475"/>
      <c r="N180" s="475"/>
      <c r="O180" s="476"/>
      <c r="P180" s="454"/>
      <c r="Q180" s="454"/>
      <c r="R180" s="379"/>
      <c r="S180" s="544">
        <v>0</v>
      </c>
      <c r="T180" s="454"/>
      <c r="U180" s="470"/>
      <c r="V180" s="474"/>
      <c r="W180" s="6"/>
    </row>
    <row r="181" spans="1:23" ht="15.6">
      <c r="A181" s="465"/>
      <c r="B181" s="473"/>
      <c r="C181" s="469"/>
      <c r="D181" s="469"/>
      <c r="E181" s="469"/>
      <c r="F181" s="469"/>
      <c r="G181" s="469"/>
      <c r="H181" s="469"/>
      <c r="I181" s="469"/>
      <c r="J181" s="469"/>
      <c r="K181" s="469"/>
      <c r="L181" s="469"/>
      <c r="M181" s="477"/>
      <c r="N181" s="475"/>
      <c r="O181" s="476"/>
      <c r="P181" s="454"/>
      <c r="Q181" s="454"/>
      <c r="R181" s="379"/>
      <c r="S181" s="537"/>
      <c r="T181" s="454"/>
      <c r="U181" s="470"/>
      <c r="V181" s="474"/>
      <c r="W181" s="6"/>
    </row>
    <row r="182" spans="1:23" ht="15.6">
      <c r="A182" s="465"/>
      <c r="B182" s="468" t="s">
        <v>77</v>
      </c>
      <c r="C182" s="469"/>
      <c r="D182" s="469"/>
      <c r="E182" s="469"/>
      <c r="F182" s="469"/>
      <c r="G182" s="469"/>
      <c r="H182" s="469"/>
      <c r="I182" s="469"/>
      <c r="J182" s="469"/>
      <c r="K182" s="469"/>
      <c r="L182" s="469"/>
      <c r="M182" s="469"/>
      <c r="N182" s="477"/>
      <c r="O182" s="475"/>
      <c r="P182" s="476"/>
      <c r="Q182" s="454"/>
      <c r="R182" s="380"/>
      <c r="S182" s="538"/>
      <c r="T182" s="478"/>
      <c r="U182" s="390"/>
      <c r="V182" s="479"/>
      <c r="W182" s="6"/>
    </row>
    <row r="183" spans="1:23" ht="15.6">
      <c r="A183" s="465"/>
      <c r="B183" s="379" t="s">
        <v>78</v>
      </c>
      <c r="C183" s="469"/>
      <c r="D183" s="469"/>
      <c r="E183" s="469"/>
      <c r="F183" s="469"/>
      <c r="G183" s="469"/>
      <c r="H183" s="469"/>
      <c r="I183" s="469"/>
      <c r="J183" s="469"/>
      <c r="K183" s="469"/>
      <c r="L183" s="469"/>
      <c r="M183" s="469"/>
      <c r="N183" s="477"/>
      <c r="O183" s="475"/>
      <c r="P183" s="476"/>
      <c r="Q183" s="454"/>
      <c r="R183" s="380"/>
      <c r="S183" s="542">
        <v>33</v>
      </c>
      <c r="T183" s="480"/>
      <c r="U183" s="390"/>
      <c r="V183" s="479"/>
      <c r="W183" s="6"/>
    </row>
    <row r="184" spans="1:23" ht="15.6">
      <c r="A184" s="465"/>
      <c r="B184" s="379" t="s">
        <v>75</v>
      </c>
      <c r="C184" s="469"/>
      <c r="D184" s="469"/>
      <c r="E184" s="469"/>
      <c r="F184" s="469"/>
      <c r="G184" s="469"/>
      <c r="H184" s="469"/>
      <c r="I184" s="469"/>
      <c r="J184" s="469"/>
      <c r="K184" s="469"/>
      <c r="L184" s="469"/>
      <c r="M184" s="469"/>
      <c r="N184" s="477"/>
      <c r="O184" s="475"/>
      <c r="P184" s="476"/>
      <c r="Q184" s="454"/>
      <c r="R184" s="380"/>
      <c r="S184" s="542">
        <v>2</v>
      </c>
      <c r="T184" s="480"/>
      <c r="U184" s="390"/>
      <c r="V184" s="479"/>
      <c r="W184" s="6"/>
    </row>
    <row r="185" spans="1:23" ht="15.6">
      <c r="A185" s="465"/>
      <c r="B185" s="379" t="s">
        <v>79</v>
      </c>
      <c r="C185" s="469"/>
      <c r="D185" s="469"/>
      <c r="E185" s="469"/>
      <c r="F185" s="469"/>
      <c r="G185" s="469"/>
      <c r="H185" s="469"/>
      <c r="I185" s="469"/>
      <c r="J185" s="469"/>
      <c r="K185" s="469"/>
      <c r="L185" s="469"/>
      <c r="M185" s="469"/>
      <c r="N185" s="477"/>
      <c r="O185" s="475"/>
      <c r="P185" s="476"/>
      <c r="Q185" s="454"/>
      <c r="R185" s="380"/>
      <c r="S185" s="542">
        <v>107</v>
      </c>
      <c r="T185" s="480"/>
      <c r="U185" s="390"/>
      <c r="V185" s="479"/>
      <c r="W185" s="6"/>
    </row>
    <row r="186" spans="1:23" ht="15.6">
      <c r="A186" s="465"/>
      <c r="B186" s="473"/>
      <c r="C186" s="469"/>
      <c r="D186" s="469"/>
      <c r="E186" s="469"/>
      <c r="F186" s="469"/>
      <c r="G186" s="469"/>
      <c r="H186" s="469"/>
      <c r="I186" s="469"/>
      <c r="J186" s="469"/>
      <c r="K186" s="469"/>
      <c r="L186" s="469"/>
      <c r="M186" s="477"/>
      <c r="N186" s="475"/>
      <c r="O186" s="476"/>
      <c r="P186" s="454"/>
      <c r="Q186" s="454"/>
      <c r="R186" s="454"/>
      <c r="S186" s="537"/>
      <c r="T186" s="454"/>
      <c r="U186" s="470"/>
      <c r="V186" s="474"/>
      <c r="W186" s="6"/>
    </row>
    <row r="187" spans="1:23" ht="17.399999999999999">
      <c r="A187" s="465"/>
      <c r="B187" s="482" t="s">
        <v>196</v>
      </c>
      <c r="C187" s="469"/>
      <c r="D187" s="469"/>
      <c r="E187" s="469"/>
      <c r="F187" s="469"/>
      <c r="G187" s="469"/>
      <c r="H187" s="469"/>
      <c r="I187" s="469"/>
      <c r="J187" s="469"/>
      <c r="K187" s="483" t="s">
        <v>195</v>
      </c>
      <c r="L187" s="469"/>
      <c r="M187" s="477"/>
      <c r="N187" s="475"/>
      <c r="O187" s="476"/>
      <c r="P187" s="454"/>
      <c r="Q187" s="454"/>
      <c r="R187" s="454"/>
      <c r="S187" s="481"/>
      <c r="T187" s="454"/>
      <c r="U187" s="470"/>
      <c r="V187" s="474"/>
      <c r="W187" s="6"/>
    </row>
    <row r="188" spans="1:23" ht="15.6">
      <c r="A188" s="242"/>
      <c r="B188" s="460"/>
      <c r="C188" s="461"/>
      <c r="D188" s="461"/>
      <c r="E188" s="461"/>
      <c r="F188" s="461"/>
      <c r="G188" s="461"/>
      <c r="H188" s="461"/>
      <c r="I188" s="461"/>
      <c r="J188" s="461"/>
      <c r="K188" s="461"/>
      <c r="L188" s="461"/>
      <c r="M188" s="462"/>
      <c r="N188" s="461"/>
      <c r="O188" s="462"/>
      <c r="P188" s="461"/>
      <c r="Q188" s="462"/>
      <c r="R188" s="461"/>
      <c r="S188" s="462"/>
      <c r="T188" s="461"/>
      <c r="U188" s="463"/>
      <c r="V188" s="464"/>
      <c r="W188" s="6"/>
    </row>
    <row r="189" spans="1:23" ht="15.6">
      <c r="A189" s="348"/>
      <c r="B189" s="525" t="s">
        <v>80</v>
      </c>
      <c r="C189" s="343"/>
      <c r="D189" s="343"/>
      <c r="E189" s="343"/>
      <c r="F189" s="343"/>
      <c r="G189" s="343"/>
      <c r="H189" s="343"/>
      <c r="I189" s="343"/>
      <c r="J189" s="343"/>
      <c r="K189" s="343"/>
      <c r="L189" s="343"/>
      <c r="M189" s="525" t="s">
        <v>100</v>
      </c>
      <c r="N189" s="526"/>
      <c r="O189" s="527"/>
      <c r="P189" s="526"/>
      <c r="Q189" s="525" t="s">
        <v>26</v>
      </c>
      <c r="R189" s="526"/>
      <c r="S189" s="527"/>
      <c r="T189" s="526"/>
      <c r="U189" s="346"/>
      <c r="V189" s="528"/>
      <c r="W189" s="6"/>
    </row>
    <row r="190" spans="1:23" ht="15.6">
      <c r="A190" s="365"/>
      <c r="B190" s="366"/>
      <c r="C190" s="529"/>
      <c r="D190" s="529"/>
      <c r="E190" s="529"/>
      <c r="F190" s="529"/>
      <c r="G190" s="529"/>
      <c r="H190" s="529"/>
      <c r="I190" s="529"/>
      <c r="J190" s="529"/>
      <c r="K190" s="529"/>
      <c r="L190" s="529" t="s">
        <v>94</v>
      </c>
      <c r="M190" s="530" t="s">
        <v>101</v>
      </c>
      <c r="N190" s="529" t="s">
        <v>103</v>
      </c>
      <c r="O190" s="530" t="s">
        <v>101</v>
      </c>
      <c r="P190" s="530"/>
      <c r="Q190" s="529" t="s">
        <v>94</v>
      </c>
      <c r="R190" s="530" t="s">
        <v>101</v>
      </c>
      <c r="S190" s="529" t="s">
        <v>103</v>
      </c>
      <c r="T190" s="530" t="s">
        <v>101</v>
      </c>
      <c r="U190" s="369"/>
      <c r="V190" s="531"/>
      <c r="W190" s="6"/>
    </row>
    <row r="191" spans="1:23" ht="15.6">
      <c r="A191" s="316"/>
      <c r="B191" s="360" t="s">
        <v>81</v>
      </c>
      <c r="C191" s="361"/>
      <c r="D191" s="361"/>
      <c r="E191" s="361"/>
      <c r="F191" s="361"/>
      <c r="G191" s="361"/>
      <c r="H191" s="361"/>
      <c r="I191" s="361"/>
      <c r="J191" s="361"/>
      <c r="K191" s="361"/>
      <c r="L191" s="361">
        <v>737</v>
      </c>
      <c r="M191" s="362">
        <f t="shared" ref="M191:M197" si="0">+L191/$L$198</f>
        <v>0.74670719351570414</v>
      </c>
      <c r="N191" s="361">
        <v>2517</v>
      </c>
      <c r="O191" s="362">
        <f t="shared" ref="O191:O197" si="1">N191/$N$198</f>
        <v>0.81298449612403101</v>
      </c>
      <c r="P191" s="363"/>
      <c r="Q191" s="361">
        <v>592</v>
      </c>
      <c r="R191" s="362">
        <f t="shared" ref="R191:R197" si="2">+Q191/$Q$198</f>
        <v>0.70476190476190481</v>
      </c>
      <c r="S191" s="361">
        <v>656</v>
      </c>
      <c r="T191" s="362">
        <f t="shared" ref="T191:T197" si="3">+S191/$S$198</f>
        <v>0.74376417233560088</v>
      </c>
      <c r="U191" s="364"/>
      <c r="V191" s="312"/>
      <c r="W191" s="6"/>
    </row>
    <row r="192" spans="1:23" ht="15.6">
      <c r="A192" s="444"/>
      <c r="B192" s="440" t="s">
        <v>82</v>
      </c>
      <c r="C192" s="489"/>
      <c r="D192" s="489"/>
      <c r="E192" s="489"/>
      <c r="F192" s="489"/>
      <c r="G192" s="489"/>
      <c r="H192" s="489"/>
      <c r="I192" s="489"/>
      <c r="J192" s="489"/>
      <c r="K192" s="489"/>
      <c r="L192" s="489">
        <v>23</v>
      </c>
      <c r="M192" s="427">
        <f t="shared" si="0"/>
        <v>2.3302938196555219E-2</v>
      </c>
      <c r="N192" s="489">
        <v>14</v>
      </c>
      <c r="O192" s="427">
        <f t="shared" si="1"/>
        <v>4.5219638242894053E-3</v>
      </c>
      <c r="P192" s="381"/>
      <c r="Q192" s="489">
        <v>12</v>
      </c>
      <c r="R192" s="427">
        <f t="shared" si="2"/>
        <v>1.4285714285714285E-2</v>
      </c>
      <c r="S192" s="489">
        <v>8</v>
      </c>
      <c r="T192" s="427">
        <f t="shared" si="3"/>
        <v>9.0702947845804991E-3</v>
      </c>
      <c r="U192" s="379"/>
      <c r="V192" s="435"/>
      <c r="W192" s="6"/>
    </row>
    <row r="193" spans="1:24" ht="15.6">
      <c r="A193" s="444"/>
      <c r="B193" s="440" t="s">
        <v>83</v>
      </c>
      <c r="C193" s="489"/>
      <c r="D193" s="489"/>
      <c r="E193" s="489"/>
      <c r="F193" s="489"/>
      <c r="G193" s="489"/>
      <c r="H193" s="489"/>
      <c r="I193" s="489"/>
      <c r="J193" s="489"/>
      <c r="K193" s="489"/>
      <c r="L193" s="489">
        <v>25</v>
      </c>
      <c r="M193" s="427">
        <f t="shared" si="0"/>
        <v>2.5329280648429583E-2</v>
      </c>
      <c r="N193" s="489">
        <v>71</v>
      </c>
      <c r="O193" s="427">
        <f t="shared" si="1"/>
        <v>2.2932816537467701E-2</v>
      </c>
      <c r="P193" s="381"/>
      <c r="Q193" s="489">
        <v>13</v>
      </c>
      <c r="R193" s="427">
        <f t="shared" si="2"/>
        <v>1.5476190476190477E-2</v>
      </c>
      <c r="S193" s="489">
        <v>9</v>
      </c>
      <c r="T193" s="427">
        <f t="shared" si="3"/>
        <v>1.020408163265306E-2</v>
      </c>
      <c r="U193" s="379"/>
      <c r="V193" s="435"/>
      <c r="W193" s="6"/>
    </row>
    <row r="194" spans="1:24" ht="15.6">
      <c r="A194" s="444"/>
      <c r="B194" s="440" t="s">
        <v>186</v>
      </c>
      <c r="C194" s="489"/>
      <c r="D194" s="489"/>
      <c r="E194" s="489"/>
      <c r="F194" s="489"/>
      <c r="G194" s="489"/>
      <c r="H194" s="489"/>
      <c r="I194" s="489"/>
      <c r="J194" s="489"/>
      <c r="K194" s="489"/>
      <c r="L194" s="489">
        <v>25</v>
      </c>
      <c r="M194" s="427">
        <f t="shared" si="0"/>
        <v>2.5329280648429583E-2</v>
      </c>
      <c r="N194" s="489">
        <v>34</v>
      </c>
      <c r="O194" s="427">
        <f t="shared" si="1"/>
        <v>1.0981912144702842E-2</v>
      </c>
      <c r="P194" s="381"/>
      <c r="Q194" s="489">
        <v>21</v>
      </c>
      <c r="R194" s="427">
        <f t="shared" si="2"/>
        <v>2.5000000000000001E-2</v>
      </c>
      <c r="S194" s="489">
        <v>17</v>
      </c>
      <c r="T194" s="427">
        <f t="shared" si="3"/>
        <v>1.927437641723356E-2</v>
      </c>
      <c r="U194" s="379"/>
      <c r="V194" s="435"/>
      <c r="W194" s="6"/>
    </row>
    <row r="195" spans="1:24" ht="15.6">
      <c r="A195" s="444"/>
      <c r="B195" s="440" t="s">
        <v>187</v>
      </c>
      <c r="C195" s="489"/>
      <c r="D195" s="489"/>
      <c r="E195" s="489"/>
      <c r="F195" s="489"/>
      <c r="G195" s="489"/>
      <c r="H195" s="489"/>
      <c r="I195" s="489"/>
      <c r="J195" s="489"/>
      <c r="K195" s="489"/>
      <c r="L195" s="489">
        <v>16</v>
      </c>
      <c r="M195" s="427">
        <f t="shared" si="0"/>
        <v>1.6210739614994935E-2</v>
      </c>
      <c r="N195" s="489">
        <v>14</v>
      </c>
      <c r="O195" s="427">
        <f t="shared" si="1"/>
        <v>4.5219638242894053E-3</v>
      </c>
      <c r="P195" s="381"/>
      <c r="Q195" s="489">
        <v>28</v>
      </c>
      <c r="R195" s="427">
        <f t="shared" si="2"/>
        <v>3.3333333333333333E-2</v>
      </c>
      <c r="S195" s="489">
        <v>24</v>
      </c>
      <c r="T195" s="427">
        <f t="shared" si="3"/>
        <v>2.7210884353741496E-2</v>
      </c>
      <c r="U195" s="379"/>
      <c r="V195" s="435"/>
      <c r="W195" s="6"/>
    </row>
    <row r="196" spans="1:24" ht="15.6">
      <c r="A196" s="444"/>
      <c r="B196" s="440" t="s">
        <v>188</v>
      </c>
      <c r="C196" s="489"/>
      <c r="D196" s="489"/>
      <c r="E196" s="489"/>
      <c r="F196" s="489"/>
      <c r="G196" s="489"/>
      <c r="H196" s="489"/>
      <c r="I196" s="489"/>
      <c r="J196" s="489"/>
      <c r="K196" s="489"/>
      <c r="L196" s="489">
        <v>18</v>
      </c>
      <c r="M196" s="427">
        <f t="shared" si="0"/>
        <v>1.82370820668693E-2</v>
      </c>
      <c r="N196" s="489">
        <v>49</v>
      </c>
      <c r="O196" s="427">
        <f t="shared" si="1"/>
        <v>1.5826873385012919E-2</v>
      </c>
      <c r="P196" s="381"/>
      <c r="Q196" s="489">
        <v>24</v>
      </c>
      <c r="R196" s="427">
        <f t="shared" si="2"/>
        <v>2.8571428571428571E-2</v>
      </c>
      <c r="S196" s="489">
        <v>14</v>
      </c>
      <c r="T196" s="427">
        <f t="shared" si="3"/>
        <v>1.5873015873015872E-2</v>
      </c>
      <c r="U196" s="379"/>
      <c r="V196" s="435"/>
      <c r="W196" s="6"/>
    </row>
    <row r="197" spans="1:24" ht="15.6">
      <c r="A197" s="444"/>
      <c r="B197" s="440" t="s">
        <v>189</v>
      </c>
      <c r="C197" s="489"/>
      <c r="D197" s="489"/>
      <c r="E197" s="489"/>
      <c r="F197" s="489"/>
      <c r="G197" s="489"/>
      <c r="H197" s="489"/>
      <c r="I197" s="489"/>
      <c r="J197" s="489"/>
      <c r="K197" s="489"/>
      <c r="L197" s="489">
        <v>143</v>
      </c>
      <c r="M197" s="427">
        <f t="shared" si="0"/>
        <v>0.14488348530901723</v>
      </c>
      <c r="N197" s="489">
        <v>397</v>
      </c>
      <c r="O197" s="427">
        <f t="shared" si="1"/>
        <v>0.12822997416020671</v>
      </c>
      <c r="P197" s="381"/>
      <c r="Q197" s="489">
        <v>150</v>
      </c>
      <c r="R197" s="427">
        <f t="shared" si="2"/>
        <v>0.17857142857142858</v>
      </c>
      <c r="S197" s="489">
        <v>154</v>
      </c>
      <c r="T197" s="427">
        <f t="shared" si="3"/>
        <v>0.17460317460317459</v>
      </c>
      <c r="U197" s="379"/>
      <c r="V197" s="435"/>
      <c r="W197" s="6"/>
    </row>
    <row r="198" spans="1:24" ht="15.6">
      <c r="A198" s="444"/>
      <c r="B198" s="440" t="s">
        <v>84</v>
      </c>
      <c r="C198" s="489"/>
      <c r="D198" s="489"/>
      <c r="E198" s="489"/>
      <c r="F198" s="489"/>
      <c r="G198" s="489"/>
      <c r="H198" s="489"/>
      <c r="I198" s="489"/>
      <c r="J198" s="489"/>
      <c r="K198" s="489"/>
      <c r="L198" s="489">
        <f>SUM(L191:L197)</f>
        <v>987</v>
      </c>
      <c r="M198" s="427">
        <f>SUM(M191:M197)</f>
        <v>1</v>
      </c>
      <c r="N198" s="489">
        <f>SUM(N191:N197)</f>
        <v>3096</v>
      </c>
      <c r="O198" s="427">
        <f>SUM(O191:O197)</f>
        <v>0.99999999999999978</v>
      </c>
      <c r="P198" s="381"/>
      <c r="Q198" s="489">
        <f>SUM(Q191:Q197)</f>
        <v>840</v>
      </c>
      <c r="R198" s="427">
        <f>SUM(R191:R197)</f>
        <v>1</v>
      </c>
      <c r="S198" s="489">
        <f>SUM(S191:S197)</f>
        <v>882</v>
      </c>
      <c r="T198" s="427">
        <f>SUM(T191:T197)</f>
        <v>1</v>
      </c>
      <c r="U198" s="379"/>
      <c r="V198" s="435"/>
      <c r="W198" s="6"/>
      <c r="X198" s="64"/>
    </row>
    <row r="199" spans="1:24" ht="15.6">
      <c r="A199" s="444"/>
      <c r="B199" s="440" t="s">
        <v>85</v>
      </c>
      <c r="C199" s="489"/>
      <c r="D199" s="489"/>
      <c r="E199" s="489"/>
      <c r="F199" s="489"/>
      <c r="G199" s="489"/>
      <c r="H199" s="489"/>
      <c r="I199" s="489"/>
      <c r="J199" s="489"/>
      <c r="K199" s="489"/>
      <c r="L199" s="489">
        <v>918</v>
      </c>
      <c r="M199" s="380"/>
      <c r="N199" s="489">
        <v>5664</v>
      </c>
      <c r="O199" s="380"/>
      <c r="P199" s="381"/>
      <c r="Q199" s="489">
        <v>605</v>
      </c>
      <c r="R199" s="380"/>
      <c r="S199" s="489">
        <v>1402</v>
      </c>
      <c r="T199" s="380"/>
      <c r="U199" s="379"/>
      <c r="V199" s="435"/>
      <c r="W199" s="6"/>
      <c r="X199" s="64"/>
    </row>
    <row r="200" spans="1:24" ht="15.6">
      <c r="A200" s="444"/>
      <c r="B200" s="440" t="s">
        <v>86</v>
      </c>
      <c r="C200" s="489"/>
      <c r="D200" s="489"/>
      <c r="E200" s="489"/>
      <c r="F200" s="489"/>
      <c r="G200" s="489"/>
      <c r="H200" s="489"/>
      <c r="I200" s="489"/>
      <c r="J200" s="489"/>
      <c r="K200" s="489"/>
      <c r="L200" s="489">
        <f>SUM(L198:L199)</f>
        <v>1905</v>
      </c>
      <c r="M200" s="450"/>
      <c r="N200" s="489">
        <f>SUM(N198:N199)</f>
        <v>8760</v>
      </c>
      <c r="O200" s="490"/>
      <c r="P200" s="450"/>
      <c r="Q200" s="489">
        <f>SUM(Q198:Q199)</f>
        <v>1445</v>
      </c>
      <c r="R200" s="450"/>
      <c r="S200" s="489">
        <f>SUM(S198:S199)</f>
        <v>2284</v>
      </c>
      <c r="T200" s="450"/>
      <c r="U200" s="450"/>
      <c r="V200" s="435"/>
      <c r="W200" s="6"/>
      <c r="X200" s="64"/>
    </row>
    <row r="201" spans="1:24" ht="15.6">
      <c r="A201" s="242"/>
      <c r="B201" s="484"/>
      <c r="C201" s="485"/>
      <c r="D201" s="485"/>
      <c r="E201" s="485"/>
      <c r="F201" s="485"/>
      <c r="G201" s="485"/>
      <c r="H201" s="485"/>
      <c r="I201" s="485"/>
      <c r="J201" s="485"/>
      <c r="K201" s="485"/>
      <c r="L201" s="532"/>
      <c r="M201" s="533"/>
      <c r="N201" s="532"/>
      <c r="O201" s="533"/>
      <c r="P201" s="488"/>
      <c r="Q201" s="532"/>
      <c r="R201" s="533"/>
      <c r="S201" s="532"/>
      <c r="T201" s="533"/>
      <c r="U201" s="463"/>
      <c r="V201" s="464"/>
      <c r="W201" s="6"/>
    </row>
    <row r="202" spans="1:24" ht="15.6">
      <c r="A202" s="349"/>
      <c r="B202" s="525" t="s">
        <v>80</v>
      </c>
      <c r="C202" s="526"/>
      <c r="D202" s="526"/>
      <c r="E202" s="526"/>
      <c r="F202" s="526"/>
      <c r="G202" s="526"/>
      <c r="H202" s="526"/>
      <c r="I202" s="526"/>
      <c r="J202" s="526"/>
      <c r="K202" s="526"/>
      <c r="L202" s="526"/>
      <c r="M202" s="525" t="s">
        <v>27</v>
      </c>
      <c r="N202" s="526"/>
      <c r="O202" s="527"/>
      <c r="P202" s="526"/>
      <c r="Q202" s="525" t="s">
        <v>28</v>
      </c>
      <c r="R202" s="526"/>
      <c r="S202" s="527"/>
      <c r="T202" s="526"/>
      <c r="U202" s="346"/>
      <c r="V202" s="528"/>
      <c r="W202" s="6"/>
    </row>
    <row r="203" spans="1:24" ht="15.6">
      <c r="A203" s="371"/>
      <c r="B203" s="372"/>
      <c r="C203" s="534"/>
      <c r="D203" s="534"/>
      <c r="E203" s="534"/>
      <c r="F203" s="534"/>
      <c r="G203" s="534"/>
      <c r="H203" s="534"/>
      <c r="I203" s="534"/>
      <c r="J203" s="534"/>
      <c r="K203" s="534"/>
      <c r="L203" s="534" t="s">
        <v>94</v>
      </c>
      <c r="M203" s="535" t="s">
        <v>101</v>
      </c>
      <c r="N203" s="534" t="s">
        <v>103</v>
      </c>
      <c r="O203" s="535" t="s">
        <v>101</v>
      </c>
      <c r="P203" s="535"/>
      <c r="Q203" s="534" t="s">
        <v>94</v>
      </c>
      <c r="R203" s="535" t="s">
        <v>101</v>
      </c>
      <c r="S203" s="534" t="s">
        <v>103</v>
      </c>
      <c r="T203" s="535" t="s">
        <v>101</v>
      </c>
      <c r="U203" s="375"/>
      <c r="V203" s="536"/>
      <c r="W203" s="6"/>
    </row>
    <row r="204" spans="1:24" ht="15.6">
      <c r="A204" s="315"/>
      <c r="B204" s="310" t="s">
        <v>81</v>
      </c>
      <c r="C204" s="351"/>
      <c r="D204" s="351"/>
      <c r="E204" s="351"/>
      <c r="F204" s="351"/>
      <c r="G204" s="351"/>
      <c r="H204" s="351"/>
      <c r="I204" s="351"/>
      <c r="J204" s="351"/>
      <c r="K204" s="351"/>
      <c r="L204" s="351">
        <v>6242</v>
      </c>
      <c r="M204" s="299">
        <f t="shared" ref="M204:M210" si="4">+L204/$L$211</f>
        <v>0.87730147575544626</v>
      </c>
      <c r="N204" s="351">
        <v>148516</v>
      </c>
      <c r="O204" s="299">
        <f t="shared" ref="O204:O210" si="5">+N204/$N$211</f>
        <v>0.86266263940520449</v>
      </c>
      <c r="P204" s="296"/>
      <c r="Q204" s="351">
        <v>439</v>
      </c>
      <c r="R204" s="299">
        <f t="shared" ref="R204:R210" si="6">Q204/$Q$211</f>
        <v>0.90143737166324434</v>
      </c>
      <c r="S204" s="351">
        <v>4243</v>
      </c>
      <c r="T204" s="299">
        <f t="shared" ref="T204:T210" si="7">+S204/$S$211</f>
        <v>0.89495886943682768</v>
      </c>
      <c r="U204" s="294"/>
      <c r="V204" s="301"/>
      <c r="W204" s="6"/>
    </row>
    <row r="205" spans="1:24" ht="15.6">
      <c r="A205" s="444"/>
      <c r="B205" s="440" t="s">
        <v>82</v>
      </c>
      <c r="C205" s="489"/>
      <c r="D205" s="489"/>
      <c r="E205" s="489"/>
      <c r="F205" s="489"/>
      <c r="G205" s="489"/>
      <c r="H205" s="489"/>
      <c r="I205" s="489"/>
      <c r="J205" s="489"/>
      <c r="K205" s="489"/>
      <c r="L205" s="489">
        <v>212</v>
      </c>
      <c r="M205" s="427">
        <f t="shared" si="4"/>
        <v>2.9796205200281096E-2</v>
      </c>
      <c r="N205" s="489">
        <v>5896</v>
      </c>
      <c r="O205" s="427">
        <f t="shared" si="5"/>
        <v>3.4247211895910783E-2</v>
      </c>
      <c r="P205" s="381"/>
      <c r="Q205" s="489">
        <v>22</v>
      </c>
      <c r="R205" s="427">
        <f t="shared" si="6"/>
        <v>4.5174537987679675E-2</v>
      </c>
      <c r="S205" s="489">
        <v>270</v>
      </c>
      <c r="T205" s="427">
        <f t="shared" si="7"/>
        <v>5.6950010546298252E-2</v>
      </c>
      <c r="U205" s="379"/>
      <c r="V205" s="435"/>
      <c r="W205" s="6"/>
    </row>
    <row r="206" spans="1:24" ht="15.6">
      <c r="A206" s="444"/>
      <c r="B206" s="440" t="s">
        <v>83</v>
      </c>
      <c r="C206" s="489"/>
      <c r="D206" s="489"/>
      <c r="E206" s="489"/>
      <c r="F206" s="489"/>
      <c r="G206" s="489"/>
      <c r="H206" s="489"/>
      <c r="I206" s="489"/>
      <c r="J206" s="489"/>
      <c r="K206" s="489"/>
      <c r="L206" s="489">
        <v>150</v>
      </c>
      <c r="M206" s="427">
        <f t="shared" si="4"/>
        <v>2.1082220660576249E-2</v>
      </c>
      <c r="N206" s="489">
        <v>4108</v>
      </c>
      <c r="O206" s="427">
        <f t="shared" si="5"/>
        <v>2.3861524163568772E-2</v>
      </c>
      <c r="P206" s="381"/>
      <c r="Q206" s="489">
        <v>9</v>
      </c>
      <c r="R206" s="427">
        <f t="shared" si="6"/>
        <v>1.8480492813141684E-2</v>
      </c>
      <c r="S206" s="489">
        <v>101</v>
      </c>
      <c r="T206" s="427">
        <f t="shared" si="7"/>
        <v>2.130352246361527E-2</v>
      </c>
      <c r="U206" s="379"/>
      <c r="V206" s="435"/>
      <c r="W206" s="6"/>
      <c r="X206" s="182"/>
    </row>
    <row r="207" spans="1:24" ht="15.6">
      <c r="A207" s="444"/>
      <c r="B207" s="440" t="s">
        <v>186</v>
      </c>
      <c r="C207" s="489"/>
      <c r="D207" s="489"/>
      <c r="E207" s="489"/>
      <c r="F207" s="489"/>
      <c r="G207" s="489"/>
      <c r="H207" s="489"/>
      <c r="I207" s="489"/>
      <c r="J207" s="489"/>
      <c r="K207" s="489"/>
      <c r="L207" s="489">
        <v>105</v>
      </c>
      <c r="M207" s="427">
        <f t="shared" si="4"/>
        <v>1.4757554462403373E-2</v>
      </c>
      <c r="N207" s="489">
        <v>2409</v>
      </c>
      <c r="O207" s="427">
        <f t="shared" si="5"/>
        <v>1.3992797397769517E-2</v>
      </c>
      <c r="P207" s="381"/>
      <c r="Q207" s="489">
        <v>3</v>
      </c>
      <c r="R207" s="427">
        <f t="shared" si="6"/>
        <v>6.1601642710472282E-3</v>
      </c>
      <c r="S207" s="489">
        <v>18</v>
      </c>
      <c r="T207" s="427">
        <f t="shared" si="7"/>
        <v>3.7966673697532164E-3</v>
      </c>
      <c r="U207" s="379"/>
      <c r="V207" s="435"/>
      <c r="W207" s="6"/>
    </row>
    <row r="208" spans="1:24" ht="15.6">
      <c r="A208" s="444"/>
      <c r="B208" s="440" t="s">
        <v>187</v>
      </c>
      <c r="C208" s="489"/>
      <c r="D208" s="489"/>
      <c r="E208" s="489"/>
      <c r="F208" s="489"/>
      <c r="G208" s="489"/>
      <c r="H208" s="489"/>
      <c r="I208" s="489"/>
      <c r="J208" s="489"/>
      <c r="K208" s="489"/>
      <c r="L208" s="489">
        <v>92</v>
      </c>
      <c r="M208" s="427">
        <f t="shared" si="4"/>
        <v>1.2930428671820099E-2</v>
      </c>
      <c r="N208" s="489">
        <v>2447</v>
      </c>
      <c r="O208" s="427">
        <f t="shared" si="5"/>
        <v>1.4213522304832714E-2</v>
      </c>
      <c r="P208" s="381"/>
      <c r="Q208" s="489">
        <v>3</v>
      </c>
      <c r="R208" s="427">
        <f t="shared" si="6"/>
        <v>6.1601642710472282E-3</v>
      </c>
      <c r="S208" s="489">
        <v>28</v>
      </c>
      <c r="T208" s="427">
        <f t="shared" si="7"/>
        <v>5.9059270196161143E-3</v>
      </c>
      <c r="U208" s="379"/>
      <c r="V208" s="435"/>
      <c r="W208" s="6"/>
    </row>
    <row r="209" spans="1:24" ht="15.6">
      <c r="A209" s="444"/>
      <c r="B209" s="440" t="s">
        <v>188</v>
      </c>
      <c r="C209" s="489"/>
      <c r="D209" s="489"/>
      <c r="E209" s="489"/>
      <c r="F209" s="489"/>
      <c r="G209" s="489"/>
      <c r="H209" s="489"/>
      <c r="I209" s="489"/>
      <c r="J209" s="489"/>
      <c r="K209" s="489"/>
      <c r="L209" s="489">
        <v>82</v>
      </c>
      <c r="M209" s="427">
        <f t="shared" si="4"/>
        <v>1.1524947294448348E-2</v>
      </c>
      <c r="N209" s="489">
        <v>2154</v>
      </c>
      <c r="O209" s="427">
        <f t="shared" si="5"/>
        <v>1.2511617100371747E-2</v>
      </c>
      <c r="P209" s="381"/>
      <c r="Q209" s="489">
        <v>3</v>
      </c>
      <c r="R209" s="427">
        <f t="shared" si="6"/>
        <v>6.1601642710472282E-3</v>
      </c>
      <c r="S209" s="489">
        <v>27</v>
      </c>
      <c r="T209" s="427">
        <f t="shared" si="7"/>
        <v>5.6950010546298249E-3</v>
      </c>
      <c r="U209" s="379"/>
      <c r="V209" s="435"/>
      <c r="W209" s="6"/>
    </row>
    <row r="210" spans="1:24" ht="15.6">
      <c r="A210" s="444"/>
      <c r="B210" s="440" t="s">
        <v>189</v>
      </c>
      <c r="C210" s="489"/>
      <c r="D210" s="489"/>
      <c r="E210" s="489"/>
      <c r="F210" s="489"/>
      <c r="G210" s="489"/>
      <c r="H210" s="489"/>
      <c r="I210" s="489"/>
      <c r="J210" s="489"/>
      <c r="K210" s="489"/>
      <c r="L210" s="489">
        <v>232</v>
      </c>
      <c r="M210" s="427">
        <f t="shared" si="4"/>
        <v>3.2607167955024594E-2</v>
      </c>
      <c r="N210" s="489">
        <v>6630</v>
      </c>
      <c r="O210" s="427">
        <f t="shared" si="5"/>
        <v>3.8510687732342008E-2</v>
      </c>
      <c r="P210" s="381"/>
      <c r="Q210" s="489">
        <v>8</v>
      </c>
      <c r="R210" s="427">
        <f t="shared" si="6"/>
        <v>1.6427104722792608E-2</v>
      </c>
      <c r="S210" s="489">
        <v>54</v>
      </c>
      <c r="T210" s="427">
        <f t="shared" si="7"/>
        <v>1.139000210925965E-2</v>
      </c>
      <c r="U210" s="379"/>
      <c r="V210" s="435"/>
      <c r="W210" s="6"/>
    </row>
    <row r="211" spans="1:24" ht="15.6">
      <c r="A211" s="444"/>
      <c r="B211" s="440" t="str">
        <f>B198</f>
        <v>Total Performing  Assets</v>
      </c>
      <c r="C211" s="489"/>
      <c r="D211" s="489"/>
      <c r="E211" s="489"/>
      <c r="F211" s="489"/>
      <c r="G211" s="489"/>
      <c r="H211" s="489"/>
      <c r="I211" s="489"/>
      <c r="J211" s="489"/>
      <c r="K211" s="489"/>
      <c r="L211" s="489">
        <f>SUM(L204:L210)</f>
        <v>7115</v>
      </c>
      <c r="M211" s="427">
        <f>SUM(M204:M210)</f>
        <v>1</v>
      </c>
      <c r="N211" s="489">
        <f>SUM(N204:N210)</f>
        <v>172160</v>
      </c>
      <c r="O211" s="427">
        <f>SUM(O204:O210)</f>
        <v>1</v>
      </c>
      <c r="P211" s="381"/>
      <c r="Q211" s="489">
        <f>SUM(Q204:Q210)</f>
        <v>487</v>
      </c>
      <c r="R211" s="427">
        <f>SUM(R204:R210)</f>
        <v>1</v>
      </c>
      <c r="S211" s="489">
        <f>SUM(S204:S210)</f>
        <v>4741</v>
      </c>
      <c r="T211" s="427">
        <f>SUM(T204:T210)</f>
        <v>1</v>
      </c>
      <c r="U211" s="379"/>
      <c r="V211" s="435"/>
      <c r="W211" s="6"/>
    </row>
    <row r="212" spans="1:24" ht="15.6">
      <c r="A212" s="444"/>
      <c r="B212" s="440" t="s">
        <v>85</v>
      </c>
      <c r="C212" s="489"/>
      <c r="D212" s="489"/>
      <c r="E212" s="489"/>
      <c r="F212" s="489"/>
      <c r="G212" s="489"/>
      <c r="H212" s="489"/>
      <c r="I212" s="489"/>
      <c r="J212" s="489"/>
      <c r="K212" s="489"/>
      <c r="L212" s="489">
        <v>191</v>
      </c>
      <c r="M212" s="381"/>
      <c r="N212" s="489">
        <v>5344</v>
      </c>
      <c r="O212" s="380"/>
      <c r="P212" s="381"/>
      <c r="Q212" s="489">
        <v>30</v>
      </c>
      <c r="R212" s="381"/>
      <c r="S212" s="489">
        <v>560</v>
      </c>
      <c r="T212" s="381"/>
      <c r="U212" s="379"/>
      <c r="V212" s="435"/>
      <c r="W212" s="6"/>
    </row>
    <row r="213" spans="1:24" ht="15.6">
      <c r="A213" s="444"/>
      <c r="B213" s="440" t="s">
        <v>86</v>
      </c>
      <c r="C213" s="489"/>
      <c r="D213" s="489"/>
      <c r="E213" s="489"/>
      <c r="F213" s="489"/>
      <c r="G213" s="489"/>
      <c r="H213" s="489"/>
      <c r="I213" s="489"/>
      <c r="J213" s="489"/>
      <c r="K213" s="489"/>
      <c r="L213" s="489">
        <f>SUM(L211:L212)</f>
        <v>7306</v>
      </c>
      <c r="M213" s="450"/>
      <c r="N213" s="489">
        <f>SUM(N211:N212)</f>
        <v>177504</v>
      </c>
      <c r="O213" s="427"/>
      <c r="P213" s="450"/>
      <c r="Q213" s="489">
        <f>SUM(Q211:Q212)</f>
        <v>517</v>
      </c>
      <c r="R213" s="450"/>
      <c r="S213" s="489">
        <f>SUM(S211:S212)</f>
        <v>5301</v>
      </c>
      <c r="T213" s="450"/>
      <c r="U213" s="450"/>
      <c r="V213" s="492"/>
    </row>
    <row r="214" spans="1:24" ht="15.6">
      <c r="A214" s="444"/>
      <c r="B214" s="440"/>
      <c r="C214" s="381"/>
      <c r="D214" s="381"/>
      <c r="E214" s="381"/>
      <c r="F214" s="381"/>
      <c r="G214" s="381"/>
      <c r="H214" s="381"/>
      <c r="I214" s="381"/>
      <c r="J214" s="381"/>
      <c r="K214" s="381"/>
      <c r="L214" s="381"/>
      <c r="M214" s="493"/>
      <c r="N214" s="381"/>
      <c r="O214" s="493"/>
      <c r="P214" s="381"/>
      <c r="Q214" s="493"/>
      <c r="R214" s="381"/>
      <c r="S214" s="489"/>
      <c r="T214" s="381"/>
      <c r="U214" s="379"/>
      <c r="V214" s="435"/>
      <c r="W214" s="6"/>
    </row>
    <row r="215" spans="1:24" ht="15.6">
      <c r="A215" s="444"/>
      <c r="B215" s="440" t="s">
        <v>86</v>
      </c>
      <c r="C215" s="381"/>
      <c r="D215" s="381"/>
      <c r="E215" s="381"/>
      <c r="F215" s="381"/>
      <c r="G215" s="381"/>
      <c r="H215" s="381"/>
      <c r="I215" s="381"/>
      <c r="J215" s="381"/>
      <c r="K215" s="381"/>
      <c r="L215" s="493"/>
      <c r="M215" s="493"/>
      <c r="N215" s="493"/>
      <c r="O215" s="493"/>
      <c r="P215" s="381"/>
      <c r="Q215" s="493"/>
      <c r="R215" s="381"/>
      <c r="S215" s="489">
        <f>+N200+S200+N213+S213</f>
        <v>193849</v>
      </c>
      <c r="T215" s="490"/>
      <c r="U215" s="379"/>
      <c r="V215" s="435"/>
      <c r="W215" s="6"/>
      <c r="X215" s="182"/>
    </row>
    <row r="216" spans="1:24" ht="15.6">
      <c r="A216" s="316"/>
      <c r="B216" s="360"/>
      <c r="C216" s="363"/>
      <c r="D216" s="363"/>
      <c r="E216" s="363"/>
      <c r="F216" s="363"/>
      <c r="G216" s="363"/>
      <c r="H216" s="363"/>
      <c r="I216" s="363"/>
      <c r="J216" s="363"/>
      <c r="K216" s="363"/>
      <c r="L216" s="491"/>
      <c r="M216" s="491"/>
      <c r="N216" s="491"/>
      <c r="O216" s="491"/>
      <c r="P216" s="363"/>
      <c r="Q216" s="491"/>
      <c r="R216" s="363"/>
      <c r="S216" s="361"/>
      <c r="T216" s="363"/>
      <c r="U216" s="364"/>
      <c r="V216" s="312"/>
      <c r="W216" s="6"/>
    </row>
    <row r="217" spans="1:24" ht="15.6">
      <c r="A217" s="349"/>
      <c r="B217" s="357" t="s">
        <v>87</v>
      </c>
      <c r="C217" s="526"/>
      <c r="D217" s="526"/>
      <c r="E217" s="526"/>
      <c r="F217" s="526"/>
      <c r="G217" s="526"/>
      <c r="H217" s="526"/>
      <c r="I217" s="526"/>
      <c r="J217" s="526"/>
      <c r="K217" s="526"/>
      <c r="L217" s="526"/>
      <c r="M217" s="527"/>
      <c r="N217" s="526"/>
      <c r="O217" s="527"/>
      <c r="P217" s="526"/>
      <c r="Q217" s="527"/>
      <c r="R217" s="526"/>
      <c r="S217" s="358"/>
      <c r="T217" s="526"/>
      <c r="U217" s="350"/>
      <c r="V217" s="528"/>
      <c r="W217" s="6"/>
    </row>
    <row r="218" spans="1:24" ht="15.6">
      <c r="A218" s="315"/>
      <c r="B218" s="310"/>
      <c r="C218" s="296"/>
      <c r="D218" s="296"/>
      <c r="E218" s="296"/>
      <c r="F218" s="296"/>
      <c r="G218" s="296"/>
      <c r="H218" s="296"/>
      <c r="I218" s="296"/>
      <c r="J218" s="296"/>
      <c r="K218" s="296"/>
      <c r="L218" s="296"/>
      <c r="M218" s="352"/>
      <c r="N218" s="296"/>
      <c r="O218" s="352"/>
      <c r="P218" s="296"/>
      <c r="Q218" s="352"/>
      <c r="R218" s="296"/>
      <c r="S218" s="351"/>
      <c r="T218" s="296"/>
      <c r="U218" s="294"/>
      <c r="V218" s="301"/>
      <c r="W218" s="6"/>
    </row>
    <row r="219" spans="1:24" ht="15.6">
      <c r="A219" s="444"/>
      <c r="B219" s="440" t="s">
        <v>88</v>
      </c>
      <c r="C219" s="381"/>
      <c r="D219" s="381"/>
      <c r="E219" s="381"/>
      <c r="F219" s="381"/>
      <c r="G219" s="381"/>
      <c r="H219" s="381"/>
      <c r="I219" s="381"/>
      <c r="J219" s="381"/>
      <c r="K219" s="381"/>
      <c r="L219" s="381"/>
      <c r="M219" s="493"/>
      <c r="N219" s="381"/>
      <c r="O219" s="493"/>
      <c r="P219" s="381"/>
      <c r="Q219" s="493"/>
      <c r="R219" s="381"/>
      <c r="S219" s="489">
        <f>+N198+S198+N211+S211</f>
        <v>180879</v>
      </c>
      <c r="T219" s="381"/>
      <c r="U219" s="379"/>
      <c r="V219" s="435"/>
      <c r="W219" s="6"/>
      <c r="X219" s="182"/>
    </row>
    <row r="220" spans="1:24" ht="15.6">
      <c r="A220" s="444"/>
      <c r="B220" s="440" t="s">
        <v>89</v>
      </c>
      <c r="C220" s="381"/>
      <c r="D220" s="381"/>
      <c r="E220" s="381"/>
      <c r="F220" s="381"/>
      <c r="G220" s="381"/>
      <c r="H220" s="381"/>
      <c r="I220" s="381"/>
      <c r="J220" s="381"/>
      <c r="K220" s="381"/>
      <c r="L220" s="381"/>
      <c r="M220" s="493"/>
      <c r="N220" s="381"/>
      <c r="O220" s="493"/>
      <c r="P220" s="381"/>
      <c r="Q220" s="493"/>
      <c r="R220" s="381"/>
      <c r="S220" s="489">
        <f>+U78</f>
        <v>0</v>
      </c>
      <c r="T220" s="381"/>
      <c r="U220" s="379"/>
      <c r="V220" s="435"/>
      <c r="W220" s="119"/>
    </row>
    <row r="221" spans="1:24" ht="15.6">
      <c r="A221" s="444"/>
      <c r="B221" s="440" t="s">
        <v>90</v>
      </c>
      <c r="C221" s="381"/>
      <c r="D221" s="381"/>
      <c r="E221" s="381"/>
      <c r="F221" s="381"/>
      <c r="G221" s="381"/>
      <c r="H221" s="381"/>
      <c r="I221" s="381"/>
      <c r="J221" s="381"/>
      <c r="K221" s="381"/>
      <c r="L221" s="381"/>
      <c r="M221" s="493"/>
      <c r="N221" s="381"/>
      <c r="O221" s="493"/>
      <c r="P221" s="381"/>
      <c r="Q221" s="493"/>
      <c r="R221" s="381"/>
      <c r="S221" s="489">
        <f>S219+S220</f>
        <v>180879</v>
      </c>
      <c r="T221" s="381"/>
      <c r="U221" s="379"/>
      <c r="V221" s="435"/>
      <c r="W221" s="6"/>
    </row>
    <row r="222" spans="1:24" ht="15.6">
      <c r="A222" s="444"/>
      <c r="B222" s="440"/>
      <c r="C222" s="381"/>
      <c r="D222" s="381"/>
      <c r="E222" s="381"/>
      <c r="F222" s="381"/>
      <c r="G222" s="381"/>
      <c r="H222" s="381"/>
      <c r="I222" s="381"/>
      <c r="J222" s="381"/>
      <c r="K222" s="381"/>
      <c r="L222" s="381"/>
      <c r="M222" s="493"/>
      <c r="N222" s="381"/>
      <c r="O222" s="493"/>
      <c r="P222" s="381"/>
      <c r="Q222" s="493"/>
      <c r="R222" s="381"/>
      <c r="S222" s="489"/>
      <c r="T222" s="381"/>
      <c r="U222" s="379"/>
      <c r="V222" s="435"/>
      <c r="W222" s="6"/>
    </row>
    <row r="223" spans="1:24" ht="15.6">
      <c r="A223" s="444"/>
      <c r="B223" s="440" t="s">
        <v>91</v>
      </c>
      <c r="C223" s="381"/>
      <c r="D223" s="381"/>
      <c r="E223" s="381"/>
      <c r="F223" s="381"/>
      <c r="G223" s="381"/>
      <c r="H223" s="381"/>
      <c r="I223" s="381"/>
      <c r="J223" s="381"/>
      <c r="K223" s="381"/>
      <c r="L223" s="381"/>
      <c r="M223" s="493"/>
      <c r="N223" s="381"/>
      <c r="O223" s="493"/>
      <c r="P223" s="381"/>
      <c r="Q223" s="493"/>
      <c r="R223" s="381"/>
      <c r="S223" s="489">
        <f>U33</f>
        <v>180879.24240000002</v>
      </c>
      <c r="T223" s="381"/>
      <c r="U223" s="379"/>
      <c r="V223" s="435"/>
      <c r="W223" s="6"/>
    </row>
    <row r="224" spans="1:24" ht="15.6">
      <c r="A224" s="444"/>
      <c r="B224" s="440"/>
      <c r="C224" s="381"/>
      <c r="D224" s="381"/>
      <c r="E224" s="381"/>
      <c r="F224" s="381"/>
      <c r="G224" s="381"/>
      <c r="H224" s="381"/>
      <c r="I224" s="381"/>
      <c r="J224" s="381"/>
      <c r="K224" s="381"/>
      <c r="L224" s="381"/>
      <c r="M224" s="493"/>
      <c r="N224" s="381"/>
      <c r="O224" s="493"/>
      <c r="P224" s="381"/>
      <c r="Q224" s="493"/>
      <c r="R224" s="381"/>
      <c r="S224" s="489"/>
      <c r="T224" s="381"/>
      <c r="U224" s="379"/>
      <c r="V224" s="435"/>
      <c r="W224" s="6"/>
    </row>
    <row r="225" spans="1:23" ht="15.6">
      <c r="A225" s="444"/>
      <c r="B225" s="440" t="s">
        <v>92</v>
      </c>
      <c r="C225" s="381"/>
      <c r="D225" s="381"/>
      <c r="E225" s="381"/>
      <c r="F225" s="381"/>
      <c r="G225" s="381"/>
      <c r="H225" s="381"/>
      <c r="I225" s="381"/>
      <c r="J225" s="381"/>
      <c r="K225" s="381"/>
      <c r="L225" s="381"/>
      <c r="M225" s="493"/>
      <c r="N225" s="381"/>
      <c r="O225" s="493"/>
      <c r="P225" s="381"/>
      <c r="Q225" s="493"/>
      <c r="R225" s="381"/>
      <c r="S225" s="489">
        <f>S221/S223</f>
        <v>0.99999865987939351</v>
      </c>
      <c r="T225" s="381"/>
      <c r="U225" s="379"/>
      <c r="V225" s="435"/>
      <c r="W225" s="6"/>
    </row>
    <row r="226" spans="1:23" ht="15.6">
      <c r="A226" s="444"/>
      <c r="B226" s="379"/>
      <c r="C226" s="379"/>
      <c r="D226" s="379"/>
      <c r="E226" s="379"/>
      <c r="F226" s="379"/>
      <c r="G226" s="379"/>
      <c r="H226" s="379"/>
      <c r="I226" s="379"/>
      <c r="J226" s="379"/>
      <c r="K226" s="379"/>
      <c r="L226" s="379"/>
      <c r="M226" s="380"/>
      <c r="N226" s="379"/>
      <c r="O226" s="379"/>
      <c r="P226" s="379"/>
      <c r="Q226" s="440"/>
      <c r="R226" s="497"/>
      <c r="S226" s="441"/>
      <c r="T226" s="497"/>
      <c r="U226" s="466"/>
      <c r="V226" s="410"/>
      <c r="W226" s="6"/>
    </row>
    <row r="227" spans="1:23" ht="15.6">
      <c r="A227" s="353"/>
      <c r="B227" s="494" t="s">
        <v>127</v>
      </c>
      <c r="C227" s="495"/>
      <c r="D227" s="495"/>
      <c r="E227" s="495"/>
      <c r="F227" s="495"/>
      <c r="G227" s="495"/>
      <c r="H227" s="495"/>
      <c r="I227" s="495"/>
      <c r="J227" s="495"/>
      <c r="K227" s="495"/>
      <c r="L227" s="495"/>
      <c r="M227" s="363"/>
      <c r="N227" s="364"/>
      <c r="O227" s="494"/>
      <c r="P227" s="443"/>
      <c r="Q227" s="443"/>
      <c r="R227" s="443"/>
      <c r="S227" s="496"/>
      <c r="T227" s="443"/>
      <c r="U227" s="443"/>
      <c r="V227" s="355"/>
      <c r="W227" s="6"/>
    </row>
    <row r="228" spans="1:23" ht="15.6">
      <c r="A228" s="353"/>
      <c r="B228" s="287" t="s">
        <v>128</v>
      </c>
      <c r="C228" s="354"/>
      <c r="D228" s="354"/>
      <c r="E228" s="354"/>
      <c r="F228" s="354"/>
      <c r="G228" s="354"/>
      <c r="H228" s="354"/>
      <c r="I228" s="354"/>
      <c r="J228" s="354"/>
      <c r="K228" s="354"/>
      <c r="L228" s="354"/>
      <c r="M228" s="290"/>
      <c r="N228" s="287"/>
      <c r="O228" s="287"/>
      <c r="P228" s="354"/>
      <c r="Q228" s="354"/>
      <c r="R228" s="317"/>
      <c r="S228" s="317"/>
      <c r="T228" s="317"/>
      <c r="U228" s="317"/>
      <c r="V228" s="355"/>
      <c r="W228" s="6"/>
    </row>
    <row r="229" spans="1:23" ht="15.6">
      <c r="A229" s="353"/>
      <c r="B229" s="287" t="s">
        <v>246</v>
      </c>
      <c r="C229" s="287"/>
      <c r="D229" s="287"/>
      <c r="E229" s="287"/>
      <c r="F229" s="287"/>
      <c r="G229" s="287"/>
      <c r="H229" s="287"/>
      <c r="I229" s="287"/>
      <c r="J229" s="287"/>
      <c r="K229" s="287"/>
      <c r="L229" s="287"/>
      <c r="M229" s="287"/>
      <c r="N229" s="287"/>
      <c r="O229" s="287"/>
      <c r="P229" s="287"/>
      <c r="Q229" s="287"/>
      <c r="R229" s="287"/>
      <c r="S229" s="287"/>
      <c r="T229" s="287"/>
      <c r="U229" s="287"/>
      <c r="V229" s="355"/>
      <c r="W229" s="6"/>
    </row>
    <row r="230" spans="1:23" ht="15.6">
      <c r="A230" s="353"/>
      <c r="B230" s="287" t="s">
        <v>129</v>
      </c>
      <c r="C230" s="354"/>
      <c r="D230" s="354"/>
      <c r="E230" s="354"/>
      <c r="F230" s="354"/>
      <c r="G230" s="354"/>
      <c r="H230" s="354"/>
      <c r="I230" s="354"/>
      <c r="J230" s="354"/>
      <c r="K230" s="354"/>
      <c r="L230" s="354"/>
      <c r="M230" s="290"/>
      <c r="N230" s="287"/>
      <c r="O230" s="287"/>
      <c r="P230" s="354"/>
      <c r="Q230" s="354"/>
      <c r="R230" s="317"/>
      <c r="S230" s="317"/>
      <c r="T230" s="317"/>
      <c r="U230" s="317"/>
      <c r="V230" s="355"/>
      <c r="W230" s="6"/>
    </row>
    <row r="231" spans="1:23" ht="15.6">
      <c r="A231" s="353"/>
      <c r="B231" s="287"/>
      <c r="C231" s="354"/>
      <c r="D231" s="354"/>
      <c r="E231" s="354"/>
      <c r="F231" s="354"/>
      <c r="G231" s="354"/>
      <c r="H231" s="354"/>
      <c r="I231" s="354"/>
      <c r="J231" s="354"/>
      <c r="K231" s="354"/>
      <c r="L231" s="354"/>
      <c r="M231" s="290"/>
      <c r="N231" s="287"/>
      <c r="O231" s="287"/>
      <c r="P231" s="354"/>
      <c r="Q231" s="354"/>
      <c r="R231" s="317"/>
      <c r="S231" s="317"/>
      <c r="T231" s="317"/>
      <c r="U231" s="317"/>
      <c r="V231" s="355"/>
      <c r="W231" s="6"/>
    </row>
    <row r="232" spans="1:23" ht="15.6">
      <c r="A232" s="353"/>
      <c r="B232" s="287"/>
      <c r="C232" s="354"/>
      <c r="D232" s="354"/>
      <c r="E232" s="354"/>
      <c r="F232" s="354"/>
      <c r="G232" s="354"/>
      <c r="H232" s="354"/>
      <c r="I232" s="354"/>
      <c r="J232" s="354"/>
      <c r="K232" s="354"/>
      <c r="L232" s="354"/>
      <c r="M232" s="290"/>
      <c r="N232" s="287"/>
      <c r="O232" s="287"/>
      <c r="P232" s="354"/>
      <c r="Q232" s="354"/>
      <c r="R232" s="317"/>
      <c r="S232" s="317"/>
      <c r="T232" s="317"/>
      <c r="U232" s="317"/>
      <c r="V232" s="355"/>
      <c r="W232" s="6"/>
    </row>
    <row r="233" spans="1:23" ht="16.2" thickBot="1">
      <c r="A233" s="353"/>
      <c r="B233" s="287" t="str">
        <f>+B160</f>
        <v>PPAF3 INVESTOR REPORT QUARTER ENDING DECEMBER 2011</v>
      </c>
      <c r="C233" s="354"/>
      <c r="D233" s="354"/>
      <c r="E233" s="354"/>
      <c r="F233" s="354"/>
      <c r="G233" s="354"/>
      <c r="H233" s="354"/>
      <c r="I233" s="354"/>
      <c r="J233" s="354"/>
      <c r="K233" s="354"/>
      <c r="L233" s="354"/>
      <c r="M233" s="290"/>
      <c r="N233" s="287"/>
      <c r="O233" s="287"/>
      <c r="P233" s="354"/>
      <c r="Q233" s="354"/>
      <c r="R233" s="317"/>
      <c r="S233" s="317"/>
      <c r="T233" s="317"/>
      <c r="U233" s="317"/>
      <c r="V233" s="356"/>
      <c r="W233" s="6"/>
    </row>
    <row r="234" spans="1:2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row>
  </sheetData>
  <hyperlinks>
    <hyperlink ref="I9" r:id="rId1"/>
    <hyperlink ref="K187"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21" man="1"/>
    <brk id="109" max="16383" man="1"/>
    <brk id="160" max="21" man="1"/>
    <brk id="239" man="1"/>
  </rowBreaks>
  <colBreaks count="1" manualBreakCount="1">
    <brk id="23" max="1048575" man="1"/>
  </colBreak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0" tint="-0.499984740745262"/>
  </sheetPr>
  <dimension ref="A1:Y234"/>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38" t="s">
        <v>223</v>
      </c>
      <c r="B1" s="285" t="s">
        <v>123</v>
      </c>
      <c r="C1" s="239"/>
      <c r="D1" s="239"/>
      <c r="E1" s="239"/>
      <c r="F1" s="239"/>
      <c r="G1" s="239"/>
      <c r="H1" s="239"/>
      <c r="I1" s="239"/>
      <c r="J1" s="239"/>
      <c r="K1" s="239"/>
      <c r="L1" s="239"/>
      <c r="M1" s="240"/>
      <c r="N1" s="240"/>
      <c r="O1" s="240"/>
      <c r="P1" s="240"/>
      <c r="Q1" s="240"/>
      <c r="R1" s="240"/>
      <c r="S1" s="240"/>
      <c r="T1" s="240"/>
      <c r="U1" s="240"/>
      <c r="V1" s="241"/>
      <c r="W1" s="6"/>
    </row>
    <row r="2" spans="1:23" ht="15.6">
      <c r="A2" s="242"/>
      <c r="B2" s="243"/>
      <c r="C2" s="243"/>
      <c r="D2" s="243"/>
      <c r="E2" s="243"/>
      <c r="F2" s="243"/>
      <c r="G2" s="243"/>
      <c r="H2" s="243"/>
      <c r="I2" s="243"/>
      <c r="J2" s="243"/>
      <c r="K2" s="243"/>
      <c r="L2" s="243"/>
      <c r="M2" s="244"/>
      <c r="N2" s="244"/>
      <c r="O2" s="244"/>
      <c r="P2" s="244"/>
      <c r="Q2" s="244"/>
      <c r="R2" s="244"/>
      <c r="S2" s="244"/>
      <c r="T2" s="244"/>
      <c r="U2" s="244"/>
      <c r="V2" s="245"/>
      <c r="W2" s="6"/>
    </row>
    <row r="3" spans="1:23" ht="15.6">
      <c r="A3" s="246"/>
      <c r="B3" s="247" t="s">
        <v>125</v>
      </c>
      <c r="C3" s="244"/>
      <c r="D3" s="244"/>
      <c r="E3" s="244"/>
      <c r="F3" s="244"/>
      <c r="G3" s="244"/>
      <c r="H3" s="244"/>
      <c r="I3" s="244"/>
      <c r="J3" s="244"/>
      <c r="K3" s="244"/>
      <c r="L3" s="244"/>
      <c r="M3" s="244"/>
      <c r="N3" s="244"/>
      <c r="O3" s="244"/>
      <c r="P3" s="244"/>
      <c r="Q3" s="244"/>
      <c r="R3" s="244"/>
      <c r="S3" s="244"/>
      <c r="T3" s="244"/>
      <c r="U3" s="244"/>
      <c r="V3" s="245"/>
      <c r="W3" s="6"/>
    </row>
    <row r="4" spans="1:23" ht="15.6">
      <c r="A4" s="242"/>
      <c r="B4" s="243"/>
      <c r="C4" s="243"/>
      <c r="D4" s="243"/>
      <c r="E4" s="243"/>
      <c r="F4" s="243"/>
      <c r="G4" s="243"/>
      <c r="H4" s="243"/>
      <c r="I4" s="243"/>
      <c r="J4" s="243"/>
      <c r="K4" s="243"/>
      <c r="L4" s="243"/>
      <c r="M4" s="244"/>
      <c r="N4" s="244"/>
      <c r="O4" s="244"/>
      <c r="P4" s="244"/>
      <c r="Q4" s="244"/>
      <c r="R4" s="244"/>
      <c r="S4" s="244"/>
      <c r="T4" s="244"/>
      <c r="U4" s="244"/>
      <c r="V4" s="245"/>
      <c r="W4" s="6"/>
    </row>
    <row r="5" spans="1:23" ht="16.2">
      <c r="A5" s="242"/>
      <c r="B5" s="286" t="s">
        <v>0</v>
      </c>
      <c r="C5" s="248"/>
      <c r="D5" s="248"/>
      <c r="E5" s="248"/>
      <c r="F5" s="248"/>
      <c r="G5" s="248"/>
      <c r="H5" s="248"/>
      <c r="I5" s="248"/>
      <c r="J5" s="248"/>
      <c r="K5" s="248"/>
      <c r="L5" s="248"/>
      <c r="M5" s="244"/>
      <c r="N5" s="244"/>
      <c r="O5" s="244"/>
      <c r="P5" s="244"/>
      <c r="Q5" s="244"/>
      <c r="R5" s="244"/>
      <c r="S5" s="244"/>
      <c r="T5" s="244"/>
      <c r="U5" s="244"/>
      <c r="V5" s="245"/>
      <c r="W5" s="6"/>
    </row>
    <row r="6" spans="1:23" ht="16.2">
      <c r="A6" s="242"/>
      <c r="B6" s="286" t="s">
        <v>1</v>
      </c>
      <c r="C6" s="248"/>
      <c r="D6" s="248"/>
      <c r="E6" s="248"/>
      <c r="F6" s="248"/>
      <c r="G6" s="248"/>
      <c r="H6" s="248"/>
      <c r="I6" s="248"/>
      <c r="J6" s="248"/>
      <c r="K6" s="248"/>
      <c r="L6" s="248"/>
      <c r="M6" s="244"/>
      <c r="N6" s="244"/>
      <c r="O6" s="244"/>
      <c r="P6" s="244"/>
      <c r="Q6" s="244"/>
      <c r="R6" s="244"/>
      <c r="S6" s="244"/>
      <c r="T6" s="244"/>
      <c r="U6" s="244"/>
      <c r="V6" s="245"/>
      <c r="W6" s="6"/>
    </row>
    <row r="7" spans="1:23" ht="16.2">
      <c r="A7" s="242"/>
      <c r="B7" s="286" t="s">
        <v>2</v>
      </c>
      <c r="C7" s="248"/>
      <c r="D7" s="248"/>
      <c r="E7" s="248"/>
      <c r="F7" s="248"/>
      <c r="G7" s="248"/>
      <c r="H7" s="248"/>
      <c r="I7" s="248"/>
      <c r="J7" s="248"/>
      <c r="K7" s="248"/>
      <c r="L7" s="248"/>
      <c r="M7" s="244"/>
      <c r="N7" s="244"/>
      <c r="O7" s="244"/>
      <c r="P7" s="244"/>
      <c r="Q7" s="244"/>
      <c r="R7" s="244"/>
      <c r="S7" s="244"/>
      <c r="T7" s="244"/>
      <c r="U7" s="244"/>
      <c r="V7" s="245"/>
      <c r="W7" s="6"/>
    </row>
    <row r="8" spans="1:23" ht="16.2">
      <c r="A8" s="242"/>
      <c r="B8" s="249"/>
      <c r="C8" s="248"/>
      <c r="D8" s="248"/>
      <c r="E8" s="248"/>
      <c r="F8" s="248"/>
      <c r="G8" s="248"/>
      <c r="H8" s="248"/>
      <c r="I8" s="248"/>
      <c r="J8" s="248"/>
      <c r="K8" s="248"/>
      <c r="L8" s="248"/>
      <c r="M8" s="244"/>
      <c r="N8" s="244"/>
      <c r="O8" s="244"/>
      <c r="P8" s="244"/>
      <c r="Q8" s="244"/>
      <c r="R8" s="244"/>
      <c r="S8" s="244"/>
      <c r="T8" s="244"/>
      <c r="U8" s="244"/>
      <c r="V8" s="245"/>
      <c r="W8" s="6"/>
    </row>
    <row r="9" spans="1:23" ht="18">
      <c r="A9" s="242"/>
      <c r="B9" s="250" t="s">
        <v>194</v>
      </c>
      <c r="C9" s="248"/>
      <c r="D9" s="248"/>
      <c r="E9" s="248"/>
      <c r="F9" s="248"/>
      <c r="G9" s="248"/>
      <c r="H9" s="248"/>
      <c r="I9" s="251" t="s">
        <v>195</v>
      </c>
      <c r="J9" s="248"/>
      <c r="K9" s="248"/>
      <c r="L9" s="248"/>
      <c r="M9" s="244"/>
      <c r="N9" s="244"/>
      <c r="O9" s="244"/>
      <c r="P9" s="244"/>
      <c r="Q9" s="244"/>
      <c r="R9" s="244"/>
      <c r="S9" s="244"/>
      <c r="T9" s="244"/>
      <c r="U9" s="244"/>
      <c r="V9" s="245"/>
      <c r="W9" s="6"/>
    </row>
    <row r="10" spans="1:23" ht="16.2">
      <c r="A10" s="242"/>
      <c r="B10" s="248"/>
      <c r="C10" s="248"/>
      <c r="D10" s="248"/>
      <c r="E10" s="248"/>
      <c r="F10" s="248"/>
      <c r="G10" s="248"/>
      <c r="H10" s="248"/>
      <c r="I10" s="248"/>
      <c r="J10" s="248"/>
      <c r="K10" s="248"/>
      <c r="L10" s="248"/>
      <c r="M10" s="252"/>
      <c r="N10" s="252"/>
      <c r="O10" s="244"/>
      <c r="P10" s="244"/>
      <c r="Q10" s="244"/>
      <c r="R10" s="244"/>
      <c r="S10" s="244"/>
      <c r="T10" s="244"/>
      <c r="U10" s="244"/>
      <c r="V10" s="245"/>
      <c r="W10" s="6"/>
    </row>
    <row r="11" spans="1:23" ht="15.6">
      <c r="A11" s="242"/>
      <c r="B11" s="287" t="s">
        <v>3</v>
      </c>
      <c r="C11" s="252"/>
      <c r="D11" s="252"/>
      <c r="E11" s="252"/>
      <c r="F11" s="252"/>
      <c r="G11" s="252"/>
      <c r="H11" s="252"/>
      <c r="I11" s="252"/>
      <c r="J11" s="252"/>
      <c r="K11" s="252"/>
      <c r="L11" s="252"/>
      <c r="M11" s="244"/>
      <c r="N11" s="244"/>
      <c r="O11" s="244"/>
      <c r="P11" s="244"/>
      <c r="Q11" s="244"/>
      <c r="R11" s="244"/>
      <c r="S11" s="244"/>
      <c r="T11" s="244"/>
      <c r="U11" s="244"/>
      <c r="V11" s="245"/>
      <c r="W11" s="6"/>
    </row>
    <row r="12" spans="1:23" ht="16.2" thickBot="1">
      <c r="A12" s="242"/>
      <c r="B12" s="252"/>
      <c r="C12" s="252"/>
      <c r="D12" s="252"/>
      <c r="E12" s="252"/>
      <c r="F12" s="252"/>
      <c r="G12" s="252"/>
      <c r="H12" s="252"/>
      <c r="I12" s="252"/>
      <c r="J12" s="252"/>
      <c r="K12" s="252"/>
      <c r="L12" s="252"/>
      <c r="M12" s="244"/>
      <c r="N12" s="244"/>
      <c r="O12" s="244"/>
      <c r="P12" s="244"/>
      <c r="Q12" s="244"/>
      <c r="R12" s="244"/>
      <c r="S12" s="244"/>
      <c r="T12" s="244"/>
      <c r="U12" s="244"/>
      <c r="V12" s="245"/>
      <c r="W12" s="6"/>
    </row>
    <row r="13" spans="1:23" ht="15.6">
      <c r="A13" s="238"/>
      <c r="B13" s="240"/>
      <c r="C13" s="240"/>
      <c r="D13" s="240"/>
      <c r="E13" s="240"/>
      <c r="F13" s="240"/>
      <c r="G13" s="240"/>
      <c r="H13" s="240"/>
      <c r="I13" s="240"/>
      <c r="J13" s="240"/>
      <c r="K13" s="240"/>
      <c r="L13" s="240"/>
      <c r="M13" s="240"/>
      <c r="N13" s="240"/>
      <c r="O13" s="240"/>
      <c r="P13" s="240"/>
      <c r="Q13" s="240"/>
      <c r="R13" s="240"/>
      <c r="S13" s="240"/>
      <c r="T13" s="240"/>
      <c r="U13" s="240"/>
      <c r="V13" s="241"/>
      <c r="W13" s="6"/>
    </row>
    <row r="14" spans="1:23" ht="15.6">
      <c r="A14" s="242"/>
      <c r="B14" s="287" t="s">
        <v>4</v>
      </c>
      <c r="C14" s="253"/>
      <c r="D14" s="253"/>
      <c r="E14" s="253"/>
      <c r="F14" s="253"/>
      <c r="G14" s="253"/>
      <c r="H14" s="253"/>
      <c r="I14" s="253"/>
      <c r="J14" s="253"/>
      <c r="K14" s="253"/>
      <c r="L14" s="253"/>
      <c r="M14" s="288"/>
      <c r="N14" s="288"/>
      <c r="O14" s="288"/>
      <c r="P14" s="288"/>
      <c r="Q14" s="288"/>
      <c r="R14" s="288"/>
      <c r="S14" s="288"/>
      <c r="T14" s="288"/>
      <c r="U14" s="289" t="s">
        <v>126</v>
      </c>
      <c r="V14" s="245"/>
      <c r="W14" s="6"/>
    </row>
    <row r="15" spans="1:23" ht="15.6">
      <c r="A15" s="242"/>
      <c r="B15" s="287" t="s">
        <v>5</v>
      </c>
      <c r="C15" s="253"/>
      <c r="D15" s="253"/>
      <c r="E15" s="253"/>
      <c r="F15" s="253"/>
      <c r="G15" s="253"/>
      <c r="H15" s="253"/>
      <c r="I15" s="253"/>
      <c r="J15" s="253"/>
      <c r="K15" s="253"/>
      <c r="L15" s="253"/>
      <c r="M15" s="290" t="s">
        <v>93</v>
      </c>
      <c r="N15" s="291">
        <v>0.1492</v>
      </c>
      <c r="O15" s="290" t="s">
        <v>99</v>
      </c>
      <c r="P15" s="291">
        <v>5.4399999999999997E-2</v>
      </c>
      <c r="Q15" s="290" t="s">
        <v>102</v>
      </c>
      <c r="R15" s="291">
        <v>0.48899999999999999</v>
      </c>
      <c r="S15" s="290" t="s">
        <v>108</v>
      </c>
      <c r="T15" s="291">
        <v>0.30740000000000001</v>
      </c>
      <c r="U15" s="289"/>
      <c r="V15" s="254"/>
      <c r="W15" s="6"/>
    </row>
    <row r="16" spans="1:23" ht="15.6">
      <c r="A16" s="242"/>
      <c r="B16" s="287" t="s">
        <v>6</v>
      </c>
      <c r="C16" s="253"/>
      <c r="D16" s="253"/>
      <c r="E16" s="253"/>
      <c r="F16" s="253"/>
      <c r="G16" s="253"/>
      <c r="H16" s="253"/>
      <c r="I16" s="253"/>
      <c r="J16" s="253"/>
      <c r="K16" s="253"/>
      <c r="L16" s="253"/>
      <c r="M16" s="290" t="s">
        <v>93</v>
      </c>
      <c r="N16" s="291">
        <f>+N198/S221</f>
        <v>1.6821419855666989E-2</v>
      </c>
      <c r="O16" s="290" t="s">
        <v>99</v>
      </c>
      <c r="P16" s="291">
        <f>+S198/S221</f>
        <v>4.2009970831251237E-3</v>
      </c>
      <c r="Q16" s="290" t="s">
        <v>102</v>
      </c>
      <c r="R16" s="291">
        <f>+N211/S221</f>
        <v>0.95815853389269157</v>
      </c>
      <c r="S16" s="290" t="s">
        <v>108</v>
      </c>
      <c r="T16" s="291">
        <f>+S211/S221</f>
        <v>2.0819049168516346E-2</v>
      </c>
      <c r="U16" s="289"/>
      <c r="V16" s="254"/>
      <c r="W16" s="6"/>
    </row>
    <row r="17" spans="1:23" ht="15.6">
      <c r="A17" s="242"/>
      <c r="B17" s="287" t="s">
        <v>7</v>
      </c>
      <c r="C17" s="253"/>
      <c r="D17" s="253"/>
      <c r="E17" s="253"/>
      <c r="F17" s="253"/>
      <c r="G17" s="253"/>
      <c r="H17" s="253"/>
      <c r="I17" s="253"/>
      <c r="J17" s="253"/>
      <c r="K17" s="253"/>
      <c r="L17" s="253"/>
      <c r="M17" s="288"/>
      <c r="N17" s="288"/>
      <c r="O17" s="288"/>
      <c r="P17" s="288"/>
      <c r="Q17" s="288"/>
      <c r="R17" s="288"/>
      <c r="S17" s="288"/>
      <c r="T17" s="288"/>
      <c r="U17" s="292">
        <v>38491</v>
      </c>
      <c r="V17" s="245"/>
      <c r="W17" s="6"/>
    </row>
    <row r="18" spans="1:23" ht="15.6">
      <c r="A18" s="242"/>
      <c r="B18" s="287" t="s">
        <v>8</v>
      </c>
      <c r="C18" s="253"/>
      <c r="D18" s="253"/>
      <c r="E18" s="253"/>
      <c r="F18" s="253"/>
      <c r="G18" s="253"/>
      <c r="H18" s="253"/>
      <c r="I18" s="253"/>
      <c r="J18" s="253"/>
      <c r="K18" s="253"/>
      <c r="L18" s="253"/>
      <c r="M18" s="288"/>
      <c r="N18" s="288"/>
      <c r="O18" s="288"/>
      <c r="P18" s="288"/>
      <c r="Q18" s="288"/>
      <c r="R18" s="288"/>
      <c r="S18" s="288"/>
      <c r="T18" s="288"/>
      <c r="U18" s="292">
        <v>41019</v>
      </c>
      <c r="V18" s="245"/>
      <c r="W18" s="6"/>
    </row>
    <row r="19" spans="1:23" ht="15.6">
      <c r="A19" s="242"/>
      <c r="B19" s="288"/>
      <c r="C19" s="244"/>
      <c r="D19" s="244"/>
      <c r="E19" s="244"/>
      <c r="F19" s="244"/>
      <c r="G19" s="244"/>
      <c r="H19" s="244"/>
      <c r="I19" s="244"/>
      <c r="J19" s="244"/>
      <c r="K19" s="244"/>
      <c r="L19" s="244"/>
      <c r="M19" s="244"/>
      <c r="N19" s="244"/>
      <c r="O19" s="244"/>
      <c r="P19" s="244"/>
      <c r="Q19" s="244"/>
      <c r="R19" s="244"/>
      <c r="S19" s="244"/>
      <c r="T19" s="244"/>
      <c r="U19" s="255"/>
      <c r="V19" s="245"/>
      <c r="W19" s="6"/>
    </row>
    <row r="20" spans="1:23" ht="15.6">
      <c r="A20" s="242"/>
      <c r="B20" s="293" t="s">
        <v>9</v>
      </c>
      <c r="C20" s="244"/>
      <c r="D20" s="244"/>
      <c r="E20" s="244"/>
      <c r="F20" s="244"/>
      <c r="G20" s="244"/>
      <c r="H20" s="244"/>
      <c r="I20" s="244"/>
      <c r="J20" s="244"/>
      <c r="K20" s="244"/>
      <c r="L20" s="244"/>
      <c r="M20" s="244"/>
      <c r="N20" s="244"/>
      <c r="O20" s="244"/>
      <c r="P20" s="244"/>
      <c r="Q20" s="244"/>
      <c r="R20" s="244"/>
      <c r="S20" s="255"/>
      <c r="T20" s="244"/>
      <c r="U20" s="249"/>
      <c r="V20" s="245"/>
      <c r="W20" s="6"/>
    </row>
    <row r="21" spans="1:23" ht="15.6">
      <c r="A21" s="242"/>
      <c r="B21" s="244"/>
      <c r="C21" s="244"/>
      <c r="D21" s="244"/>
      <c r="E21" s="244"/>
      <c r="F21" s="244"/>
      <c r="G21" s="244"/>
      <c r="H21" s="244"/>
      <c r="I21" s="244"/>
      <c r="J21" s="244"/>
      <c r="K21" s="244"/>
      <c r="L21" s="244"/>
      <c r="M21" s="244"/>
      <c r="N21" s="244"/>
      <c r="O21" s="244"/>
      <c r="P21" s="244"/>
      <c r="Q21" s="244"/>
      <c r="R21" s="244"/>
      <c r="S21" s="244"/>
      <c r="T21" s="244"/>
      <c r="U21" s="256"/>
      <c r="V21" s="245"/>
      <c r="W21" s="6"/>
    </row>
    <row r="22" spans="1:23" ht="15.6">
      <c r="A22" s="230"/>
      <c r="B22" s="231"/>
      <c r="C22" s="232" t="s">
        <v>130</v>
      </c>
      <c r="D22" s="232"/>
      <c r="E22" s="232" t="s">
        <v>131</v>
      </c>
      <c r="F22" s="232"/>
      <c r="G22" s="232" t="s">
        <v>132</v>
      </c>
      <c r="H22" s="232"/>
      <c r="I22" s="232" t="s">
        <v>133</v>
      </c>
      <c r="J22" s="232"/>
      <c r="K22" s="232" t="s">
        <v>134</v>
      </c>
      <c r="L22" s="232"/>
      <c r="M22" s="233" t="s">
        <v>135</v>
      </c>
      <c r="N22" s="233"/>
      <c r="O22" s="233" t="s">
        <v>136</v>
      </c>
      <c r="P22" s="233"/>
      <c r="Q22" s="233" t="s">
        <v>137</v>
      </c>
      <c r="R22" s="233"/>
      <c r="S22" s="235"/>
      <c r="T22" s="236"/>
      <c r="U22" s="236"/>
      <c r="V22" s="237"/>
      <c r="W22" s="6"/>
    </row>
    <row r="23" spans="1:23" ht="15.6">
      <c r="A23" s="257"/>
      <c r="B23" s="294" t="s">
        <v>10</v>
      </c>
      <c r="C23" s="295" t="s">
        <v>96</v>
      </c>
      <c r="D23" s="295"/>
      <c r="E23" s="295" t="s">
        <v>96</v>
      </c>
      <c r="F23" s="295"/>
      <c r="G23" s="295" t="s">
        <v>138</v>
      </c>
      <c r="H23" s="295"/>
      <c r="I23" s="295" t="s">
        <v>138</v>
      </c>
      <c r="J23" s="295"/>
      <c r="K23" s="295" t="s">
        <v>104</v>
      </c>
      <c r="L23" s="296"/>
      <c r="M23" s="297" t="s">
        <v>104</v>
      </c>
      <c r="N23" s="297"/>
      <c r="O23" s="297" t="s">
        <v>109</v>
      </c>
      <c r="P23" s="297"/>
      <c r="Q23" s="297" t="s">
        <v>109</v>
      </c>
      <c r="R23" s="258"/>
      <c r="S23" s="258"/>
      <c r="T23" s="259"/>
      <c r="U23" s="259"/>
      <c r="V23" s="260"/>
      <c r="W23" s="6"/>
    </row>
    <row r="24" spans="1:23" ht="15.6">
      <c r="A24" s="378"/>
      <c r="B24" s="379" t="s">
        <v>11</v>
      </c>
      <c r="C24" s="380" t="s">
        <v>97</v>
      </c>
      <c r="D24" s="380"/>
      <c r="E24" s="380" t="s">
        <v>97</v>
      </c>
      <c r="F24" s="380"/>
      <c r="G24" s="380" t="s">
        <v>139</v>
      </c>
      <c r="H24" s="380"/>
      <c r="I24" s="380" t="s">
        <v>139</v>
      </c>
      <c r="J24" s="380"/>
      <c r="K24" s="380" t="s">
        <v>105</v>
      </c>
      <c r="L24" s="381"/>
      <c r="M24" s="382" t="s">
        <v>105</v>
      </c>
      <c r="N24" s="382"/>
      <c r="O24" s="382" t="s">
        <v>110</v>
      </c>
      <c r="P24" s="382"/>
      <c r="Q24" s="382" t="s">
        <v>110</v>
      </c>
      <c r="R24" s="383"/>
      <c r="S24" s="383"/>
      <c r="T24" s="384"/>
      <c r="U24" s="384"/>
      <c r="V24" s="385"/>
      <c r="W24" s="6"/>
    </row>
    <row r="25" spans="1:23" ht="15.6">
      <c r="A25" s="378"/>
      <c r="B25" s="386" t="s">
        <v>12</v>
      </c>
      <c r="C25" s="381" t="s">
        <v>96</v>
      </c>
      <c r="D25" s="381"/>
      <c r="E25" s="381" t="s">
        <v>96</v>
      </c>
      <c r="F25" s="381"/>
      <c r="G25" s="381" t="s">
        <v>138</v>
      </c>
      <c r="H25" s="381"/>
      <c r="I25" s="381" t="s">
        <v>138</v>
      </c>
      <c r="J25" s="386"/>
      <c r="K25" s="381" t="s">
        <v>104</v>
      </c>
      <c r="L25" s="386"/>
      <c r="M25" s="387" t="s">
        <v>104</v>
      </c>
      <c r="N25" s="382"/>
      <c r="O25" s="387" t="s">
        <v>109</v>
      </c>
      <c r="P25" s="382"/>
      <c r="Q25" s="387" t="s">
        <v>109</v>
      </c>
      <c r="R25" s="388"/>
      <c r="S25" s="388"/>
      <c r="T25" s="389"/>
      <c r="U25" s="384"/>
      <c r="V25" s="385"/>
      <c r="W25" s="6"/>
    </row>
    <row r="26" spans="1:23" ht="15.6">
      <c r="A26" s="378"/>
      <c r="B26" s="386" t="s">
        <v>13</v>
      </c>
      <c r="C26" s="381" t="s">
        <v>275</v>
      </c>
      <c r="D26" s="381"/>
      <c r="E26" s="381" t="s">
        <v>275</v>
      </c>
      <c r="F26" s="381"/>
      <c r="G26" s="381" t="s">
        <v>275</v>
      </c>
      <c r="H26" s="381"/>
      <c r="I26" s="381" t="s">
        <v>275</v>
      </c>
      <c r="J26" s="386"/>
      <c r="K26" s="381" t="s">
        <v>105</v>
      </c>
      <c r="L26" s="386"/>
      <c r="M26" s="387" t="s">
        <v>105</v>
      </c>
      <c r="N26" s="382"/>
      <c r="O26" s="387" t="s">
        <v>110</v>
      </c>
      <c r="P26" s="382"/>
      <c r="Q26" s="387" t="s">
        <v>110</v>
      </c>
      <c r="R26" s="388"/>
      <c r="S26" s="388"/>
      <c r="T26" s="389"/>
      <c r="U26" s="384"/>
      <c r="V26" s="385"/>
      <c r="W26" s="6"/>
    </row>
    <row r="27" spans="1:23" ht="15.6">
      <c r="A27" s="378"/>
      <c r="B27" s="379" t="s">
        <v>14</v>
      </c>
      <c r="C27" s="380" t="s">
        <v>140</v>
      </c>
      <c r="D27" s="379"/>
      <c r="E27" s="380" t="s">
        <v>141</v>
      </c>
      <c r="F27" s="379"/>
      <c r="G27" s="380" t="s">
        <v>142</v>
      </c>
      <c r="H27" s="379"/>
      <c r="I27" s="380" t="s">
        <v>258</v>
      </c>
      <c r="J27" s="379"/>
      <c r="K27" s="380" t="s">
        <v>143</v>
      </c>
      <c r="L27" s="379"/>
      <c r="M27" s="379" t="s">
        <v>144</v>
      </c>
      <c r="N27" s="382"/>
      <c r="O27" s="379" t="s">
        <v>145</v>
      </c>
      <c r="P27" s="382"/>
      <c r="Q27" s="379" t="s">
        <v>146</v>
      </c>
      <c r="R27" s="383"/>
      <c r="S27" s="390"/>
      <c r="T27" s="384"/>
      <c r="U27" s="384"/>
      <c r="V27" s="385"/>
      <c r="W27" s="6"/>
    </row>
    <row r="28" spans="1:23" ht="15.6">
      <c r="A28" s="378"/>
      <c r="B28" s="379" t="s">
        <v>147</v>
      </c>
      <c r="C28" s="391">
        <v>146000</v>
      </c>
      <c r="D28" s="380"/>
      <c r="E28" s="392">
        <v>259500</v>
      </c>
      <c r="F28" s="380"/>
      <c r="G28" s="391">
        <v>16000</v>
      </c>
      <c r="H28" s="380"/>
      <c r="I28" s="392">
        <v>35500</v>
      </c>
      <c r="J28" s="379"/>
      <c r="K28" s="391">
        <v>18000</v>
      </c>
      <c r="L28" s="379"/>
      <c r="M28" s="392">
        <v>33000</v>
      </c>
      <c r="N28" s="393"/>
      <c r="O28" s="394">
        <v>24500</v>
      </c>
      <c r="P28" s="394"/>
      <c r="Q28" s="392">
        <v>30000</v>
      </c>
      <c r="R28" s="395"/>
      <c r="S28" s="395"/>
      <c r="T28" s="396"/>
      <c r="U28" s="395"/>
      <c r="V28" s="397"/>
      <c r="W28" s="6"/>
    </row>
    <row r="29" spans="1:23" ht="15.6">
      <c r="A29" s="378"/>
      <c r="B29" s="379" t="s">
        <v>15</v>
      </c>
      <c r="C29" s="391">
        <f>C28*C35</f>
        <v>35844.489200000004</v>
      </c>
      <c r="D29" s="398"/>
      <c r="E29" s="392">
        <f>E28*E35</f>
        <v>63709.8969</v>
      </c>
      <c r="F29" s="398"/>
      <c r="G29" s="391">
        <f>G28*G35</f>
        <v>12867.801600000001</v>
      </c>
      <c r="H29" s="398"/>
      <c r="I29" s="392">
        <f>I28*I35</f>
        <v>28550.434799999999</v>
      </c>
      <c r="J29" s="399"/>
      <c r="K29" s="391">
        <f>K28*K35</f>
        <v>14476.2768</v>
      </c>
      <c r="L29" s="399"/>
      <c r="M29" s="392">
        <f>M28*M35</f>
        <v>26539.840799999998</v>
      </c>
      <c r="N29" s="393"/>
      <c r="O29" s="391">
        <f>O28*O35</f>
        <v>19703.821199999998</v>
      </c>
      <c r="P29" s="394"/>
      <c r="Q29" s="392">
        <f>Q28*Q35</f>
        <v>24127.128000000001</v>
      </c>
      <c r="R29" s="400"/>
      <c r="S29" s="395"/>
      <c r="T29" s="396"/>
      <c r="U29" s="395"/>
      <c r="V29" s="397"/>
      <c r="W29" s="6"/>
    </row>
    <row r="30" spans="1:23" ht="15.6">
      <c r="A30" s="401"/>
      <c r="B30" s="386" t="s">
        <v>148</v>
      </c>
      <c r="C30" s="415">
        <f>C34*C28</f>
        <v>34104.986799999999</v>
      </c>
      <c r="D30" s="505"/>
      <c r="E30" s="406">
        <f>E34*E28</f>
        <v>60618.110099999998</v>
      </c>
      <c r="F30" s="505"/>
      <c r="G30" s="415">
        <f>G34*G28</f>
        <v>12243.4048</v>
      </c>
      <c r="H30" s="505"/>
      <c r="I30" s="406">
        <f>I34*I28</f>
        <v>27165.054400000001</v>
      </c>
      <c r="J30" s="506"/>
      <c r="K30" s="415">
        <f>K34*K28</f>
        <v>13773.830400000001</v>
      </c>
      <c r="L30" s="399"/>
      <c r="M30" s="406">
        <f>M34*M28</f>
        <v>25252.022400000002</v>
      </c>
      <c r="N30" s="407"/>
      <c r="O30" s="415">
        <f>O34*O28</f>
        <v>18747.713599999999</v>
      </c>
      <c r="P30" s="408"/>
      <c r="Q30" s="406">
        <f>Q34*Q28</f>
        <v>22956.384000000002</v>
      </c>
      <c r="R30" s="408"/>
      <c r="S30" s="408"/>
      <c r="T30" s="409"/>
      <c r="U30" s="408"/>
      <c r="V30" s="410"/>
      <c r="W30" s="6"/>
    </row>
    <row r="31" spans="1:23" ht="15.6">
      <c r="A31" s="401"/>
      <c r="B31" s="379" t="s">
        <v>260</v>
      </c>
      <c r="C31" s="391">
        <v>146000</v>
      </c>
      <c r="D31" s="398"/>
      <c r="E31" s="391">
        <v>178000</v>
      </c>
      <c r="F31" s="391"/>
      <c r="G31" s="391">
        <v>16000</v>
      </c>
      <c r="H31" s="391"/>
      <c r="I31" s="391">
        <v>24500</v>
      </c>
      <c r="J31" s="412"/>
      <c r="K31" s="391">
        <v>18000</v>
      </c>
      <c r="L31" s="412"/>
      <c r="M31" s="391">
        <v>22500</v>
      </c>
      <c r="N31" s="414"/>
      <c r="O31" s="391">
        <v>24500</v>
      </c>
      <c r="P31" s="415"/>
      <c r="Q31" s="391">
        <v>20500</v>
      </c>
      <c r="R31" s="408"/>
      <c r="S31" s="408"/>
      <c r="T31" s="409"/>
      <c r="U31" s="394">
        <f>+Q31+O31+M31+K31+I31+G31+E31+C31</f>
        <v>450000</v>
      </c>
      <c r="V31" s="410"/>
      <c r="W31" s="6"/>
    </row>
    <row r="32" spans="1:23" ht="15.6">
      <c r="A32" s="401"/>
      <c r="B32" s="379" t="s">
        <v>261</v>
      </c>
      <c r="C32" s="391">
        <f>C28*C35</f>
        <v>35844.489200000004</v>
      </c>
      <c r="D32" s="398"/>
      <c r="E32" s="391">
        <f>E31*E35</f>
        <v>43700.815600000002</v>
      </c>
      <c r="F32" s="391"/>
      <c r="G32" s="391">
        <f>G28*G35</f>
        <v>12867.801600000001</v>
      </c>
      <c r="H32" s="391"/>
      <c r="I32" s="391">
        <f>I31*I35</f>
        <v>19703.821199999998</v>
      </c>
      <c r="J32" s="412"/>
      <c r="K32" s="391">
        <f>K28*K35</f>
        <v>14476.2768</v>
      </c>
      <c r="L32" s="412"/>
      <c r="M32" s="391">
        <f>M31*M35</f>
        <v>18095.346000000001</v>
      </c>
      <c r="N32" s="414"/>
      <c r="O32" s="391">
        <f>O28*O35</f>
        <v>19703.821199999998</v>
      </c>
      <c r="P32" s="415"/>
      <c r="Q32" s="391">
        <f>Q31*Q35</f>
        <v>16486.870800000001</v>
      </c>
      <c r="R32" s="391"/>
      <c r="S32" s="408"/>
      <c r="T32" s="409"/>
      <c r="U32" s="394">
        <f>+Q32+O32+M32+K32+I32+G32+E32+C32</f>
        <v>180879.24240000002</v>
      </c>
      <c r="V32" s="410"/>
      <c r="W32" s="6"/>
    </row>
    <row r="33" spans="1:23" ht="15.6">
      <c r="A33" s="401"/>
      <c r="B33" s="386" t="s">
        <v>262</v>
      </c>
      <c r="C33" s="415">
        <f>C34*C28</f>
        <v>34104.986799999999</v>
      </c>
      <c r="D33" s="415"/>
      <c r="E33" s="415">
        <f>E34*E31</f>
        <v>41580.0524</v>
      </c>
      <c r="F33" s="415"/>
      <c r="G33" s="415">
        <f>G34*G28</f>
        <v>12243.4048</v>
      </c>
      <c r="H33" s="415"/>
      <c r="I33" s="415">
        <f>I34*I31</f>
        <v>18747.713599999999</v>
      </c>
      <c r="J33" s="414"/>
      <c r="K33" s="415">
        <f>K34*K28</f>
        <v>13773.830400000001</v>
      </c>
      <c r="L33" s="414"/>
      <c r="M33" s="415">
        <f>M34*M31</f>
        <v>17217.288</v>
      </c>
      <c r="N33" s="414"/>
      <c r="O33" s="415">
        <f>O34*O28</f>
        <v>18747.713599999999</v>
      </c>
      <c r="P33" s="415"/>
      <c r="Q33" s="415">
        <f>Q34*Q31</f>
        <v>15686.8624</v>
      </c>
      <c r="R33" s="408"/>
      <c r="S33" s="408"/>
      <c r="T33" s="409"/>
      <c r="U33" s="408">
        <f>+Q33+O33+M33+K33+I33+G33+E33+C33</f>
        <v>172101.85200000001</v>
      </c>
      <c r="V33" s="410"/>
      <c r="W33" s="6"/>
    </row>
    <row r="34" spans="1:23" ht="15.6">
      <c r="A34" s="401"/>
      <c r="B34" s="468" t="s">
        <v>149</v>
      </c>
      <c r="C34" s="507">
        <v>0.23359579999999999</v>
      </c>
      <c r="D34" s="507"/>
      <c r="E34" s="507">
        <v>0.23359579999999999</v>
      </c>
      <c r="F34" s="507"/>
      <c r="G34" s="507">
        <v>0.76521280000000003</v>
      </c>
      <c r="H34" s="507"/>
      <c r="I34" s="507">
        <v>0.76521280000000003</v>
      </c>
      <c r="J34" s="507"/>
      <c r="K34" s="507">
        <v>0.76521280000000003</v>
      </c>
      <c r="L34" s="507"/>
      <c r="M34" s="507">
        <v>0.76521280000000003</v>
      </c>
      <c r="N34" s="507"/>
      <c r="O34" s="507">
        <v>0.76521280000000003</v>
      </c>
      <c r="P34" s="507"/>
      <c r="Q34" s="507">
        <v>0.76521280000000003</v>
      </c>
      <c r="R34" s="508"/>
      <c r="S34" s="420"/>
      <c r="T34" s="421"/>
      <c r="U34" s="420"/>
      <c r="V34" s="385"/>
      <c r="W34" s="6"/>
    </row>
    <row r="35" spans="1:23" ht="15.6">
      <c r="A35" s="401"/>
      <c r="B35" s="468" t="s">
        <v>150</v>
      </c>
      <c r="C35" s="507">
        <v>0.24551020000000001</v>
      </c>
      <c r="D35" s="507"/>
      <c r="E35" s="507">
        <v>0.24551020000000001</v>
      </c>
      <c r="F35" s="507"/>
      <c r="G35" s="507">
        <v>0.8042376</v>
      </c>
      <c r="H35" s="507"/>
      <c r="I35" s="507">
        <v>0.8042376</v>
      </c>
      <c r="J35" s="507"/>
      <c r="K35" s="507">
        <v>0.8042376</v>
      </c>
      <c r="L35" s="507"/>
      <c r="M35" s="507">
        <v>0.8042376</v>
      </c>
      <c r="N35" s="507"/>
      <c r="O35" s="507">
        <v>0.8042376</v>
      </c>
      <c r="P35" s="507"/>
      <c r="Q35" s="507">
        <v>0.8042376</v>
      </c>
      <c r="R35" s="508"/>
      <c r="S35" s="420"/>
      <c r="T35" s="421"/>
      <c r="U35" s="420"/>
      <c r="V35" s="385"/>
      <c r="W35" s="6"/>
    </row>
    <row r="36" spans="1:23" ht="15.6">
      <c r="A36" s="378"/>
      <c r="B36" s="379" t="s">
        <v>153</v>
      </c>
      <c r="C36" s="380" t="s">
        <v>163</v>
      </c>
      <c r="D36" s="380"/>
      <c r="E36" s="380" t="s">
        <v>163</v>
      </c>
      <c r="F36" s="380"/>
      <c r="G36" s="380" t="s">
        <v>164</v>
      </c>
      <c r="H36" s="380"/>
      <c r="I36" s="380" t="s">
        <v>164</v>
      </c>
      <c r="J36" s="380"/>
      <c r="K36" s="380" t="s">
        <v>106</v>
      </c>
      <c r="L36" s="380"/>
      <c r="M36" s="380" t="s">
        <v>165</v>
      </c>
      <c r="N36" s="380"/>
      <c r="O36" s="380" t="s">
        <v>166</v>
      </c>
      <c r="P36" s="380"/>
      <c r="Q36" s="380" t="s">
        <v>167</v>
      </c>
      <c r="R36" s="380"/>
      <c r="S36" s="380"/>
      <c r="T36" s="379"/>
      <c r="U36" s="424"/>
      <c r="V36" s="410"/>
      <c r="W36" s="6"/>
    </row>
    <row r="37" spans="1:23" ht="15.6">
      <c r="A37" s="378"/>
      <c r="B37" s="379" t="s">
        <v>151</v>
      </c>
      <c r="C37" s="509">
        <v>1.5295599999999999E-2</v>
      </c>
      <c r="D37" s="509"/>
      <c r="E37" s="509">
        <v>1.685E-2</v>
      </c>
      <c r="F37" s="509"/>
      <c r="G37" s="509">
        <v>1.74956E-2</v>
      </c>
      <c r="H37" s="509"/>
      <c r="I37" s="509">
        <v>1.9050000000000001E-2</v>
      </c>
      <c r="J37" s="509"/>
      <c r="K37" s="509">
        <v>2.2895599999999999E-2</v>
      </c>
      <c r="L37" s="509"/>
      <c r="M37" s="509">
        <v>2.385E-2</v>
      </c>
      <c r="N37" s="509"/>
      <c r="O37" s="509">
        <v>2.9895600000000001E-2</v>
      </c>
      <c r="P37" s="509"/>
      <c r="Q37" s="509">
        <v>3.0450000000000001E-2</v>
      </c>
      <c r="R37" s="427"/>
      <c r="S37" s="509"/>
      <c r="T37" s="379"/>
      <c r="U37" s="380"/>
      <c r="V37" s="410"/>
      <c r="W37" s="6"/>
    </row>
    <row r="38" spans="1:23" ht="15.6">
      <c r="A38" s="378"/>
      <c r="B38" s="379" t="s">
        <v>152</v>
      </c>
      <c r="C38" s="509">
        <v>1.40669E-2</v>
      </c>
      <c r="D38" s="509"/>
      <c r="E38" s="509">
        <v>2.0119999999999999E-2</v>
      </c>
      <c r="F38" s="509"/>
      <c r="G38" s="509">
        <v>1.6266900000000001E-2</v>
      </c>
      <c r="H38" s="509"/>
      <c r="I38" s="509">
        <v>2.232E-2</v>
      </c>
      <c r="J38" s="509"/>
      <c r="K38" s="509">
        <v>2.1666899999999999E-2</v>
      </c>
      <c r="L38" s="509"/>
      <c r="M38" s="509">
        <v>2.7119999999999998E-2</v>
      </c>
      <c r="N38" s="509"/>
      <c r="O38" s="509">
        <v>2.8666899999999999E-2</v>
      </c>
      <c r="P38" s="509"/>
      <c r="Q38" s="509">
        <v>3.372E-2</v>
      </c>
      <c r="R38" s="427"/>
      <c r="S38" s="509"/>
      <c r="T38" s="379"/>
      <c r="U38" s="424"/>
      <c r="V38" s="410"/>
      <c r="W38" s="6"/>
    </row>
    <row r="39" spans="1:23" ht="15.6">
      <c r="A39" s="378"/>
      <c r="B39" s="379" t="s">
        <v>263</v>
      </c>
      <c r="C39" s="380" t="s">
        <v>163</v>
      </c>
      <c r="D39" s="379"/>
      <c r="E39" s="380" t="s">
        <v>228</v>
      </c>
      <c r="F39" s="379"/>
      <c r="G39" s="380" t="s">
        <v>164</v>
      </c>
      <c r="H39" s="379"/>
      <c r="I39" s="380" t="s">
        <v>226</v>
      </c>
      <c r="J39" s="379"/>
      <c r="K39" s="380" t="s">
        <v>106</v>
      </c>
      <c r="L39" s="379"/>
      <c r="M39" s="380" t="s">
        <v>227</v>
      </c>
      <c r="N39" s="379"/>
      <c r="O39" s="380" t="s">
        <v>166</v>
      </c>
      <c r="P39" s="380"/>
      <c r="Q39" s="380" t="s">
        <v>229</v>
      </c>
      <c r="R39" s="427"/>
      <c r="S39" s="509"/>
      <c r="T39" s="379"/>
      <c r="U39" s="424"/>
      <c r="V39" s="410"/>
      <c r="W39" s="6"/>
    </row>
    <row r="40" spans="1:23" ht="15.6">
      <c r="A40" s="378"/>
      <c r="B40" s="379" t="s">
        <v>264</v>
      </c>
      <c r="C40" s="509">
        <f>+C37</f>
        <v>1.5295599999999999E-2</v>
      </c>
      <c r="D40" s="509"/>
      <c r="E40" s="509">
        <v>1.58716E-2</v>
      </c>
      <c r="F40" s="509"/>
      <c r="G40" s="509">
        <f>+G37</f>
        <v>1.74956E-2</v>
      </c>
      <c r="H40" s="509"/>
      <c r="I40" s="509">
        <v>1.8228600000000001E-2</v>
      </c>
      <c r="J40" s="509"/>
      <c r="K40" s="509">
        <f>+K37</f>
        <v>2.2895599999999999E-2</v>
      </c>
      <c r="L40" s="510"/>
      <c r="M40" s="509">
        <v>2.3456000000000001E-2</v>
      </c>
      <c r="N40" s="510"/>
      <c r="O40" s="509">
        <f>+O37</f>
        <v>2.9895600000000001E-2</v>
      </c>
      <c r="P40" s="509"/>
      <c r="Q40" s="509">
        <v>3.0721999999999999E-2</v>
      </c>
      <c r="R40" s="427"/>
      <c r="S40" s="509"/>
      <c r="T40" s="379"/>
      <c r="U40" s="427">
        <f>SUMPRODUCT(C40:Q40,C32:Q32)/U32</f>
        <v>2.0331921178735321E-2</v>
      </c>
      <c r="V40" s="410"/>
      <c r="W40" s="6"/>
    </row>
    <row r="41" spans="1:23" ht="15.6">
      <c r="A41" s="378"/>
      <c r="B41" s="379" t="s">
        <v>265</v>
      </c>
      <c r="C41" s="509">
        <f>+C38</f>
        <v>1.40669E-2</v>
      </c>
      <c r="D41" s="509"/>
      <c r="E41" s="509">
        <v>1.46429E-2</v>
      </c>
      <c r="F41" s="509"/>
      <c r="G41" s="509">
        <f>+G38</f>
        <v>1.6266900000000001E-2</v>
      </c>
      <c r="H41" s="509"/>
      <c r="I41" s="509">
        <v>1.6999899999999998E-2</v>
      </c>
      <c r="J41" s="509"/>
      <c r="K41" s="509">
        <f>+K38</f>
        <v>2.1666899999999999E-2</v>
      </c>
      <c r="L41" s="510"/>
      <c r="M41" s="509">
        <v>2.2227299999999998E-2</v>
      </c>
      <c r="N41" s="510"/>
      <c r="O41" s="509">
        <f>+O38</f>
        <v>2.8666899999999999E-2</v>
      </c>
      <c r="P41" s="509"/>
      <c r="Q41" s="509">
        <v>2.94933E-2</v>
      </c>
      <c r="R41" s="427"/>
      <c r="S41" s="509"/>
      <c r="T41" s="379"/>
      <c r="U41" s="424"/>
      <c r="V41" s="410"/>
      <c r="W41" s="6"/>
    </row>
    <row r="42" spans="1:23" ht="15.6">
      <c r="A42" s="378"/>
      <c r="B42" s="379" t="s">
        <v>17</v>
      </c>
      <c r="C42" s="429">
        <v>39918</v>
      </c>
      <c r="D42" s="429"/>
      <c r="E42" s="429">
        <v>39918</v>
      </c>
      <c r="F42" s="429"/>
      <c r="G42" s="429">
        <v>39918</v>
      </c>
      <c r="H42" s="429"/>
      <c r="I42" s="429">
        <v>39918</v>
      </c>
      <c r="J42" s="429"/>
      <c r="K42" s="429">
        <v>39918</v>
      </c>
      <c r="L42" s="429"/>
      <c r="M42" s="429">
        <v>39918</v>
      </c>
      <c r="N42" s="429"/>
      <c r="O42" s="429">
        <v>39918</v>
      </c>
      <c r="P42" s="429"/>
      <c r="Q42" s="429">
        <v>39918</v>
      </c>
      <c r="R42" s="380"/>
      <c r="S42" s="380"/>
      <c r="T42" s="379"/>
      <c r="U42" s="424"/>
      <c r="V42" s="410"/>
      <c r="W42" s="6"/>
    </row>
    <row r="43" spans="1:23" ht="15.6">
      <c r="A43" s="378"/>
      <c r="B43" s="379" t="s">
        <v>18</v>
      </c>
      <c r="C43" s="429">
        <v>40283</v>
      </c>
      <c r="D43" s="430"/>
      <c r="E43" s="429">
        <v>40283</v>
      </c>
      <c r="F43" s="430"/>
      <c r="G43" s="429">
        <v>40283</v>
      </c>
      <c r="H43" s="430"/>
      <c r="I43" s="429">
        <v>40283</v>
      </c>
      <c r="J43" s="430"/>
      <c r="K43" s="429">
        <v>40283</v>
      </c>
      <c r="L43" s="430"/>
      <c r="M43" s="429">
        <v>40283</v>
      </c>
      <c r="N43" s="430"/>
      <c r="O43" s="429">
        <v>40283</v>
      </c>
      <c r="P43" s="429"/>
      <c r="Q43" s="429">
        <v>40283</v>
      </c>
      <c r="R43" s="380"/>
      <c r="S43" s="380"/>
      <c r="T43" s="424"/>
      <c r="U43" s="424"/>
      <c r="V43" s="410"/>
      <c r="W43" s="6"/>
    </row>
    <row r="44" spans="1:23" ht="15.6">
      <c r="A44" s="378"/>
      <c r="B44" s="379" t="s">
        <v>154</v>
      </c>
      <c r="C44" s="380" t="s">
        <v>163</v>
      </c>
      <c r="D44" s="380"/>
      <c r="E44" s="380" t="s">
        <v>163</v>
      </c>
      <c r="F44" s="380"/>
      <c r="G44" s="380" t="s">
        <v>164</v>
      </c>
      <c r="H44" s="380"/>
      <c r="I44" s="380" t="s">
        <v>164</v>
      </c>
      <c r="J44" s="380"/>
      <c r="K44" s="380" t="s">
        <v>106</v>
      </c>
      <c r="L44" s="380"/>
      <c r="M44" s="380" t="s">
        <v>165</v>
      </c>
      <c r="N44" s="380"/>
      <c r="O44" s="380" t="s">
        <v>166</v>
      </c>
      <c r="P44" s="380"/>
      <c r="Q44" s="380" t="s">
        <v>167</v>
      </c>
      <c r="R44" s="380"/>
      <c r="S44" s="380"/>
      <c r="T44" s="424"/>
      <c r="U44" s="424"/>
      <c r="V44" s="410"/>
      <c r="W44" s="6"/>
    </row>
    <row r="45" spans="1:23" ht="15.6">
      <c r="A45" s="378"/>
      <c r="B45" s="379" t="s">
        <v>266</v>
      </c>
      <c r="C45" s="380" t="s">
        <v>163</v>
      </c>
      <c r="D45" s="379"/>
      <c r="E45" s="380" t="s">
        <v>228</v>
      </c>
      <c r="F45" s="379"/>
      <c r="G45" s="380" t="s">
        <v>164</v>
      </c>
      <c r="H45" s="379"/>
      <c r="I45" s="380" t="s">
        <v>226</v>
      </c>
      <c r="J45" s="379"/>
      <c r="K45" s="380" t="s">
        <v>106</v>
      </c>
      <c r="L45" s="379"/>
      <c r="M45" s="380" t="s">
        <v>227</v>
      </c>
      <c r="N45" s="379"/>
      <c r="O45" s="380" t="s">
        <v>166</v>
      </c>
      <c r="P45" s="380"/>
      <c r="Q45" s="380" t="s">
        <v>229</v>
      </c>
      <c r="R45" s="380"/>
      <c r="S45" s="380"/>
      <c r="T45" s="424"/>
      <c r="U45" s="424"/>
      <c r="V45" s="410"/>
      <c r="W45" s="6"/>
    </row>
    <row r="46" spans="1:23" ht="15.6">
      <c r="A46" s="378"/>
      <c r="B46" s="379"/>
      <c r="C46" s="379"/>
      <c r="D46" s="379"/>
      <c r="E46" s="379"/>
      <c r="F46" s="379"/>
      <c r="G46" s="379"/>
      <c r="H46" s="379"/>
      <c r="I46" s="379"/>
      <c r="J46" s="379"/>
      <c r="K46" s="379"/>
      <c r="L46" s="379"/>
      <c r="M46" s="431"/>
      <c r="N46" s="431"/>
      <c r="O46" s="379"/>
      <c r="P46" s="431"/>
      <c r="Q46" s="431"/>
      <c r="R46" s="431"/>
      <c r="S46" s="431"/>
      <c r="T46" s="431"/>
      <c r="U46" s="431"/>
      <c r="V46" s="410"/>
      <c r="W46" s="6"/>
    </row>
    <row r="47" spans="1:23" ht="15.6">
      <c r="A47" s="378"/>
      <c r="B47" s="379" t="s">
        <v>201</v>
      </c>
      <c r="C47" s="379"/>
      <c r="D47" s="379"/>
      <c r="E47" s="379"/>
      <c r="F47" s="379"/>
      <c r="G47" s="379"/>
      <c r="H47" s="379"/>
      <c r="I47" s="379"/>
      <c r="J47" s="379"/>
      <c r="K47" s="379"/>
      <c r="L47" s="379"/>
      <c r="M47" s="379"/>
      <c r="N47" s="379"/>
      <c r="O47" s="379"/>
      <c r="P47" s="379"/>
      <c r="Q47" s="379"/>
      <c r="R47" s="379"/>
      <c r="S47" s="379"/>
      <c r="T47" s="379"/>
      <c r="U47" s="427">
        <f>SUM(G31:Q31)/(C31+E31)</f>
        <v>0.3888888888888889</v>
      </c>
      <c r="V47" s="410"/>
      <c r="W47" s="6"/>
    </row>
    <row r="48" spans="1:23" ht="15.6">
      <c r="A48" s="378"/>
      <c r="B48" s="379" t="s">
        <v>202</v>
      </c>
      <c r="C48" s="379"/>
      <c r="D48" s="379"/>
      <c r="E48" s="379"/>
      <c r="F48" s="379"/>
      <c r="G48" s="379"/>
      <c r="H48" s="379"/>
      <c r="I48" s="379"/>
      <c r="J48" s="379"/>
      <c r="K48" s="379"/>
      <c r="L48" s="379"/>
      <c r="M48" s="379"/>
      <c r="N48" s="379"/>
      <c r="O48" s="379"/>
      <c r="P48" s="379"/>
      <c r="Q48" s="379"/>
      <c r="R48" s="379"/>
      <c r="S48" s="379"/>
      <c r="T48" s="379"/>
      <c r="U48" s="427">
        <f>SUM(F33:Q33)/(C33+E33)</f>
        <v>1.2739216867578764</v>
      </c>
      <c r="V48" s="410"/>
      <c r="W48" s="6"/>
    </row>
    <row r="49" spans="1:23" ht="15.6">
      <c r="A49" s="378"/>
      <c r="B49" s="379" t="s">
        <v>203</v>
      </c>
      <c r="C49" s="379"/>
      <c r="D49" s="379"/>
      <c r="E49" s="379"/>
      <c r="F49" s="379"/>
      <c r="G49" s="379"/>
      <c r="H49" s="379"/>
      <c r="I49" s="379"/>
      <c r="J49" s="379"/>
      <c r="K49" s="379"/>
      <c r="L49" s="379"/>
      <c r="M49" s="379"/>
      <c r="N49" s="379"/>
      <c r="O49" s="379"/>
      <c r="P49" s="379"/>
      <c r="Q49" s="379"/>
      <c r="R49" s="379"/>
      <c r="S49" s="380" t="s">
        <v>95</v>
      </c>
      <c r="T49" s="380" t="s">
        <v>117</v>
      </c>
      <c r="U49" s="394">
        <v>99000</v>
      </c>
      <c r="V49" s="410"/>
      <c r="W49" s="6"/>
    </row>
    <row r="50" spans="1:23" ht="15.6">
      <c r="A50" s="378"/>
      <c r="B50" s="379"/>
      <c r="C50" s="379"/>
      <c r="D50" s="379"/>
      <c r="E50" s="379"/>
      <c r="F50" s="379"/>
      <c r="G50" s="379"/>
      <c r="H50" s="379"/>
      <c r="I50" s="379"/>
      <c r="J50" s="379"/>
      <c r="K50" s="379"/>
      <c r="L50" s="379"/>
      <c r="M50" s="379"/>
      <c r="N50" s="379"/>
      <c r="O50" s="379"/>
      <c r="P50" s="379"/>
      <c r="Q50" s="379"/>
      <c r="R50" s="379"/>
      <c r="S50" s="379" t="s">
        <v>213</v>
      </c>
      <c r="T50" s="379"/>
      <c r="U50" s="432"/>
      <c r="V50" s="410"/>
      <c r="W50" s="6"/>
    </row>
    <row r="51" spans="1:23" ht="15.6">
      <c r="A51" s="378"/>
      <c r="B51" s="379" t="s">
        <v>19</v>
      </c>
      <c r="C51" s="379"/>
      <c r="D51" s="379"/>
      <c r="E51" s="379"/>
      <c r="F51" s="379"/>
      <c r="G51" s="379"/>
      <c r="H51" s="379"/>
      <c r="I51" s="379"/>
      <c r="J51" s="379"/>
      <c r="K51" s="379"/>
      <c r="L51" s="379"/>
      <c r="M51" s="379"/>
      <c r="N51" s="379"/>
      <c r="O51" s="379"/>
      <c r="P51" s="379"/>
      <c r="Q51" s="379"/>
      <c r="R51" s="379"/>
      <c r="S51" s="380"/>
      <c r="T51" s="380"/>
      <c r="U51" s="380" t="s">
        <v>118</v>
      </c>
      <c r="V51" s="410"/>
      <c r="W51" s="6"/>
    </row>
    <row r="52" spans="1:23" ht="15.6">
      <c r="A52" s="401"/>
      <c r="B52" s="386" t="s">
        <v>20</v>
      </c>
      <c r="C52" s="386"/>
      <c r="D52" s="386"/>
      <c r="E52" s="386"/>
      <c r="F52" s="386"/>
      <c r="G52" s="386"/>
      <c r="H52" s="386"/>
      <c r="I52" s="386"/>
      <c r="J52" s="386"/>
      <c r="K52" s="386"/>
      <c r="L52" s="386"/>
      <c r="M52" s="386"/>
      <c r="N52" s="386"/>
      <c r="O52" s="386"/>
      <c r="P52" s="386"/>
      <c r="Q52" s="386"/>
      <c r="R52" s="386"/>
      <c r="S52" s="433"/>
      <c r="T52" s="433"/>
      <c r="U52" s="434">
        <v>41015</v>
      </c>
      <c r="V52" s="435"/>
      <c r="W52" s="6"/>
    </row>
    <row r="53" spans="1:23" ht="15.6">
      <c r="A53" s="378"/>
      <c r="B53" s="379" t="s">
        <v>155</v>
      </c>
      <c r="C53" s="379"/>
      <c r="D53" s="379"/>
      <c r="E53" s="379"/>
      <c r="F53" s="379"/>
      <c r="G53" s="379"/>
      <c r="H53" s="379"/>
      <c r="I53" s="379"/>
      <c r="J53" s="379"/>
      <c r="K53" s="379"/>
      <c r="L53" s="379"/>
      <c r="M53" s="379"/>
      <c r="N53" s="379"/>
      <c r="O53" s="379"/>
      <c r="P53" s="379"/>
      <c r="Q53" s="424"/>
      <c r="R53" s="379">
        <f>U53-S53+1</f>
        <v>91</v>
      </c>
      <c r="S53" s="436">
        <v>40833</v>
      </c>
      <c r="T53" s="429"/>
      <c r="U53" s="436">
        <v>40923</v>
      </c>
      <c r="V53" s="410"/>
      <c r="W53" s="6"/>
    </row>
    <row r="54" spans="1:23" ht="15.6">
      <c r="A54" s="378"/>
      <c r="B54" s="379" t="s">
        <v>156</v>
      </c>
      <c r="C54" s="379"/>
      <c r="D54" s="379"/>
      <c r="E54" s="379"/>
      <c r="F54" s="379"/>
      <c r="G54" s="379"/>
      <c r="H54" s="379"/>
      <c r="I54" s="379"/>
      <c r="J54" s="379"/>
      <c r="K54" s="379"/>
      <c r="L54" s="379"/>
      <c r="M54" s="379"/>
      <c r="N54" s="379"/>
      <c r="O54" s="379"/>
      <c r="P54" s="379"/>
      <c r="Q54" s="424"/>
      <c r="R54" s="379">
        <f>U54-S54+1</f>
        <v>91</v>
      </c>
      <c r="S54" s="436">
        <v>40924</v>
      </c>
      <c r="T54" s="429"/>
      <c r="U54" s="436">
        <v>41014</v>
      </c>
      <c r="V54" s="410"/>
      <c r="W54" s="6"/>
    </row>
    <row r="55" spans="1:23" ht="15.6">
      <c r="A55" s="378"/>
      <c r="B55" s="379" t="s">
        <v>21</v>
      </c>
      <c r="C55" s="379"/>
      <c r="D55" s="379"/>
      <c r="E55" s="379"/>
      <c r="F55" s="379"/>
      <c r="G55" s="379"/>
      <c r="H55" s="379"/>
      <c r="I55" s="379"/>
      <c r="J55" s="379"/>
      <c r="K55" s="379"/>
      <c r="L55" s="379"/>
      <c r="M55" s="379"/>
      <c r="N55" s="379"/>
      <c r="O55" s="379"/>
      <c r="P55" s="379"/>
      <c r="Q55" s="379"/>
      <c r="R55" s="379"/>
      <c r="S55" s="436"/>
      <c r="T55" s="429"/>
      <c r="U55" s="436" t="s">
        <v>119</v>
      </c>
      <c r="V55" s="410"/>
      <c r="W55" s="6"/>
    </row>
    <row r="56" spans="1:23" ht="15.6">
      <c r="A56" s="378"/>
      <c r="B56" s="379" t="s">
        <v>22</v>
      </c>
      <c r="C56" s="379"/>
      <c r="D56" s="379"/>
      <c r="E56" s="379"/>
      <c r="F56" s="379"/>
      <c r="G56" s="379"/>
      <c r="H56" s="379"/>
      <c r="I56" s="379"/>
      <c r="J56" s="379"/>
      <c r="K56" s="379"/>
      <c r="L56" s="379"/>
      <c r="M56" s="379"/>
      <c r="N56" s="379"/>
      <c r="O56" s="379"/>
      <c r="P56" s="379"/>
      <c r="Q56" s="379"/>
      <c r="R56" s="379"/>
      <c r="S56" s="436"/>
      <c r="T56" s="429"/>
      <c r="U56" s="436">
        <v>41001</v>
      </c>
      <c r="V56" s="410"/>
      <c r="W56" s="6"/>
    </row>
    <row r="57" spans="1:23" ht="15.6">
      <c r="A57" s="242"/>
      <c r="B57" s="364"/>
      <c r="C57" s="364"/>
      <c r="D57" s="364"/>
      <c r="E57" s="364"/>
      <c r="F57" s="364"/>
      <c r="G57" s="364"/>
      <c r="H57" s="364"/>
      <c r="I57" s="364"/>
      <c r="J57" s="364"/>
      <c r="K57" s="364"/>
      <c r="L57" s="364"/>
      <c r="M57" s="364"/>
      <c r="N57" s="364"/>
      <c r="O57" s="364"/>
      <c r="P57" s="364"/>
      <c r="Q57" s="364"/>
      <c r="R57" s="364"/>
      <c r="S57" s="364"/>
      <c r="T57" s="364"/>
      <c r="U57" s="377"/>
      <c r="V57" s="303"/>
      <c r="W57" s="6"/>
    </row>
    <row r="58" spans="1:23" ht="15.6">
      <c r="A58" s="242"/>
      <c r="B58" s="288"/>
      <c r="C58" s="288"/>
      <c r="D58" s="288"/>
      <c r="E58" s="288"/>
      <c r="F58" s="288"/>
      <c r="G58" s="288"/>
      <c r="H58" s="288"/>
      <c r="I58" s="288"/>
      <c r="J58" s="288"/>
      <c r="K58" s="288"/>
      <c r="L58" s="288"/>
      <c r="M58" s="288"/>
      <c r="N58" s="288"/>
      <c r="O58" s="288"/>
      <c r="P58" s="288"/>
      <c r="Q58" s="288"/>
      <c r="R58" s="288"/>
      <c r="S58" s="288"/>
      <c r="T58" s="288"/>
      <c r="U58" s="302"/>
      <c r="V58" s="303"/>
      <c r="W58" s="6"/>
    </row>
    <row r="59" spans="1:23" ht="16.2" thickBot="1">
      <c r="A59" s="261"/>
      <c r="B59" s="304" t="s">
        <v>278</v>
      </c>
      <c r="C59" s="305"/>
      <c r="D59" s="305"/>
      <c r="E59" s="305"/>
      <c r="F59" s="305"/>
      <c r="G59" s="305"/>
      <c r="H59" s="305"/>
      <c r="I59" s="305"/>
      <c r="J59" s="305"/>
      <c r="K59" s="305"/>
      <c r="L59" s="305"/>
      <c r="M59" s="305"/>
      <c r="N59" s="305"/>
      <c r="O59" s="305"/>
      <c r="P59" s="305"/>
      <c r="Q59" s="305"/>
      <c r="R59" s="305"/>
      <c r="S59" s="305"/>
      <c r="T59" s="305"/>
      <c r="U59" s="306"/>
      <c r="V59" s="307"/>
      <c r="W59" s="6"/>
    </row>
    <row r="60" spans="1:23" ht="15.6">
      <c r="A60" s="230"/>
      <c r="B60" s="511" t="s">
        <v>23</v>
      </c>
      <c r="C60" s="511"/>
      <c r="D60" s="511"/>
      <c r="E60" s="511"/>
      <c r="F60" s="511"/>
      <c r="G60" s="511"/>
      <c r="H60" s="511"/>
      <c r="I60" s="511"/>
      <c r="J60" s="511"/>
      <c r="K60" s="511"/>
      <c r="L60" s="511"/>
      <c r="M60" s="231"/>
      <c r="N60" s="231"/>
      <c r="O60" s="231"/>
      <c r="P60" s="231"/>
      <c r="Q60" s="231"/>
      <c r="R60" s="231"/>
      <c r="S60" s="231"/>
      <c r="T60" s="231"/>
      <c r="U60" s="309"/>
      <c r="V60" s="237"/>
      <c r="W60" s="6"/>
    </row>
    <row r="61" spans="1:23" ht="15.6">
      <c r="A61" s="242"/>
      <c r="B61" s="252"/>
      <c r="C61" s="252"/>
      <c r="D61" s="252"/>
      <c r="E61" s="252"/>
      <c r="F61" s="252"/>
      <c r="G61" s="252"/>
      <c r="H61" s="252"/>
      <c r="I61" s="252"/>
      <c r="J61" s="252"/>
      <c r="K61" s="252"/>
      <c r="L61" s="252"/>
      <c r="M61" s="244"/>
      <c r="N61" s="244"/>
      <c r="O61" s="244"/>
      <c r="P61" s="244"/>
      <c r="Q61" s="244"/>
      <c r="R61" s="244"/>
      <c r="S61" s="244"/>
      <c r="T61" s="244"/>
      <c r="U61" s="263"/>
      <c r="V61" s="245"/>
      <c r="W61" s="6"/>
    </row>
    <row r="62" spans="1:23" s="151" customFormat="1" ht="46.8">
      <c r="A62" s="264"/>
      <c r="B62" s="512"/>
      <c r="C62" s="513"/>
      <c r="D62" s="513"/>
      <c r="E62" s="513"/>
      <c r="F62" s="513"/>
      <c r="G62" s="513"/>
      <c r="H62" s="513"/>
      <c r="I62" s="513"/>
      <c r="J62" s="513"/>
      <c r="K62" s="513" t="s">
        <v>197</v>
      </c>
      <c r="L62" s="513"/>
      <c r="M62" s="513" t="s">
        <v>98</v>
      </c>
      <c r="N62" s="513"/>
      <c r="O62" s="513" t="s">
        <v>107</v>
      </c>
      <c r="P62" s="513"/>
      <c r="Q62" s="513" t="s">
        <v>111</v>
      </c>
      <c r="R62" s="513"/>
      <c r="S62" s="513" t="s">
        <v>113</v>
      </c>
      <c r="T62" s="513"/>
      <c r="U62" s="514" t="s">
        <v>120</v>
      </c>
      <c r="V62" s="515"/>
      <c r="W62" s="150"/>
    </row>
    <row r="63" spans="1:23" ht="15.6">
      <c r="A63" s="378"/>
      <c r="B63" s="379" t="s">
        <v>24</v>
      </c>
      <c r="C63" s="440"/>
      <c r="D63" s="440"/>
      <c r="E63" s="440"/>
      <c r="F63" s="440"/>
      <c r="G63" s="440"/>
      <c r="H63" s="440"/>
      <c r="I63" s="440"/>
      <c r="J63" s="440"/>
      <c r="K63" s="440">
        <f>265+63566+3306</f>
        <v>67137</v>
      </c>
      <c r="L63" s="440"/>
      <c r="M63" s="440">
        <v>8760</v>
      </c>
      <c r="N63" s="440"/>
      <c r="O63" s="440">
        <f>213+3+47-1</f>
        <v>262</v>
      </c>
      <c r="P63" s="440"/>
      <c r="Q63" s="440">
        <v>0</v>
      </c>
      <c r="R63" s="440"/>
      <c r="S63" s="440">
        <v>0</v>
      </c>
      <c r="T63" s="440"/>
      <c r="U63" s="441">
        <f>+M63-O63+Q63-S63</f>
        <v>8498</v>
      </c>
      <c r="V63" s="410"/>
      <c r="W63" s="6"/>
    </row>
    <row r="64" spans="1:23" ht="15.6">
      <c r="A64" s="378"/>
      <c r="B64" s="379" t="s">
        <v>25</v>
      </c>
      <c r="C64" s="440"/>
      <c r="D64" s="440"/>
      <c r="E64" s="440"/>
      <c r="F64" s="440"/>
      <c r="G64" s="440"/>
      <c r="H64" s="440"/>
      <c r="I64" s="440"/>
      <c r="J64" s="440"/>
      <c r="K64" s="440"/>
      <c r="L64" s="440"/>
      <c r="M64" s="440"/>
      <c r="N64" s="440"/>
      <c r="O64" s="440"/>
      <c r="P64" s="440"/>
      <c r="Q64" s="440">
        <v>0</v>
      </c>
      <c r="R64" s="440"/>
      <c r="S64" s="440">
        <v>0</v>
      </c>
      <c r="T64" s="440"/>
      <c r="U64" s="441">
        <f>M64-O64</f>
        <v>0</v>
      </c>
      <c r="V64" s="410"/>
      <c r="W64" s="6"/>
    </row>
    <row r="65" spans="1:24" ht="15.6">
      <c r="A65" s="378"/>
      <c r="B65" s="379"/>
      <c r="C65" s="440"/>
      <c r="D65" s="440"/>
      <c r="E65" s="440"/>
      <c r="F65" s="440"/>
      <c r="G65" s="440"/>
      <c r="H65" s="440"/>
      <c r="I65" s="440"/>
      <c r="J65" s="440"/>
      <c r="K65" s="440"/>
      <c r="L65" s="440"/>
      <c r="M65" s="440"/>
      <c r="N65" s="440"/>
      <c r="O65" s="440"/>
      <c r="P65" s="440"/>
      <c r="Q65" s="440"/>
      <c r="R65" s="440"/>
      <c r="S65" s="440"/>
      <c r="T65" s="440"/>
      <c r="U65" s="441"/>
      <c r="V65" s="410"/>
      <c r="W65" s="6"/>
    </row>
    <row r="66" spans="1:24" ht="15.6">
      <c r="A66" s="378"/>
      <c r="B66" s="379" t="s">
        <v>26</v>
      </c>
      <c r="C66" s="440"/>
      <c r="D66" s="440"/>
      <c r="E66" s="440"/>
      <c r="F66" s="440"/>
      <c r="G66" s="440"/>
      <c r="H66" s="440"/>
      <c r="I66" s="440"/>
      <c r="J66" s="440"/>
      <c r="K66" s="440">
        <v>24470</v>
      </c>
      <c r="L66" s="440"/>
      <c r="M66" s="440">
        <v>2284</v>
      </c>
      <c r="N66" s="440"/>
      <c r="O66" s="440">
        <v>211</v>
      </c>
      <c r="P66" s="440"/>
      <c r="Q66" s="440">
        <v>0</v>
      </c>
      <c r="R66" s="440"/>
      <c r="S66" s="440">
        <f>SUM(S63:S65)</f>
        <v>0</v>
      </c>
      <c r="T66" s="440"/>
      <c r="U66" s="441">
        <f>+M66-O66+Q66-S66</f>
        <v>2073</v>
      </c>
      <c r="V66" s="410"/>
      <c r="W66" s="6"/>
    </row>
    <row r="67" spans="1:24" ht="15.6">
      <c r="A67" s="378"/>
      <c r="B67" s="379" t="s">
        <v>25</v>
      </c>
      <c r="C67" s="440"/>
      <c r="D67" s="440"/>
      <c r="E67" s="440"/>
      <c r="F67" s="440"/>
      <c r="G67" s="440"/>
      <c r="H67" s="440"/>
      <c r="I67" s="440"/>
      <c r="J67" s="440"/>
      <c r="K67" s="440"/>
      <c r="L67" s="440"/>
      <c r="M67" s="440"/>
      <c r="N67" s="440"/>
      <c r="O67" s="440"/>
      <c r="P67" s="440"/>
      <c r="Q67" s="440">
        <v>0</v>
      </c>
      <c r="R67" s="440"/>
      <c r="S67" s="440">
        <v>0</v>
      </c>
      <c r="T67" s="440"/>
      <c r="U67" s="440"/>
      <c r="V67" s="410"/>
      <c r="W67" s="6"/>
    </row>
    <row r="68" spans="1:24" ht="15.6">
      <c r="A68" s="378"/>
      <c r="B68" s="386"/>
      <c r="C68" s="440"/>
      <c r="D68" s="440"/>
      <c r="E68" s="440"/>
      <c r="F68" s="440"/>
      <c r="G68" s="440"/>
      <c r="H68" s="440"/>
      <c r="I68" s="440"/>
      <c r="J68" s="440"/>
      <c r="K68" s="440"/>
      <c r="L68" s="440"/>
      <c r="M68" s="440"/>
      <c r="N68" s="440"/>
      <c r="O68" s="442"/>
      <c r="P68" s="440"/>
      <c r="Q68" s="440"/>
      <c r="R68" s="440"/>
      <c r="S68" s="440"/>
      <c r="T68" s="440"/>
      <c r="U68" s="440"/>
      <c r="V68" s="410"/>
      <c r="W68" s="6"/>
    </row>
    <row r="69" spans="1:24" ht="15.6">
      <c r="A69" s="378"/>
      <c r="B69" s="379" t="s">
        <v>27</v>
      </c>
      <c r="C69" s="440"/>
      <c r="D69" s="440"/>
      <c r="E69" s="440"/>
      <c r="F69" s="440"/>
      <c r="G69" s="440"/>
      <c r="H69" s="440"/>
      <c r="I69" s="440"/>
      <c r="J69" s="440"/>
      <c r="K69" s="440">
        <v>220072</v>
      </c>
      <c r="L69" s="440"/>
      <c r="M69" s="440">
        <v>177504</v>
      </c>
      <c r="N69" s="440"/>
      <c r="O69" s="440">
        <f>6332+654</f>
        <v>6986</v>
      </c>
      <c r="P69" s="440"/>
      <c r="Q69" s="440">
        <v>0</v>
      </c>
      <c r="R69" s="440"/>
      <c r="S69" s="440">
        <v>0</v>
      </c>
      <c r="T69" s="440"/>
      <c r="U69" s="441">
        <f>+M69-O69+Q69-S69</f>
        <v>170518</v>
      </c>
      <c r="V69" s="410"/>
      <c r="W69" s="6"/>
    </row>
    <row r="70" spans="1:24" ht="15.6">
      <c r="A70" s="378"/>
      <c r="B70" s="379" t="s">
        <v>25</v>
      </c>
      <c r="C70" s="440"/>
      <c r="D70" s="440"/>
      <c r="E70" s="440"/>
      <c r="F70" s="440"/>
      <c r="G70" s="440"/>
      <c r="H70" s="440"/>
      <c r="I70" s="440"/>
      <c r="J70" s="440"/>
      <c r="K70" s="440"/>
      <c r="L70" s="440"/>
      <c r="M70" s="440"/>
      <c r="N70" s="440"/>
      <c r="O70" s="440"/>
      <c r="P70" s="440"/>
      <c r="Q70" s="440">
        <v>0</v>
      </c>
      <c r="R70" s="440"/>
      <c r="S70" s="440">
        <v>0</v>
      </c>
      <c r="T70" s="440"/>
      <c r="U70" s="441">
        <f>M70-O70+Q70-S70</f>
        <v>0</v>
      </c>
      <c r="V70" s="410"/>
      <c r="W70" s="6"/>
    </row>
    <row r="71" spans="1:24" ht="15.6">
      <c r="A71" s="378"/>
      <c r="B71" s="379"/>
      <c r="C71" s="440"/>
      <c r="D71" s="440"/>
      <c r="E71" s="440"/>
      <c r="F71" s="440"/>
      <c r="G71" s="440"/>
      <c r="H71" s="440"/>
      <c r="I71" s="440"/>
      <c r="J71" s="440"/>
      <c r="K71" s="440"/>
      <c r="L71" s="440"/>
      <c r="M71" s="440"/>
      <c r="N71" s="440"/>
      <c r="O71" s="440"/>
      <c r="P71" s="440"/>
      <c r="Q71" s="440"/>
      <c r="R71" s="440"/>
      <c r="S71" s="440"/>
      <c r="T71" s="440"/>
      <c r="U71" s="441"/>
      <c r="V71" s="410"/>
      <c r="W71" s="6"/>
    </row>
    <row r="72" spans="1:24" ht="15.6">
      <c r="A72" s="378"/>
      <c r="B72" s="379" t="s">
        <v>28</v>
      </c>
      <c r="C72" s="440"/>
      <c r="D72" s="440"/>
      <c r="E72" s="440"/>
      <c r="F72" s="440"/>
      <c r="G72" s="440"/>
      <c r="H72" s="440"/>
      <c r="I72" s="440"/>
      <c r="J72" s="440"/>
      <c r="K72" s="440">
        <v>138321</v>
      </c>
      <c r="L72" s="440"/>
      <c r="M72" s="440">
        <v>5301</v>
      </c>
      <c r="N72" s="440"/>
      <c r="O72" s="440">
        <f>1022+165</f>
        <v>1187</v>
      </c>
      <c r="P72" s="440"/>
      <c r="Q72" s="440">
        <v>0</v>
      </c>
      <c r="R72" s="440"/>
      <c r="S72" s="440">
        <v>0</v>
      </c>
      <c r="T72" s="440"/>
      <c r="U72" s="441">
        <f>+M72-O72+Q72-S72</f>
        <v>4114</v>
      </c>
      <c r="V72" s="410"/>
      <c r="W72" s="6"/>
    </row>
    <row r="73" spans="1:24" ht="15.6">
      <c r="A73" s="378"/>
      <c r="B73" s="379" t="s">
        <v>25</v>
      </c>
      <c r="C73" s="440"/>
      <c r="D73" s="440"/>
      <c r="E73" s="440"/>
      <c r="F73" s="440"/>
      <c r="G73" s="440"/>
      <c r="H73" s="440"/>
      <c r="I73" s="440"/>
      <c r="J73" s="440"/>
      <c r="K73" s="440"/>
      <c r="L73" s="440"/>
      <c r="M73" s="440"/>
      <c r="N73" s="440"/>
      <c r="O73" s="440"/>
      <c r="P73" s="440"/>
      <c r="Q73" s="440">
        <v>0</v>
      </c>
      <c r="R73" s="440"/>
      <c r="S73" s="440">
        <v>0</v>
      </c>
      <c r="T73" s="440"/>
      <c r="U73" s="441"/>
      <c r="V73" s="410"/>
      <c r="W73" s="6"/>
    </row>
    <row r="74" spans="1:24" ht="15.6">
      <c r="A74" s="378"/>
      <c r="B74" s="440"/>
      <c r="C74" s="440"/>
      <c r="D74" s="440"/>
      <c r="E74" s="440"/>
      <c r="F74" s="440"/>
      <c r="G74" s="440"/>
      <c r="H74" s="440"/>
      <c r="I74" s="440"/>
      <c r="J74" s="440"/>
      <c r="K74" s="440"/>
      <c r="L74" s="440"/>
      <c r="M74" s="440"/>
      <c r="N74" s="440"/>
      <c r="O74" s="440"/>
      <c r="P74" s="440"/>
      <c r="Q74" s="440"/>
      <c r="R74" s="440"/>
      <c r="S74" s="440"/>
      <c r="T74" s="440"/>
      <c r="U74" s="441"/>
      <c r="V74" s="410"/>
      <c r="W74" s="6"/>
    </row>
    <row r="75" spans="1:24" ht="15.6">
      <c r="A75" s="378"/>
      <c r="B75" s="379" t="s">
        <v>29</v>
      </c>
      <c r="C75" s="440"/>
      <c r="D75" s="440"/>
      <c r="E75" s="440"/>
      <c r="F75" s="440"/>
      <c r="G75" s="440"/>
      <c r="H75" s="440"/>
      <c r="I75" s="440"/>
      <c r="J75" s="440"/>
      <c r="K75" s="440">
        <f>SUM(K63:K72)</f>
        <v>450000</v>
      </c>
      <c r="L75" s="440"/>
      <c r="M75" s="440">
        <f>SUM(M63:M72)</f>
        <v>193849</v>
      </c>
      <c r="N75" s="440"/>
      <c r="O75" s="440">
        <f>SUM(O63:O73)</f>
        <v>8646</v>
      </c>
      <c r="P75" s="440"/>
      <c r="Q75" s="440">
        <f>SUM(Q63:Q73)</f>
        <v>0</v>
      </c>
      <c r="R75" s="440"/>
      <c r="S75" s="440">
        <f>SUM(S70:S74)</f>
        <v>0</v>
      </c>
      <c r="T75" s="440"/>
      <c r="U75" s="440">
        <f>SUM(U63:U73)</f>
        <v>185203</v>
      </c>
      <c r="V75" s="410"/>
      <c r="W75" s="6"/>
      <c r="X75" s="182"/>
    </row>
    <row r="76" spans="1:24" ht="15.6">
      <c r="A76" s="378"/>
      <c r="B76" s="379"/>
      <c r="C76" s="440"/>
      <c r="D76" s="440"/>
      <c r="E76" s="440"/>
      <c r="F76" s="440"/>
      <c r="G76" s="440"/>
      <c r="H76" s="440"/>
      <c r="I76" s="440"/>
      <c r="J76" s="440"/>
      <c r="K76" s="440"/>
      <c r="L76" s="440"/>
      <c r="M76" s="440"/>
      <c r="N76" s="440"/>
      <c r="O76" s="440"/>
      <c r="P76" s="440"/>
      <c r="Q76" s="440"/>
      <c r="R76" s="440"/>
      <c r="S76" s="440"/>
      <c r="T76" s="440"/>
      <c r="U76" s="440"/>
      <c r="V76" s="410"/>
      <c r="W76" s="6"/>
    </row>
    <row r="77" spans="1:24" ht="15.6">
      <c r="A77" s="378"/>
      <c r="B77" s="379" t="s">
        <v>214</v>
      </c>
      <c r="C77" s="440"/>
      <c r="D77" s="440"/>
      <c r="E77" s="440"/>
      <c r="F77" s="440"/>
      <c r="G77" s="440"/>
      <c r="H77" s="440"/>
      <c r="I77" s="440"/>
      <c r="J77" s="440"/>
      <c r="K77" s="440">
        <v>0</v>
      </c>
      <c r="L77" s="440"/>
      <c r="M77" s="440">
        <v>-12970</v>
      </c>
      <c r="N77" s="440"/>
      <c r="O77" s="440">
        <v>131</v>
      </c>
      <c r="P77" s="440"/>
      <c r="Q77" s="440"/>
      <c r="R77" s="440"/>
      <c r="S77" s="440"/>
      <c r="T77" s="440"/>
      <c r="U77" s="441">
        <f>+M77-O77</f>
        <v>-13101</v>
      </c>
      <c r="V77" s="410"/>
      <c r="W77" s="6"/>
    </row>
    <row r="78" spans="1:24" ht="15.6">
      <c r="A78" s="378"/>
      <c r="B78" s="379" t="s">
        <v>30</v>
      </c>
      <c r="C78" s="440"/>
      <c r="D78" s="440"/>
      <c r="E78" s="440"/>
      <c r="F78" s="440"/>
      <c r="G78" s="440"/>
      <c r="H78" s="440"/>
      <c r="I78" s="440"/>
      <c r="J78" s="440"/>
      <c r="K78" s="440">
        <v>0</v>
      </c>
      <c r="L78" s="440"/>
      <c r="M78" s="440">
        <v>0</v>
      </c>
      <c r="N78" s="440"/>
      <c r="O78" s="440">
        <v>0</v>
      </c>
      <c r="P78" s="440"/>
      <c r="Q78" s="440">
        <v>0</v>
      </c>
      <c r="R78" s="440"/>
      <c r="S78" s="440"/>
      <c r="T78" s="440"/>
      <c r="U78" s="440">
        <v>0</v>
      </c>
      <c r="V78" s="410"/>
      <c r="W78" s="6"/>
      <c r="X78" s="182"/>
    </row>
    <row r="79" spans="1:24" ht="15.6">
      <c r="A79" s="378"/>
      <c r="B79" s="379" t="s">
        <v>31</v>
      </c>
      <c r="C79" s="440"/>
      <c r="D79" s="440"/>
      <c r="E79" s="440"/>
      <c r="F79" s="440"/>
      <c r="G79" s="440"/>
      <c r="H79" s="440"/>
      <c r="I79" s="440"/>
      <c r="J79" s="440"/>
      <c r="K79" s="440">
        <v>0</v>
      </c>
      <c r="L79" s="440"/>
      <c r="M79" s="440">
        <v>0</v>
      </c>
      <c r="N79" s="440"/>
      <c r="O79" s="440"/>
      <c r="P79" s="440"/>
      <c r="Q79" s="440">
        <v>0</v>
      </c>
      <c r="R79" s="440"/>
      <c r="S79" s="440"/>
      <c r="T79" s="440"/>
      <c r="U79" s="440">
        <f>Q79+M79</f>
        <v>0</v>
      </c>
      <c r="V79" s="410"/>
      <c r="W79" s="6"/>
    </row>
    <row r="80" spans="1:24" ht="15.6">
      <c r="A80" s="378"/>
      <c r="B80" s="379" t="s">
        <v>16</v>
      </c>
      <c r="C80" s="440"/>
      <c r="D80" s="440"/>
      <c r="E80" s="440"/>
      <c r="F80" s="440"/>
      <c r="G80" s="440"/>
      <c r="H80" s="440"/>
      <c r="I80" s="440"/>
      <c r="J80" s="440"/>
      <c r="K80" s="440">
        <f>SUM(K75:K79)</f>
        <v>450000</v>
      </c>
      <c r="L80" s="440"/>
      <c r="M80" s="440">
        <f>SUM(M75:M79)</f>
        <v>180879</v>
      </c>
      <c r="N80" s="440"/>
      <c r="O80" s="440">
        <f>O78-O79</f>
        <v>0</v>
      </c>
      <c r="P80" s="440"/>
      <c r="Q80" s="440"/>
      <c r="R80" s="440"/>
      <c r="S80" s="440"/>
      <c r="T80" s="440"/>
      <c r="U80" s="440">
        <f>SUM(U75:U79)</f>
        <v>172102</v>
      </c>
      <c r="V80" s="410"/>
      <c r="W80" s="6"/>
    </row>
    <row r="81" spans="1:24" ht="15.6">
      <c r="A81" s="242"/>
      <c r="B81" s="437"/>
      <c r="C81" s="438"/>
      <c r="D81" s="438"/>
      <c r="E81" s="438"/>
      <c r="F81" s="438"/>
      <c r="G81" s="438"/>
      <c r="H81" s="438"/>
      <c r="I81" s="438"/>
      <c r="J81" s="438"/>
      <c r="K81" s="438"/>
      <c r="L81" s="438"/>
      <c r="M81" s="438"/>
      <c r="N81" s="438"/>
      <c r="O81" s="438"/>
      <c r="P81" s="438"/>
      <c r="Q81" s="438"/>
      <c r="R81" s="438"/>
      <c r="S81" s="439"/>
      <c r="T81" s="438"/>
      <c r="U81" s="439"/>
      <c r="V81" s="245"/>
      <c r="W81" s="6"/>
    </row>
    <row r="82" spans="1:24" ht="15.6">
      <c r="A82" s="230"/>
      <c r="B82" s="511" t="s">
        <v>32</v>
      </c>
      <c r="C82" s="511"/>
      <c r="D82" s="511"/>
      <c r="E82" s="511"/>
      <c r="F82" s="511"/>
      <c r="G82" s="511"/>
      <c r="H82" s="511"/>
      <c r="I82" s="511"/>
      <c r="J82" s="511"/>
      <c r="K82" s="511"/>
      <c r="L82" s="511"/>
      <c r="M82" s="511"/>
      <c r="N82" s="511"/>
      <c r="O82" s="511"/>
      <c r="P82" s="511"/>
      <c r="Q82" s="511"/>
      <c r="R82" s="232"/>
      <c r="S82" s="232"/>
      <c r="T82" s="232"/>
      <c r="U82" s="232" t="s">
        <v>121</v>
      </c>
      <c r="V82" s="516"/>
      <c r="W82" s="6"/>
    </row>
    <row r="83" spans="1:24" ht="15.6">
      <c r="A83" s="315"/>
      <c r="B83" s="294" t="s">
        <v>33</v>
      </c>
      <c r="C83" s="294"/>
      <c r="D83" s="294"/>
      <c r="E83" s="294"/>
      <c r="F83" s="294"/>
      <c r="G83" s="294"/>
      <c r="H83" s="294"/>
      <c r="I83" s="294"/>
      <c r="J83" s="294"/>
      <c r="K83" s="294"/>
      <c r="L83" s="294"/>
      <c r="M83" s="294"/>
      <c r="N83" s="294"/>
      <c r="O83" s="310"/>
      <c r="P83" s="294"/>
      <c r="Q83" s="294"/>
      <c r="R83" s="294"/>
      <c r="S83" s="310"/>
      <c r="T83" s="294"/>
      <c r="U83" s="311">
        <v>52628</v>
      </c>
      <c r="V83" s="298"/>
      <c r="W83" s="6"/>
    </row>
    <row r="84" spans="1:24" ht="15.6">
      <c r="A84" s="444"/>
      <c r="B84" s="379" t="s">
        <v>34</v>
      </c>
      <c r="C84" s="431"/>
      <c r="D84" s="431"/>
      <c r="E84" s="431"/>
      <c r="F84" s="431"/>
      <c r="G84" s="431"/>
      <c r="H84" s="431"/>
      <c r="I84" s="431"/>
      <c r="J84" s="431"/>
      <c r="K84" s="431"/>
      <c r="L84" s="431"/>
      <c r="M84" s="430"/>
      <c r="N84" s="379"/>
      <c r="O84" s="379"/>
      <c r="P84" s="379"/>
      <c r="Q84" s="379"/>
      <c r="R84" s="379"/>
      <c r="S84" s="440"/>
      <c r="T84" s="379"/>
      <c r="U84" s="441">
        <f>422+19+8-21</f>
        <v>428</v>
      </c>
      <c r="V84" s="410"/>
      <c r="W84" s="6"/>
    </row>
    <row r="85" spans="1:24" ht="15.6">
      <c r="A85" s="444"/>
      <c r="B85" s="379" t="s">
        <v>230</v>
      </c>
      <c r="C85" s="379"/>
      <c r="D85" s="379"/>
      <c r="E85" s="379"/>
      <c r="F85" s="379"/>
      <c r="G85" s="379"/>
      <c r="H85" s="379"/>
      <c r="I85" s="379"/>
      <c r="J85" s="379"/>
      <c r="K85" s="379"/>
      <c r="L85" s="379"/>
      <c r="M85" s="379"/>
      <c r="N85" s="379"/>
      <c r="O85" s="379"/>
      <c r="P85" s="379"/>
      <c r="Q85" s="379"/>
      <c r="R85" s="379"/>
      <c r="S85" s="440"/>
      <c r="T85" s="379"/>
      <c r="U85" s="441">
        <v>0</v>
      </c>
      <c r="V85" s="410"/>
      <c r="W85" s="6"/>
      <c r="X85" s="64"/>
    </row>
    <row r="86" spans="1:24" ht="15.6">
      <c r="A86" s="444"/>
      <c r="B86" s="379" t="s">
        <v>231</v>
      </c>
      <c r="C86" s="379"/>
      <c r="D86" s="379"/>
      <c r="E86" s="379"/>
      <c r="F86" s="379"/>
      <c r="G86" s="379"/>
      <c r="H86" s="379"/>
      <c r="I86" s="379"/>
      <c r="J86" s="379"/>
      <c r="K86" s="379"/>
      <c r="L86" s="379"/>
      <c r="M86" s="379"/>
      <c r="N86" s="379"/>
      <c r="O86" s="379"/>
      <c r="P86" s="379"/>
      <c r="Q86" s="379"/>
      <c r="R86" s="379"/>
      <c r="S86" s="440"/>
      <c r="T86" s="379"/>
      <c r="U86" s="441">
        <v>0</v>
      </c>
      <c r="V86" s="410"/>
      <c r="W86" s="6"/>
      <c r="X86" s="64"/>
    </row>
    <row r="87" spans="1:24" ht="15.6">
      <c r="A87" s="444"/>
      <c r="B87" s="379" t="s">
        <v>35</v>
      </c>
      <c r="C87" s="379"/>
      <c r="D87" s="379"/>
      <c r="E87" s="379"/>
      <c r="F87" s="379"/>
      <c r="G87" s="379"/>
      <c r="H87" s="379"/>
      <c r="I87" s="379"/>
      <c r="J87" s="379"/>
      <c r="K87" s="379"/>
      <c r="L87" s="379"/>
      <c r="M87" s="379"/>
      <c r="N87" s="379"/>
      <c r="O87" s="379"/>
      <c r="P87" s="379"/>
      <c r="Q87" s="379"/>
      <c r="R87" s="379"/>
      <c r="S87" s="440"/>
      <c r="T87" s="379"/>
      <c r="U87" s="441">
        <f>SUM(U83:U86)</f>
        <v>53056</v>
      </c>
      <c r="V87" s="410"/>
      <c r="W87" s="6"/>
      <c r="X87" s="64"/>
    </row>
    <row r="88" spans="1:24" ht="15.6">
      <c r="A88" s="444"/>
      <c r="B88" s="379"/>
      <c r="C88" s="379"/>
      <c r="D88" s="379"/>
      <c r="E88" s="379"/>
      <c r="F88" s="379"/>
      <c r="G88" s="379"/>
      <c r="H88" s="379"/>
      <c r="I88" s="379"/>
      <c r="J88" s="379"/>
      <c r="K88" s="379"/>
      <c r="L88" s="379"/>
      <c r="M88" s="379"/>
      <c r="N88" s="379"/>
      <c r="O88" s="379"/>
      <c r="P88" s="379"/>
      <c r="Q88" s="379"/>
      <c r="R88" s="379"/>
      <c r="S88" s="440"/>
      <c r="T88" s="379"/>
      <c r="U88" s="440"/>
      <c r="V88" s="410"/>
      <c r="W88" s="6"/>
    </row>
    <row r="89" spans="1:24" ht="15.6">
      <c r="A89" s="444"/>
      <c r="B89" s="446" t="s">
        <v>36</v>
      </c>
      <c r="C89" s="446"/>
      <c r="D89" s="446"/>
      <c r="E89" s="446"/>
      <c r="F89" s="446"/>
      <c r="G89" s="446"/>
      <c r="H89" s="446"/>
      <c r="I89" s="446"/>
      <c r="J89" s="446"/>
      <c r="K89" s="446"/>
      <c r="L89" s="446"/>
      <c r="M89" s="379"/>
      <c r="N89" s="379"/>
      <c r="O89" s="379"/>
      <c r="P89" s="379"/>
      <c r="Q89" s="379"/>
      <c r="R89" s="379"/>
      <c r="S89" s="440"/>
      <c r="T89" s="379"/>
      <c r="U89" s="441"/>
      <c r="V89" s="410"/>
      <c r="W89" s="6"/>
      <c r="X89" s="64"/>
    </row>
    <row r="90" spans="1:24" ht="15.6">
      <c r="A90" s="444">
        <v>1</v>
      </c>
      <c r="B90" s="379" t="s">
        <v>37</v>
      </c>
      <c r="C90" s="379"/>
      <c r="D90" s="379"/>
      <c r="E90" s="379"/>
      <c r="F90" s="379"/>
      <c r="G90" s="379"/>
      <c r="H90" s="379"/>
      <c r="I90" s="379"/>
      <c r="J90" s="379"/>
      <c r="K90" s="379"/>
      <c r="L90" s="379"/>
      <c r="M90" s="379"/>
      <c r="N90" s="379"/>
      <c r="O90" s="379"/>
      <c r="P90" s="379"/>
      <c r="Q90" s="379"/>
      <c r="R90" s="379"/>
      <c r="S90" s="379"/>
      <c r="T90" s="379"/>
      <c r="U90" s="441">
        <v>-2</v>
      </c>
      <c r="V90" s="410"/>
      <c r="W90" s="6"/>
    </row>
    <row r="91" spans="1:24" ht="15.6">
      <c r="A91" s="444">
        <f>A90+1</f>
        <v>2</v>
      </c>
      <c r="B91" s="379" t="s">
        <v>168</v>
      </c>
      <c r="C91" s="379"/>
      <c r="D91" s="379"/>
      <c r="E91" s="379"/>
      <c r="F91" s="379"/>
      <c r="G91" s="379"/>
      <c r="H91" s="379"/>
      <c r="I91" s="379"/>
      <c r="J91" s="379"/>
      <c r="K91" s="379"/>
      <c r="L91" s="379"/>
      <c r="M91" s="379"/>
      <c r="N91" s="379"/>
      <c r="O91" s="379"/>
      <c r="P91" s="379"/>
      <c r="Q91" s="379"/>
      <c r="R91" s="379"/>
      <c r="S91" s="379"/>
      <c r="T91" s="379"/>
      <c r="U91" s="441">
        <f>-180-72-2</f>
        <v>-254</v>
      </c>
      <c r="V91" s="410"/>
      <c r="W91" s="6"/>
      <c r="X91" s="64"/>
    </row>
    <row r="92" spans="1:24" ht="15.6">
      <c r="A92" s="444">
        <v>3</v>
      </c>
      <c r="B92" s="379" t="s">
        <v>38</v>
      </c>
      <c r="C92" s="379"/>
      <c r="D92" s="379"/>
      <c r="E92" s="379"/>
      <c r="F92" s="379"/>
      <c r="G92" s="379"/>
      <c r="H92" s="379"/>
      <c r="I92" s="379"/>
      <c r="J92" s="379"/>
      <c r="K92" s="379"/>
      <c r="L92" s="379"/>
      <c r="M92" s="379"/>
      <c r="N92" s="379"/>
      <c r="O92" s="379"/>
      <c r="P92" s="379"/>
      <c r="Q92" s="379"/>
      <c r="R92" s="379"/>
      <c r="S92" s="379"/>
      <c r="T92" s="379"/>
      <c r="U92" s="441">
        <v>-107</v>
      </c>
      <c r="V92" s="410"/>
      <c r="W92" s="6"/>
      <c r="X92" s="64"/>
    </row>
    <row r="93" spans="1:24" ht="15.6">
      <c r="A93" s="447" t="s">
        <v>190</v>
      </c>
      <c r="B93" s="379" t="s">
        <v>169</v>
      </c>
      <c r="C93" s="379"/>
      <c r="D93" s="379"/>
      <c r="E93" s="379"/>
      <c r="F93" s="379"/>
      <c r="G93" s="379"/>
      <c r="H93" s="379"/>
      <c r="I93" s="379"/>
      <c r="J93" s="379"/>
      <c r="K93" s="379"/>
      <c r="L93" s="379"/>
      <c r="M93" s="379"/>
      <c r="N93" s="379"/>
      <c r="O93" s="379"/>
      <c r="P93" s="379"/>
      <c r="Q93" s="379"/>
      <c r="R93" s="379"/>
      <c r="S93" s="379"/>
      <c r="T93" s="379"/>
      <c r="U93" s="441">
        <v>-136</v>
      </c>
      <c r="V93" s="410"/>
      <c r="W93" s="6"/>
      <c r="X93" s="64"/>
    </row>
    <row r="94" spans="1:24" ht="15.6">
      <c r="A94" s="447" t="s">
        <v>191</v>
      </c>
      <c r="B94" s="379" t="s">
        <v>170</v>
      </c>
      <c r="C94" s="379"/>
      <c r="D94" s="379"/>
      <c r="E94" s="379"/>
      <c r="F94" s="379"/>
      <c r="G94" s="379"/>
      <c r="H94" s="379"/>
      <c r="I94" s="379"/>
      <c r="J94" s="379"/>
      <c r="K94" s="379"/>
      <c r="L94" s="379"/>
      <c r="M94" s="379"/>
      <c r="N94" s="379"/>
      <c r="O94" s="379"/>
      <c r="P94" s="379"/>
      <c r="Q94" s="379"/>
      <c r="R94" s="379"/>
      <c r="S94" s="379"/>
      <c r="T94" s="379"/>
      <c r="U94" s="441">
        <v>-173</v>
      </c>
      <c r="V94" s="410"/>
      <c r="W94" s="6"/>
      <c r="X94" s="182"/>
    </row>
    <row r="95" spans="1:24" ht="15.6">
      <c r="A95" s="444">
        <v>5</v>
      </c>
      <c r="B95" s="379" t="s">
        <v>171</v>
      </c>
      <c r="C95" s="379"/>
      <c r="D95" s="379"/>
      <c r="E95" s="379"/>
      <c r="F95" s="379"/>
      <c r="G95" s="379"/>
      <c r="H95" s="379"/>
      <c r="I95" s="379"/>
      <c r="J95" s="379"/>
      <c r="K95" s="379"/>
      <c r="L95" s="379"/>
      <c r="M95" s="379"/>
      <c r="N95" s="379"/>
      <c r="O95" s="379"/>
      <c r="P95" s="379"/>
      <c r="Q95" s="379"/>
      <c r="R95" s="379"/>
      <c r="S95" s="379"/>
      <c r="T95" s="379"/>
      <c r="U95" s="441">
        <v>-7</v>
      </c>
      <c r="V95" s="410"/>
      <c r="W95" s="6"/>
    </row>
    <row r="96" spans="1:24" ht="15.6">
      <c r="A96" s="447" t="s">
        <v>174</v>
      </c>
      <c r="B96" s="379" t="s">
        <v>172</v>
      </c>
      <c r="C96" s="379"/>
      <c r="D96" s="379"/>
      <c r="E96" s="379"/>
      <c r="F96" s="379"/>
      <c r="G96" s="379"/>
      <c r="H96" s="379"/>
      <c r="I96" s="379"/>
      <c r="J96" s="379"/>
      <c r="K96" s="379"/>
      <c r="L96" s="379"/>
      <c r="M96" s="379"/>
      <c r="N96" s="379"/>
      <c r="O96" s="379"/>
      <c r="P96" s="379"/>
      <c r="Q96" s="379"/>
      <c r="R96" s="379"/>
      <c r="S96" s="379"/>
      <c r="T96" s="379"/>
      <c r="U96" s="441">
        <v>-56</v>
      </c>
      <c r="V96" s="410"/>
      <c r="W96" s="6"/>
      <c r="X96" s="182"/>
    </row>
    <row r="97" spans="1:24" ht="15.6">
      <c r="A97" s="447" t="s">
        <v>176</v>
      </c>
      <c r="B97" s="379" t="s">
        <v>173</v>
      </c>
      <c r="C97" s="379"/>
      <c r="D97" s="379"/>
      <c r="E97" s="379"/>
      <c r="F97" s="379"/>
      <c r="G97" s="379"/>
      <c r="H97" s="379"/>
      <c r="I97" s="379"/>
      <c r="J97" s="379"/>
      <c r="K97" s="379"/>
      <c r="L97" s="379"/>
      <c r="M97" s="379"/>
      <c r="N97" s="379"/>
      <c r="O97" s="379"/>
      <c r="P97" s="379"/>
      <c r="Q97" s="379"/>
      <c r="R97" s="379"/>
      <c r="S97" s="379"/>
      <c r="T97" s="379"/>
      <c r="U97" s="441">
        <v>-89</v>
      </c>
      <c r="V97" s="410"/>
      <c r="W97" s="119"/>
      <c r="X97" s="182"/>
    </row>
    <row r="98" spans="1:24" ht="15.6">
      <c r="A98" s="447" t="s">
        <v>178</v>
      </c>
      <c r="B98" s="379" t="s">
        <v>175</v>
      </c>
      <c r="C98" s="379"/>
      <c r="D98" s="379"/>
      <c r="E98" s="379"/>
      <c r="F98" s="379"/>
      <c r="G98" s="379"/>
      <c r="H98" s="379"/>
      <c r="I98" s="379"/>
      <c r="J98" s="379"/>
      <c r="K98" s="379"/>
      <c r="L98" s="379"/>
      <c r="M98" s="379"/>
      <c r="N98" s="379"/>
      <c r="O98" s="379"/>
      <c r="P98" s="379"/>
      <c r="Q98" s="379"/>
      <c r="R98" s="379"/>
      <c r="S98" s="379"/>
      <c r="T98" s="379"/>
      <c r="U98" s="441">
        <v>-82</v>
      </c>
      <c r="V98" s="410"/>
      <c r="W98" s="6"/>
      <c r="X98" s="182"/>
    </row>
    <row r="99" spans="1:24" ht="15.6">
      <c r="A99" s="447" t="s">
        <v>180</v>
      </c>
      <c r="B99" s="379" t="s">
        <v>177</v>
      </c>
      <c r="C99" s="379"/>
      <c r="D99" s="379"/>
      <c r="E99" s="379"/>
      <c r="F99" s="379"/>
      <c r="G99" s="379"/>
      <c r="H99" s="379"/>
      <c r="I99" s="379"/>
      <c r="J99" s="379"/>
      <c r="K99" s="379"/>
      <c r="L99" s="379"/>
      <c r="M99" s="379"/>
      <c r="N99" s="379"/>
      <c r="O99" s="379"/>
      <c r="P99" s="379"/>
      <c r="Q99" s="379"/>
      <c r="R99" s="379"/>
      <c r="S99" s="379"/>
      <c r="T99" s="379"/>
      <c r="U99" s="441">
        <v>-106</v>
      </c>
      <c r="V99" s="410"/>
      <c r="W99" s="119"/>
      <c r="X99" s="182"/>
    </row>
    <row r="100" spans="1:24" ht="15.6">
      <c r="A100" s="447" t="s">
        <v>192</v>
      </c>
      <c r="B100" s="379" t="s">
        <v>179</v>
      </c>
      <c r="C100" s="379"/>
      <c r="D100" s="379"/>
      <c r="E100" s="379"/>
      <c r="F100" s="379"/>
      <c r="G100" s="379"/>
      <c r="H100" s="379"/>
      <c r="I100" s="379"/>
      <c r="J100" s="379"/>
      <c r="K100" s="379"/>
      <c r="L100" s="379"/>
      <c r="M100" s="379"/>
      <c r="N100" s="379"/>
      <c r="O100" s="379"/>
      <c r="P100" s="379"/>
      <c r="Q100" s="379"/>
      <c r="R100" s="379"/>
      <c r="S100" s="379"/>
      <c r="T100" s="379"/>
      <c r="U100" s="441">
        <v>-146</v>
      </c>
      <c r="V100" s="410"/>
      <c r="W100" s="6"/>
      <c r="X100" s="182"/>
    </row>
    <row r="101" spans="1:24" ht="15.6">
      <c r="A101" s="447" t="s">
        <v>193</v>
      </c>
      <c r="B101" s="379" t="s">
        <v>181</v>
      </c>
      <c r="C101" s="379"/>
      <c r="D101" s="379"/>
      <c r="E101" s="379"/>
      <c r="F101" s="379"/>
      <c r="G101" s="379"/>
      <c r="H101" s="379"/>
      <c r="I101" s="379"/>
      <c r="J101" s="379"/>
      <c r="K101" s="379"/>
      <c r="L101" s="379"/>
      <c r="M101" s="379"/>
      <c r="N101" s="379"/>
      <c r="O101" s="379"/>
      <c r="P101" s="379"/>
      <c r="Q101" s="379"/>
      <c r="R101" s="379"/>
      <c r="S101" s="379"/>
      <c r="T101" s="379"/>
      <c r="U101" s="441">
        <v>-126</v>
      </c>
      <c r="V101" s="410"/>
      <c r="W101" s="119"/>
      <c r="X101" s="182"/>
    </row>
    <row r="102" spans="1:24" ht="15.6">
      <c r="A102" s="444">
        <v>9</v>
      </c>
      <c r="B102" s="379" t="s">
        <v>257</v>
      </c>
      <c r="C102" s="379"/>
      <c r="D102" s="379"/>
      <c r="E102" s="379"/>
      <c r="F102" s="379"/>
      <c r="G102" s="379"/>
      <c r="H102" s="379"/>
      <c r="I102" s="379"/>
      <c r="J102" s="379"/>
      <c r="K102" s="379"/>
      <c r="L102" s="379"/>
      <c r="M102" s="379"/>
      <c r="N102" s="379"/>
      <c r="O102" s="379"/>
      <c r="P102" s="379"/>
      <c r="Q102" s="379"/>
      <c r="R102" s="379"/>
      <c r="S102" s="379"/>
      <c r="T102" s="379"/>
      <c r="U102" s="441">
        <f>+S219-U32</f>
        <v>-8777.2424000000174</v>
      </c>
      <c r="V102" s="410"/>
      <c r="W102" s="6"/>
      <c r="X102" s="182"/>
    </row>
    <row r="103" spans="1:24" ht="15.6">
      <c r="A103" s="444">
        <v>10</v>
      </c>
      <c r="B103" s="379" t="s">
        <v>234</v>
      </c>
      <c r="C103" s="379"/>
      <c r="D103" s="379"/>
      <c r="E103" s="379"/>
      <c r="F103" s="379"/>
      <c r="G103" s="379"/>
      <c r="H103" s="379"/>
      <c r="I103" s="379"/>
      <c r="J103" s="379"/>
      <c r="K103" s="379"/>
      <c r="L103" s="379"/>
      <c r="M103" s="379"/>
      <c r="N103" s="379"/>
      <c r="O103" s="379"/>
      <c r="P103" s="379"/>
      <c r="Q103" s="379"/>
      <c r="R103" s="379"/>
      <c r="S103" s="379"/>
      <c r="T103" s="379"/>
      <c r="U103" s="441">
        <v>-40500</v>
      </c>
      <c r="V103" s="410"/>
      <c r="W103" s="6"/>
      <c r="X103" s="64"/>
    </row>
    <row r="104" spans="1:24" ht="15.6">
      <c r="A104" s="444">
        <v>11</v>
      </c>
      <c r="B104" s="379" t="s">
        <v>183</v>
      </c>
      <c r="C104" s="379"/>
      <c r="D104" s="379"/>
      <c r="E104" s="379"/>
      <c r="F104" s="379"/>
      <c r="G104" s="379"/>
      <c r="H104" s="379"/>
      <c r="I104" s="379"/>
      <c r="J104" s="379"/>
      <c r="K104" s="379"/>
      <c r="L104" s="379"/>
      <c r="M104" s="379"/>
      <c r="N104" s="379"/>
      <c r="O104" s="379"/>
      <c r="P104" s="379"/>
      <c r="Q104" s="379"/>
      <c r="R104" s="379"/>
      <c r="S104" s="379"/>
      <c r="T104" s="379"/>
      <c r="U104" s="441">
        <v>0</v>
      </c>
      <c r="V104" s="410"/>
      <c r="W104" s="6"/>
      <c r="X104" s="64"/>
    </row>
    <row r="105" spans="1:24" ht="15.6">
      <c r="A105" s="444">
        <v>12</v>
      </c>
      <c r="B105" s="379" t="s">
        <v>184</v>
      </c>
      <c r="C105" s="379"/>
      <c r="D105" s="379"/>
      <c r="E105" s="379"/>
      <c r="F105" s="379"/>
      <c r="G105" s="379"/>
      <c r="H105" s="379"/>
      <c r="I105" s="379"/>
      <c r="J105" s="379"/>
      <c r="K105" s="379"/>
      <c r="L105" s="379"/>
      <c r="M105" s="379"/>
      <c r="N105" s="379"/>
      <c r="O105" s="379"/>
      <c r="P105" s="379"/>
      <c r="Q105" s="379"/>
      <c r="R105" s="379"/>
      <c r="S105" s="379"/>
      <c r="T105" s="379"/>
      <c r="U105" s="441">
        <v>-202</v>
      </c>
      <c r="V105" s="410"/>
      <c r="W105" s="6"/>
      <c r="X105" s="182"/>
    </row>
    <row r="106" spans="1:24" ht="15.6">
      <c r="A106" s="444">
        <v>13</v>
      </c>
      <c r="B106" s="379" t="s">
        <v>40</v>
      </c>
      <c r="C106" s="379"/>
      <c r="D106" s="379"/>
      <c r="E106" s="379"/>
      <c r="F106" s="379"/>
      <c r="G106" s="379"/>
      <c r="H106" s="379"/>
      <c r="I106" s="379"/>
      <c r="J106" s="379"/>
      <c r="K106" s="379"/>
      <c r="L106" s="379"/>
      <c r="M106" s="379"/>
      <c r="N106" s="379"/>
      <c r="O106" s="379"/>
      <c r="P106" s="379"/>
      <c r="Q106" s="379"/>
      <c r="R106" s="379"/>
      <c r="S106" s="379"/>
      <c r="T106" s="379"/>
      <c r="U106" s="441">
        <f>-SUM(U87:V105)</f>
        <v>-2292.7575999999826</v>
      </c>
      <c r="V106" s="410"/>
      <c r="W106" s="6"/>
      <c r="X106" s="182"/>
    </row>
    <row r="107" spans="1:24" ht="15.6">
      <c r="A107" s="316"/>
      <c r="B107" s="443"/>
      <c r="C107" s="364"/>
      <c r="D107" s="364"/>
      <c r="E107" s="364"/>
      <c r="F107" s="364"/>
      <c r="G107" s="364"/>
      <c r="H107" s="364"/>
      <c r="I107" s="364"/>
      <c r="J107" s="364"/>
      <c r="K107" s="364"/>
      <c r="L107" s="364"/>
      <c r="M107" s="364"/>
      <c r="N107" s="364"/>
      <c r="O107" s="364"/>
      <c r="P107" s="364"/>
      <c r="Q107" s="364"/>
      <c r="R107" s="364"/>
      <c r="S107" s="360"/>
      <c r="T107" s="360"/>
      <c r="U107" s="360"/>
      <c r="V107" s="303"/>
      <c r="W107" s="6"/>
      <c r="X107" s="182"/>
    </row>
    <row r="108" spans="1:24" ht="15.6">
      <c r="A108" s="316"/>
      <c r="B108" s="317"/>
      <c r="C108" s="288"/>
      <c r="D108" s="288"/>
      <c r="E108" s="288"/>
      <c r="F108" s="288"/>
      <c r="G108" s="288"/>
      <c r="H108" s="288"/>
      <c r="I108" s="288"/>
      <c r="J108" s="288"/>
      <c r="K108" s="288"/>
      <c r="L108" s="288"/>
      <c r="M108" s="288"/>
      <c r="N108" s="288"/>
      <c r="O108" s="288"/>
      <c r="P108" s="288"/>
      <c r="Q108" s="288"/>
      <c r="R108" s="288"/>
      <c r="S108" s="318"/>
      <c r="T108" s="318"/>
      <c r="U108" s="318"/>
      <c r="V108" s="303"/>
      <c r="W108" s="6"/>
    </row>
    <row r="109" spans="1:24" ht="16.2" thickBot="1">
      <c r="A109" s="319"/>
      <c r="B109" s="304" t="str">
        <f>+B59</f>
        <v>PPAF3 INVESTOR REPORT QUARTER ENDING MARCH 2012</v>
      </c>
      <c r="C109" s="305"/>
      <c r="D109" s="305"/>
      <c r="E109" s="305"/>
      <c r="F109" s="305"/>
      <c r="G109" s="305"/>
      <c r="H109" s="305"/>
      <c r="I109" s="305"/>
      <c r="J109" s="305"/>
      <c r="K109" s="305"/>
      <c r="L109" s="305"/>
      <c r="M109" s="305"/>
      <c r="N109" s="305"/>
      <c r="O109" s="305"/>
      <c r="P109" s="305"/>
      <c r="Q109" s="305"/>
      <c r="R109" s="305"/>
      <c r="S109" s="320"/>
      <c r="T109" s="320"/>
      <c r="U109" s="320"/>
      <c r="V109" s="307"/>
      <c r="W109" s="6"/>
    </row>
    <row r="110" spans="1:24" ht="15.6">
      <c r="A110" s="238"/>
      <c r="B110" s="240"/>
      <c r="C110" s="240"/>
      <c r="D110" s="240"/>
      <c r="E110" s="240"/>
      <c r="F110" s="240"/>
      <c r="G110" s="240"/>
      <c r="H110" s="240"/>
      <c r="I110" s="240"/>
      <c r="J110" s="240"/>
      <c r="K110" s="240"/>
      <c r="L110" s="240"/>
      <c r="M110" s="240"/>
      <c r="N110" s="240"/>
      <c r="O110" s="240"/>
      <c r="P110" s="240"/>
      <c r="Q110" s="240"/>
      <c r="R110" s="240"/>
      <c r="S110" s="269"/>
      <c r="T110" s="269"/>
      <c r="U110" s="269"/>
      <c r="V110" s="241"/>
      <c r="W110" s="6"/>
    </row>
    <row r="111" spans="1:24" ht="15.6">
      <c r="A111" s="321"/>
      <c r="B111" s="517" t="s">
        <v>41</v>
      </c>
      <c r="C111" s="322"/>
      <c r="D111" s="322"/>
      <c r="E111" s="322"/>
      <c r="F111" s="322"/>
      <c r="G111" s="322"/>
      <c r="H111" s="322"/>
      <c r="I111" s="322"/>
      <c r="J111" s="322"/>
      <c r="K111" s="322"/>
      <c r="L111" s="322"/>
      <c r="M111" s="322"/>
      <c r="N111" s="322"/>
      <c r="O111" s="322"/>
      <c r="P111" s="322"/>
      <c r="Q111" s="322"/>
      <c r="R111" s="322"/>
      <c r="S111" s="322"/>
      <c r="T111" s="322"/>
      <c r="U111" s="323"/>
      <c r="V111" s="324"/>
      <c r="W111" s="6"/>
    </row>
    <row r="112" spans="1:24" ht="15.6">
      <c r="A112" s="270"/>
      <c r="B112" s="271"/>
      <c r="C112" s="271"/>
      <c r="D112" s="271"/>
      <c r="E112" s="271"/>
      <c r="F112" s="271"/>
      <c r="G112" s="271"/>
      <c r="H112" s="271"/>
      <c r="I112" s="271"/>
      <c r="J112" s="271"/>
      <c r="K112" s="271"/>
      <c r="L112" s="271"/>
      <c r="M112" s="271"/>
      <c r="N112" s="271"/>
      <c r="O112" s="271"/>
      <c r="P112" s="271"/>
      <c r="Q112" s="271"/>
      <c r="R112" s="271"/>
      <c r="S112" s="271"/>
      <c r="T112" s="271"/>
      <c r="U112" s="272"/>
      <c r="V112" s="273"/>
      <c r="W112" s="6"/>
    </row>
    <row r="113" spans="1:24" ht="15.6">
      <c r="A113" s="242"/>
      <c r="B113" s="274" t="s">
        <v>42</v>
      </c>
      <c r="C113" s="252"/>
      <c r="D113" s="252"/>
      <c r="E113" s="252"/>
      <c r="F113" s="252"/>
      <c r="G113" s="252"/>
      <c r="H113" s="252"/>
      <c r="I113" s="252"/>
      <c r="J113" s="252"/>
      <c r="K113" s="252"/>
      <c r="L113" s="252"/>
      <c r="M113" s="244"/>
      <c r="N113" s="244"/>
      <c r="O113" s="244"/>
      <c r="P113" s="244"/>
      <c r="Q113" s="244"/>
      <c r="R113" s="244"/>
      <c r="S113" s="244"/>
      <c r="T113" s="244"/>
      <c r="U113" s="263"/>
      <c r="V113" s="245"/>
      <c r="W113" s="6"/>
    </row>
    <row r="114" spans="1:24" ht="15.6">
      <c r="A114" s="378"/>
      <c r="B114" s="379" t="s">
        <v>43</v>
      </c>
      <c r="C114" s="379"/>
      <c r="D114" s="379"/>
      <c r="E114" s="379"/>
      <c r="F114" s="379"/>
      <c r="G114" s="379"/>
      <c r="H114" s="379"/>
      <c r="I114" s="379"/>
      <c r="J114" s="379"/>
      <c r="K114" s="379"/>
      <c r="L114" s="379"/>
      <c r="M114" s="379"/>
      <c r="N114" s="379"/>
      <c r="O114" s="379"/>
      <c r="P114" s="379"/>
      <c r="Q114" s="379"/>
      <c r="R114" s="379"/>
      <c r="S114" s="379"/>
      <c r="T114" s="379"/>
      <c r="U114" s="441">
        <v>40500</v>
      </c>
      <c r="V114" s="410"/>
      <c r="W114" s="6"/>
    </row>
    <row r="115" spans="1:24" ht="15.6">
      <c r="A115" s="378"/>
      <c r="B115" s="379" t="s">
        <v>240</v>
      </c>
      <c r="C115" s="379"/>
      <c r="D115" s="379"/>
      <c r="E115" s="379"/>
      <c r="F115" s="379"/>
      <c r="G115" s="379"/>
      <c r="H115" s="379"/>
      <c r="I115" s="379"/>
      <c r="J115" s="379"/>
      <c r="K115" s="379"/>
      <c r="L115" s="379"/>
      <c r="M115" s="379"/>
      <c r="N115" s="379"/>
      <c r="O115" s="379"/>
      <c r="P115" s="379"/>
      <c r="Q115" s="379"/>
      <c r="R115" s="379"/>
      <c r="S115" s="379"/>
      <c r="T115" s="379"/>
      <c r="U115" s="441">
        <v>40500</v>
      </c>
      <c r="V115" s="410"/>
      <c r="W115" s="6"/>
    </row>
    <row r="116" spans="1:24" ht="15.6">
      <c r="A116" s="378"/>
      <c r="B116" s="379" t="s">
        <v>241</v>
      </c>
      <c r="C116" s="379"/>
      <c r="D116" s="379"/>
      <c r="E116" s="379"/>
      <c r="F116" s="379"/>
      <c r="G116" s="379"/>
      <c r="H116" s="379"/>
      <c r="I116" s="379"/>
      <c r="J116" s="379"/>
      <c r="K116" s="379"/>
      <c r="L116" s="379"/>
      <c r="M116" s="379"/>
      <c r="N116" s="379"/>
      <c r="O116" s="379"/>
      <c r="P116" s="379"/>
      <c r="Q116" s="379"/>
      <c r="R116" s="379"/>
      <c r="S116" s="379"/>
      <c r="T116" s="379"/>
      <c r="U116" s="441">
        <v>0</v>
      </c>
      <c r="V116" s="410"/>
      <c r="W116" s="6"/>
    </row>
    <row r="117" spans="1:24" ht="15.6">
      <c r="A117" s="378"/>
      <c r="B117" s="379" t="s">
        <v>209</v>
      </c>
      <c r="C117" s="379"/>
      <c r="D117" s="379"/>
      <c r="E117" s="379"/>
      <c r="F117" s="379"/>
      <c r="G117" s="379"/>
      <c r="H117" s="379"/>
      <c r="I117" s="379"/>
      <c r="J117" s="379"/>
      <c r="K117" s="379"/>
      <c r="L117" s="379"/>
      <c r="M117" s="379"/>
      <c r="N117" s="379"/>
      <c r="O117" s="379"/>
      <c r="P117" s="379"/>
      <c r="Q117" s="379"/>
      <c r="R117" s="379"/>
      <c r="S117" s="379"/>
      <c r="T117" s="379"/>
      <c r="U117" s="441">
        <v>0</v>
      </c>
      <c r="V117" s="410"/>
      <c r="W117" s="6"/>
    </row>
    <row r="118" spans="1:24" ht="15.6">
      <c r="A118" s="378"/>
      <c r="B118" s="379" t="s">
        <v>210</v>
      </c>
      <c r="C118" s="379"/>
      <c r="D118" s="379"/>
      <c r="E118" s="379"/>
      <c r="F118" s="379"/>
      <c r="G118" s="379"/>
      <c r="H118" s="379"/>
      <c r="I118" s="379"/>
      <c r="J118" s="379"/>
      <c r="K118" s="379"/>
      <c r="L118" s="379"/>
      <c r="M118" s="379"/>
      <c r="N118" s="379"/>
      <c r="O118" s="379"/>
      <c r="P118" s="379"/>
      <c r="Q118" s="379"/>
      <c r="R118" s="379"/>
      <c r="S118" s="379"/>
      <c r="T118" s="379"/>
      <c r="U118" s="441">
        <v>0</v>
      </c>
      <c r="V118" s="410"/>
      <c r="W118" s="6"/>
    </row>
    <row r="119" spans="1:24" ht="15.6">
      <c r="A119" s="378"/>
      <c r="B119" s="379" t="s">
        <v>211</v>
      </c>
      <c r="C119" s="379"/>
      <c r="D119" s="379"/>
      <c r="E119" s="379"/>
      <c r="F119" s="379"/>
      <c r="G119" s="379"/>
      <c r="H119" s="379"/>
      <c r="I119" s="379"/>
      <c r="J119" s="379"/>
      <c r="K119" s="379"/>
      <c r="L119" s="379"/>
      <c r="M119" s="379"/>
      <c r="N119" s="379"/>
      <c r="O119" s="379"/>
      <c r="P119" s="379"/>
      <c r="Q119" s="379"/>
      <c r="R119" s="379"/>
      <c r="S119" s="379"/>
      <c r="T119" s="379"/>
      <c r="U119" s="441">
        <v>0</v>
      </c>
      <c r="V119" s="410"/>
      <c r="W119" s="6"/>
    </row>
    <row r="120" spans="1:24" ht="15.6">
      <c r="A120" s="378"/>
      <c r="B120" s="379" t="s">
        <v>212</v>
      </c>
      <c r="C120" s="379"/>
      <c r="D120" s="379"/>
      <c r="E120" s="379"/>
      <c r="F120" s="379"/>
      <c r="G120" s="379"/>
      <c r="H120" s="379"/>
      <c r="I120" s="379"/>
      <c r="J120" s="379"/>
      <c r="K120" s="379"/>
      <c r="L120" s="379"/>
      <c r="M120" s="379"/>
      <c r="N120" s="379"/>
      <c r="O120" s="379"/>
      <c r="P120" s="379"/>
      <c r="Q120" s="379"/>
      <c r="R120" s="379"/>
      <c r="S120" s="379"/>
      <c r="T120" s="379"/>
      <c r="U120" s="441">
        <v>0</v>
      </c>
      <c r="V120" s="410"/>
      <c r="W120" s="6"/>
    </row>
    <row r="121" spans="1:24" ht="15.6">
      <c r="A121" s="378"/>
      <c r="B121" s="379" t="s">
        <v>242</v>
      </c>
      <c r="C121" s="379"/>
      <c r="D121" s="379"/>
      <c r="E121" s="379"/>
      <c r="F121" s="379"/>
      <c r="G121" s="379"/>
      <c r="H121" s="379"/>
      <c r="I121" s="379"/>
      <c r="J121" s="379"/>
      <c r="K121" s="379"/>
      <c r="L121" s="379"/>
      <c r="M121" s="379"/>
      <c r="N121" s="379"/>
      <c r="O121" s="379"/>
      <c r="P121" s="379"/>
      <c r="Q121" s="379"/>
      <c r="R121" s="379"/>
      <c r="S121" s="379"/>
      <c r="T121" s="379"/>
      <c r="U121" s="441">
        <v>0</v>
      </c>
      <c r="V121" s="410"/>
      <c r="W121" s="6"/>
    </row>
    <row r="122" spans="1:24" ht="15.6">
      <c r="A122" s="378"/>
      <c r="B122" s="379" t="s">
        <v>45</v>
      </c>
      <c r="C122" s="379"/>
      <c r="D122" s="379"/>
      <c r="E122" s="379"/>
      <c r="F122" s="379"/>
      <c r="G122" s="379"/>
      <c r="H122" s="379"/>
      <c r="I122" s="379"/>
      <c r="J122" s="379"/>
      <c r="K122" s="379"/>
      <c r="L122" s="379"/>
      <c r="M122" s="379"/>
      <c r="N122" s="379"/>
      <c r="O122" s="379"/>
      <c r="P122" s="379"/>
      <c r="Q122" s="379"/>
      <c r="R122" s="379"/>
      <c r="S122" s="379"/>
      <c r="T122" s="379"/>
      <c r="U122" s="441">
        <f>SUM(U115:U121)</f>
        <v>40500</v>
      </c>
      <c r="V122" s="410"/>
      <c r="W122" s="6"/>
    </row>
    <row r="123" spans="1:24" ht="15.6">
      <c r="A123" s="242"/>
      <c r="B123" s="438"/>
      <c r="C123" s="438"/>
      <c r="D123" s="438"/>
      <c r="E123" s="438"/>
      <c r="F123" s="438"/>
      <c r="G123" s="438"/>
      <c r="H123" s="438"/>
      <c r="I123" s="438"/>
      <c r="J123" s="438"/>
      <c r="K123" s="438"/>
      <c r="L123" s="438"/>
      <c r="M123" s="438"/>
      <c r="N123" s="438"/>
      <c r="O123" s="438"/>
      <c r="P123" s="438"/>
      <c r="Q123" s="438"/>
      <c r="R123" s="438"/>
      <c r="S123" s="438"/>
      <c r="T123" s="438"/>
      <c r="U123" s="448"/>
      <c r="V123" s="245"/>
      <c r="W123" s="6"/>
    </row>
    <row r="124" spans="1:24" ht="15.6">
      <c r="A124" s="242"/>
      <c r="B124" s="274" t="s">
        <v>46</v>
      </c>
      <c r="C124" s="252"/>
      <c r="D124" s="252"/>
      <c r="E124" s="252"/>
      <c r="F124" s="252"/>
      <c r="G124" s="252"/>
      <c r="H124" s="252"/>
      <c r="I124" s="252"/>
      <c r="J124" s="252"/>
      <c r="K124" s="252"/>
      <c r="L124" s="252"/>
      <c r="M124" s="244"/>
      <c r="N124" s="244"/>
      <c r="O124" s="244"/>
      <c r="P124" s="275"/>
      <c r="Q124" s="244"/>
      <c r="R124" s="244"/>
      <c r="S124" s="244"/>
      <c r="T124" s="244"/>
      <c r="U124" s="276"/>
      <c r="V124" s="245"/>
      <c r="W124" s="6"/>
    </row>
    <row r="125" spans="1:24" ht="15.6">
      <c r="A125" s="230"/>
      <c r="B125" s="511"/>
      <c r="C125" s="232" t="s">
        <v>185</v>
      </c>
      <c r="D125" s="232"/>
      <c r="E125" s="232" t="s">
        <v>99</v>
      </c>
      <c r="F125" s="232"/>
      <c r="G125" s="232" t="s">
        <v>102</v>
      </c>
      <c r="H125" s="232"/>
      <c r="I125" s="232" t="s">
        <v>108</v>
      </c>
      <c r="J125" s="232"/>
      <c r="K125" s="232"/>
      <c r="L125" s="232"/>
      <c r="M125" s="232"/>
      <c r="N125" s="232"/>
      <c r="O125" s="232"/>
      <c r="P125" s="326"/>
      <c r="Q125" s="326"/>
      <c r="R125" s="231"/>
      <c r="S125" s="231"/>
      <c r="T125" s="231"/>
      <c r="U125" s="309"/>
      <c r="V125" s="237"/>
      <c r="W125" s="6"/>
    </row>
    <row r="126" spans="1:24" ht="15.6">
      <c r="A126" s="257"/>
      <c r="B126" s="294" t="s">
        <v>122</v>
      </c>
      <c r="C126" s="310">
        <f>+N199-'Dec 11'!N199</f>
        <v>-61</v>
      </c>
      <c r="D126" s="294"/>
      <c r="E126" s="310">
        <f>+S199-'Dec 11'!S199</f>
        <v>-52</v>
      </c>
      <c r="F126" s="294"/>
      <c r="G126" s="310">
        <f>+'March 12'!N212-'Dec 11'!N212</f>
        <v>273</v>
      </c>
      <c r="H126" s="294"/>
      <c r="I126" s="310">
        <f>+S212-'Dec 11'!S212</f>
        <v>-29</v>
      </c>
      <c r="J126" s="294"/>
      <c r="K126" s="294"/>
      <c r="L126" s="294"/>
      <c r="M126" s="294"/>
      <c r="N126" s="294"/>
      <c r="O126" s="294"/>
      <c r="P126" s="325"/>
      <c r="Q126" s="325"/>
      <c r="R126" s="294"/>
      <c r="S126" s="294"/>
      <c r="T126" s="294"/>
      <c r="U126" s="311">
        <f>SUM(C126:I126)</f>
        <v>131</v>
      </c>
      <c r="V126" s="298"/>
      <c r="W126" s="6"/>
      <c r="X126" s="182"/>
    </row>
    <row r="127" spans="1:24" ht="15.6">
      <c r="A127" s="378"/>
      <c r="B127" s="379" t="s">
        <v>47</v>
      </c>
      <c r="C127" s="379">
        <v>47</v>
      </c>
      <c r="D127" s="379"/>
      <c r="E127" s="379">
        <v>0</v>
      </c>
      <c r="F127" s="379"/>
      <c r="G127" s="379">
        <v>654</v>
      </c>
      <c r="H127" s="379"/>
      <c r="I127" s="440">
        <v>165</v>
      </c>
      <c r="J127" s="379"/>
      <c r="K127" s="379"/>
      <c r="L127" s="379"/>
      <c r="M127" s="379"/>
      <c r="N127" s="379"/>
      <c r="O127" s="379"/>
      <c r="P127" s="450"/>
      <c r="Q127" s="450"/>
      <c r="R127" s="379"/>
      <c r="S127" s="379"/>
      <c r="T127" s="379"/>
      <c r="U127" s="441">
        <f>SUM(C127:I127)</f>
        <v>866</v>
      </c>
      <c r="V127" s="410"/>
      <c r="W127" s="6"/>
    </row>
    <row r="128" spans="1:24" ht="15.6">
      <c r="A128" s="242"/>
      <c r="B128" s="364" t="s">
        <v>48</v>
      </c>
      <c r="C128" s="364"/>
      <c r="D128" s="364"/>
      <c r="E128" s="364"/>
      <c r="F128" s="364"/>
      <c r="G128" s="364"/>
      <c r="H128" s="364"/>
      <c r="I128" s="364"/>
      <c r="J128" s="364"/>
      <c r="K128" s="364"/>
      <c r="L128" s="364"/>
      <c r="M128" s="364"/>
      <c r="N128" s="364"/>
      <c r="O128" s="364"/>
      <c r="P128" s="364"/>
      <c r="Q128" s="364"/>
      <c r="R128" s="364"/>
      <c r="S128" s="364"/>
      <c r="T128" s="364"/>
      <c r="U128" s="449">
        <f>SUM(U126:U127)</f>
        <v>997</v>
      </c>
      <c r="V128" s="303"/>
      <c r="W128" s="6"/>
      <c r="X128" s="182"/>
    </row>
    <row r="129" spans="1:25" ht="15.6">
      <c r="A129" s="242"/>
      <c r="B129" s="274" t="s">
        <v>49</v>
      </c>
      <c r="C129" s="252"/>
      <c r="D129" s="252"/>
      <c r="E129" s="252"/>
      <c r="F129" s="252"/>
      <c r="G129" s="252"/>
      <c r="H129" s="252"/>
      <c r="I129" s="252"/>
      <c r="J129" s="252"/>
      <c r="K129" s="252"/>
      <c r="L129" s="252"/>
      <c r="M129" s="244"/>
      <c r="N129" s="244"/>
      <c r="O129" s="244"/>
      <c r="P129" s="244"/>
      <c r="Q129" s="244"/>
      <c r="R129" s="244"/>
      <c r="S129" s="244"/>
      <c r="T129" s="244"/>
      <c r="U129" s="263"/>
      <c r="V129" s="245"/>
      <c r="W129" s="6"/>
    </row>
    <row r="130" spans="1:25" ht="15.6">
      <c r="A130" s="444"/>
      <c r="B130" s="379" t="s">
        <v>50</v>
      </c>
      <c r="C130" s="386"/>
      <c r="D130" s="386"/>
      <c r="E130" s="386"/>
      <c r="F130" s="386"/>
      <c r="G130" s="386"/>
      <c r="H130" s="386"/>
      <c r="I130" s="386"/>
      <c r="J130" s="386"/>
      <c r="K130" s="386"/>
      <c r="L130" s="386"/>
      <c r="M130" s="379"/>
      <c r="N130" s="379"/>
      <c r="O130" s="379"/>
      <c r="P130" s="379"/>
      <c r="Q130" s="379"/>
      <c r="R130" s="379"/>
      <c r="S130" s="379"/>
      <c r="T130" s="379"/>
      <c r="U130" s="441">
        <f>U75+U77</f>
        <v>172102</v>
      </c>
      <c r="V130" s="410"/>
      <c r="W130" s="6"/>
      <c r="X130" s="182"/>
    </row>
    <row r="131" spans="1:25" ht="15.6">
      <c r="A131" s="444"/>
      <c r="B131" s="379" t="s">
        <v>51</v>
      </c>
      <c r="C131" s="386"/>
      <c r="D131" s="386"/>
      <c r="E131" s="386"/>
      <c r="F131" s="386"/>
      <c r="G131" s="386"/>
      <c r="H131" s="386"/>
      <c r="I131" s="386"/>
      <c r="J131" s="386"/>
      <c r="K131" s="386"/>
      <c r="L131" s="386"/>
      <c r="M131" s="379"/>
      <c r="N131" s="379"/>
      <c r="O131" s="379"/>
      <c r="P131" s="379"/>
      <c r="Q131" s="379"/>
      <c r="R131" s="379"/>
      <c r="S131" s="379"/>
      <c r="T131" s="379"/>
      <c r="U131" s="441">
        <v>0</v>
      </c>
      <c r="V131" s="410"/>
      <c r="W131" s="6"/>
      <c r="Y131" s="182"/>
    </row>
    <row r="132" spans="1:25" ht="15.6">
      <c r="A132" s="444"/>
      <c r="B132" s="379" t="s">
        <v>52</v>
      </c>
      <c r="C132" s="386"/>
      <c r="D132" s="386"/>
      <c r="E132" s="386"/>
      <c r="F132" s="386"/>
      <c r="G132" s="386"/>
      <c r="H132" s="386"/>
      <c r="I132" s="386"/>
      <c r="J132" s="386"/>
      <c r="K132" s="386"/>
      <c r="L132" s="386"/>
      <c r="M132" s="379"/>
      <c r="N132" s="379"/>
      <c r="O132" s="379"/>
      <c r="P132" s="379"/>
      <c r="Q132" s="379"/>
      <c r="R132" s="379"/>
      <c r="S132" s="379"/>
      <c r="T132" s="379"/>
      <c r="U132" s="441">
        <f>+U130+U131</f>
        <v>172102</v>
      </c>
      <c r="V132" s="410"/>
      <c r="W132" s="6"/>
    </row>
    <row r="133" spans="1:25" ht="15.6">
      <c r="A133" s="444"/>
      <c r="B133" s="379" t="s">
        <v>53</v>
      </c>
      <c r="C133" s="386"/>
      <c r="D133" s="386"/>
      <c r="E133" s="386"/>
      <c r="F133" s="386"/>
      <c r="G133" s="386"/>
      <c r="H133" s="386"/>
      <c r="I133" s="386"/>
      <c r="J133" s="386"/>
      <c r="K133" s="386"/>
      <c r="L133" s="386"/>
      <c r="M133" s="379"/>
      <c r="N133" s="379"/>
      <c r="O133" s="379"/>
      <c r="P133" s="379"/>
      <c r="Q133" s="379"/>
      <c r="R133" s="379"/>
      <c r="S133" s="379"/>
      <c r="T133" s="379"/>
      <c r="U133" s="441">
        <f>U80</f>
        <v>172102</v>
      </c>
      <c r="V133" s="410"/>
      <c r="W133" s="6"/>
      <c r="X133" s="64"/>
    </row>
    <row r="134" spans="1:25" ht="15.6">
      <c r="A134" s="242"/>
      <c r="B134" s="438"/>
      <c r="C134" s="438"/>
      <c r="D134" s="438"/>
      <c r="E134" s="438"/>
      <c r="F134" s="438"/>
      <c r="G134" s="438"/>
      <c r="H134" s="438"/>
      <c r="I134" s="438"/>
      <c r="J134" s="438"/>
      <c r="K134" s="438"/>
      <c r="L134" s="438"/>
      <c r="M134" s="438"/>
      <c r="N134" s="438"/>
      <c r="O134" s="438"/>
      <c r="P134" s="438"/>
      <c r="Q134" s="438"/>
      <c r="R134" s="438"/>
      <c r="S134" s="438"/>
      <c r="T134" s="438"/>
      <c r="U134" s="451"/>
      <c r="V134" s="245"/>
      <c r="W134" s="6"/>
    </row>
    <row r="135" spans="1:25" ht="15.6">
      <c r="A135" s="242"/>
      <c r="B135" s="274" t="s">
        <v>54</v>
      </c>
      <c r="C135" s="247"/>
      <c r="D135" s="247"/>
      <c r="E135" s="247"/>
      <c r="F135" s="247"/>
      <c r="G135" s="247"/>
      <c r="H135" s="247"/>
      <c r="I135" s="247"/>
      <c r="J135" s="247"/>
      <c r="K135" s="247"/>
      <c r="L135" s="247"/>
      <c r="M135" s="247"/>
      <c r="N135" s="247"/>
      <c r="O135" s="247"/>
      <c r="P135" s="247"/>
      <c r="Q135" s="277" t="s">
        <v>112</v>
      </c>
      <c r="R135" s="278"/>
      <c r="S135" s="277" t="s">
        <v>114</v>
      </c>
      <c r="T135" s="247"/>
      <c r="U135" s="279" t="s">
        <v>90</v>
      </c>
      <c r="V135" s="245"/>
      <c r="W135" s="6"/>
    </row>
    <row r="136" spans="1:25" ht="15.6">
      <c r="A136" s="378"/>
      <c r="B136" s="379" t="s">
        <v>55</v>
      </c>
      <c r="C136" s="379"/>
      <c r="D136" s="379"/>
      <c r="E136" s="379"/>
      <c r="F136" s="379"/>
      <c r="G136" s="379"/>
      <c r="H136" s="379"/>
      <c r="I136" s="379"/>
      <c r="J136" s="379"/>
      <c r="K136" s="379"/>
      <c r="L136" s="379"/>
      <c r="M136" s="379"/>
      <c r="N136" s="379"/>
      <c r="O136" s="379"/>
      <c r="P136" s="379"/>
      <c r="Q136" s="441">
        <v>0</v>
      </c>
      <c r="R136" s="379"/>
      <c r="S136" s="453" t="s">
        <v>115</v>
      </c>
      <c r="T136" s="379"/>
      <c r="U136" s="441">
        <f>Q136</f>
        <v>0</v>
      </c>
      <c r="V136" s="385"/>
      <c r="W136" s="6"/>
    </row>
    <row r="137" spans="1:25" ht="15.6">
      <c r="A137" s="378"/>
      <c r="B137" s="379" t="s">
        <v>56</v>
      </c>
      <c r="C137" s="379"/>
      <c r="D137" s="379"/>
      <c r="E137" s="379"/>
      <c r="F137" s="379"/>
      <c r="G137" s="379"/>
      <c r="H137" s="379"/>
      <c r="I137" s="379"/>
      <c r="J137" s="379"/>
      <c r="K137" s="379"/>
      <c r="L137" s="379"/>
      <c r="M137" s="379"/>
      <c r="N137" s="379"/>
      <c r="O137" s="379"/>
      <c r="P137" s="379"/>
      <c r="Q137" s="441">
        <f>+'Dec 11'!Q139</f>
        <v>4229</v>
      </c>
      <c r="R137" s="379"/>
      <c r="S137" s="453" t="s">
        <v>115</v>
      </c>
      <c r="T137" s="379"/>
      <c r="U137" s="441">
        <f>Q137</f>
        <v>4229</v>
      </c>
      <c r="V137" s="385"/>
      <c r="W137" s="6"/>
    </row>
    <row r="138" spans="1:25" ht="15.6">
      <c r="A138" s="378"/>
      <c r="B138" s="379" t="s">
        <v>57</v>
      </c>
      <c r="C138" s="379"/>
      <c r="D138" s="379"/>
      <c r="E138" s="379"/>
      <c r="F138" s="379"/>
      <c r="G138" s="379"/>
      <c r="H138" s="379"/>
      <c r="I138" s="379"/>
      <c r="J138" s="379"/>
      <c r="K138" s="379"/>
      <c r="L138" s="379"/>
      <c r="M138" s="379"/>
      <c r="N138" s="379"/>
      <c r="O138" s="379"/>
      <c r="P138" s="379"/>
      <c r="Q138" s="441">
        <v>0</v>
      </c>
      <c r="R138" s="379"/>
      <c r="S138" s="453" t="s">
        <v>115</v>
      </c>
      <c r="T138" s="379"/>
      <c r="U138" s="441">
        <f>Q138</f>
        <v>0</v>
      </c>
      <c r="V138" s="385"/>
      <c r="W138" s="6"/>
    </row>
    <row r="139" spans="1:25" ht="15.6">
      <c r="A139" s="378"/>
      <c r="B139" s="379" t="s">
        <v>58</v>
      </c>
      <c r="C139" s="379"/>
      <c r="D139" s="379"/>
      <c r="E139" s="379"/>
      <c r="F139" s="379"/>
      <c r="G139" s="379"/>
      <c r="H139" s="379"/>
      <c r="I139" s="379"/>
      <c r="J139" s="379"/>
      <c r="K139" s="379"/>
      <c r="L139" s="379"/>
      <c r="M139" s="379"/>
      <c r="N139" s="379"/>
      <c r="O139" s="379"/>
      <c r="P139" s="379"/>
      <c r="Q139" s="441">
        <f>SUM(Q137:Q138)</f>
        <v>4229</v>
      </c>
      <c r="R139" s="379"/>
      <c r="S139" s="453" t="s">
        <v>115</v>
      </c>
      <c r="T139" s="379"/>
      <c r="U139" s="441">
        <f>Q139</f>
        <v>4229</v>
      </c>
      <c r="V139" s="385"/>
      <c r="W139" s="6"/>
    </row>
    <row r="140" spans="1:25" ht="15.6">
      <c r="A140" s="378"/>
      <c r="B140" s="379" t="s">
        <v>215</v>
      </c>
      <c r="C140" s="379"/>
      <c r="D140" s="379"/>
      <c r="E140" s="379"/>
      <c r="F140" s="379"/>
      <c r="G140" s="379"/>
      <c r="H140" s="379"/>
      <c r="I140" s="379"/>
      <c r="J140" s="379"/>
      <c r="K140" s="379"/>
      <c r="L140" s="379"/>
      <c r="M140" s="379"/>
      <c r="N140" s="379"/>
      <c r="O140" s="379"/>
      <c r="P140" s="379"/>
      <c r="Q140" s="441"/>
      <c r="R140" s="379"/>
      <c r="S140" s="453"/>
      <c r="T140" s="379"/>
      <c r="U140" s="441"/>
      <c r="V140" s="385"/>
      <c r="W140" s="6"/>
    </row>
    <row r="141" spans="1:25" ht="15.6">
      <c r="A141" s="378"/>
      <c r="B141" s="454"/>
      <c r="C141" s="454"/>
      <c r="D141" s="454"/>
      <c r="E141" s="454"/>
      <c r="F141" s="454"/>
      <c r="G141" s="454"/>
      <c r="H141" s="454"/>
      <c r="I141" s="454"/>
      <c r="J141" s="454"/>
      <c r="K141" s="454"/>
      <c r="L141" s="454"/>
      <c r="M141" s="454"/>
      <c r="N141" s="454"/>
      <c r="O141" s="454"/>
      <c r="P141" s="454"/>
      <c r="Q141" s="454"/>
      <c r="R141" s="454"/>
      <c r="S141" s="454"/>
      <c r="T141" s="454"/>
      <c r="U141" s="454"/>
      <c r="V141" s="385"/>
      <c r="W141" s="6"/>
    </row>
    <row r="142" spans="1:25" ht="15.6">
      <c r="A142" s="242"/>
      <c r="B142" s="452"/>
      <c r="C142" s="452"/>
      <c r="D142" s="452"/>
      <c r="E142" s="452"/>
      <c r="F142" s="452"/>
      <c r="G142" s="452"/>
      <c r="H142" s="452"/>
      <c r="I142" s="452"/>
      <c r="J142" s="452"/>
      <c r="K142" s="452"/>
      <c r="L142" s="452"/>
      <c r="M142" s="452"/>
      <c r="N142" s="452"/>
      <c r="O142" s="452"/>
      <c r="P142" s="452"/>
      <c r="Q142" s="452"/>
      <c r="R142" s="452"/>
      <c r="S142" s="452"/>
      <c r="T142" s="452"/>
      <c r="U142" s="452"/>
      <c r="V142" s="284"/>
      <c r="W142" s="6"/>
    </row>
    <row r="143" spans="1:25" ht="15.6">
      <c r="A143" s="230"/>
      <c r="B143" s="511" t="s">
        <v>59</v>
      </c>
      <c r="C143" s="518"/>
      <c r="D143" s="518"/>
      <c r="E143" s="518"/>
      <c r="F143" s="518"/>
      <c r="G143" s="518"/>
      <c r="H143" s="518"/>
      <c r="I143" s="518"/>
      <c r="J143" s="518"/>
      <c r="K143" s="518"/>
      <c r="L143" s="518"/>
      <c r="M143" s="518"/>
      <c r="N143" s="518"/>
      <c r="O143" s="518"/>
      <c r="P143" s="519"/>
      <c r="Q143" s="519"/>
      <c r="R143" s="519"/>
      <c r="S143" s="519">
        <v>40998</v>
      </c>
      <c r="T143" s="231"/>
      <c r="U143" s="231"/>
      <c r="V143" s="237"/>
      <c r="W143" s="6"/>
    </row>
    <row r="144" spans="1:25" ht="15.6">
      <c r="A144" s="281"/>
      <c r="B144" s="294" t="s">
        <v>60</v>
      </c>
      <c r="C144" s="329"/>
      <c r="D144" s="329"/>
      <c r="E144" s="329"/>
      <c r="F144" s="329"/>
      <c r="G144" s="329"/>
      <c r="H144" s="329"/>
      <c r="I144" s="329"/>
      <c r="J144" s="329"/>
      <c r="K144" s="329"/>
      <c r="L144" s="329"/>
      <c r="M144" s="329"/>
      <c r="N144" s="329"/>
      <c r="O144" s="329"/>
      <c r="P144" s="300"/>
      <c r="Q144" s="300"/>
      <c r="R144" s="300"/>
      <c r="S144" s="299">
        <v>0.10630000000000001</v>
      </c>
      <c r="T144" s="294"/>
      <c r="U144" s="294"/>
      <c r="V144" s="260"/>
      <c r="W144" s="6"/>
    </row>
    <row r="145" spans="1:23" ht="15.6">
      <c r="A145" s="458"/>
      <c r="B145" s="379" t="s">
        <v>61</v>
      </c>
      <c r="C145" s="459"/>
      <c r="D145" s="459"/>
      <c r="E145" s="459"/>
      <c r="F145" s="459"/>
      <c r="G145" s="459"/>
      <c r="H145" s="459"/>
      <c r="I145" s="459"/>
      <c r="J145" s="459"/>
      <c r="K145" s="459"/>
      <c r="L145" s="459"/>
      <c r="M145" s="459"/>
      <c r="N145" s="459"/>
      <c r="O145" s="459"/>
      <c r="P145" s="433"/>
      <c r="Q145" s="433"/>
      <c r="R145" s="433"/>
      <c r="S145" s="427">
        <v>5.2200000000000003E-2</v>
      </c>
      <c r="T145" s="427"/>
      <c r="U145" s="379"/>
      <c r="V145" s="385"/>
      <c r="W145" s="6"/>
    </row>
    <row r="146" spans="1:23" ht="15.6">
      <c r="A146" s="458"/>
      <c r="B146" s="379" t="s">
        <v>62</v>
      </c>
      <c r="C146" s="459"/>
      <c r="D146" s="459"/>
      <c r="E146" s="459"/>
      <c r="F146" s="459"/>
      <c r="G146" s="459"/>
      <c r="H146" s="459"/>
      <c r="I146" s="459"/>
      <c r="J146" s="459"/>
      <c r="K146" s="459"/>
      <c r="L146" s="459"/>
      <c r="M146" s="459"/>
      <c r="N146" s="459"/>
      <c r="O146" s="459"/>
      <c r="P146" s="433"/>
      <c r="Q146" s="433"/>
      <c r="R146" s="433"/>
      <c r="S146" s="427">
        <f>S144-S145</f>
        <v>5.4100000000000002E-2</v>
      </c>
      <c r="T146" s="379"/>
      <c r="U146" s="379"/>
      <c r="V146" s="385"/>
      <c r="W146" s="6"/>
    </row>
    <row r="147" spans="1:23" ht="15.6">
      <c r="A147" s="458"/>
      <c r="B147" s="379" t="s">
        <v>63</v>
      </c>
      <c r="C147" s="459"/>
      <c r="D147" s="459"/>
      <c r="E147" s="459"/>
      <c r="F147" s="459"/>
      <c r="G147" s="459"/>
      <c r="H147" s="459"/>
      <c r="I147" s="459"/>
      <c r="J147" s="459"/>
      <c r="K147" s="459"/>
      <c r="L147" s="459"/>
      <c r="M147" s="459"/>
      <c r="N147" s="459"/>
      <c r="O147" s="459"/>
      <c r="P147" s="433"/>
      <c r="Q147" s="433"/>
      <c r="R147" s="433"/>
      <c r="S147" s="427">
        <v>9.1749999999999998E-2</v>
      </c>
      <c r="T147" s="379"/>
      <c r="U147" s="379"/>
      <c r="V147" s="385"/>
      <c r="W147" s="6"/>
    </row>
    <row r="148" spans="1:23" ht="15.6">
      <c r="A148" s="458"/>
      <c r="B148" s="379" t="s">
        <v>64</v>
      </c>
      <c r="C148" s="459"/>
      <c r="D148" s="459"/>
      <c r="E148" s="459"/>
      <c r="F148" s="459"/>
      <c r="G148" s="459"/>
      <c r="H148" s="459"/>
      <c r="I148" s="459"/>
      <c r="J148" s="459"/>
      <c r="K148" s="459"/>
      <c r="L148" s="459"/>
      <c r="M148" s="459"/>
      <c r="N148" s="459"/>
      <c r="O148" s="459"/>
      <c r="P148" s="433"/>
      <c r="Q148" s="433"/>
      <c r="R148" s="433"/>
      <c r="S148" s="427">
        <f>+U40</f>
        <v>2.0331921178735321E-2</v>
      </c>
      <c r="T148" s="379"/>
      <c r="U148" s="379"/>
      <c r="V148" s="385"/>
      <c r="W148" s="6"/>
    </row>
    <row r="149" spans="1:23" ht="15.6">
      <c r="A149" s="458"/>
      <c r="B149" s="379" t="s">
        <v>65</v>
      </c>
      <c r="C149" s="459"/>
      <c r="D149" s="459"/>
      <c r="E149" s="459"/>
      <c r="F149" s="459"/>
      <c r="G149" s="459"/>
      <c r="H149" s="459"/>
      <c r="I149" s="459"/>
      <c r="J149" s="459"/>
      <c r="K149" s="459"/>
      <c r="L149" s="459"/>
      <c r="M149" s="459"/>
      <c r="N149" s="459"/>
      <c r="O149" s="459"/>
      <c r="P149" s="433"/>
      <c r="Q149" s="433"/>
      <c r="R149" s="433"/>
      <c r="S149" s="427">
        <f>S147-S148</f>
        <v>7.1418078821264677E-2</v>
      </c>
      <c r="T149" s="379"/>
      <c r="U149" s="379"/>
      <c r="V149" s="385"/>
      <c r="W149" s="6"/>
    </row>
    <row r="150" spans="1:23" ht="15.6">
      <c r="A150" s="458"/>
      <c r="B150" s="379" t="s">
        <v>204</v>
      </c>
      <c r="C150" s="459"/>
      <c r="D150" s="459"/>
      <c r="E150" s="459"/>
      <c r="F150" s="459"/>
      <c r="G150" s="459"/>
      <c r="H150" s="459"/>
      <c r="I150" s="459"/>
      <c r="J150" s="459"/>
      <c r="K150" s="459"/>
      <c r="L150" s="459"/>
      <c r="M150" s="459"/>
      <c r="N150" s="459"/>
      <c r="O150" s="459"/>
      <c r="P150" s="433"/>
      <c r="Q150" s="433"/>
      <c r="R150" s="433"/>
      <c r="S150" s="429">
        <v>49780</v>
      </c>
      <c r="T150" s="379"/>
      <c r="U150" s="379"/>
      <c r="V150" s="385"/>
      <c r="W150" s="6"/>
    </row>
    <row r="151" spans="1:23" ht="15.6">
      <c r="A151" s="458"/>
      <c r="B151" s="379" t="s">
        <v>205</v>
      </c>
      <c r="C151" s="459"/>
      <c r="D151" s="459"/>
      <c r="E151" s="459"/>
      <c r="F151" s="459"/>
      <c r="G151" s="459"/>
      <c r="H151" s="459"/>
      <c r="I151" s="459"/>
      <c r="J151" s="459"/>
      <c r="K151" s="459"/>
      <c r="L151" s="459"/>
      <c r="M151" s="459"/>
      <c r="N151" s="459"/>
      <c r="O151" s="459"/>
      <c r="P151" s="433"/>
      <c r="Q151" s="433"/>
      <c r="R151" s="433"/>
      <c r="S151" s="429">
        <v>49780</v>
      </c>
      <c r="T151" s="379"/>
      <c r="U151" s="379"/>
      <c r="V151" s="385"/>
      <c r="W151" s="6"/>
    </row>
    <row r="152" spans="1:23" ht="15.6">
      <c r="A152" s="458"/>
      <c r="B152" s="379" t="s">
        <v>206</v>
      </c>
      <c r="C152" s="459"/>
      <c r="D152" s="459"/>
      <c r="E152" s="459"/>
      <c r="F152" s="459"/>
      <c r="G152" s="459"/>
      <c r="H152" s="459"/>
      <c r="I152" s="459"/>
      <c r="J152" s="459"/>
      <c r="K152" s="459"/>
      <c r="L152" s="459"/>
      <c r="M152" s="459"/>
      <c r="N152" s="459"/>
      <c r="O152" s="459"/>
      <c r="P152" s="433"/>
      <c r="Q152" s="433"/>
      <c r="R152" s="433"/>
      <c r="S152" s="429">
        <v>49780</v>
      </c>
      <c r="T152" s="379"/>
      <c r="U152" s="379"/>
      <c r="V152" s="385"/>
      <c r="W152" s="6"/>
    </row>
    <row r="153" spans="1:23" ht="15.6">
      <c r="A153" s="458"/>
      <c r="B153" s="379" t="s">
        <v>207</v>
      </c>
      <c r="C153" s="459"/>
      <c r="D153" s="459"/>
      <c r="E153" s="459"/>
      <c r="F153" s="459"/>
      <c r="G153" s="459"/>
      <c r="H153" s="459"/>
      <c r="I153" s="459"/>
      <c r="J153" s="459"/>
      <c r="K153" s="459"/>
      <c r="L153" s="459"/>
      <c r="M153" s="459"/>
      <c r="N153" s="459"/>
      <c r="O153" s="459"/>
      <c r="P153" s="433"/>
      <c r="Q153" s="433"/>
      <c r="R153" s="433"/>
      <c r="S153" s="429">
        <v>49780</v>
      </c>
      <c r="T153" s="379"/>
      <c r="U153" s="379"/>
      <c r="V153" s="385"/>
      <c r="W153" s="6"/>
    </row>
    <row r="154" spans="1:23" ht="15.6">
      <c r="A154" s="458"/>
      <c r="B154" s="379" t="s">
        <v>221</v>
      </c>
      <c r="C154" s="459"/>
      <c r="D154" s="459"/>
      <c r="E154" s="459"/>
      <c r="F154" s="459"/>
      <c r="G154" s="459"/>
      <c r="H154" s="459"/>
      <c r="I154" s="459"/>
      <c r="J154" s="459"/>
      <c r="K154" s="459"/>
      <c r="L154" s="459"/>
      <c r="M154" s="459"/>
      <c r="N154" s="459"/>
      <c r="O154" s="459"/>
      <c r="P154" s="433"/>
      <c r="Q154" s="433"/>
      <c r="R154" s="433"/>
      <c r="S154" s="432">
        <v>111.34</v>
      </c>
      <c r="T154" s="379"/>
      <c r="U154" s="379"/>
      <c r="V154" s="385"/>
      <c r="W154" s="6"/>
    </row>
    <row r="155" spans="1:23" ht="15.6">
      <c r="A155" s="458"/>
      <c r="B155" s="379" t="s">
        <v>222</v>
      </c>
      <c r="C155" s="459"/>
      <c r="D155" s="459"/>
      <c r="E155" s="459"/>
      <c r="F155" s="459"/>
      <c r="G155" s="459"/>
      <c r="H155" s="459"/>
      <c r="I155" s="459"/>
      <c r="J155" s="459"/>
      <c r="K155" s="459"/>
      <c r="L155" s="459"/>
      <c r="M155" s="459"/>
      <c r="N155" s="459"/>
      <c r="O155" s="459"/>
      <c r="P155" s="433"/>
      <c r="Q155" s="433"/>
      <c r="R155" s="433"/>
      <c r="S155" s="432">
        <v>155.57</v>
      </c>
      <c r="T155" s="379"/>
      <c r="U155" s="379"/>
      <c r="V155" s="385"/>
      <c r="W155" s="6"/>
    </row>
    <row r="156" spans="1:23" ht="15.6">
      <c r="A156" s="458" t="s">
        <v>223</v>
      </c>
      <c r="B156" s="379" t="s">
        <v>66</v>
      </c>
      <c r="C156" s="459"/>
      <c r="D156" s="459"/>
      <c r="E156" s="459"/>
      <c r="F156" s="459"/>
      <c r="G156" s="459"/>
      <c r="H156" s="459"/>
      <c r="I156" s="459"/>
      <c r="J156" s="459"/>
      <c r="K156" s="459"/>
      <c r="L156" s="459"/>
      <c r="M156" s="459"/>
      <c r="N156" s="459"/>
      <c r="O156" s="459"/>
      <c r="P156" s="433"/>
      <c r="Q156" s="433"/>
      <c r="R156" s="433"/>
      <c r="S156" s="427">
        <v>4.2999999999999997E-2</v>
      </c>
      <c r="T156" s="379"/>
      <c r="U156" s="379"/>
      <c r="V156" s="385"/>
      <c r="W156" s="6"/>
    </row>
    <row r="157" spans="1:23" ht="15.6">
      <c r="A157" s="458"/>
      <c r="B157" s="379" t="s">
        <v>67</v>
      </c>
      <c r="C157" s="459"/>
      <c r="D157" s="459"/>
      <c r="E157" s="459"/>
      <c r="F157" s="459"/>
      <c r="G157" s="459"/>
      <c r="H157" s="459"/>
      <c r="I157" s="459"/>
      <c r="J157" s="459"/>
      <c r="K157" s="459"/>
      <c r="L157" s="459"/>
      <c r="M157" s="459"/>
      <c r="N157" s="459"/>
      <c r="O157" s="459"/>
      <c r="P157" s="433"/>
      <c r="Q157" s="433"/>
      <c r="R157" s="433"/>
      <c r="S157" s="427">
        <v>0.30609999999999998</v>
      </c>
      <c r="T157" s="379"/>
      <c r="U157" s="379"/>
      <c r="V157" s="385"/>
      <c r="W157" s="6"/>
    </row>
    <row r="158" spans="1:23" ht="15.6">
      <c r="A158" s="280"/>
      <c r="B158" s="364"/>
      <c r="C158" s="364"/>
      <c r="D158" s="364"/>
      <c r="E158" s="364"/>
      <c r="F158" s="364"/>
      <c r="G158" s="364"/>
      <c r="H158" s="364"/>
      <c r="I158" s="364"/>
      <c r="J158" s="364"/>
      <c r="K158" s="364"/>
      <c r="L158" s="364"/>
      <c r="M158" s="364"/>
      <c r="N158" s="364"/>
      <c r="O158" s="364"/>
      <c r="P158" s="364"/>
      <c r="Q158" s="364"/>
      <c r="R158" s="455"/>
      <c r="S158" s="456"/>
      <c r="T158" s="364"/>
      <c r="U158" s="457"/>
      <c r="V158" s="245"/>
      <c r="W158" s="6"/>
    </row>
    <row r="159" spans="1:23" ht="15.6">
      <c r="A159" s="280"/>
      <c r="B159" s="288"/>
      <c r="C159" s="288"/>
      <c r="D159" s="288"/>
      <c r="E159" s="288"/>
      <c r="F159" s="288"/>
      <c r="G159" s="288"/>
      <c r="H159" s="288"/>
      <c r="I159" s="288"/>
      <c r="J159" s="288"/>
      <c r="K159" s="288"/>
      <c r="L159" s="288"/>
      <c r="M159" s="288"/>
      <c r="N159" s="288"/>
      <c r="O159" s="288"/>
      <c r="P159" s="288"/>
      <c r="Q159" s="288"/>
      <c r="R159" s="331"/>
      <c r="S159" s="332"/>
      <c r="T159" s="288"/>
      <c r="U159" s="333"/>
      <c r="V159" s="245"/>
      <c r="W159" s="6"/>
    </row>
    <row r="160" spans="1:23" ht="16.2" thickBot="1">
      <c r="A160" s="282"/>
      <c r="B160" s="304" t="str">
        <f>+B109</f>
        <v>PPAF3 INVESTOR REPORT QUARTER ENDING MARCH 2012</v>
      </c>
      <c r="C160" s="305"/>
      <c r="D160" s="305"/>
      <c r="E160" s="305"/>
      <c r="F160" s="305"/>
      <c r="G160" s="305"/>
      <c r="H160" s="305"/>
      <c r="I160" s="305"/>
      <c r="J160" s="305"/>
      <c r="K160" s="305"/>
      <c r="L160" s="305"/>
      <c r="M160" s="305"/>
      <c r="N160" s="305"/>
      <c r="O160" s="305"/>
      <c r="P160" s="305"/>
      <c r="Q160" s="305"/>
      <c r="R160" s="334"/>
      <c r="S160" s="335"/>
      <c r="T160" s="305"/>
      <c r="U160" s="336"/>
      <c r="V160" s="262"/>
      <c r="W160" s="6"/>
    </row>
    <row r="161" spans="1:23" ht="15.6">
      <c r="A161" s="337"/>
      <c r="B161" s="520" t="s">
        <v>68</v>
      </c>
      <c r="C161" s="521"/>
      <c r="D161" s="521"/>
      <c r="E161" s="521"/>
      <c r="F161" s="521"/>
      <c r="G161" s="521"/>
      <c r="H161" s="521"/>
      <c r="I161" s="521"/>
      <c r="J161" s="521"/>
      <c r="K161" s="521"/>
      <c r="L161" s="521"/>
      <c r="M161" s="522"/>
      <c r="N161" s="521"/>
      <c r="O161" s="522"/>
      <c r="P161" s="521"/>
      <c r="Q161" s="522"/>
      <c r="R161" s="521" t="s">
        <v>94</v>
      </c>
      <c r="S161" s="522" t="s">
        <v>116</v>
      </c>
      <c r="T161" s="340"/>
      <c r="U161" s="340"/>
      <c r="V161" s="341"/>
      <c r="W161" s="6"/>
    </row>
    <row r="162" spans="1:23" ht="15.6">
      <c r="A162" s="283"/>
      <c r="B162" s="294" t="s">
        <v>216</v>
      </c>
      <c r="C162" s="310"/>
      <c r="D162" s="310"/>
      <c r="E162" s="310"/>
      <c r="F162" s="310"/>
      <c r="G162" s="310"/>
      <c r="H162" s="310"/>
      <c r="I162" s="310"/>
      <c r="J162" s="310"/>
      <c r="K162" s="310"/>
      <c r="L162" s="310"/>
      <c r="M162" s="310"/>
      <c r="N162" s="310"/>
      <c r="O162" s="294"/>
      <c r="P162" s="294"/>
      <c r="Q162" s="294"/>
      <c r="R162" s="310">
        <v>830</v>
      </c>
      <c r="S162" s="311">
        <v>22284</v>
      </c>
      <c r="T162" s="311"/>
      <c r="U162" s="330"/>
      <c r="V162" s="342"/>
      <c r="W162" s="6"/>
    </row>
    <row r="163" spans="1:23" ht="15.6">
      <c r="A163" s="465"/>
      <c r="B163" s="379" t="s">
        <v>217</v>
      </c>
      <c r="C163" s="440"/>
      <c r="D163" s="440"/>
      <c r="E163" s="440"/>
      <c r="F163" s="440"/>
      <c r="G163" s="440"/>
      <c r="H163" s="440"/>
      <c r="I163" s="440"/>
      <c r="J163" s="440"/>
      <c r="K163" s="440"/>
      <c r="L163" s="440"/>
      <c r="M163" s="440"/>
      <c r="N163" s="440"/>
      <c r="O163" s="379"/>
      <c r="P163" s="379"/>
      <c r="Q163" s="379"/>
      <c r="R163" s="539">
        <v>14</v>
      </c>
      <c r="S163" s="540">
        <v>112</v>
      </c>
      <c r="T163" s="441"/>
      <c r="U163" s="466"/>
      <c r="V163" s="467"/>
      <c r="W163" s="6"/>
    </row>
    <row r="164" spans="1:23" ht="15.6">
      <c r="A164" s="465"/>
      <c r="B164" s="379" t="s">
        <v>218</v>
      </c>
      <c r="C164" s="440"/>
      <c r="D164" s="440"/>
      <c r="E164" s="440"/>
      <c r="F164" s="440"/>
      <c r="G164" s="440"/>
      <c r="H164" s="440"/>
      <c r="I164" s="440"/>
      <c r="J164" s="440"/>
      <c r="K164" s="440"/>
      <c r="L164" s="440"/>
      <c r="M164" s="440"/>
      <c r="N164" s="440"/>
      <c r="O164" s="379"/>
      <c r="P164" s="379"/>
      <c r="Q164" s="379"/>
      <c r="R164" s="539">
        <v>152</v>
      </c>
      <c r="S164" s="540">
        <v>143</v>
      </c>
      <c r="T164" s="441"/>
      <c r="U164" s="466"/>
      <c r="V164" s="467"/>
      <c r="W164" s="6"/>
    </row>
    <row r="165" spans="1:23" ht="15.6">
      <c r="A165" s="465"/>
      <c r="B165" s="379" t="s">
        <v>219</v>
      </c>
      <c r="C165" s="440"/>
      <c r="D165" s="440"/>
      <c r="E165" s="440"/>
      <c r="F165" s="440"/>
      <c r="G165" s="440"/>
      <c r="H165" s="440"/>
      <c r="I165" s="440"/>
      <c r="J165" s="440"/>
      <c r="K165" s="440"/>
      <c r="L165" s="440"/>
      <c r="M165" s="440"/>
      <c r="N165" s="440"/>
      <c r="O165" s="379"/>
      <c r="P165" s="379"/>
      <c r="Q165" s="379"/>
      <c r="R165" s="539">
        <v>139</v>
      </c>
      <c r="S165" s="540">
        <v>392</v>
      </c>
      <c r="T165" s="441"/>
      <c r="U165" s="466"/>
      <c r="V165" s="467"/>
      <c r="W165" s="6"/>
    </row>
    <row r="166" spans="1:23" ht="15.6">
      <c r="A166" s="465"/>
      <c r="B166" s="379" t="s">
        <v>90</v>
      </c>
      <c r="C166" s="440"/>
      <c r="D166" s="440"/>
      <c r="E166" s="440"/>
      <c r="F166" s="440"/>
      <c r="G166" s="440"/>
      <c r="H166" s="440"/>
      <c r="I166" s="440"/>
      <c r="J166" s="440"/>
      <c r="K166" s="440"/>
      <c r="L166" s="440"/>
      <c r="M166" s="440"/>
      <c r="N166" s="440"/>
      <c r="O166" s="379"/>
      <c r="P166" s="379"/>
      <c r="Q166" s="379"/>
      <c r="R166" s="541">
        <f>SUM(R162:R165)</f>
        <v>1135</v>
      </c>
      <c r="S166" s="540">
        <f>SUM(S162:S165)</f>
        <v>22931</v>
      </c>
      <c r="T166" s="441"/>
      <c r="U166" s="466"/>
      <c r="V166" s="467"/>
      <c r="W166" s="6"/>
    </row>
    <row r="167" spans="1:23" ht="15.6">
      <c r="A167" s="465"/>
      <c r="B167" s="379"/>
      <c r="C167" s="440"/>
      <c r="D167" s="440"/>
      <c r="E167" s="440"/>
      <c r="F167" s="440"/>
      <c r="G167" s="440"/>
      <c r="H167" s="440"/>
      <c r="I167" s="440"/>
      <c r="J167" s="440"/>
      <c r="K167" s="440"/>
      <c r="L167" s="440"/>
      <c r="M167" s="440"/>
      <c r="N167" s="440"/>
      <c r="O167" s="379"/>
      <c r="P167" s="379"/>
      <c r="Q167" s="379"/>
      <c r="R167" s="379"/>
      <c r="S167" s="441"/>
      <c r="T167" s="441"/>
      <c r="U167" s="466"/>
      <c r="V167" s="467"/>
      <c r="W167" s="6"/>
    </row>
    <row r="168" spans="1:23" ht="15.6">
      <c r="A168" s="465"/>
      <c r="B168" s="379" t="s">
        <v>220</v>
      </c>
      <c r="C168" s="440"/>
      <c r="D168" s="440"/>
      <c r="E168" s="440"/>
      <c r="F168" s="440"/>
      <c r="G168" s="440"/>
      <c r="H168" s="440"/>
      <c r="I168" s="440"/>
      <c r="J168" s="440"/>
      <c r="K168" s="440"/>
      <c r="L168" s="440"/>
      <c r="M168" s="440"/>
      <c r="N168" s="440"/>
      <c r="O168" s="379"/>
      <c r="P168" s="379"/>
      <c r="Q168" s="379"/>
      <c r="R168" s="539">
        <v>1</v>
      </c>
      <c r="S168" s="540">
        <v>14</v>
      </c>
      <c r="T168" s="441"/>
      <c r="U168" s="466"/>
      <c r="V168" s="467"/>
      <c r="W168" s="6"/>
    </row>
    <row r="169" spans="1:23" ht="15.6">
      <c r="A169" s="465"/>
      <c r="B169" s="379" t="s">
        <v>224</v>
      </c>
      <c r="C169" s="440"/>
      <c r="D169" s="440"/>
      <c r="E169" s="440"/>
      <c r="F169" s="440"/>
      <c r="G169" s="440"/>
      <c r="H169" s="440"/>
      <c r="I169" s="440"/>
      <c r="J169" s="440"/>
      <c r="K169" s="440"/>
      <c r="L169" s="440"/>
      <c r="M169" s="440"/>
      <c r="N169" s="440"/>
      <c r="O169" s="379"/>
      <c r="P169" s="379"/>
      <c r="Q169" s="379"/>
      <c r="R169" s="539">
        <v>1</v>
      </c>
      <c r="S169" s="540">
        <v>50</v>
      </c>
      <c r="T169" s="441"/>
      <c r="U169" s="466"/>
      <c r="V169" s="467"/>
      <c r="W169" s="6"/>
    </row>
    <row r="170" spans="1:23" ht="15.6">
      <c r="A170" s="465"/>
      <c r="B170" s="468" t="s">
        <v>69</v>
      </c>
      <c r="C170" s="469"/>
      <c r="D170" s="469"/>
      <c r="E170" s="469"/>
      <c r="F170" s="469"/>
      <c r="G170" s="469"/>
      <c r="H170" s="469"/>
      <c r="I170" s="469"/>
      <c r="J170" s="469"/>
      <c r="K170" s="469"/>
      <c r="L170" s="469"/>
      <c r="M170" s="469"/>
      <c r="N170" s="469"/>
      <c r="O170" s="454"/>
      <c r="P170" s="454"/>
      <c r="Q170" s="454"/>
      <c r="R170" s="539"/>
      <c r="S170" s="540">
        <v>0</v>
      </c>
      <c r="T170" s="454"/>
      <c r="U170" s="470"/>
      <c r="V170" s="471"/>
      <c r="W170" s="6"/>
    </row>
    <row r="171" spans="1:23" ht="15.6">
      <c r="A171" s="465"/>
      <c r="B171" s="468" t="s">
        <v>70</v>
      </c>
      <c r="C171" s="469"/>
      <c r="D171" s="469"/>
      <c r="E171" s="469"/>
      <c r="F171" s="469"/>
      <c r="G171" s="469"/>
      <c r="H171" s="469"/>
      <c r="I171" s="469"/>
      <c r="J171" s="469"/>
      <c r="K171" s="469"/>
      <c r="L171" s="469"/>
      <c r="M171" s="469"/>
      <c r="N171" s="469"/>
      <c r="O171" s="454"/>
      <c r="P171" s="454"/>
      <c r="Q171" s="454"/>
      <c r="R171" s="539"/>
      <c r="S171" s="540">
        <f>Q75</f>
        <v>0</v>
      </c>
      <c r="T171" s="454"/>
      <c r="U171" s="470"/>
      <c r="V171" s="471"/>
      <c r="W171" s="6"/>
    </row>
    <row r="172" spans="1:23" ht="15.6">
      <c r="A172" s="472"/>
      <c r="B172" s="468" t="s">
        <v>71</v>
      </c>
      <c r="C172" s="469"/>
      <c r="D172" s="469"/>
      <c r="E172" s="469"/>
      <c r="F172" s="469"/>
      <c r="G172" s="469"/>
      <c r="H172" s="469"/>
      <c r="I172" s="469"/>
      <c r="J172" s="469"/>
      <c r="K172" s="469"/>
      <c r="L172" s="469"/>
      <c r="M172" s="473"/>
      <c r="N172" s="473"/>
      <c r="O172" s="473"/>
      <c r="P172" s="454"/>
      <c r="Q172" s="454"/>
      <c r="R172" s="379"/>
      <c r="S172" s="500"/>
      <c r="T172" s="454"/>
      <c r="U172" s="470"/>
      <c r="V172" s="474"/>
      <c r="W172" s="6"/>
    </row>
    <row r="173" spans="1:23" ht="15.6">
      <c r="A173" s="465"/>
      <c r="B173" s="379" t="s">
        <v>72</v>
      </c>
      <c r="C173" s="469"/>
      <c r="D173" s="469"/>
      <c r="E173" s="469"/>
      <c r="F173" s="469"/>
      <c r="G173" s="469"/>
      <c r="H173" s="469"/>
      <c r="I173" s="469"/>
      <c r="J173" s="469"/>
      <c r="K173" s="469"/>
      <c r="L173" s="469"/>
      <c r="M173" s="469"/>
      <c r="N173" s="469"/>
      <c r="O173" s="469"/>
      <c r="P173" s="454"/>
      <c r="Q173" s="454"/>
      <c r="R173" s="379"/>
      <c r="S173" s="441">
        <f>U128</f>
        <v>997</v>
      </c>
      <c r="T173" s="454"/>
      <c r="U173" s="470"/>
      <c r="V173" s="474"/>
      <c r="W173" s="6"/>
    </row>
    <row r="174" spans="1:23" ht="15.6">
      <c r="A174" s="465"/>
      <c r="B174" s="379" t="s">
        <v>73</v>
      </c>
      <c r="C174" s="469"/>
      <c r="D174" s="469"/>
      <c r="E174" s="469"/>
      <c r="F174" s="469"/>
      <c r="G174" s="469"/>
      <c r="H174" s="469"/>
      <c r="I174" s="469"/>
      <c r="J174" s="469"/>
      <c r="K174" s="469"/>
      <c r="L174" s="469"/>
      <c r="M174" s="469"/>
      <c r="N174" s="469"/>
      <c r="O174" s="469"/>
      <c r="P174" s="454"/>
      <c r="Q174" s="454"/>
      <c r="R174" s="379"/>
      <c r="S174" s="441">
        <f>'Dec 11'!S174+S173</f>
        <v>79838</v>
      </c>
      <c r="T174" s="454"/>
      <c r="U174" s="470"/>
      <c r="V174" s="474"/>
      <c r="W174" s="6"/>
    </row>
    <row r="175" spans="1:23" ht="15.6">
      <c r="A175" s="465"/>
      <c r="B175" s="379" t="s">
        <v>74</v>
      </c>
      <c r="C175" s="469"/>
      <c r="D175" s="469"/>
      <c r="E175" s="469"/>
      <c r="F175" s="469"/>
      <c r="G175" s="469"/>
      <c r="H175" s="469"/>
      <c r="I175" s="469"/>
      <c r="J175" s="469"/>
      <c r="K175" s="469"/>
      <c r="L175" s="469"/>
      <c r="M175" s="469"/>
      <c r="N175" s="469"/>
      <c r="O175" s="469"/>
      <c r="P175" s="454"/>
      <c r="Q175" s="454"/>
      <c r="R175" s="379"/>
      <c r="S175" s="441">
        <f>'Dec 11'!S175+672</f>
        <v>17911</v>
      </c>
      <c r="T175" s="454"/>
      <c r="U175" s="470"/>
      <c r="V175" s="474"/>
      <c r="W175" s="6"/>
    </row>
    <row r="176" spans="1:23" ht="15.6">
      <c r="A176" s="465"/>
      <c r="B176" s="473"/>
      <c r="C176" s="469"/>
      <c r="D176" s="469"/>
      <c r="E176" s="469"/>
      <c r="F176" s="469"/>
      <c r="G176" s="469"/>
      <c r="H176" s="469"/>
      <c r="I176" s="469"/>
      <c r="J176" s="469"/>
      <c r="K176" s="469"/>
      <c r="L176" s="469"/>
      <c r="M176" s="469"/>
      <c r="N176" s="469"/>
      <c r="O176" s="469"/>
      <c r="P176" s="454"/>
      <c r="Q176" s="454"/>
      <c r="R176" s="379"/>
      <c r="S176" s="441"/>
      <c r="T176" s="454"/>
      <c r="U176" s="470"/>
      <c r="V176" s="474"/>
      <c r="W176" s="6"/>
    </row>
    <row r="177" spans="1:23" ht="15.6">
      <c r="A177" s="472"/>
      <c r="B177" s="468" t="s">
        <v>259</v>
      </c>
      <c r="C177" s="469"/>
      <c r="D177" s="469"/>
      <c r="E177" s="469"/>
      <c r="F177" s="469"/>
      <c r="G177" s="469"/>
      <c r="H177" s="469"/>
      <c r="I177" s="469"/>
      <c r="J177" s="469"/>
      <c r="K177" s="469"/>
      <c r="L177" s="469"/>
      <c r="M177" s="473"/>
      <c r="N177" s="473"/>
      <c r="O177" s="473"/>
      <c r="P177" s="454"/>
      <c r="Q177" s="454"/>
      <c r="R177" s="379"/>
      <c r="S177" s="453"/>
      <c r="T177" s="454"/>
      <c r="U177" s="470"/>
      <c r="V177" s="474"/>
      <c r="W177" s="6"/>
    </row>
    <row r="178" spans="1:23" ht="15.6">
      <c r="A178" s="472"/>
      <c r="B178" s="379" t="s">
        <v>254</v>
      </c>
      <c r="C178" s="469"/>
      <c r="D178" s="469"/>
      <c r="E178" s="469"/>
      <c r="F178" s="469"/>
      <c r="G178" s="469"/>
      <c r="H178" s="469"/>
      <c r="I178" s="469"/>
      <c r="J178" s="469"/>
      <c r="K178" s="469"/>
      <c r="L178" s="469"/>
      <c r="M178" s="473"/>
      <c r="N178" s="473"/>
      <c r="O178" s="473"/>
      <c r="P178" s="454"/>
      <c r="Q178" s="454"/>
      <c r="R178" s="379"/>
      <c r="S178" s="543">
        <v>2</v>
      </c>
      <c r="T178" s="454"/>
      <c r="U178" s="470"/>
      <c r="V178" s="474"/>
      <c r="W178" s="6"/>
    </row>
    <row r="179" spans="1:23" ht="15.6">
      <c r="A179" s="465"/>
      <c r="B179" s="379" t="s">
        <v>75</v>
      </c>
      <c r="C179" s="469"/>
      <c r="D179" s="469"/>
      <c r="E179" s="469"/>
      <c r="F179" s="469"/>
      <c r="G179" s="469"/>
      <c r="H179" s="469"/>
      <c r="I179" s="469"/>
      <c r="J179" s="469"/>
      <c r="K179" s="469"/>
      <c r="L179" s="469"/>
      <c r="M179" s="475"/>
      <c r="N179" s="475"/>
      <c r="O179" s="476"/>
      <c r="P179" s="454"/>
      <c r="Q179" s="454"/>
      <c r="R179" s="379"/>
      <c r="S179" s="544">
        <v>19.84</v>
      </c>
      <c r="T179" s="454"/>
      <c r="U179" s="470"/>
      <c r="V179" s="474"/>
      <c r="W179" s="6"/>
    </row>
    <row r="180" spans="1:23" ht="15.6">
      <c r="A180" s="465"/>
      <c r="B180" s="379" t="s">
        <v>76</v>
      </c>
      <c r="C180" s="469"/>
      <c r="D180" s="469"/>
      <c r="E180" s="469"/>
      <c r="F180" s="469"/>
      <c r="G180" s="469"/>
      <c r="H180" s="469"/>
      <c r="I180" s="469"/>
      <c r="J180" s="469"/>
      <c r="K180" s="469"/>
      <c r="L180" s="469"/>
      <c r="M180" s="475"/>
      <c r="N180" s="475"/>
      <c r="O180" s="476"/>
      <c r="P180" s="454"/>
      <c r="Q180" s="454"/>
      <c r="R180" s="379"/>
      <c r="S180" s="543">
        <v>374</v>
      </c>
      <c r="T180" s="454"/>
      <c r="U180" s="470"/>
      <c r="V180" s="474"/>
      <c r="W180" s="6"/>
    </row>
    <row r="181" spans="1:23" ht="15.6">
      <c r="A181" s="465"/>
      <c r="B181" s="473"/>
      <c r="C181" s="469"/>
      <c r="D181" s="469"/>
      <c r="E181" s="469"/>
      <c r="F181" s="469"/>
      <c r="G181" s="469"/>
      <c r="H181" s="469"/>
      <c r="I181" s="469"/>
      <c r="J181" s="469"/>
      <c r="K181" s="469"/>
      <c r="L181" s="469"/>
      <c r="M181" s="477"/>
      <c r="N181" s="475"/>
      <c r="O181" s="476"/>
      <c r="P181" s="454"/>
      <c r="Q181" s="454"/>
      <c r="R181" s="379"/>
      <c r="S181" s="537"/>
      <c r="T181" s="454"/>
      <c r="U181" s="470"/>
      <c r="V181" s="474"/>
      <c r="W181" s="6"/>
    </row>
    <row r="182" spans="1:23" ht="15.6">
      <c r="A182" s="465"/>
      <c r="B182" s="468" t="s">
        <v>77</v>
      </c>
      <c r="C182" s="469"/>
      <c r="D182" s="469"/>
      <c r="E182" s="469"/>
      <c r="F182" s="469"/>
      <c r="G182" s="469"/>
      <c r="H182" s="469"/>
      <c r="I182" s="469"/>
      <c r="J182" s="469"/>
      <c r="K182" s="469"/>
      <c r="L182" s="469"/>
      <c r="M182" s="469"/>
      <c r="N182" s="477"/>
      <c r="O182" s="475"/>
      <c r="P182" s="476"/>
      <c r="Q182" s="454"/>
      <c r="R182" s="380"/>
      <c r="S182" s="538"/>
      <c r="T182" s="478"/>
      <c r="U182" s="390"/>
      <c r="V182" s="479"/>
      <c r="W182" s="6"/>
    </row>
    <row r="183" spans="1:23" ht="15.6">
      <c r="A183" s="465"/>
      <c r="B183" s="379" t="s">
        <v>78</v>
      </c>
      <c r="C183" s="469"/>
      <c r="D183" s="469"/>
      <c r="E183" s="469"/>
      <c r="F183" s="469"/>
      <c r="G183" s="469"/>
      <c r="H183" s="469"/>
      <c r="I183" s="469"/>
      <c r="J183" s="469"/>
      <c r="K183" s="469"/>
      <c r="L183" s="469"/>
      <c r="M183" s="469"/>
      <c r="N183" s="477"/>
      <c r="O183" s="475"/>
      <c r="P183" s="476"/>
      <c r="Q183" s="454"/>
      <c r="R183" s="380"/>
      <c r="S183" s="542">
        <v>20</v>
      </c>
      <c r="T183" s="480"/>
      <c r="U183" s="390"/>
      <c r="V183" s="479"/>
      <c r="W183" s="6"/>
    </row>
    <row r="184" spans="1:23" ht="15.6">
      <c r="A184" s="465"/>
      <c r="B184" s="379" t="s">
        <v>75</v>
      </c>
      <c r="C184" s="469"/>
      <c r="D184" s="469"/>
      <c r="E184" s="469"/>
      <c r="F184" s="469"/>
      <c r="G184" s="469"/>
      <c r="H184" s="469"/>
      <c r="I184" s="469"/>
      <c r="J184" s="469"/>
      <c r="K184" s="469"/>
      <c r="L184" s="469"/>
      <c r="M184" s="469"/>
      <c r="N184" s="477"/>
      <c r="O184" s="475"/>
      <c r="P184" s="476"/>
      <c r="Q184" s="454"/>
      <c r="R184" s="380"/>
      <c r="S184" s="542">
        <v>4.37</v>
      </c>
      <c r="T184" s="480"/>
      <c r="U184" s="390"/>
      <c r="V184" s="479"/>
      <c r="W184" s="6"/>
    </row>
    <row r="185" spans="1:23" ht="15.6">
      <c r="A185" s="465"/>
      <c r="B185" s="379" t="s">
        <v>79</v>
      </c>
      <c r="C185" s="469"/>
      <c r="D185" s="469"/>
      <c r="E185" s="469"/>
      <c r="F185" s="469"/>
      <c r="G185" s="469"/>
      <c r="H185" s="469"/>
      <c r="I185" s="469"/>
      <c r="J185" s="469"/>
      <c r="K185" s="469"/>
      <c r="L185" s="469"/>
      <c r="M185" s="469"/>
      <c r="N185" s="477"/>
      <c r="O185" s="475"/>
      <c r="P185" s="476"/>
      <c r="Q185" s="454"/>
      <c r="R185" s="380"/>
      <c r="S185" s="542">
        <v>179</v>
      </c>
      <c r="T185" s="480"/>
      <c r="U185" s="390"/>
      <c r="V185" s="479"/>
      <c r="W185" s="6"/>
    </row>
    <row r="186" spans="1:23" ht="15.6">
      <c r="A186" s="465"/>
      <c r="B186" s="473"/>
      <c r="C186" s="469"/>
      <c r="D186" s="469"/>
      <c r="E186" s="469"/>
      <c r="F186" s="469"/>
      <c r="G186" s="469"/>
      <c r="H186" s="469"/>
      <c r="I186" s="469"/>
      <c r="J186" s="469"/>
      <c r="K186" s="469"/>
      <c r="L186" s="469"/>
      <c r="M186" s="477"/>
      <c r="N186" s="475"/>
      <c r="O186" s="476"/>
      <c r="P186" s="454"/>
      <c r="Q186" s="454"/>
      <c r="R186" s="454"/>
      <c r="S186" s="537"/>
      <c r="T186" s="454"/>
      <c r="U186" s="470"/>
      <c r="V186" s="474"/>
      <c r="W186" s="6"/>
    </row>
    <row r="187" spans="1:23" ht="17.399999999999999">
      <c r="A187" s="465"/>
      <c r="B187" s="482" t="s">
        <v>196</v>
      </c>
      <c r="C187" s="469"/>
      <c r="D187" s="469"/>
      <c r="E187" s="469"/>
      <c r="F187" s="469"/>
      <c r="G187" s="469"/>
      <c r="H187" s="469"/>
      <c r="I187" s="469"/>
      <c r="J187" s="469"/>
      <c r="K187" s="483" t="s">
        <v>195</v>
      </c>
      <c r="L187" s="469"/>
      <c r="M187" s="477"/>
      <c r="N187" s="475"/>
      <c r="O187" s="476"/>
      <c r="P187" s="454"/>
      <c r="Q187" s="454"/>
      <c r="R187" s="454"/>
      <c r="S187" s="481"/>
      <c r="T187" s="454"/>
      <c r="U187" s="470"/>
      <c r="V187" s="474"/>
      <c r="W187" s="6"/>
    </row>
    <row r="188" spans="1:23" ht="15.6">
      <c r="A188" s="242"/>
      <c r="B188" s="460"/>
      <c r="C188" s="461"/>
      <c r="D188" s="461"/>
      <c r="E188" s="461"/>
      <c r="F188" s="461"/>
      <c r="G188" s="461"/>
      <c r="H188" s="461"/>
      <c r="I188" s="461"/>
      <c r="J188" s="461"/>
      <c r="K188" s="461"/>
      <c r="L188" s="461"/>
      <c r="M188" s="462"/>
      <c r="N188" s="461"/>
      <c r="O188" s="462"/>
      <c r="P188" s="461"/>
      <c r="Q188" s="462"/>
      <c r="R188" s="461"/>
      <c r="S188" s="462"/>
      <c r="T188" s="461"/>
      <c r="U188" s="463"/>
      <c r="V188" s="464"/>
      <c r="W188" s="6"/>
    </row>
    <row r="189" spans="1:23" ht="15.6">
      <c r="A189" s="348"/>
      <c r="B189" s="525" t="s">
        <v>80</v>
      </c>
      <c r="C189" s="343"/>
      <c r="D189" s="343"/>
      <c r="E189" s="343"/>
      <c r="F189" s="343"/>
      <c r="G189" s="343"/>
      <c r="H189" s="343"/>
      <c r="I189" s="343"/>
      <c r="J189" s="343"/>
      <c r="K189" s="343"/>
      <c r="L189" s="343"/>
      <c r="M189" s="525" t="s">
        <v>100</v>
      </c>
      <c r="N189" s="526"/>
      <c r="O189" s="527"/>
      <c r="P189" s="526"/>
      <c r="Q189" s="525" t="s">
        <v>26</v>
      </c>
      <c r="R189" s="526"/>
      <c r="S189" s="527"/>
      <c r="T189" s="526"/>
      <c r="U189" s="346"/>
      <c r="V189" s="528"/>
      <c r="W189" s="6"/>
    </row>
    <row r="190" spans="1:23" ht="15.6">
      <c r="A190" s="365"/>
      <c r="B190" s="366"/>
      <c r="C190" s="529"/>
      <c r="D190" s="529"/>
      <c r="E190" s="529"/>
      <c r="F190" s="529"/>
      <c r="G190" s="529"/>
      <c r="H190" s="529"/>
      <c r="I190" s="529"/>
      <c r="J190" s="529"/>
      <c r="K190" s="529"/>
      <c r="L190" s="529" t="s">
        <v>94</v>
      </c>
      <c r="M190" s="530" t="s">
        <v>101</v>
      </c>
      <c r="N190" s="529" t="s">
        <v>103</v>
      </c>
      <c r="O190" s="530" t="s">
        <v>101</v>
      </c>
      <c r="P190" s="530"/>
      <c r="Q190" s="529" t="s">
        <v>94</v>
      </c>
      <c r="R190" s="530" t="s">
        <v>101</v>
      </c>
      <c r="S190" s="529" t="s">
        <v>103</v>
      </c>
      <c r="T190" s="530" t="s">
        <v>101</v>
      </c>
      <c r="U190" s="369"/>
      <c r="V190" s="531"/>
      <c r="W190" s="6"/>
    </row>
    <row r="191" spans="1:23" ht="15.6">
      <c r="A191" s="316"/>
      <c r="B191" s="360" t="s">
        <v>81</v>
      </c>
      <c r="C191" s="361"/>
      <c r="D191" s="361"/>
      <c r="E191" s="361"/>
      <c r="F191" s="361"/>
      <c r="G191" s="361"/>
      <c r="H191" s="361"/>
      <c r="I191" s="361"/>
      <c r="J191" s="361"/>
      <c r="K191" s="361"/>
      <c r="L191" s="361">
        <v>651</v>
      </c>
      <c r="M191" s="362">
        <f t="shared" ref="M191:M197" si="0">+L191/$L$198</f>
        <v>0.74061433447098979</v>
      </c>
      <c r="N191" s="361">
        <v>2370</v>
      </c>
      <c r="O191" s="362">
        <f t="shared" ref="O191:O197" si="1">N191/$N$198</f>
        <v>0.81865284974093266</v>
      </c>
      <c r="P191" s="363"/>
      <c r="Q191" s="361">
        <v>494</v>
      </c>
      <c r="R191" s="362">
        <f t="shared" ref="R191:R197" si="2">+Q191/$Q$198</f>
        <v>0.68137931034482757</v>
      </c>
      <c r="S191" s="361">
        <v>512</v>
      </c>
      <c r="T191" s="362">
        <f t="shared" ref="T191:T197" si="3">+S191/$S$198</f>
        <v>0.70816044260027666</v>
      </c>
      <c r="U191" s="364"/>
      <c r="V191" s="312"/>
      <c r="W191" s="6"/>
    </row>
    <row r="192" spans="1:23" ht="15.6">
      <c r="A192" s="444"/>
      <c r="B192" s="440" t="s">
        <v>82</v>
      </c>
      <c r="C192" s="489"/>
      <c r="D192" s="489"/>
      <c r="E192" s="489"/>
      <c r="F192" s="489"/>
      <c r="G192" s="489"/>
      <c r="H192" s="489"/>
      <c r="I192" s="489"/>
      <c r="J192" s="489"/>
      <c r="K192" s="489"/>
      <c r="L192" s="489">
        <v>17</v>
      </c>
      <c r="M192" s="427">
        <f t="shared" si="0"/>
        <v>1.9340159271899887E-2</v>
      </c>
      <c r="N192" s="489">
        <v>10</v>
      </c>
      <c r="O192" s="427">
        <f t="shared" si="1"/>
        <v>3.4542314335060447E-3</v>
      </c>
      <c r="P192" s="381"/>
      <c r="Q192" s="489">
        <v>13</v>
      </c>
      <c r="R192" s="427">
        <f t="shared" si="2"/>
        <v>1.793103448275862E-2</v>
      </c>
      <c r="S192" s="489">
        <v>10</v>
      </c>
      <c r="T192" s="427">
        <f t="shared" si="3"/>
        <v>1.3831258644536652E-2</v>
      </c>
      <c r="U192" s="379"/>
      <c r="V192" s="435"/>
      <c r="W192" s="6"/>
    </row>
    <row r="193" spans="1:24" ht="15.6">
      <c r="A193" s="444"/>
      <c r="B193" s="440" t="s">
        <v>83</v>
      </c>
      <c r="C193" s="489"/>
      <c r="D193" s="489"/>
      <c r="E193" s="489"/>
      <c r="F193" s="489"/>
      <c r="G193" s="489"/>
      <c r="H193" s="489"/>
      <c r="I193" s="489"/>
      <c r="J193" s="489"/>
      <c r="K193" s="489"/>
      <c r="L193" s="489">
        <v>15</v>
      </c>
      <c r="M193" s="427">
        <f t="shared" si="0"/>
        <v>1.7064846416382253E-2</v>
      </c>
      <c r="N193" s="489">
        <v>22</v>
      </c>
      <c r="O193" s="427">
        <f t="shared" si="1"/>
        <v>7.5993091537132984E-3</v>
      </c>
      <c r="P193" s="381"/>
      <c r="Q193" s="489">
        <v>10</v>
      </c>
      <c r="R193" s="427">
        <f t="shared" si="2"/>
        <v>1.3793103448275862E-2</v>
      </c>
      <c r="S193" s="489">
        <v>2</v>
      </c>
      <c r="T193" s="427">
        <f t="shared" si="3"/>
        <v>2.7662517289073307E-3</v>
      </c>
      <c r="U193" s="379"/>
      <c r="V193" s="435"/>
      <c r="W193" s="6"/>
    </row>
    <row r="194" spans="1:24" ht="15.6">
      <c r="A194" s="444"/>
      <c r="B194" s="440" t="s">
        <v>186</v>
      </c>
      <c r="C194" s="489"/>
      <c r="D194" s="489"/>
      <c r="E194" s="489"/>
      <c r="F194" s="489"/>
      <c r="G194" s="489"/>
      <c r="H194" s="489"/>
      <c r="I194" s="489"/>
      <c r="J194" s="489"/>
      <c r="K194" s="489"/>
      <c r="L194" s="489">
        <v>20</v>
      </c>
      <c r="M194" s="427">
        <f t="shared" si="0"/>
        <v>2.2753128555176336E-2</v>
      </c>
      <c r="N194" s="489">
        <v>39</v>
      </c>
      <c r="O194" s="427">
        <f t="shared" si="1"/>
        <v>1.3471502590673576E-2</v>
      </c>
      <c r="P194" s="381"/>
      <c r="Q194" s="489">
        <v>19</v>
      </c>
      <c r="R194" s="427">
        <f t="shared" si="2"/>
        <v>2.6206896551724139E-2</v>
      </c>
      <c r="S194" s="489">
        <v>21</v>
      </c>
      <c r="T194" s="427">
        <f t="shared" si="3"/>
        <v>2.9045643153526972E-2</v>
      </c>
      <c r="U194" s="379"/>
      <c r="V194" s="435"/>
      <c r="W194" s="6"/>
    </row>
    <row r="195" spans="1:24" ht="15.6">
      <c r="A195" s="444"/>
      <c r="B195" s="440" t="s">
        <v>187</v>
      </c>
      <c r="C195" s="489"/>
      <c r="D195" s="489"/>
      <c r="E195" s="489"/>
      <c r="F195" s="489"/>
      <c r="G195" s="489"/>
      <c r="H195" s="489"/>
      <c r="I195" s="489"/>
      <c r="J195" s="489"/>
      <c r="K195" s="489"/>
      <c r="L195" s="489">
        <v>17</v>
      </c>
      <c r="M195" s="427">
        <f t="shared" si="0"/>
        <v>1.9340159271899887E-2</v>
      </c>
      <c r="N195" s="489">
        <v>28</v>
      </c>
      <c r="O195" s="427">
        <f t="shared" si="1"/>
        <v>9.6718480138169253E-3</v>
      </c>
      <c r="P195" s="381"/>
      <c r="Q195" s="489">
        <v>27</v>
      </c>
      <c r="R195" s="427">
        <f t="shared" si="2"/>
        <v>3.7241379310344824E-2</v>
      </c>
      <c r="S195" s="489">
        <v>23</v>
      </c>
      <c r="T195" s="427">
        <f t="shared" si="3"/>
        <v>3.18118948824343E-2</v>
      </c>
      <c r="U195" s="379"/>
      <c r="V195" s="435"/>
      <c r="W195" s="6"/>
    </row>
    <row r="196" spans="1:24" ht="15.6">
      <c r="A196" s="444"/>
      <c r="B196" s="440" t="s">
        <v>188</v>
      </c>
      <c r="C196" s="489"/>
      <c r="D196" s="489"/>
      <c r="E196" s="489"/>
      <c r="F196" s="489"/>
      <c r="G196" s="489"/>
      <c r="H196" s="489"/>
      <c r="I196" s="489"/>
      <c r="J196" s="489"/>
      <c r="K196" s="489"/>
      <c r="L196" s="489">
        <v>27</v>
      </c>
      <c r="M196" s="427">
        <f t="shared" si="0"/>
        <v>3.0716723549488054E-2</v>
      </c>
      <c r="N196" s="489">
        <v>68</v>
      </c>
      <c r="O196" s="427">
        <f t="shared" si="1"/>
        <v>2.3488773747841106E-2</v>
      </c>
      <c r="P196" s="381"/>
      <c r="Q196" s="489">
        <v>18</v>
      </c>
      <c r="R196" s="427">
        <f t="shared" si="2"/>
        <v>2.4827586206896551E-2</v>
      </c>
      <c r="S196" s="489">
        <v>15</v>
      </c>
      <c r="T196" s="427">
        <f t="shared" si="3"/>
        <v>2.0746887966804978E-2</v>
      </c>
      <c r="U196" s="379"/>
      <c r="V196" s="435"/>
      <c r="W196" s="6"/>
    </row>
    <row r="197" spans="1:24" ht="15.6">
      <c r="A197" s="444"/>
      <c r="B197" s="440" t="s">
        <v>189</v>
      </c>
      <c r="C197" s="489"/>
      <c r="D197" s="489"/>
      <c r="E197" s="489"/>
      <c r="F197" s="489"/>
      <c r="G197" s="489"/>
      <c r="H197" s="489"/>
      <c r="I197" s="489"/>
      <c r="J197" s="489"/>
      <c r="K197" s="489"/>
      <c r="L197" s="489">
        <v>132</v>
      </c>
      <c r="M197" s="427">
        <f t="shared" si="0"/>
        <v>0.15017064846416384</v>
      </c>
      <c r="N197" s="489">
        <v>358</v>
      </c>
      <c r="O197" s="427">
        <f t="shared" si="1"/>
        <v>0.1236614853195164</v>
      </c>
      <c r="P197" s="381"/>
      <c r="Q197" s="489">
        <v>144</v>
      </c>
      <c r="R197" s="427">
        <f t="shared" si="2"/>
        <v>0.19862068965517241</v>
      </c>
      <c r="S197" s="489">
        <v>140</v>
      </c>
      <c r="T197" s="427">
        <f t="shared" si="3"/>
        <v>0.19363762102351315</v>
      </c>
      <c r="U197" s="379"/>
      <c r="V197" s="435"/>
      <c r="W197" s="6"/>
    </row>
    <row r="198" spans="1:24" ht="15.6">
      <c r="A198" s="444"/>
      <c r="B198" s="440" t="s">
        <v>84</v>
      </c>
      <c r="C198" s="489"/>
      <c r="D198" s="489"/>
      <c r="E198" s="489"/>
      <c r="F198" s="489"/>
      <c r="G198" s="489"/>
      <c r="H198" s="489"/>
      <c r="I198" s="489"/>
      <c r="J198" s="489"/>
      <c r="K198" s="489"/>
      <c r="L198" s="489">
        <f>SUM(L191:L197)</f>
        <v>879</v>
      </c>
      <c r="M198" s="427">
        <f>SUM(M191:M197)</f>
        <v>1</v>
      </c>
      <c r="N198" s="489">
        <f>SUM(N191:N197)</f>
        <v>2895</v>
      </c>
      <c r="O198" s="427">
        <f>SUM(O191:O197)</f>
        <v>1</v>
      </c>
      <c r="P198" s="381"/>
      <c r="Q198" s="489">
        <f>SUM(Q191:Q197)</f>
        <v>725</v>
      </c>
      <c r="R198" s="427">
        <f>SUM(R191:R197)</f>
        <v>0.99999999999999989</v>
      </c>
      <c r="S198" s="489">
        <f>SUM(S191:S197)</f>
        <v>723</v>
      </c>
      <c r="T198" s="427">
        <f>SUM(T191:T197)</f>
        <v>1</v>
      </c>
      <c r="U198" s="379"/>
      <c r="V198" s="435"/>
      <c r="W198" s="6"/>
      <c r="X198" s="64"/>
    </row>
    <row r="199" spans="1:24" ht="15.6">
      <c r="A199" s="444"/>
      <c r="B199" s="440" t="s">
        <v>85</v>
      </c>
      <c r="C199" s="489"/>
      <c r="D199" s="489"/>
      <c r="E199" s="489"/>
      <c r="F199" s="489"/>
      <c r="G199" s="489"/>
      <c r="H199" s="489"/>
      <c r="I199" s="489"/>
      <c r="J199" s="489"/>
      <c r="K199" s="489"/>
      <c r="L199" s="489">
        <v>917</v>
      </c>
      <c r="M199" s="380"/>
      <c r="N199" s="489">
        <v>5603</v>
      </c>
      <c r="O199" s="380"/>
      <c r="P199" s="381"/>
      <c r="Q199" s="489">
        <v>603</v>
      </c>
      <c r="R199" s="380"/>
      <c r="S199" s="489">
        <v>1350</v>
      </c>
      <c r="T199" s="380"/>
      <c r="U199" s="379"/>
      <c r="V199" s="435"/>
      <c r="W199" s="6"/>
      <c r="X199" s="64"/>
    </row>
    <row r="200" spans="1:24" ht="15.6">
      <c r="A200" s="444"/>
      <c r="B200" s="440" t="s">
        <v>86</v>
      </c>
      <c r="C200" s="489"/>
      <c r="D200" s="489"/>
      <c r="E200" s="489"/>
      <c r="F200" s="489"/>
      <c r="G200" s="489"/>
      <c r="H200" s="489"/>
      <c r="I200" s="489"/>
      <c r="J200" s="489"/>
      <c r="K200" s="489"/>
      <c r="L200" s="489">
        <f>SUM(L198:L199)</f>
        <v>1796</v>
      </c>
      <c r="M200" s="450"/>
      <c r="N200" s="489">
        <f>SUM(N198:N199)</f>
        <v>8498</v>
      </c>
      <c r="O200" s="490"/>
      <c r="P200" s="450"/>
      <c r="Q200" s="489">
        <f>SUM(Q198:Q199)</f>
        <v>1328</v>
      </c>
      <c r="R200" s="450"/>
      <c r="S200" s="489">
        <f>SUM(S198:S199)</f>
        <v>2073</v>
      </c>
      <c r="T200" s="450"/>
      <c r="U200" s="450"/>
      <c r="V200" s="435"/>
      <c r="W200" s="6"/>
      <c r="X200" s="64"/>
    </row>
    <row r="201" spans="1:24" ht="15.6">
      <c r="A201" s="242"/>
      <c r="B201" s="484"/>
      <c r="C201" s="485"/>
      <c r="D201" s="485"/>
      <c r="E201" s="485"/>
      <c r="F201" s="485"/>
      <c r="G201" s="485"/>
      <c r="H201" s="485"/>
      <c r="I201" s="485"/>
      <c r="J201" s="485"/>
      <c r="K201" s="485"/>
      <c r="L201" s="532"/>
      <c r="M201" s="533"/>
      <c r="N201" s="532"/>
      <c r="O201" s="533"/>
      <c r="P201" s="488"/>
      <c r="Q201" s="532"/>
      <c r="R201" s="533"/>
      <c r="S201" s="532"/>
      <c r="T201" s="533"/>
      <c r="U201" s="463"/>
      <c r="V201" s="464"/>
      <c r="W201" s="6"/>
    </row>
    <row r="202" spans="1:24" ht="15.6">
      <c r="A202" s="349"/>
      <c r="B202" s="525" t="s">
        <v>80</v>
      </c>
      <c r="C202" s="526"/>
      <c r="D202" s="526"/>
      <c r="E202" s="526"/>
      <c r="F202" s="526"/>
      <c r="G202" s="526"/>
      <c r="H202" s="526"/>
      <c r="I202" s="526"/>
      <c r="J202" s="526"/>
      <c r="K202" s="526"/>
      <c r="L202" s="526"/>
      <c r="M202" s="525" t="s">
        <v>27</v>
      </c>
      <c r="N202" s="526"/>
      <c r="O202" s="527"/>
      <c r="P202" s="526"/>
      <c r="Q202" s="525" t="s">
        <v>28</v>
      </c>
      <c r="R202" s="526"/>
      <c r="S202" s="527"/>
      <c r="T202" s="526"/>
      <c r="U202" s="346"/>
      <c r="V202" s="528"/>
      <c r="W202" s="6"/>
    </row>
    <row r="203" spans="1:24" ht="15.6">
      <c r="A203" s="371"/>
      <c r="B203" s="372"/>
      <c r="C203" s="534"/>
      <c r="D203" s="534"/>
      <c r="E203" s="534"/>
      <c r="F203" s="534"/>
      <c r="G203" s="534"/>
      <c r="H203" s="534"/>
      <c r="I203" s="534"/>
      <c r="J203" s="534"/>
      <c r="K203" s="534"/>
      <c r="L203" s="534" t="s">
        <v>94</v>
      </c>
      <c r="M203" s="535" t="s">
        <v>101</v>
      </c>
      <c r="N203" s="534" t="s">
        <v>103</v>
      </c>
      <c r="O203" s="535" t="s">
        <v>101</v>
      </c>
      <c r="P203" s="535"/>
      <c r="Q203" s="534" t="s">
        <v>94</v>
      </c>
      <c r="R203" s="535" t="s">
        <v>101</v>
      </c>
      <c r="S203" s="534" t="s">
        <v>103</v>
      </c>
      <c r="T203" s="535" t="s">
        <v>101</v>
      </c>
      <c r="U203" s="375"/>
      <c r="V203" s="536"/>
      <c r="W203" s="6"/>
    </row>
    <row r="204" spans="1:24" ht="15.6">
      <c r="A204" s="315"/>
      <c r="B204" s="310" t="s">
        <v>81</v>
      </c>
      <c r="C204" s="351"/>
      <c r="D204" s="351"/>
      <c r="E204" s="351"/>
      <c r="F204" s="351"/>
      <c r="G204" s="351"/>
      <c r="H204" s="351"/>
      <c r="I204" s="351"/>
      <c r="J204" s="351"/>
      <c r="K204" s="351"/>
      <c r="L204" s="351">
        <v>6069</v>
      </c>
      <c r="M204" s="299">
        <f t="shared" ref="M204:M210" si="4">+L204/$L$211</f>
        <v>0.87969270908827368</v>
      </c>
      <c r="N204" s="351">
        <v>142617</v>
      </c>
      <c r="O204" s="299">
        <f t="shared" ref="O204:O210" si="5">+N204/$N$211</f>
        <v>0.86486437316935616</v>
      </c>
      <c r="P204" s="296"/>
      <c r="Q204" s="351">
        <v>337</v>
      </c>
      <c r="R204" s="299">
        <f t="shared" ref="R204:R210" si="6">Q204/$Q$211</f>
        <v>0.87305699481865284</v>
      </c>
      <c r="S204" s="351">
        <v>3134</v>
      </c>
      <c r="T204" s="299">
        <f t="shared" ref="T204:T210" si="7">+S204/$S$211</f>
        <v>0.87468601730393525</v>
      </c>
      <c r="U204" s="294"/>
      <c r="V204" s="301"/>
      <c r="W204" s="6"/>
    </row>
    <row r="205" spans="1:24" ht="15.6">
      <c r="A205" s="444"/>
      <c r="B205" s="440" t="s">
        <v>82</v>
      </c>
      <c r="C205" s="489"/>
      <c r="D205" s="489"/>
      <c r="E205" s="489"/>
      <c r="F205" s="489"/>
      <c r="G205" s="489"/>
      <c r="H205" s="489"/>
      <c r="I205" s="489"/>
      <c r="J205" s="489"/>
      <c r="K205" s="489"/>
      <c r="L205" s="489">
        <v>211</v>
      </c>
      <c r="M205" s="427">
        <f t="shared" si="4"/>
        <v>3.0584142629366574E-2</v>
      </c>
      <c r="N205" s="489">
        <v>5697</v>
      </c>
      <c r="O205" s="427">
        <f t="shared" si="5"/>
        <v>3.454800152818964E-2</v>
      </c>
      <c r="P205" s="381"/>
      <c r="Q205" s="489">
        <v>25</v>
      </c>
      <c r="R205" s="427">
        <f t="shared" si="6"/>
        <v>6.4766839378238336E-2</v>
      </c>
      <c r="S205" s="489">
        <v>257</v>
      </c>
      <c r="T205" s="427">
        <f t="shared" si="7"/>
        <v>7.1727602567680709E-2</v>
      </c>
      <c r="U205" s="379"/>
      <c r="V205" s="435"/>
      <c r="W205" s="6"/>
    </row>
    <row r="206" spans="1:24" ht="15.6">
      <c r="A206" s="444"/>
      <c r="B206" s="440" t="s">
        <v>83</v>
      </c>
      <c r="C206" s="489"/>
      <c r="D206" s="489"/>
      <c r="E206" s="489"/>
      <c r="F206" s="489"/>
      <c r="G206" s="489"/>
      <c r="H206" s="489"/>
      <c r="I206" s="489"/>
      <c r="J206" s="489"/>
      <c r="K206" s="489"/>
      <c r="L206" s="489">
        <v>122</v>
      </c>
      <c r="M206" s="427">
        <f t="shared" si="4"/>
        <v>1.7683722278591101E-2</v>
      </c>
      <c r="N206" s="489">
        <v>3289</v>
      </c>
      <c r="O206" s="427">
        <f t="shared" si="5"/>
        <v>1.9945300513641517E-2</v>
      </c>
      <c r="P206" s="381"/>
      <c r="Q206" s="489">
        <v>6</v>
      </c>
      <c r="R206" s="427">
        <f t="shared" si="6"/>
        <v>1.5544041450777202E-2</v>
      </c>
      <c r="S206" s="489">
        <v>43</v>
      </c>
      <c r="T206" s="427">
        <f t="shared" si="7"/>
        <v>1.2001116382919341E-2</v>
      </c>
      <c r="U206" s="379"/>
      <c r="V206" s="435"/>
      <c r="W206" s="6"/>
      <c r="X206" s="182"/>
    </row>
    <row r="207" spans="1:24" ht="15.6">
      <c r="A207" s="444"/>
      <c r="B207" s="440" t="s">
        <v>186</v>
      </c>
      <c r="C207" s="489"/>
      <c r="D207" s="489"/>
      <c r="E207" s="489"/>
      <c r="F207" s="489"/>
      <c r="G207" s="489"/>
      <c r="H207" s="489"/>
      <c r="I207" s="489"/>
      <c r="J207" s="489"/>
      <c r="K207" s="489"/>
      <c r="L207" s="489">
        <v>99</v>
      </c>
      <c r="M207" s="427">
        <f t="shared" si="4"/>
        <v>1.4349905783446876E-2</v>
      </c>
      <c r="N207" s="489">
        <v>2642</v>
      </c>
      <c r="O207" s="427">
        <f t="shared" si="5"/>
        <v>1.6021734252672816E-2</v>
      </c>
      <c r="P207" s="381"/>
      <c r="Q207" s="489">
        <v>5</v>
      </c>
      <c r="R207" s="427">
        <f t="shared" si="6"/>
        <v>1.2953367875647668E-2</v>
      </c>
      <c r="S207" s="489">
        <v>37</v>
      </c>
      <c r="T207" s="427">
        <f t="shared" si="7"/>
        <v>1.0326542003907341E-2</v>
      </c>
      <c r="U207" s="379"/>
      <c r="V207" s="435"/>
      <c r="W207" s="6"/>
    </row>
    <row r="208" spans="1:24" ht="15.6">
      <c r="A208" s="444"/>
      <c r="B208" s="440" t="s">
        <v>187</v>
      </c>
      <c r="C208" s="489"/>
      <c r="D208" s="489"/>
      <c r="E208" s="489"/>
      <c r="F208" s="489"/>
      <c r="G208" s="489"/>
      <c r="H208" s="489"/>
      <c r="I208" s="489"/>
      <c r="J208" s="489"/>
      <c r="K208" s="489"/>
      <c r="L208" s="489">
        <v>81</v>
      </c>
      <c r="M208" s="427">
        <f t="shared" si="4"/>
        <v>1.1740832004638354E-2</v>
      </c>
      <c r="N208" s="489">
        <v>2036</v>
      </c>
      <c r="O208" s="427">
        <f t="shared" si="5"/>
        <v>1.2346802020606304E-2</v>
      </c>
      <c r="P208" s="381"/>
      <c r="Q208" s="489">
        <v>2</v>
      </c>
      <c r="R208" s="427">
        <f t="shared" si="6"/>
        <v>5.1813471502590676E-3</v>
      </c>
      <c r="S208" s="489">
        <v>20</v>
      </c>
      <c r="T208" s="427">
        <f t="shared" si="7"/>
        <v>5.5819145967066705E-3</v>
      </c>
      <c r="U208" s="379"/>
      <c r="V208" s="435"/>
      <c r="W208" s="6"/>
    </row>
    <row r="209" spans="1:24" ht="15.6">
      <c r="A209" s="444"/>
      <c r="B209" s="440" t="s">
        <v>188</v>
      </c>
      <c r="C209" s="489"/>
      <c r="D209" s="489"/>
      <c r="E209" s="489"/>
      <c r="F209" s="489"/>
      <c r="G209" s="489"/>
      <c r="H209" s="489"/>
      <c r="I209" s="489"/>
      <c r="J209" s="489"/>
      <c r="K209" s="489"/>
      <c r="L209" s="489">
        <v>85</v>
      </c>
      <c r="M209" s="427">
        <f t="shared" si="4"/>
        <v>1.2320626177706915E-2</v>
      </c>
      <c r="N209" s="489">
        <v>1901</v>
      </c>
      <c r="O209" s="427">
        <f t="shared" si="5"/>
        <v>1.1528128998611288E-2</v>
      </c>
      <c r="P209" s="381"/>
      <c r="Q209" s="489">
        <v>2</v>
      </c>
      <c r="R209" s="427">
        <f t="shared" si="6"/>
        <v>5.1813471502590676E-3</v>
      </c>
      <c r="S209" s="489">
        <v>31</v>
      </c>
      <c r="T209" s="427">
        <f t="shared" si="7"/>
        <v>8.6519676248953386E-3</v>
      </c>
      <c r="U209" s="379"/>
      <c r="V209" s="435"/>
      <c r="W209" s="6"/>
    </row>
    <row r="210" spans="1:24" ht="15.6">
      <c r="A210" s="444"/>
      <c r="B210" s="440" t="s">
        <v>189</v>
      </c>
      <c r="C210" s="489"/>
      <c r="D210" s="489"/>
      <c r="E210" s="489"/>
      <c r="F210" s="489"/>
      <c r="G210" s="489"/>
      <c r="H210" s="489"/>
      <c r="I210" s="489"/>
      <c r="J210" s="489"/>
      <c r="K210" s="489"/>
      <c r="L210" s="489">
        <v>232</v>
      </c>
      <c r="M210" s="427">
        <f t="shared" si="4"/>
        <v>3.3628062037976518E-2</v>
      </c>
      <c r="N210" s="489">
        <v>6719</v>
      </c>
      <c r="O210" s="427">
        <f t="shared" si="5"/>
        <v>4.0745659516922272E-2</v>
      </c>
      <c r="P210" s="381"/>
      <c r="Q210" s="489">
        <v>9</v>
      </c>
      <c r="R210" s="427">
        <f t="shared" si="6"/>
        <v>2.3316062176165803E-2</v>
      </c>
      <c r="S210" s="489">
        <v>61</v>
      </c>
      <c r="T210" s="427">
        <f t="shared" si="7"/>
        <v>1.7024839519955346E-2</v>
      </c>
      <c r="U210" s="379"/>
      <c r="V210" s="435"/>
      <c r="W210" s="6"/>
    </row>
    <row r="211" spans="1:24" ht="15.6">
      <c r="A211" s="444"/>
      <c r="B211" s="440" t="str">
        <f>B198</f>
        <v>Total Performing  Assets</v>
      </c>
      <c r="C211" s="489"/>
      <c r="D211" s="489"/>
      <c r="E211" s="489"/>
      <c r="F211" s="489"/>
      <c r="G211" s="489"/>
      <c r="H211" s="489"/>
      <c r="I211" s="489"/>
      <c r="J211" s="489"/>
      <c r="K211" s="489"/>
      <c r="L211" s="489">
        <f>SUM(L204:L210)</f>
        <v>6899</v>
      </c>
      <c r="M211" s="427">
        <f>SUM(M204:M210)</f>
        <v>1</v>
      </c>
      <c r="N211" s="489">
        <f>SUM(N204:N210)</f>
        <v>164901</v>
      </c>
      <c r="O211" s="427">
        <f>SUM(O204:O210)</f>
        <v>1</v>
      </c>
      <c r="P211" s="381"/>
      <c r="Q211" s="489">
        <f>SUM(Q204:Q210)</f>
        <v>386</v>
      </c>
      <c r="R211" s="427">
        <f>SUM(R204:R210)</f>
        <v>1.0000000000000002</v>
      </c>
      <c r="S211" s="489">
        <f>SUM(S204:S210)</f>
        <v>3583</v>
      </c>
      <c r="T211" s="427">
        <f>SUM(T204:T210)</f>
        <v>1</v>
      </c>
      <c r="U211" s="379"/>
      <c r="V211" s="435"/>
      <c r="W211" s="6"/>
    </row>
    <row r="212" spans="1:24" ht="15.6">
      <c r="A212" s="444"/>
      <c r="B212" s="440" t="s">
        <v>85</v>
      </c>
      <c r="C212" s="489"/>
      <c r="D212" s="489"/>
      <c r="E212" s="489"/>
      <c r="F212" s="489"/>
      <c r="G212" s="489"/>
      <c r="H212" s="489"/>
      <c r="I212" s="489"/>
      <c r="J212" s="489"/>
      <c r="K212" s="489"/>
      <c r="L212" s="489">
        <v>201</v>
      </c>
      <c r="M212" s="381"/>
      <c r="N212" s="489">
        <v>5617</v>
      </c>
      <c r="O212" s="380"/>
      <c r="P212" s="381"/>
      <c r="Q212" s="489">
        <v>29</v>
      </c>
      <c r="R212" s="381"/>
      <c r="S212" s="489">
        <v>531</v>
      </c>
      <c r="T212" s="381"/>
      <c r="U212" s="379"/>
      <c r="V212" s="435"/>
      <c r="W212" s="6"/>
    </row>
    <row r="213" spans="1:24" ht="15.6">
      <c r="A213" s="444"/>
      <c r="B213" s="440" t="s">
        <v>86</v>
      </c>
      <c r="C213" s="489"/>
      <c r="D213" s="489"/>
      <c r="E213" s="489"/>
      <c r="F213" s="489"/>
      <c r="G213" s="489"/>
      <c r="H213" s="489"/>
      <c r="I213" s="489"/>
      <c r="J213" s="489"/>
      <c r="K213" s="489"/>
      <c r="L213" s="489">
        <f>SUM(L211:L212)</f>
        <v>7100</v>
      </c>
      <c r="M213" s="450"/>
      <c r="N213" s="489">
        <f>SUM(N211:N212)</f>
        <v>170518</v>
      </c>
      <c r="O213" s="427"/>
      <c r="P213" s="450"/>
      <c r="Q213" s="489">
        <f>SUM(Q211:Q212)</f>
        <v>415</v>
      </c>
      <c r="R213" s="450"/>
      <c r="S213" s="489">
        <f>SUM(S211:S212)</f>
        <v>4114</v>
      </c>
      <c r="T213" s="450"/>
      <c r="U213" s="450"/>
      <c r="V213" s="492"/>
    </row>
    <row r="214" spans="1:24" ht="15.6">
      <c r="A214" s="444"/>
      <c r="B214" s="440"/>
      <c r="C214" s="381"/>
      <c r="D214" s="381"/>
      <c r="E214" s="381"/>
      <c r="F214" s="381"/>
      <c r="G214" s="381"/>
      <c r="H214" s="381"/>
      <c r="I214" s="381"/>
      <c r="J214" s="381"/>
      <c r="K214" s="381"/>
      <c r="L214" s="381"/>
      <c r="M214" s="493"/>
      <c r="N214" s="381"/>
      <c r="O214" s="493"/>
      <c r="P214" s="381"/>
      <c r="Q214" s="493"/>
      <c r="R214" s="381"/>
      <c r="S214" s="489"/>
      <c r="T214" s="381"/>
      <c r="U214" s="379"/>
      <c r="V214" s="435"/>
      <c r="W214" s="6"/>
    </row>
    <row r="215" spans="1:24" ht="15.6">
      <c r="A215" s="444"/>
      <c r="B215" s="440" t="s">
        <v>86</v>
      </c>
      <c r="C215" s="381"/>
      <c r="D215" s="381"/>
      <c r="E215" s="381"/>
      <c r="F215" s="381"/>
      <c r="G215" s="381"/>
      <c r="H215" s="381"/>
      <c r="I215" s="381"/>
      <c r="J215" s="381"/>
      <c r="K215" s="381"/>
      <c r="L215" s="493"/>
      <c r="M215" s="493"/>
      <c r="N215" s="493"/>
      <c r="O215" s="493"/>
      <c r="P215" s="381"/>
      <c r="Q215" s="493"/>
      <c r="R215" s="381"/>
      <c r="S215" s="489">
        <f>+N200+S200+N213+S213</f>
        <v>185203</v>
      </c>
      <c r="T215" s="490"/>
      <c r="U215" s="379"/>
      <c r="V215" s="435"/>
      <c r="W215" s="6"/>
      <c r="X215" s="182"/>
    </row>
    <row r="216" spans="1:24" ht="15.6">
      <c r="A216" s="316"/>
      <c r="B216" s="360"/>
      <c r="C216" s="363"/>
      <c r="D216" s="363"/>
      <c r="E216" s="363"/>
      <c r="F216" s="363"/>
      <c r="G216" s="363"/>
      <c r="H216" s="363"/>
      <c r="I216" s="363"/>
      <c r="J216" s="363"/>
      <c r="K216" s="363"/>
      <c r="L216" s="491"/>
      <c r="M216" s="491"/>
      <c r="N216" s="491"/>
      <c r="O216" s="491"/>
      <c r="P216" s="363"/>
      <c r="Q216" s="491"/>
      <c r="R216" s="363"/>
      <c r="S216" s="361"/>
      <c r="T216" s="363"/>
      <c r="U216" s="364"/>
      <c r="V216" s="312"/>
      <c r="W216" s="6"/>
    </row>
    <row r="217" spans="1:24" ht="15.6">
      <c r="A217" s="349"/>
      <c r="B217" s="357" t="s">
        <v>87</v>
      </c>
      <c r="C217" s="526"/>
      <c r="D217" s="526"/>
      <c r="E217" s="526"/>
      <c r="F217" s="526"/>
      <c r="G217" s="526"/>
      <c r="H217" s="526"/>
      <c r="I217" s="526"/>
      <c r="J217" s="526"/>
      <c r="K217" s="526"/>
      <c r="L217" s="526"/>
      <c r="M217" s="527"/>
      <c r="N217" s="526"/>
      <c r="O217" s="527"/>
      <c r="P217" s="526"/>
      <c r="Q217" s="527"/>
      <c r="R217" s="526"/>
      <c r="S217" s="358"/>
      <c r="T217" s="526"/>
      <c r="U217" s="350"/>
      <c r="V217" s="528"/>
      <c r="W217" s="6"/>
    </row>
    <row r="218" spans="1:24" ht="15.6">
      <c r="A218" s="315"/>
      <c r="B218" s="310"/>
      <c r="C218" s="296"/>
      <c r="D218" s="296"/>
      <c r="E218" s="296"/>
      <c r="F218" s="296"/>
      <c r="G218" s="296"/>
      <c r="H218" s="296"/>
      <c r="I218" s="296"/>
      <c r="J218" s="296"/>
      <c r="K218" s="296"/>
      <c r="L218" s="296"/>
      <c r="M218" s="352"/>
      <c r="N218" s="296"/>
      <c r="O218" s="352"/>
      <c r="P218" s="296"/>
      <c r="Q218" s="352"/>
      <c r="R218" s="296"/>
      <c r="S218" s="351"/>
      <c r="T218" s="296"/>
      <c r="U218" s="294"/>
      <c r="V218" s="301"/>
      <c r="W218" s="6"/>
    </row>
    <row r="219" spans="1:24" ht="15.6">
      <c r="A219" s="444"/>
      <c r="B219" s="440" t="s">
        <v>88</v>
      </c>
      <c r="C219" s="381"/>
      <c r="D219" s="381"/>
      <c r="E219" s="381"/>
      <c r="F219" s="381"/>
      <c r="G219" s="381"/>
      <c r="H219" s="381"/>
      <c r="I219" s="381"/>
      <c r="J219" s="381"/>
      <c r="K219" s="381"/>
      <c r="L219" s="381"/>
      <c r="M219" s="493"/>
      <c r="N219" s="381"/>
      <c r="O219" s="493"/>
      <c r="P219" s="381"/>
      <c r="Q219" s="493"/>
      <c r="R219" s="381"/>
      <c r="S219" s="489">
        <f>+N198+S198+N211+S211</f>
        <v>172102</v>
      </c>
      <c r="T219" s="381"/>
      <c r="U219" s="379"/>
      <c r="V219" s="435"/>
      <c r="W219" s="6"/>
      <c r="X219" s="182"/>
    </row>
    <row r="220" spans="1:24" ht="15.6">
      <c r="A220" s="444"/>
      <c r="B220" s="440" t="s">
        <v>89</v>
      </c>
      <c r="C220" s="381"/>
      <c r="D220" s="381"/>
      <c r="E220" s="381"/>
      <c r="F220" s="381"/>
      <c r="G220" s="381"/>
      <c r="H220" s="381"/>
      <c r="I220" s="381"/>
      <c r="J220" s="381"/>
      <c r="K220" s="381"/>
      <c r="L220" s="381"/>
      <c r="M220" s="493"/>
      <c r="N220" s="381"/>
      <c r="O220" s="493"/>
      <c r="P220" s="381"/>
      <c r="Q220" s="493"/>
      <c r="R220" s="381"/>
      <c r="S220" s="489">
        <f>+U78</f>
        <v>0</v>
      </c>
      <c r="T220" s="381"/>
      <c r="U220" s="379"/>
      <c r="V220" s="435"/>
      <c r="W220" s="119"/>
    </row>
    <row r="221" spans="1:24" ht="15.6">
      <c r="A221" s="444"/>
      <c r="B221" s="440" t="s">
        <v>90</v>
      </c>
      <c r="C221" s="381"/>
      <c r="D221" s="381"/>
      <c r="E221" s="381"/>
      <c r="F221" s="381"/>
      <c r="G221" s="381"/>
      <c r="H221" s="381"/>
      <c r="I221" s="381"/>
      <c r="J221" s="381"/>
      <c r="K221" s="381"/>
      <c r="L221" s="381"/>
      <c r="M221" s="493"/>
      <c r="N221" s="381"/>
      <c r="O221" s="493"/>
      <c r="P221" s="381"/>
      <c r="Q221" s="493"/>
      <c r="R221" s="381"/>
      <c r="S221" s="489">
        <f>S219+S220</f>
        <v>172102</v>
      </c>
      <c r="T221" s="381"/>
      <c r="U221" s="379"/>
      <c r="V221" s="435"/>
      <c r="W221" s="6"/>
    </row>
    <row r="222" spans="1:24" ht="15.6">
      <c r="A222" s="444"/>
      <c r="B222" s="440"/>
      <c r="C222" s="381"/>
      <c r="D222" s="381"/>
      <c r="E222" s="381"/>
      <c r="F222" s="381"/>
      <c r="G222" s="381"/>
      <c r="H222" s="381"/>
      <c r="I222" s="381"/>
      <c r="J222" s="381"/>
      <c r="K222" s="381"/>
      <c r="L222" s="381"/>
      <c r="M222" s="493"/>
      <c r="N222" s="381"/>
      <c r="O222" s="493"/>
      <c r="P222" s="381"/>
      <c r="Q222" s="493"/>
      <c r="R222" s="381"/>
      <c r="S222" s="489"/>
      <c r="T222" s="381"/>
      <c r="U222" s="379"/>
      <c r="V222" s="435"/>
      <c r="W222" s="6"/>
    </row>
    <row r="223" spans="1:24" ht="15.6">
      <c r="A223" s="444"/>
      <c r="B223" s="440" t="s">
        <v>91</v>
      </c>
      <c r="C223" s="381"/>
      <c r="D223" s="381"/>
      <c r="E223" s="381"/>
      <c r="F223" s="381"/>
      <c r="G223" s="381"/>
      <c r="H223" s="381"/>
      <c r="I223" s="381"/>
      <c r="J223" s="381"/>
      <c r="K223" s="381"/>
      <c r="L223" s="381"/>
      <c r="M223" s="493"/>
      <c r="N223" s="381"/>
      <c r="O223" s="493"/>
      <c r="P223" s="381"/>
      <c r="Q223" s="493"/>
      <c r="R223" s="381"/>
      <c r="S223" s="489">
        <f>U33</f>
        <v>172101.85200000001</v>
      </c>
      <c r="T223" s="381"/>
      <c r="U223" s="379"/>
      <c r="V223" s="435"/>
      <c r="W223" s="6"/>
    </row>
    <row r="224" spans="1:24" ht="15.6">
      <c r="A224" s="444"/>
      <c r="B224" s="440"/>
      <c r="C224" s="381"/>
      <c r="D224" s="381"/>
      <c r="E224" s="381"/>
      <c r="F224" s="381"/>
      <c r="G224" s="381"/>
      <c r="H224" s="381"/>
      <c r="I224" s="381"/>
      <c r="J224" s="381"/>
      <c r="K224" s="381"/>
      <c r="L224" s="381"/>
      <c r="M224" s="493"/>
      <c r="N224" s="381"/>
      <c r="O224" s="493"/>
      <c r="P224" s="381"/>
      <c r="Q224" s="493"/>
      <c r="R224" s="381"/>
      <c r="S224" s="489"/>
      <c r="T224" s="381"/>
      <c r="U224" s="379"/>
      <c r="V224" s="435"/>
      <c r="W224" s="6"/>
    </row>
    <row r="225" spans="1:23" ht="15.6">
      <c r="A225" s="444"/>
      <c r="B225" s="440" t="s">
        <v>92</v>
      </c>
      <c r="C225" s="381"/>
      <c r="D225" s="381"/>
      <c r="E225" s="381"/>
      <c r="F225" s="381"/>
      <c r="G225" s="381"/>
      <c r="H225" s="381"/>
      <c r="I225" s="381"/>
      <c r="J225" s="381"/>
      <c r="K225" s="381"/>
      <c r="L225" s="381"/>
      <c r="M225" s="493"/>
      <c r="N225" s="381"/>
      <c r="O225" s="493"/>
      <c r="P225" s="381"/>
      <c r="Q225" s="493"/>
      <c r="R225" s="381"/>
      <c r="S225" s="489">
        <f>S221/S223</f>
        <v>1.0000008599558823</v>
      </c>
      <c r="T225" s="381"/>
      <c r="U225" s="379"/>
      <c r="V225" s="435"/>
      <c r="W225" s="6"/>
    </row>
    <row r="226" spans="1:23" ht="15.6">
      <c r="A226" s="444"/>
      <c r="B226" s="379"/>
      <c r="C226" s="379"/>
      <c r="D226" s="379"/>
      <c r="E226" s="379"/>
      <c r="F226" s="379"/>
      <c r="G226" s="379"/>
      <c r="H226" s="379"/>
      <c r="I226" s="379"/>
      <c r="J226" s="379"/>
      <c r="K226" s="379"/>
      <c r="L226" s="379"/>
      <c r="M226" s="380"/>
      <c r="N226" s="379"/>
      <c r="O226" s="379"/>
      <c r="P226" s="379"/>
      <c r="Q226" s="440"/>
      <c r="R226" s="497"/>
      <c r="S226" s="441"/>
      <c r="T226" s="497"/>
      <c r="U226" s="466"/>
      <c r="V226" s="410"/>
      <c r="W226" s="6"/>
    </row>
    <row r="227" spans="1:23" ht="15.6">
      <c r="A227" s="353"/>
      <c r="B227" s="494" t="s">
        <v>127</v>
      </c>
      <c r="C227" s="495"/>
      <c r="D227" s="495"/>
      <c r="E227" s="495"/>
      <c r="F227" s="495"/>
      <c r="G227" s="495"/>
      <c r="H227" s="495"/>
      <c r="I227" s="495"/>
      <c r="J227" s="495"/>
      <c r="K227" s="495"/>
      <c r="L227" s="495"/>
      <c r="M227" s="363"/>
      <c r="N227" s="364"/>
      <c r="O227" s="494"/>
      <c r="P227" s="443"/>
      <c r="Q227" s="443"/>
      <c r="R227" s="443"/>
      <c r="S227" s="496"/>
      <c r="T227" s="443"/>
      <c r="U227" s="443"/>
      <c r="V227" s="355"/>
      <c r="W227" s="6"/>
    </row>
    <row r="228" spans="1:23" ht="15.6">
      <c r="A228" s="353"/>
      <c r="B228" s="287" t="s">
        <v>128</v>
      </c>
      <c r="C228" s="354"/>
      <c r="D228" s="354"/>
      <c r="E228" s="354"/>
      <c r="F228" s="354"/>
      <c r="G228" s="354"/>
      <c r="H228" s="354"/>
      <c r="I228" s="354"/>
      <c r="J228" s="354"/>
      <c r="K228" s="354"/>
      <c r="L228" s="354"/>
      <c r="M228" s="290"/>
      <c r="N228" s="287"/>
      <c r="O228" s="287"/>
      <c r="P228" s="354"/>
      <c r="Q228" s="354"/>
      <c r="R228" s="317"/>
      <c r="S228" s="317"/>
      <c r="T228" s="317"/>
      <c r="U228" s="317"/>
      <c r="V228" s="355"/>
      <c r="W228" s="6"/>
    </row>
    <row r="229" spans="1:23" ht="15.6">
      <c r="A229" s="353"/>
      <c r="B229" s="287" t="s">
        <v>246</v>
      </c>
      <c r="C229" s="287"/>
      <c r="D229" s="287"/>
      <c r="E229" s="287"/>
      <c r="F229" s="287"/>
      <c r="G229" s="287"/>
      <c r="H229" s="287"/>
      <c r="I229" s="287"/>
      <c r="J229" s="287"/>
      <c r="K229" s="287"/>
      <c r="L229" s="287"/>
      <c r="M229" s="287"/>
      <c r="N229" s="287"/>
      <c r="O229" s="287"/>
      <c r="P229" s="287"/>
      <c r="Q229" s="287"/>
      <c r="R229" s="287"/>
      <c r="S229" s="287"/>
      <c r="T229" s="287"/>
      <c r="U229" s="287"/>
      <c r="V229" s="355"/>
      <c r="W229" s="6"/>
    </row>
    <row r="230" spans="1:23" ht="15.6">
      <c r="A230" s="353"/>
      <c r="B230" s="287" t="s">
        <v>129</v>
      </c>
      <c r="C230" s="354"/>
      <c r="D230" s="354"/>
      <c r="E230" s="354"/>
      <c r="F230" s="354"/>
      <c r="G230" s="354"/>
      <c r="H230" s="354"/>
      <c r="I230" s="354"/>
      <c r="J230" s="354"/>
      <c r="K230" s="354"/>
      <c r="L230" s="354"/>
      <c r="M230" s="290"/>
      <c r="N230" s="287"/>
      <c r="O230" s="287"/>
      <c r="P230" s="354"/>
      <c r="Q230" s="354"/>
      <c r="R230" s="317"/>
      <c r="S230" s="317"/>
      <c r="T230" s="317"/>
      <c r="U230" s="317"/>
      <c r="V230" s="355"/>
      <c r="W230" s="6"/>
    </row>
    <row r="231" spans="1:23" ht="15.6">
      <c r="A231" s="353"/>
      <c r="B231" s="287"/>
      <c r="C231" s="354"/>
      <c r="D231" s="354"/>
      <c r="E231" s="354"/>
      <c r="F231" s="354"/>
      <c r="G231" s="354"/>
      <c r="H231" s="354"/>
      <c r="I231" s="354"/>
      <c r="J231" s="354"/>
      <c r="K231" s="354"/>
      <c r="L231" s="354"/>
      <c r="M231" s="290"/>
      <c r="N231" s="287"/>
      <c r="O231" s="287"/>
      <c r="P231" s="354"/>
      <c r="Q231" s="354"/>
      <c r="R231" s="317"/>
      <c r="S231" s="317"/>
      <c r="T231" s="317"/>
      <c r="U231" s="317"/>
      <c r="V231" s="355"/>
      <c r="W231" s="6"/>
    </row>
    <row r="232" spans="1:23" ht="15.6">
      <c r="A232" s="353"/>
      <c r="B232" s="287"/>
      <c r="C232" s="354"/>
      <c r="D232" s="354"/>
      <c r="E232" s="354"/>
      <c r="F232" s="354"/>
      <c r="G232" s="354"/>
      <c r="H232" s="354"/>
      <c r="I232" s="354"/>
      <c r="J232" s="354"/>
      <c r="K232" s="354"/>
      <c r="L232" s="354"/>
      <c r="M232" s="290"/>
      <c r="N232" s="287"/>
      <c r="O232" s="287"/>
      <c r="P232" s="354"/>
      <c r="Q232" s="354"/>
      <c r="R232" s="317"/>
      <c r="S232" s="317"/>
      <c r="T232" s="317"/>
      <c r="U232" s="317"/>
      <c r="V232" s="355"/>
      <c r="W232" s="6"/>
    </row>
    <row r="233" spans="1:23" ht="16.2" thickBot="1">
      <c r="A233" s="353"/>
      <c r="B233" s="287" t="str">
        <f>+B160</f>
        <v>PPAF3 INVESTOR REPORT QUARTER ENDING MARCH 2012</v>
      </c>
      <c r="C233" s="354"/>
      <c r="D233" s="354"/>
      <c r="E233" s="354"/>
      <c r="F233" s="354"/>
      <c r="G233" s="354"/>
      <c r="H233" s="354"/>
      <c r="I233" s="354"/>
      <c r="J233" s="354"/>
      <c r="K233" s="354"/>
      <c r="L233" s="354"/>
      <c r="M233" s="290"/>
      <c r="N233" s="287"/>
      <c r="O233" s="287"/>
      <c r="P233" s="354"/>
      <c r="Q233" s="354"/>
      <c r="R233" s="317"/>
      <c r="S233" s="317"/>
      <c r="T233" s="317"/>
      <c r="U233" s="317"/>
      <c r="V233" s="356"/>
      <c r="W233" s="6"/>
    </row>
    <row r="234" spans="1:2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row>
  </sheetData>
  <hyperlinks>
    <hyperlink ref="I9" r:id="rId1"/>
    <hyperlink ref="K187"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21" man="1"/>
    <brk id="109" max="16383" man="1"/>
    <brk id="160" max="21" man="1"/>
    <brk id="239" man="1"/>
  </rowBreaks>
  <colBreaks count="1" manualBreakCount="1">
    <brk id="23" max="1048575" man="1"/>
  </colBreak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0099"/>
  </sheetPr>
  <dimension ref="A1:Y234"/>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38" t="s">
        <v>223</v>
      </c>
      <c r="B1" s="285" t="s">
        <v>123</v>
      </c>
      <c r="C1" s="239"/>
      <c r="D1" s="239"/>
      <c r="E1" s="239"/>
      <c r="F1" s="239"/>
      <c r="G1" s="239"/>
      <c r="H1" s="239"/>
      <c r="I1" s="239"/>
      <c r="J1" s="239"/>
      <c r="K1" s="239"/>
      <c r="L1" s="239"/>
      <c r="M1" s="240"/>
      <c r="N1" s="240"/>
      <c r="O1" s="240"/>
      <c r="P1" s="240"/>
      <c r="Q1" s="240"/>
      <c r="R1" s="240"/>
      <c r="S1" s="240"/>
      <c r="T1" s="240"/>
      <c r="U1" s="240"/>
      <c r="V1" s="241"/>
      <c r="W1" s="6"/>
    </row>
    <row r="2" spans="1:23" ht="15.6">
      <c r="A2" s="242"/>
      <c r="B2" s="243"/>
      <c r="C2" s="243"/>
      <c r="D2" s="243"/>
      <c r="E2" s="243"/>
      <c r="F2" s="243"/>
      <c r="G2" s="243"/>
      <c r="H2" s="243"/>
      <c r="I2" s="243"/>
      <c r="J2" s="243"/>
      <c r="K2" s="243"/>
      <c r="L2" s="243"/>
      <c r="M2" s="244"/>
      <c r="N2" s="244"/>
      <c r="O2" s="244"/>
      <c r="P2" s="244"/>
      <c r="Q2" s="244"/>
      <c r="R2" s="244"/>
      <c r="S2" s="244"/>
      <c r="T2" s="244"/>
      <c r="U2" s="244"/>
      <c r="V2" s="245"/>
      <c r="W2" s="6"/>
    </row>
    <row r="3" spans="1:23" ht="15.6">
      <c r="A3" s="246"/>
      <c r="B3" s="247" t="s">
        <v>125</v>
      </c>
      <c r="C3" s="244"/>
      <c r="D3" s="244"/>
      <c r="E3" s="244"/>
      <c r="F3" s="244"/>
      <c r="G3" s="244"/>
      <c r="H3" s="244"/>
      <c r="I3" s="244"/>
      <c r="J3" s="244"/>
      <c r="K3" s="244"/>
      <c r="L3" s="244"/>
      <c r="M3" s="244"/>
      <c r="N3" s="244"/>
      <c r="O3" s="244"/>
      <c r="P3" s="244"/>
      <c r="Q3" s="244"/>
      <c r="R3" s="244"/>
      <c r="S3" s="244"/>
      <c r="T3" s="244"/>
      <c r="U3" s="244"/>
      <c r="V3" s="245"/>
      <c r="W3" s="6"/>
    </row>
    <row r="4" spans="1:23" ht="15.6">
      <c r="A4" s="242"/>
      <c r="B4" s="243"/>
      <c r="C4" s="243"/>
      <c r="D4" s="243"/>
      <c r="E4" s="243"/>
      <c r="F4" s="243"/>
      <c r="G4" s="243"/>
      <c r="H4" s="243"/>
      <c r="I4" s="243"/>
      <c r="J4" s="243"/>
      <c r="K4" s="243"/>
      <c r="L4" s="243"/>
      <c r="M4" s="244"/>
      <c r="N4" s="244"/>
      <c r="O4" s="244"/>
      <c r="P4" s="244"/>
      <c r="Q4" s="244"/>
      <c r="R4" s="244"/>
      <c r="S4" s="244"/>
      <c r="T4" s="244"/>
      <c r="U4" s="244"/>
      <c r="V4" s="245"/>
      <c r="W4" s="6"/>
    </row>
    <row r="5" spans="1:23" ht="16.2">
      <c r="A5" s="242"/>
      <c r="B5" s="286" t="s">
        <v>0</v>
      </c>
      <c r="C5" s="248"/>
      <c r="D5" s="248"/>
      <c r="E5" s="248"/>
      <c r="F5" s="248"/>
      <c r="G5" s="248"/>
      <c r="H5" s="248"/>
      <c r="I5" s="248"/>
      <c r="J5" s="248"/>
      <c r="K5" s="248"/>
      <c r="L5" s="248"/>
      <c r="M5" s="244"/>
      <c r="N5" s="244"/>
      <c r="O5" s="244"/>
      <c r="P5" s="244"/>
      <c r="Q5" s="244"/>
      <c r="R5" s="244"/>
      <c r="S5" s="244"/>
      <c r="T5" s="244"/>
      <c r="U5" s="244"/>
      <c r="V5" s="245"/>
      <c r="W5" s="6"/>
    </row>
    <row r="6" spans="1:23" ht="16.2">
      <c r="A6" s="242"/>
      <c r="B6" s="286" t="s">
        <v>1</v>
      </c>
      <c r="C6" s="248"/>
      <c r="D6" s="248"/>
      <c r="E6" s="248"/>
      <c r="F6" s="248"/>
      <c r="G6" s="248"/>
      <c r="H6" s="248"/>
      <c r="I6" s="248"/>
      <c r="J6" s="248"/>
      <c r="K6" s="248"/>
      <c r="L6" s="248"/>
      <c r="M6" s="244"/>
      <c r="N6" s="244"/>
      <c r="O6" s="244"/>
      <c r="P6" s="244"/>
      <c r="Q6" s="244"/>
      <c r="R6" s="244"/>
      <c r="S6" s="244"/>
      <c r="T6" s="244"/>
      <c r="U6" s="244"/>
      <c r="V6" s="245"/>
      <c r="W6" s="6"/>
    </row>
    <row r="7" spans="1:23" ht="16.2">
      <c r="A7" s="242"/>
      <c r="B7" s="286" t="s">
        <v>2</v>
      </c>
      <c r="C7" s="248"/>
      <c r="D7" s="248"/>
      <c r="E7" s="248"/>
      <c r="F7" s="248"/>
      <c r="G7" s="248"/>
      <c r="H7" s="248"/>
      <c r="I7" s="248"/>
      <c r="J7" s="248"/>
      <c r="K7" s="248"/>
      <c r="L7" s="248"/>
      <c r="M7" s="244"/>
      <c r="N7" s="244"/>
      <c r="O7" s="244"/>
      <c r="P7" s="244"/>
      <c r="Q7" s="244"/>
      <c r="R7" s="244"/>
      <c r="S7" s="244"/>
      <c r="T7" s="244"/>
      <c r="U7" s="244"/>
      <c r="V7" s="245"/>
      <c r="W7" s="6"/>
    </row>
    <row r="8" spans="1:23" ht="16.2">
      <c r="A8" s="242"/>
      <c r="B8" s="249"/>
      <c r="C8" s="248"/>
      <c r="D8" s="248"/>
      <c r="E8" s="248"/>
      <c r="F8" s="248"/>
      <c r="G8" s="248"/>
      <c r="H8" s="248"/>
      <c r="I8" s="248"/>
      <c r="J8" s="248"/>
      <c r="K8" s="248"/>
      <c r="L8" s="248"/>
      <c r="M8" s="244"/>
      <c r="N8" s="244"/>
      <c r="O8" s="244"/>
      <c r="P8" s="244"/>
      <c r="Q8" s="244"/>
      <c r="R8" s="244"/>
      <c r="S8" s="244"/>
      <c r="T8" s="244"/>
      <c r="U8" s="244"/>
      <c r="V8" s="245"/>
      <c r="W8" s="6"/>
    </row>
    <row r="9" spans="1:23" ht="18">
      <c r="A9" s="242"/>
      <c r="B9" s="250" t="s">
        <v>194</v>
      </c>
      <c r="C9" s="248"/>
      <c r="D9" s="248"/>
      <c r="E9" s="248"/>
      <c r="F9" s="248"/>
      <c r="G9" s="248"/>
      <c r="H9" s="248"/>
      <c r="I9" s="251" t="s">
        <v>195</v>
      </c>
      <c r="J9" s="248"/>
      <c r="K9" s="248"/>
      <c r="L9" s="248"/>
      <c r="M9" s="244"/>
      <c r="N9" s="244"/>
      <c r="O9" s="244"/>
      <c r="P9" s="244"/>
      <c r="Q9" s="244"/>
      <c r="R9" s="244"/>
      <c r="S9" s="244"/>
      <c r="T9" s="244"/>
      <c r="U9" s="244"/>
      <c r="V9" s="245"/>
      <c r="W9" s="6"/>
    </row>
    <row r="10" spans="1:23" ht="16.2">
      <c r="A10" s="242"/>
      <c r="B10" s="248"/>
      <c r="C10" s="248"/>
      <c r="D10" s="248"/>
      <c r="E10" s="248"/>
      <c r="F10" s="248"/>
      <c r="G10" s="248"/>
      <c r="H10" s="248"/>
      <c r="I10" s="248"/>
      <c r="J10" s="248"/>
      <c r="K10" s="248"/>
      <c r="L10" s="248"/>
      <c r="M10" s="252"/>
      <c r="N10" s="252"/>
      <c r="O10" s="244"/>
      <c r="P10" s="244"/>
      <c r="Q10" s="244"/>
      <c r="R10" s="244"/>
      <c r="S10" s="244"/>
      <c r="T10" s="244"/>
      <c r="U10" s="244"/>
      <c r="V10" s="245"/>
      <c r="W10" s="6"/>
    </row>
    <row r="11" spans="1:23" ht="15.6">
      <c r="A11" s="242"/>
      <c r="B11" s="287" t="s">
        <v>3</v>
      </c>
      <c r="C11" s="252"/>
      <c r="D11" s="252"/>
      <c r="E11" s="252"/>
      <c r="F11" s="252"/>
      <c r="G11" s="252"/>
      <c r="H11" s="252"/>
      <c r="I11" s="252"/>
      <c r="J11" s="252"/>
      <c r="K11" s="252"/>
      <c r="L11" s="252"/>
      <c r="M11" s="244"/>
      <c r="N11" s="244"/>
      <c r="O11" s="244"/>
      <c r="P11" s="244"/>
      <c r="Q11" s="244"/>
      <c r="R11" s="244"/>
      <c r="S11" s="244"/>
      <c r="T11" s="244"/>
      <c r="U11" s="244"/>
      <c r="V11" s="245"/>
      <c r="W11" s="6"/>
    </row>
    <row r="12" spans="1:23" ht="16.2" thickBot="1">
      <c r="A12" s="242"/>
      <c r="B12" s="252"/>
      <c r="C12" s="252"/>
      <c r="D12" s="252"/>
      <c r="E12" s="252"/>
      <c r="F12" s="252"/>
      <c r="G12" s="252"/>
      <c r="H12" s="252"/>
      <c r="I12" s="252"/>
      <c r="J12" s="252"/>
      <c r="K12" s="252"/>
      <c r="L12" s="252"/>
      <c r="M12" s="244"/>
      <c r="N12" s="244"/>
      <c r="O12" s="244"/>
      <c r="P12" s="244"/>
      <c r="Q12" s="244"/>
      <c r="R12" s="244"/>
      <c r="S12" s="244"/>
      <c r="T12" s="244"/>
      <c r="U12" s="244"/>
      <c r="V12" s="245"/>
      <c r="W12" s="6"/>
    </row>
    <row r="13" spans="1:23" ht="15.6">
      <c r="A13" s="238"/>
      <c r="B13" s="240"/>
      <c r="C13" s="240"/>
      <c r="D13" s="240"/>
      <c r="E13" s="240"/>
      <c r="F13" s="240"/>
      <c r="G13" s="240"/>
      <c r="H13" s="240"/>
      <c r="I13" s="240"/>
      <c r="J13" s="240"/>
      <c r="K13" s="240"/>
      <c r="L13" s="240"/>
      <c r="M13" s="240"/>
      <c r="N13" s="240"/>
      <c r="O13" s="240"/>
      <c r="P13" s="240"/>
      <c r="Q13" s="240"/>
      <c r="R13" s="240"/>
      <c r="S13" s="240"/>
      <c r="T13" s="240"/>
      <c r="U13" s="240"/>
      <c r="V13" s="241"/>
      <c r="W13" s="6"/>
    </row>
    <row r="14" spans="1:23" ht="15.6">
      <c r="A14" s="242"/>
      <c r="B14" s="287" t="s">
        <v>4</v>
      </c>
      <c r="C14" s="253"/>
      <c r="D14" s="253"/>
      <c r="E14" s="253"/>
      <c r="F14" s="253"/>
      <c r="G14" s="253"/>
      <c r="H14" s="253"/>
      <c r="I14" s="253"/>
      <c r="J14" s="253"/>
      <c r="K14" s="253"/>
      <c r="L14" s="253"/>
      <c r="M14" s="288"/>
      <c r="N14" s="288"/>
      <c r="O14" s="288"/>
      <c r="P14" s="288"/>
      <c r="Q14" s="288"/>
      <c r="R14" s="288"/>
      <c r="S14" s="288"/>
      <c r="T14" s="288"/>
      <c r="U14" s="289" t="s">
        <v>126</v>
      </c>
      <c r="V14" s="245"/>
      <c r="W14" s="6"/>
    </row>
    <row r="15" spans="1:23" ht="15.6">
      <c r="A15" s="242"/>
      <c r="B15" s="287" t="s">
        <v>5</v>
      </c>
      <c r="C15" s="253"/>
      <c r="D15" s="253"/>
      <c r="E15" s="253"/>
      <c r="F15" s="253"/>
      <c r="G15" s="253"/>
      <c r="H15" s="253"/>
      <c r="I15" s="253"/>
      <c r="J15" s="253"/>
      <c r="K15" s="253"/>
      <c r="L15" s="253"/>
      <c r="M15" s="290" t="s">
        <v>93</v>
      </c>
      <c r="N15" s="291">
        <v>0.1492</v>
      </c>
      <c r="O15" s="290" t="s">
        <v>99</v>
      </c>
      <c r="P15" s="291">
        <v>5.4399999999999997E-2</v>
      </c>
      <c r="Q15" s="290" t="s">
        <v>102</v>
      </c>
      <c r="R15" s="291">
        <v>0.48899999999999999</v>
      </c>
      <c r="S15" s="290" t="s">
        <v>108</v>
      </c>
      <c r="T15" s="291">
        <v>0.30740000000000001</v>
      </c>
      <c r="U15" s="289"/>
      <c r="V15" s="254"/>
      <c r="W15" s="6"/>
    </row>
    <row r="16" spans="1:23" ht="15.6">
      <c r="A16" s="242"/>
      <c r="B16" s="287" t="s">
        <v>6</v>
      </c>
      <c r="C16" s="253"/>
      <c r="D16" s="253"/>
      <c r="E16" s="253"/>
      <c r="F16" s="253"/>
      <c r="G16" s="253"/>
      <c r="H16" s="253"/>
      <c r="I16" s="253"/>
      <c r="J16" s="253"/>
      <c r="K16" s="253"/>
      <c r="L16" s="253"/>
      <c r="M16" s="290" t="s">
        <v>93</v>
      </c>
      <c r="N16" s="291">
        <f>+N198/S221</f>
        <v>1.577603167426344E-2</v>
      </c>
      <c r="O16" s="290" t="s">
        <v>99</v>
      </c>
      <c r="P16" s="291">
        <f>+S198/S221</f>
        <v>3.6843327264062175E-3</v>
      </c>
      <c r="Q16" s="290" t="s">
        <v>102</v>
      </c>
      <c r="R16" s="291">
        <f>+N211/S221</f>
        <v>0.9650996541737441</v>
      </c>
      <c r="S16" s="290" t="s">
        <v>108</v>
      </c>
      <c r="T16" s="291">
        <f>+S211/S221</f>
        <v>1.5439981425586256E-2</v>
      </c>
      <c r="U16" s="289"/>
      <c r="V16" s="254"/>
      <c r="W16" s="6"/>
    </row>
    <row r="17" spans="1:23" ht="15.6">
      <c r="A17" s="242"/>
      <c r="B17" s="287" t="s">
        <v>7</v>
      </c>
      <c r="C17" s="253"/>
      <c r="D17" s="253"/>
      <c r="E17" s="253"/>
      <c r="F17" s="253"/>
      <c r="G17" s="253"/>
      <c r="H17" s="253"/>
      <c r="I17" s="253"/>
      <c r="J17" s="253"/>
      <c r="K17" s="253"/>
      <c r="L17" s="253"/>
      <c r="M17" s="288"/>
      <c r="N17" s="288"/>
      <c r="O17" s="288"/>
      <c r="P17" s="288"/>
      <c r="Q17" s="288"/>
      <c r="R17" s="288"/>
      <c r="S17" s="288"/>
      <c r="T17" s="288"/>
      <c r="U17" s="292">
        <v>38491</v>
      </c>
      <c r="V17" s="245"/>
      <c r="W17" s="6"/>
    </row>
    <row r="18" spans="1:23" ht="15.6">
      <c r="A18" s="242"/>
      <c r="B18" s="287" t="s">
        <v>8</v>
      </c>
      <c r="C18" s="253"/>
      <c r="D18" s="253"/>
      <c r="E18" s="253"/>
      <c r="F18" s="253"/>
      <c r="G18" s="253"/>
      <c r="H18" s="253"/>
      <c r="I18" s="253"/>
      <c r="J18" s="253"/>
      <c r="K18" s="253"/>
      <c r="L18" s="253"/>
      <c r="M18" s="288"/>
      <c r="N18" s="288"/>
      <c r="O18" s="288"/>
      <c r="P18" s="288"/>
      <c r="Q18" s="288"/>
      <c r="R18" s="288"/>
      <c r="S18" s="288"/>
      <c r="T18" s="288"/>
      <c r="U18" s="292">
        <v>41108</v>
      </c>
      <c r="V18" s="245"/>
      <c r="W18" s="6"/>
    </row>
    <row r="19" spans="1:23" ht="15.6">
      <c r="A19" s="242"/>
      <c r="B19" s="288"/>
      <c r="C19" s="244"/>
      <c r="D19" s="244"/>
      <c r="E19" s="244"/>
      <c r="F19" s="244"/>
      <c r="G19" s="244"/>
      <c r="H19" s="244"/>
      <c r="I19" s="244"/>
      <c r="J19" s="244"/>
      <c r="K19" s="244"/>
      <c r="L19" s="244"/>
      <c r="M19" s="244"/>
      <c r="N19" s="244"/>
      <c r="O19" s="244"/>
      <c r="P19" s="244"/>
      <c r="Q19" s="244"/>
      <c r="R19" s="244"/>
      <c r="S19" s="244"/>
      <c r="T19" s="244"/>
      <c r="U19" s="255"/>
      <c r="V19" s="245"/>
      <c r="W19" s="6"/>
    </row>
    <row r="20" spans="1:23" ht="15.6">
      <c r="A20" s="242"/>
      <c r="B20" s="293" t="s">
        <v>9</v>
      </c>
      <c r="C20" s="244"/>
      <c r="D20" s="244"/>
      <c r="E20" s="244"/>
      <c r="F20" s="244"/>
      <c r="G20" s="244"/>
      <c r="H20" s="244"/>
      <c r="I20" s="244"/>
      <c r="J20" s="244"/>
      <c r="K20" s="244"/>
      <c r="L20" s="244"/>
      <c r="M20" s="244"/>
      <c r="N20" s="244"/>
      <c r="O20" s="244"/>
      <c r="P20" s="244"/>
      <c r="Q20" s="244"/>
      <c r="R20" s="244"/>
      <c r="S20" s="255"/>
      <c r="T20" s="244"/>
      <c r="U20" s="249"/>
      <c r="V20" s="245"/>
      <c r="W20" s="6"/>
    </row>
    <row r="21" spans="1:23" ht="15.6">
      <c r="A21" s="242"/>
      <c r="B21" s="244"/>
      <c r="C21" s="244"/>
      <c r="D21" s="244"/>
      <c r="E21" s="244"/>
      <c r="F21" s="244"/>
      <c r="G21" s="244"/>
      <c r="H21" s="244"/>
      <c r="I21" s="244"/>
      <c r="J21" s="244"/>
      <c r="K21" s="244"/>
      <c r="L21" s="244"/>
      <c r="M21" s="244"/>
      <c r="N21" s="244"/>
      <c r="O21" s="244"/>
      <c r="P21" s="244"/>
      <c r="Q21" s="244"/>
      <c r="R21" s="244"/>
      <c r="S21" s="244"/>
      <c r="T21" s="244"/>
      <c r="U21" s="256"/>
      <c r="V21" s="245"/>
      <c r="W21" s="6"/>
    </row>
    <row r="22" spans="1:23" ht="15.6">
      <c r="A22" s="230"/>
      <c r="B22" s="231"/>
      <c r="C22" s="232" t="s">
        <v>130</v>
      </c>
      <c r="D22" s="232"/>
      <c r="E22" s="232" t="s">
        <v>131</v>
      </c>
      <c r="F22" s="232"/>
      <c r="G22" s="232" t="s">
        <v>132</v>
      </c>
      <c r="H22" s="232"/>
      <c r="I22" s="232" t="s">
        <v>133</v>
      </c>
      <c r="J22" s="232"/>
      <c r="K22" s="232" t="s">
        <v>134</v>
      </c>
      <c r="L22" s="232"/>
      <c r="M22" s="233" t="s">
        <v>135</v>
      </c>
      <c r="N22" s="233"/>
      <c r="O22" s="233" t="s">
        <v>136</v>
      </c>
      <c r="P22" s="233"/>
      <c r="Q22" s="233" t="s">
        <v>137</v>
      </c>
      <c r="R22" s="233"/>
      <c r="S22" s="235"/>
      <c r="T22" s="236"/>
      <c r="U22" s="236"/>
      <c r="V22" s="237"/>
      <c r="W22" s="6"/>
    </row>
    <row r="23" spans="1:23" ht="15.6">
      <c r="A23" s="257"/>
      <c r="B23" s="294" t="s">
        <v>10</v>
      </c>
      <c r="C23" s="295" t="s">
        <v>96</v>
      </c>
      <c r="D23" s="295"/>
      <c r="E23" s="295" t="s">
        <v>96</v>
      </c>
      <c r="F23" s="295"/>
      <c r="G23" s="295" t="s">
        <v>138</v>
      </c>
      <c r="H23" s="295"/>
      <c r="I23" s="295" t="s">
        <v>138</v>
      </c>
      <c r="J23" s="295"/>
      <c r="K23" s="295" t="s">
        <v>104</v>
      </c>
      <c r="L23" s="296"/>
      <c r="M23" s="297" t="s">
        <v>104</v>
      </c>
      <c r="N23" s="297"/>
      <c r="O23" s="297" t="s">
        <v>109</v>
      </c>
      <c r="P23" s="297"/>
      <c r="Q23" s="297" t="s">
        <v>109</v>
      </c>
      <c r="R23" s="258"/>
      <c r="S23" s="258"/>
      <c r="T23" s="259"/>
      <c r="U23" s="259"/>
      <c r="V23" s="260"/>
      <c r="W23" s="6"/>
    </row>
    <row r="24" spans="1:23" ht="15.6">
      <c r="A24" s="378"/>
      <c r="B24" s="379" t="s">
        <v>11</v>
      </c>
      <c r="C24" s="380" t="s">
        <v>97</v>
      </c>
      <c r="D24" s="380"/>
      <c r="E24" s="380" t="s">
        <v>97</v>
      </c>
      <c r="F24" s="380"/>
      <c r="G24" s="380" t="s">
        <v>139</v>
      </c>
      <c r="H24" s="380"/>
      <c r="I24" s="380" t="s">
        <v>139</v>
      </c>
      <c r="J24" s="380"/>
      <c r="K24" s="380" t="s">
        <v>105</v>
      </c>
      <c r="L24" s="381"/>
      <c r="M24" s="382" t="s">
        <v>105</v>
      </c>
      <c r="N24" s="382"/>
      <c r="O24" s="382" t="s">
        <v>110</v>
      </c>
      <c r="P24" s="382"/>
      <c r="Q24" s="382" t="s">
        <v>110</v>
      </c>
      <c r="R24" s="383"/>
      <c r="S24" s="383"/>
      <c r="T24" s="384"/>
      <c r="U24" s="384"/>
      <c r="V24" s="385"/>
      <c r="W24" s="6"/>
    </row>
    <row r="25" spans="1:23" ht="15.6">
      <c r="A25" s="378"/>
      <c r="B25" s="386" t="s">
        <v>12</v>
      </c>
      <c r="C25" s="381" t="s">
        <v>96</v>
      </c>
      <c r="D25" s="381"/>
      <c r="E25" s="381" t="s">
        <v>96</v>
      </c>
      <c r="F25" s="381"/>
      <c r="G25" s="381" t="s">
        <v>138</v>
      </c>
      <c r="H25" s="381"/>
      <c r="I25" s="381" t="s">
        <v>138</v>
      </c>
      <c r="J25" s="386"/>
      <c r="K25" s="381" t="s">
        <v>104</v>
      </c>
      <c r="L25" s="386"/>
      <c r="M25" s="387" t="s">
        <v>104</v>
      </c>
      <c r="N25" s="382"/>
      <c r="O25" s="387" t="s">
        <v>109</v>
      </c>
      <c r="P25" s="382"/>
      <c r="Q25" s="387" t="s">
        <v>109</v>
      </c>
      <c r="R25" s="388"/>
      <c r="S25" s="388"/>
      <c r="T25" s="389"/>
      <c r="U25" s="384"/>
      <c r="V25" s="385"/>
      <c r="W25" s="6"/>
    </row>
    <row r="26" spans="1:23" ht="15.6">
      <c r="A26" s="378"/>
      <c r="B26" s="386" t="s">
        <v>13</v>
      </c>
      <c r="C26" s="381" t="s">
        <v>139</v>
      </c>
      <c r="D26" s="381"/>
      <c r="E26" s="381" t="s">
        <v>139</v>
      </c>
      <c r="F26" s="381"/>
      <c r="G26" s="381" t="s">
        <v>139</v>
      </c>
      <c r="H26" s="381"/>
      <c r="I26" s="381" t="s">
        <v>139</v>
      </c>
      <c r="J26" s="386"/>
      <c r="K26" s="381" t="s">
        <v>280</v>
      </c>
      <c r="L26" s="386"/>
      <c r="M26" s="387" t="s">
        <v>280</v>
      </c>
      <c r="N26" s="382"/>
      <c r="O26" s="387" t="s">
        <v>110</v>
      </c>
      <c r="P26" s="382"/>
      <c r="Q26" s="387" t="s">
        <v>110</v>
      </c>
      <c r="R26" s="388"/>
      <c r="S26" s="388"/>
      <c r="T26" s="389"/>
      <c r="U26" s="384"/>
      <c r="V26" s="385"/>
      <c r="W26" s="6"/>
    </row>
    <row r="27" spans="1:23" ht="15.6">
      <c r="A27" s="378"/>
      <c r="B27" s="379" t="s">
        <v>14</v>
      </c>
      <c r="C27" s="380" t="s">
        <v>140</v>
      </c>
      <c r="D27" s="379"/>
      <c r="E27" s="380" t="s">
        <v>141</v>
      </c>
      <c r="F27" s="379"/>
      <c r="G27" s="380" t="s">
        <v>142</v>
      </c>
      <c r="H27" s="379"/>
      <c r="I27" s="380" t="s">
        <v>258</v>
      </c>
      <c r="J27" s="379"/>
      <c r="K27" s="380" t="s">
        <v>143</v>
      </c>
      <c r="L27" s="379"/>
      <c r="M27" s="379" t="s">
        <v>144</v>
      </c>
      <c r="N27" s="382"/>
      <c r="O27" s="379" t="s">
        <v>145</v>
      </c>
      <c r="P27" s="382"/>
      <c r="Q27" s="379" t="s">
        <v>146</v>
      </c>
      <c r="R27" s="383"/>
      <c r="S27" s="390"/>
      <c r="T27" s="384"/>
      <c r="U27" s="384"/>
      <c r="V27" s="385"/>
      <c r="W27" s="6"/>
    </row>
    <row r="28" spans="1:23" ht="15.6">
      <c r="A28" s="378"/>
      <c r="B28" s="379" t="s">
        <v>147</v>
      </c>
      <c r="C28" s="391">
        <v>146000</v>
      </c>
      <c r="D28" s="380"/>
      <c r="E28" s="392">
        <v>259500</v>
      </c>
      <c r="F28" s="380"/>
      <c r="G28" s="391">
        <v>16000</v>
      </c>
      <c r="H28" s="380"/>
      <c r="I28" s="392">
        <v>35500</v>
      </c>
      <c r="J28" s="379"/>
      <c r="K28" s="391">
        <v>18000</v>
      </c>
      <c r="L28" s="379"/>
      <c r="M28" s="392">
        <v>33000</v>
      </c>
      <c r="N28" s="393"/>
      <c r="O28" s="394">
        <v>24500</v>
      </c>
      <c r="P28" s="394"/>
      <c r="Q28" s="392">
        <v>30000</v>
      </c>
      <c r="R28" s="395"/>
      <c r="S28" s="395"/>
      <c r="T28" s="396"/>
      <c r="U28" s="395"/>
      <c r="V28" s="397"/>
      <c r="W28" s="6"/>
    </row>
    <row r="29" spans="1:23" ht="15.6">
      <c r="A29" s="378"/>
      <c r="B29" s="379" t="s">
        <v>15</v>
      </c>
      <c r="C29" s="391">
        <f>C28*C35</f>
        <v>34104.986799999999</v>
      </c>
      <c r="D29" s="398"/>
      <c r="E29" s="392">
        <f>E28*E35</f>
        <v>60618.110099999998</v>
      </c>
      <c r="F29" s="398"/>
      <c r="G29" s="391">
        <f>G28*G35</f>
        <v>12243.4048</v>
      </c>
      <c r="H29" s="398"/>
      <c r="I29" s="392">
        <f>I28*I35</f>
        <v>27165.054400000001</v>
      </c>
      <c r="J29" s="399"/>
      <c r="K29" s="391">
        <f>K28*K35</f>
        <v>13773.830400000001</v>
      </c>
      <c r="L29" s="399"/>
      <c r="M29" s="392">
        <f>M28*M35</f>
        <v>25252.022400000002</v>
      </c>
      <c r="N29" s="393"/>
      <c r="O29" s="391">
        <f>O28*O35</f>
        <v>18747.713599999999</v>
      </c>
      <c r="P29" s="394"/>
      <c r="Q29" s="392">
        <f>Q28*Q35</f>
        <v>22956.384000000002</v>
      </c>
      <c r="R29" s="400"/>
      <c r="S29" s="395"/>
      <c r="T29" s="396"/>
      <c r="U29" s="395"/>
      <c r="V29" s="397"/>
      <c r="W29" s="6"/>
    </row>
    <row r="30" spans="1:23" ht="15.6">
      <c r="A30" s="401"/>
      <c r="B30" s="386" t="s">
        <v>148</v>
      </c>
      <c r="C30" s="415">
        <f>C34*C28</f>
        <v>32433.2284</v>
      </c>
      <c r="D30" s="505"/>
      <c r="E30" s="406">
        <f>E34*E28</f>
        <v>57646.731299999999</v>
      </c>
      <c r="F30" s="505"/>
      <c r="G30" s="415">
        <f>G34*G28</f>
        <v>11643.328</v>
      </c>
      <c r="H30" s="505"/>
      <c r="I30" s="406">
        <f>I34*I28</f>
        <v>25833.634000000002</v>
      </c>
      <c r="J30" s="506"/>
      <c r="K30" s="415">
        <f>K34*K28</f>
        <v>13098.744000000001</v>
      </c>
      <c r="L30" s="399"/>
      <c r="M30" s="406">
        <f>M34*M28</f>
        <v>24014.364000000001</v>
      </c>
      <c r="N30" s="407"/>
      <c r="O30" s="415">
        <f>O34*O28</f>
        <v>17828.846000000001</v>
      </c>
      <c r="P30" s="408"/>
      <c r="Q30" s="406">
        <f>Q34*Q28</f>
        <v>21831.24</v>
      </c>
      <c r="R30" s="408"/>
      <c r="S30" s="408"/>
      <c r="T30" s="409"/>
      <c r="U30" s="408"/>
      <c r="V30" s="410"/>
      <c r="W30" s="6"/>
    </row>
    <row r="31" spans="1:23" ht="15.6">
      <c r="A31" s="401"/>
      <c r="B31" s="379" t="s">
        <v>260</v>
      </c>
      <c r="C31" s="391">
        <v>146000</v>
      </c>
      <c r="D31" s="398"/>
      <c r="E31" s="391">
        <v>178000</v>
      </c>
      <c r="F31" s="391"/>
      <c r="G31" s="391">
        <v>16000</v>
      </c>
      <c r="H31" s="391"/>
      <c r="I31" s="391">
        <v>24500</v>
      </c>
      <c r="J31" s="412"/>
      <c r="K31" s="391">
        <v>18000</v>
      </c>
      <c r="L31" s="412"/>
      <c r="M31" s="391">
        <v>22500</v>
      </c>
      <c r="N31" s="414"/>
      <c r="O31" s="391">
        <v>24500</v>
      </c>
      <c r="P31" s="415"/>
      <c r="Q31" s="391">
        <v>20500</v>
      </c>
      <c r="R31" s="408"/>
      <c r="S31" s="408"/>
      <c r="T31" s="409"/>
      <c r="U31" s="394">
        <f>+Q31+O31+M31+K31+I31+G31+E31+C31</f>
        <v>450000</v>
      </c>
      <c r="V31" s="410"/>
      <c r="W31" s="6"/>
    </row>
    <row r="32" spans="1:23" ht="15.6">
      <c r="A32" s="401"/>
      <c r="B32" s="379" t="s">
        <v>261</v>
      </c>
      <c r="C32" s="391">
        <f>C28*C35</f>
        <v>34104.986799999999</v>
      </c>
      <c r="D32" s="398"/>
      <c r="E32" s="391">
        <f>E31*E35</f>
        <v>41580.0524</v>
      </c>
      <c r="F32" s="391"/>
      <c r="G32" s="391">
        <f>G28*G35</f>
        <v>12243.4048</v>
      </c>
      <c r="H32" s="391"/>
      <c r="I32" s="391">
        <f>I31*I35</f>
        <v>18747.713599999999</v>
      </c>
      <c r="J32" s="412"/>
      <c r="K32" s="391">
        <f>K28*K35</f>
        <v>13773.830400000001</v>
      </c>
      <c r="L32" s="412"/>
      <c r="M32" s="391">
        <f>M31*M35</f>
        <v>17217.288</v>
      </c>
      <c r="N32" s="414"/>
      <c r="O32" s="391">
        <f>O28*O35</f>
        <v>18747.713599999999</v>
      </c>
      <c r="P32" s="415"/>
      <c r="Q32" s="391">
        <f>Q31*Q35</f>
        <v>15686.8624</v>
      </c>
      <c r="R32" s="391"/>
      <c r="S32" s="408"/>
      <c r="T32" s="409"/>
      <c r="U32" s="394">
        <f>+Q32+O32+M32+K32+I32+G32+E32+C32</f>
        <v>172101.85200000001</v>
      </c>
      <c r="V32" s="410"/>
      <c r="W32" s="6"/>
    </row>
    <row r="33" spans="1:23" ht="15.6">
      <c r="A33" s="401"/>
      <c r="B33" s="386" t="s">
        <v>262</v>
      </c>
      <c r="C33" s="415">
        <f>C34*C28</f>
        <v>32433.2284</v>
      </c>
      <c r="D33" s="415"/>
      <c r="E33" s="415">
        <f>E34*E31</f>
        <v>39541.881199999996</v>
      </c>
      <c r="F33" s="415"/>
      <c r="G33" s="415">
        <f>G34*G28</f>
        <v>11643.328</v>
      </c>
      <c r="H33" s="415"/>
      <c r="I33" s="415">
        <f>I34*I31</f>
        <v>17828.846000000001</v>
      </c>
      <c r="J33" s="414"/>
      <c r="K33" s="415">
        <f>K34*K28</f>
        <v>13098.744000000001</v>
      </c>
      <c r="L33" s="414"/>
      <c r="M33" s="415">
        <f>M34*M31</f>
        <v>16373.43</v>
      </c>
      <c r="N33" s="414"/>
      <c r="O33" s="415">
        <f>O34*O28</f>
        <v>17828.846000000001</v>
      </c>
      <c r="P33" s="415"/>
      <c r="Q33" s="415">
        <f>Q34*Q31</f>
        <v>14918.014000000001</v>
      </c>
      <c r="R33" s="408"/>
      <c r="S33" s="408"/>
      <c r="T33" s="409"/>
      <c r="U33" s="408">
        <f>+Q33+O33+M33+K33+I33+G33+E33+C33</f>
        <v>163666.31759999998</v>
      </c>
      <c r="V33" s="410"/>
      <c r="W33" s="6"/>
    </row>
    <row r="34" spans="1:23" ht="15.6">
      <c r="A34" s="401"/>
      <c r="B34" s="468" t="s">
        <v>149</v>
      </c>
      <c r="C34" s="507">
        <v>0.22214539999999999</v>
      </c>
      <c r="D34" s="507"/>
      <c r="E34" s="507">
        <v>0.22214539999999999</v>
      </c>
      <c r="F34" s="507"/>
      <c r="G34" s="507">
        <v>0.72770800000000002</v>
      </c>
      <c r="H34" s="507"/>
      <c r="I34" s="507">
        <v>0.72770800000000002</v>
      </c>
      <c r="J34" s="507"/>
      <c r="K34" s="507">
        <v>0.72770800000000002</v>
      </c>
      <c r="L34" s="507"/>
      <c r="M34" s="507">
        <v>0.72770800000000002</v>
      </c>
      <c r="N34" s="507"/>
      <c r="O34" s="507">
        <v>0.72770800000000002</v>
      </c>
      <c r="P34" s="507"/>
      <c r="Q34" s="507">
        <v>0.72770800000000002</v>
      </c>
      <c r="R34" s="508"/>
      <c r="S34" s="420"/>
      <c r="T34" s="421"/>
      <c r="U34" s="420"/>
      <c r="V34" s="385"/>
      <c r="W34" s="6"/>
    </row>
    <row r="35" spans="1:23" ht="15.6">
      <c r="A35" s="401"/>
      <c r="B35" s="468" t="s">
        <v>150</v>
      </c>
      <c r="C35" s="507">
        <v>0.23359579999999999</v>
      </c>
      <c r="D35" s="507"/>
      <c r="E35" s="507">
        <v>0.23359579999999999</v>
      </c>
      <c r="F35" s="507"/>
      <c r="G35" s="507">
        <v>0.76521280000000003</v>
      </c>
      <c r="H35" s="507"/>
      <c r="I35" s="507">
        <v>0.76521280000000003</v>
      </c>
      <c r="J35" s="507"/>
      <c r="K35" s="507">
        <v>0.76521280000000003</v>
      </c>
      <c r="L35" s="507"/>
      <c r="M35" s="507">
        <v>0.76521280000000003</v>
      </c>
      <c r="N35" s="507"/>
      <c r="O35" s="507">
        <v>0.76521280000000003</v>
      </c>
      <c r="P35" s="507"/>
      <c r="Q35" s="507">
        <v>0.76521280000000003</v>
      </c>
      <c r="R35" s="508"/>
      <c r="S35" s="420"/>
      <c r="T35" s="421"/>
      <c r="U35" s="420"/>
      <c r="V35" s="385"/>
      <c r="W35" s="6"/>
    </row>
    <row r="36" spans="1:23" ht="15.6">
      <c r="A36" s="378"/>
      <c r="B36" s="379" t="s">
        <v>153</v>
      </c>
      <c r="C36" s="380" t="s">
        <v>163</v>
      </c>
      <c r="D36" s="380"/>
      <c r="E36" s="380" t="s">
        <v>163</v>
      </c>
      <c r="F36" s="380"/>
      <c r="G36" s="380" t="s">
        <v>164</v>
      </c>
      <c r="H36" s="380"/>
      <c r="I36" s="380" t="s">
        <v>164</v>
      </c>
      <c r="J36" s="380"/>
      <c r="K36" s="380" t="s">
        <v>106</v>
      </c>
      <c r="L36" s="380"/>
      <c r="M36" s="380" t="s">
        <v>165</v>
      </c>
      <c r="N36" s="380"/>
      <c r="O36" s="380" t="s">
        <v>166</v>
      </c>
      <c r="P36" s="380"/>
      <c r="Q36" s="380" t="s">
        <v>167</v>
      </c>
      <c r="R36" s="380"/>
      <c r="S36" s="380"/>
      <c r="T36" s="379"/>
      <c r="U36" s="424"/>
      <c r="V36" s="410"/>
      <c r="W36" s="6"/>
    </row>
    <row r="37" spans="1:23" ht="15.6">
      <c r="A37" s="378"/>
      <c r="B37" s="379" t="s">
        <v>151</v>
      </c>
      <c r="C37" s="509">
        <v>1.4574999999999999E-2</v>
      </c>
      <c r="D37" s="509"/>
      <c r="E37" s="509">
        <v>1.197E-2</v>
      </c>
      <c r="F37" s="509"/>
      <c r="G37" s="509">
        <v>1.6775000000000002E-2</v>
      </c>
      <c r="H37" s="509"/>
      <c r="I37" s="509">
        <v>1.417E-2</v>
      </c>
      <c r="J37" s="509"/>
      <c r="K37" s="509">
        <v>2.2175E-2</v>
      </c>
      <c r="L37" s="509"/>
      <c r="M37" s="509">
        <v>1.8970000000000001E-2</v>
      </c>
      <c r="N37" s="509"/>
      <c r="O37" s="509">
        <v>2.9175E-2</v>
      </c>
      <c r="P37" s="509"/>
      <c r="Q37" s="509">
        <v>2.5569999999999999E-2</v>
      </c>
      <c r="R37" s="427"/>
      <c r="S37" s="509"/>
      <c r="T37" s="379"/>
      <c r="U37" s="380"/>
      <c r="V37" s="410"/>
      <c r="W37" s="6"/>
    </row>
    <row r="38" spans="1:23" ht="15.6">
      <c r="A38" s="378"/>
      <c r="B38" s="379" t="s">
        <v>152</v>
      </c>
      <c r="C38" s="509">
        <v>1.5295599999999999E-2</v>
      </c>
      <c r="D38" s="509"/>
      <c r="E38" s="509">
        <v>1.685E-2</v>
      </c>
      <c r="F38" s="509"/>
      <c r="G38" s="509">
        <v>1.74956E-2</v>
      </c>
      <c r="H38" s="509"/>
      <c r="I38" s="509">
        <v>1.9050000000000001E-2</v>
      </c>
      <c r="J38" s="509"/>
      <c r="K38" s="509">
        <v>2.2895599999999999E-2</v>
      </c>
      <c r="L38" s="509"/>
      <c r="M38" s="509">
        <v>2.385E-2</v>
      </c>
      <c r="N38" s="509"/>
      <c r="O38" s="509">
        <v>2.9895600000000001E-2</v>
      </c>
      <c r="P38" s="509"/>
      <c r="Q38" s="509">
        <v>3.0450000000000001E-2</v>
      </c>
      <c r="R38" s="427"/>
      <c r="S38" s="509"/>
      <c r="T38" s="379"/>
      <c r="U38" s="424"/>
      <c r="V38" s="410"/>
      <c r="W38" s="6"/>
    </row>
    <row r="39" spans="1:23" ht="15.6">
      <c r="A39" s="378"/>
      <c r="B39" s="379" t="s">
        <v>263</v>
      </c>
      <c r="C39" s="380" t="s">
        <v>163</v>
      </c>
      <c r="D39" s="379"/>
      <c r="E39" s="380" t="s">
        <v>228</v>
      </c>
      <c r="F39" s="379"/>
      <c r="G39" s="380" t="s">
        <v>164</v>
      </c>
      <c r="H39" s="379"/>
      <c r="I39" s="380" t="s">
        <v>226</v>
      </c>
      <c r="J39" s="379"/>
      <c r="K39" s="380" t="s">
        <v>106</v>
      </c>
      <c r="L39" s="379"/>
      <c r="M39" s="380" t="s">
        <v>227</v>
      </c>
      <c r="N39" s="379"/>
      <c r="O39" s="380" t="s">
        <v>166</v>
      </c>
      <c r="P39" s="380"/>
      <c r="Q39" s="380" t="s">
        <v>229</v>
      </c>
      <c r="R39" s="427"/>
      <c r="S39" s="509"/>
      <c r="T39" s="379"/>
      <c r="U39" s="424"/>
      <c r="V39" s="410"/>
      <c r="W39" s="6"/>
    </row>
    <row r="40" spans="1:23" ht="15.6">
      <c r="A40" s="378"/>
      <c r="B40" s="379" t="s">
        <v>264</v>
      </c>
      <c r="C40" s="509">
        <f>+C37</f>
        <v>1.4574999999999999E-2</v>
      </c>
      <c r="D40" s="509"/>
      <c r="E40" s="509">
        <v>1.5151E-2</v>
      </c>
      <c r="F40" s="509"/>
      <c r="G40" s="509">
        <f>+G37</f>
        <v>1.6775000000000002E-2</v>
      </c>
      <c r="H40" s="509"/>
      <c r="I40" s="509">
        <v>1.7507999999999999E-2</v>
      </c>
      <c r="J40" s="509"/>
      <c r="K40" s="509">
        <f>+K37</f>
        <v>2.2175E-2</v>
      </c>
      <c r="L40" s="510"/>
      <c r="M40" s="509">
        <v>2.2735399999999999E-2</v>
      </c>
      <c r="N40" s="510"/>
      <c r="O40" s="509">
        <f>+O37</f>
        <v>2.9175E-2</v>
      </c>
      <c r="P40" s="509"/>
      <c r="Q40" s="509">
        <v>3.0001400000000001E-2</v>
      </c>
      <c r="R40" s="427"/>
      <c r="S40" s="509"/>
      <c r="T40" s="379"/>
      <c r="U40" s="427">
        <f>SUMPRODUCT(C40:Q40,C32:Q32)/U32</f>
        <v>1.9611332470459177E-2</v>
      </c>
      <c r="V40" s="410"/>
      <c r="W40" s="6"/>
    </row>
    <row r="41" spans="1:23" ht="15.6">
      <c r="A41" s="378"/>
      <c r="B41" s="379" t="s">
        <v>265</v>
      </c>
      <c r="C41" s="509">
        <f>+C38</f>
        <v>1.5295599999999999E-2</v>
      </c>
      <c r="D41" s="509"/>
      <c r="E41" s="509">
        <v>1.58716E-2</v>
      </c>
      <c r="F41" s="509"/>
      <c r="G41" s="509">
        <f>+G38</f>
        <v>1.74956E-2</v>
      </c>
      <c r="H41" s="509"/>
      <c r="I41" s="509">
        <v>1.8228600000000001E-2</v>
      </c>
      <c r="J41" s="509"/>
      <c r="K41" s="509">
        <f>+K38</f>
        <v>2.2895599999999999E-2</v>
      </c>
      <c r="L41" s="510"/>
      <c r="M41" s="509">
        <v>2.3456000000000001E-2</v>
      </c>
      <c r="N41" s="510"/>
      <c r="O41" s="509">
        <f>+O38</f>
        <v>2.9895600000000001E-2</v>
      </c>
      <c r="P41" s="509"/>
      <c r="Q41" s="509">
        <v>3.0721999999999999E-2</v>
      </c>
      <c r="R41" s="427"/>
      <c r="S41" s="509"/>
      <c r="T41" s="379"/>
      <c r="U41" s="424"/>
      <c r="V41" s="410"/>
      <c r="W41" s="6"/>
    </row>
    <row r="42" spans="1:23" ht="15.6">
      <c r="A42" s="378"/>
      <c r="B42" s="379" t="s">
        <v>17</v>
      </c>
      <c r="C42" s="429">
        <v>39918</v>
      </c>
      <c r="D42" s="429"/>
      <c r="E42" s="429">
        <v>39918</v>
      </c>
      <c r="F42" s="429"/>
      <c r="G42" s="429">
        <v>39918</v>
      </c>
      <c r="H42" s="429"/>
      <c r="I42" s="429">
        <v>39918</v>
      </c>
      <c r="J42" s="429"/>
      <c r="K42" s="429">
        <v>39918</v>
      </c>
      <c r="L42" s="429"/>
      <c r="M42" s="429">
        <v>39918</v>
      </c>
      <c r="N42" s="429"/>
      <c r="O42" s="429">
        <v>39918</v>
      </c>
      <c r="P42" s="429"/>
      <c r="Q42" s="429">
        <v>39918</v>
      </c>
      <c r="R42" s="380"/>
      <c r="S42" s="380"/>
      <c r="T42" s="379"/>
      <c r="U42" s="424"/>
      <c r="V42" s="410"/>
      <c r="W42" s="6"/>
    </row>
    <row r="43" spans="1:23" ht="15.6">
      <c r="A43" s="378"/>
      <c r="B43" s="379" t="s">
        <v>18</v>
      </c>
      <c r="C43" s="429">
        <v>40283</v>
      </c>
      <c r="D43" s="430"/>
      <c r="E43" s="429">
        <v>40283</v>
      </c>
      <c r="F43" s="430"/>
      <c r="G43" s="429">
        <v>40283</v>
      </c>
      <c r="H43" s="430"/>
      <c r="I43" s="429">
        <v>40283</v>
      </c>
      <c r="J43" s="430"/>
      <c r="K43" s="429">
        <v>40283</v>
      </c>
      <c r="L43" s="430"/>
      <c r="M43" s="429">
        <v>40283</v>
      </c>
      <c r="N43" s="430"/>
      <c r="O43" s="429">
        <v>40283</v>
      </c>
      <c r="P43" s="429"/>
      <c r="Q43" s="429">
        <v>40283</v>
      </c>
      <c r="R43" s="380"/>
      <c r="S43" s="380"/>
      <c r="T43" s="424"/>
      <c r="U43" s="424"/>
      <c r="V43" s="410"/>
      <c r="W43" s="6"/>
    </row>
    <row r="44" spans="1:23" ht="15.6">
      <c r="A44" s="378"/>
      <c r="B44" s="379" t="s">
        <v>154</v>
      </c>
      <c r="C44" s="380" t="s">
        <v>163</v>
      </c>
      <c r="D44" s="380"/>
      <c r="E44" s="380" t="s">
        <v>163</v>
      </c>
      <c r="F44" s="380"/>
      <c r="G44" s="380" t="s">
        <v>164</v>
      </c>
      <c r="H44" s="380"/>
      <c r="I44" s="380" t="s">
        <v>164</v>
      </c>
      <c r="J44" s="380"/>
      <c r="K44" s="380" t="s">
        <v>106</v>
      </c>
      <c r="L44" s="380"/>
      <c r="M44" s="380" t="s">
        <v>165</v>
      </c>
      <c r="N44" s="380"/>
      <c r="O44" s="380" t="s">
        <v>166</v>
      </c>
      <c r="P44" s="380"/>
      <c r="Q44" s="380" t="s">
        <v>167</v>
      </c>
      <c r="R44" s="380"/>
      <c r="S44" s="380"/>
      <c r="T44" s="424"/>
      <c r="U44" s="424"/>
      <c r="V44" s="410"/>
      <c r="W44" s="6"/>
    </row>
    <row r="45" spans="1:23" ht="15.6">
      <c r="A45" s="378"/>
      <c r="B45" s="379" t="s">
        <v>266</v>
      </c>
      <c r="C45" s="380" t="s">
        <v>163</v>
      </c>
      <c r="D45" s="379"/>
      <c r="E45" s="380" t="s">
        <v>228</v>
      </c>
      <c r="F45" s="379"/>
      <c r="G45" s="380" t="s">
        <v>164</v>
      </c>
      <c r="H45" s="379"/>
      <c r="I45" s="380" t="s">
        <v>226</v>
      </c>
      <c r="J45" s="379"/>
      <c r="K45" s="380" t="s">
        <v>106</v>
      </c>
      <c r="L45" s="379"/>
      <c r="M45" s="380" t="s">
        <v>227</v>
      </c>
      <c r="N45" s="379"/>
      <c r="O45" s="380" t="s">
        <v>166</v>
      </c>
      <c r="P45" s="380"/>
      <c r="Q45" s="380" t="s">
        <v>229</v>
      </c>
      <c r="R45" s="380"/>
      <c r="S45" s="380"/>
      <c r="T45" s="424"/>
      <c r="U45" s="424"/>
      <c r="V45" s="410"/>
      <c r="W45" s="6"/>
    </row>
    <row r="46" spans="1:23" ht="15.6">
      <c r="A46" s="378"/>
      <c r="B46" s="379"/>
      <c r="C46" s="379"/>
      <c r="D46" s="379"/>
      <c r="E46" s="379"/>
      <c r="F46" s="379"/>
      <c r="G46" s="379"/>
      <c r="H46" s="379"/>
      <c r="I46" s="379"/>
      <c r="J46" s="379"/>
      <c r="K46" s="379"/>
      <c r="L46" s="379"/>
      <c r="M46" s="431"/>
      <c r="N46" s="431"/>
      <c r="O46" s="379"/>
      <c r="P46" s="431"/>
      <c r="Q46" s="431"/>
      <c r="R46" s="431"/>
      <c r="S46" s="431"/>
      <c r="T46" s="431"/>
      <c r="U46" s="431"/>
      <c r="V46" s="410"/>
      <c r="W46" s="6"/>
    </row>
    <row r="47" spans="1:23" ht="15.6">
      <c r="A47" s="378"/>
      <c r="B47" s="379" t="s">
        <v>201</v>
      </c>
      <c r="C47" s="379"/>
      <c r="D47" s="379"/>
      <c r="E47" s="379"/>
      <c r="F47" s="379"/>
      <c r="G47" s="379"/>
      <c r="H47" s="379"/>
      <c r="I47" s="379"/>
      <c r="J47" s="379"/>
      <c r="K47" s="379"/>
      <c r="L47" s="379"/>
      <c r="M47" s="379"/>
      <c r="N47" s="379"/>
      <c r="O47" s="379"/>
      <c r="P47" s="379"/>
      <c r="Q47" s="379"/>
      <c r="R47" s="379"/>
      <c r="S47" s="379"/>
      <c r="T47" s="379"/>
      <c r="U47" s="427">
        <f>SUM(G31:Q31)/(C31+E31)</f>
        <v>0.3888888888888889</v>
      </c>
      <c r="V47" s="410"/>
      <c r="W47" s="6"/>
    </row>
    <row r="48" spans="1:23" ht="15.6">
      <c r="A48" s="378"/>
      <c r="B48" s="379" t="s">
        <v>202</v>
      </c>
      <c r="C48" s="379"/>
      <c r="D48" s="379"/>
      <c r="E48" s="379"/>
      <c r="F48" s="379"/>
      <c r="G48" s="379"/>
      <c r="H48" s="379"/>
      <c r="I48" s="379"/>
      <c r="J48" s="379"/>
      <c r="K48" s="379"/>
      <c r="L48" s="379"/>
      <c r="M48" s="379"/>
      <c r="N48" s="379"/>
      <c r="O48" s="379"/>
      <c r="P48" s="379"/>
      <c r="Q48" s="379"/>
      <c r="R48" s="379"/>
      <c r="S48" s="379"/>
      <c r="T48" s="379"/>
      <c r="U48" s="427">
        <f>SUM(F33:Q33)/(C33+E33)</f>
        <v>1.2739293973926786</v>
      </c>
      <c r="V48" s="410"/>
      <c r="W48" s="6"/>
    </row>
    <row r="49" spans="1:23" ht="15.6">
      <c r="A49" s="378"/>
      <c r="B49" s="379" t="s">
        <v>203</v>
      </c>
      <c r="C49" s="379"/>
      <c r="D49" s="379"/>
      <c r="E49" s="379"/>
      <c r="F49" s="379"/>
      <c r="G49" s="379"/>
      <c r="H49" s="379"/>
      <c r="I49" s="379"/>
      <c r="J49" s="379"/>
      <c r="K49" s="379"/>
      <c r="L49" s="379"/>
      <c r="M49" s="379"/>
      <c r="N49" s="379"/>
      <c r="O49" s="379"/>
      <c r="P49" s="379"/>
      <c r="Q49" s="379"/>
      <c r="R49" s="379"/>
      <c r="S49" s="380" t="s">
        <v>95</v>
      </c>
      <c r="T49" s="380" t="s">
        <v>117</v>
      </c>
      <c r="U49" s="394">
        <v>99000</v>
      </c>
      <c r="V49" s="410"/>
      <c r="W49" s="6"/>
    </row>
    <row r="50" spans="1:23" ht="15.6">
      <c r="A50" s="378"/>
      <c r="B50" s="379"/>
      <c r="C50" s="379"/>
      <c r="D50" s="379"/>
      <c r="E50" s="379"/>
      <c r="F50" s="379"/>
      <c r="G50" s="379"/>
      <c r="H50" s="379"/>
      <c r="I50" s="379"/>
      <c r="J50" s="379"/>
      <c r="K50" s="379"/>
      <c r="L50" s="379"/>
      <c r="M50" s="379"/>
      <c r="N50" s="379"/>
      <c r="O50" s="379"/>
      <c r="P50" s="379"/>
      <c r="Q50" s="379"/>
      <c r="R50" s="379"/>
      <c r="S50" s="379" t="s">
        <v>213</v>
      </c>
      <c r="T50" s="379"/>
      <c r="U50" s="432"/>
      <c r="V50" s="410"/>
      <c r="W50" s="6"/>
    </row>
    <row r="51" spans="1:23" ht="15.6">
      <c r="A51" s="378"/>
      <c r="B51" s="379" t="s">
        <v>19</v>
      </c>
      <c r="C51" s="379"/>
      <c r="D51" s="379"/>
      <c r="E51" s="379"/>
      <c r="F51" s="379"/>
      <c r="G51" s="379"/>
      <c r="H51" s="379"/>
      <c r="I51" s="379"/>
      <c r="J51" s="379"/>
      <c r="K51" s="379"/>
      <c r="L51" s="379"/>
      <c r="M51" s="379"/>
      <c r="N51" s="379"/>
      <c r="O51" s="379"/>
      <c r="P51" s="379"/>
      <c r="Q51" s="379"/>
      <c r="R51" s="379"/>
      <c r="S51" s="380"/>
      <c r="T51" s="380"/>
      <c r="U51" s="380" t="s">
        <v>118</v>
      </c>
      <c r="V51" s="410"/>
      <c r="W51" s="6"/>
    </row>
    <row r="52" spans="1:23" ht="15.6">
      <c r="A52" s="401"/>
      <c r="B52" s="386" t="s">
        <v>20</v>
      </c>
      <c r="C52" s="386"/>
      <c r="D52" s="386"/>
      <c r="E52" s="386"/>
      <c r="F52" s="386"/>
      <c r="G52" s="386"/>
      <c r="H52" s="386"/>
      <c r="I52" s="386"/>
      <c r="J52" s="386"/>
      <c r="K52" s="386"/>
      <c r="L52" s="386"/>
      <c r="M52" s="386"/>
      <c r="N52" s="386"/>
      <c r="O52" s="386"/>
      <c r="P52" s="386"/>
      <c r="Q52" s="386"/>
      <c r="R52" s="386"/>
      <c r="S52" s="433"/>
      <c r="T52" s="433"/>
      <c r="U52" s="434">
        <v>41106</v>
      </c>
      <c r="V52" s="435"/>
      <c r="W52" s="6"/>
    </row>
    <row r="53" spans="1:23" ht="15.6">
      <c r="A53" s="378"/>
      <c r="B53" s="379" t="s">
        <v>155</v>
      </c>
      <c r="C53" s="379"/>
      <c r="D53" s="379"/>
      <c r="E53" s="379"/>
      <c r="F53" s="379"/>
      <c r="G53" s="379"/>
      <c r="H53" s="379"/>
      <c r="I53" s="379"/>
      <c r="J53" s="379"/>
      <c r="K53" s="379"/>
      <c r="L53" s="379"/>
      <c r="M53" s="379"/>
      <c r="N53" s="379"/>
      <c r="O53" s="379"/>
      <c r="P53" s="379"/>
      <c r="Q53" s="424"/>
      <c r="R53" s="379">
        <f>U53-S53+1</f>
        <v>91</v>
      </c>
      <c r="S53" s="436">
        <v>40924</v>
      </c>
      <c r="T53" s="429"/>
      <c r="U53" s="436">
        <v>41014</v>
      </c>
      <c r="V53" s="410"/>
      <c r="W53" s="6"/>
    </row>
    <row r="54" spans="1:23" ht="15.6">
      <c r="A54" s="378"/>
      <c r="B54" s="379" t="s">
        <v>156</v>
      </c>
      <c r="C54" s="379"/>
      <c r="D54" s="379"/>
      <c r="E54" s="379"/>
      <c r="F54" s="379"/>
      <c r="G54" s="379"/>
      <c r="H54" s="379"/>
      <c r="I54" s="379"/>
      <c r="J54" s="379"/>
      <c r="K54" s="379"/>
      <c r="L54" s="379"/>
      <c r="M54" s="379"/>
      <c r="N54" s="379"/>
      <c r="O54" s="379"/>
      <c r="P54" s="379"/>
      <c r="Q54" s="424"/>
      <c r="R54" s="379">
        <f>U54-S54+1</f>
        <v>91</v>
      </c>
      <c r="S54" s="436">
        <v>41015</v>
      </c>
      <c r="T54" s="429"/>
      <c r="U54" s="436">
        <v>41105</v>
      </c>
      <c r="V54" s="410"/>
      <c r="W54" s="6"/>
    </row>
    <row r="55" spans="1:23" ht="15.6">
      <c r="A55" s="378"/>
      <c r="B55" s="379" t="s">
        <v>21</v>
      </c>
      <c r="C55" s="379"/>
      <c r="D55" s="379"/>
      <c r="E55" s="379"/>
      <c r="F55" s="379"/>
      <c r="G55" s="379"/>
      <c r="H55" s="379"/>
      <c r="I55" s="379"/>
      <c r="J55" s="379"/>
      <c r="K55" s="379"/>
      <c r="L55" s="379"/>
      <c r="M55" s="379"/>
      <c r="N55" s="379"/>
      <c r="O55" s="379"/>
      <c r="P55" s="379"/>
      <c r="Q55" s="379"/>
      <c r="R55" s="379"/>
      <c r="S55" s="436"/>
      <c r="T55" s="429"/>
      <c r="U55" s="436" t="s">
        <v>119</v>
      </c>
      <c r="V55" s="410"/>
      <c r="W55" s="6"/>
    </row>
    <row r="56" spans="1:23" ht="15.6">
      <c r="A56" s="378"/>
      <c r="B56" s="379" t="s">
        <v>22</v>
      </c>
      <c r="C56" s="379"/>
      <c r="D56" s="379"/>
      <c r="E56" s="379"/>
      <c r="F56" s="379"/>
      <c r="G56" s="379"/>
      <c r="H56" s="379"/>
      <c r="I56" s="379"/>
      <c r="J56" s="379"/>
      <c r="K56" s="379"/>
      <c r="L56" s="379"/>
      <c r="M56" s="379"/>
      <c r="N56" s="379"/>
      <c r="O56" s="379"/>
      <c r="P56" s="379"/>
      <c r="Q56" s="379"/>
      <c r="R56" s="379"/>
      <c r="S56" s="436"/>
      <c r="T56" s="429"/>
      <c r="U56" s="436">
        <v>41092</v>
      </c>
      <c r="V56" s="410"/>
      <c r="W56" s="6"/>
    </row>
    <row r="57" spans="1:23" ht="15.6">
      <c r="A57" s="242"/>
      <c r="B57" s="364"/>
      <c r="C57" s="364"/>
      <c r="D57" s="364"/>
      <c r="E57" s="364"/>
      <c r="F57" s="364"/>
      <c r="G57" s="364"/>
      <c r="H57" s="364"/>
      <c r="I57" s="364"/>
      <c r="J57" s="364"/>
      <c r="K57" s="364"/>
      <c r="L57" s="364"/>
      <c r="M57" s="364"/>
      <c r="N57" s="364"/>
      <c r="O57" s="364"/>
      <c r="P57" s="364"/>
      <c r="Q57" s="364"/>
      <c r="R57" s="364"/>
      <c r="S57" s="364"/>
      <c r="T57" s="364"/>
      <c r="U57" s="377"/>
      <c r="V57" s="303"/>
      <c r="W57" s="6"/>
    </row>
    <row r="58" spans="1:23" ht="15.6">
      <c r="A58" s="242"/>
      <c r="B58" s="288"/>
      <c r="C58" s="288"/>
      <c r="D58" s="288"/>
      <c r="E58" s="288"/>
      <c r="F58" s="288"/>
      <c r="G58" s="288"/>
      <c r="H58" s="288"/>
      <c r="I58" s="288"/>
      <c r="J58" s="288"/>
      <c r="K58" s="288"/>
      <c r="L58" s="288"/>
      <c r="M58" s="288"/>
      <c r="N58" s="288"/>
      <c r="O58" s="288"/>
      <c r="P58" s="288"/>
      <c r="Q58" s="288"/>
      <c r="R58" s="288"/>
      <c r="S58" s="288"/>
      <c r="T58" s="288"/>
      <c r="U58" s="302"/>
      <c r="V58" s="303"/>
      <c r="W58" s="6"/>
    </row>
    <row r="59" spans="1:23" ht="16.2" thickBot="1">
      <c r="A59" s="261"/>
      <c r="B59" s="304" t="s">
        <v>279</v>
      </c>
      <c r="C59" s="305"/>
      <c r="D59" s="305"/>
      <c r="E59" s="305"/>
      <c r="F59" s="305"/>
      <c r="G59" s="305"/>
      <c r="H59" s="305"/>
      <c r="I59" s="305"/>
      <c r="J59" s="305"/>
      <c r="K59" s="305"/>
      <c r="L59" s="305"/>
      <c r="M59" s="305"/>
      <c r="N59" s="305"/>
      <c r="O59" s="305"/>
      <c r="P59" s="305"/>
      <c r="Q59" s="305"/>
      <c r="R59" s="305"/>
      <c r="S59" s="305"/>
      <c r="T59" s="305"/>
      <c r="U59" s="306"/>
      <c r="V59" s="307"/>
      <c r="W59" s="6"/>
    </row>
    <row r="60" spans="1:23" ht="15.6">
      <c r="A60" s="230"/>
      <c r="B60" s="511" t="s">
        <v>23</v>
      </c>
      <c r="C60" s="511"/>
      <c r="D60" s="511"/>
      <c r="E60" s="511"/>
      <c r="F60" s="511"/>
      <c r="G60" s="511"/>
      <c r="H60" s="511"/>
      <c r="I60" s="511"/>
      <c r="J60" s="511"/>
      <c r="K60" s="511"/>
      <c r="L60" s="511"/>
      <c r="M60" s="231"/>
      <c r="N60" s="231"/>
      <c r="O60" s="231"/>
      <c r="P60" s="231"/>
      <c r="Q60" s="231"/>
      <c r="R60" s="231"/>
      <c r="S60" s="231"/>
      <c r="T60" s="231"/>
      <c r="U60" s="309"/>
      <c r="V60" s="237"/>
      <c r="W60" s="6"/>
    </row>
    <row r="61" spans="1:23" ht="15.6">
      <c r="A61" s="242"/>
      <c r="B61" s="252"/>
      <c r="C61" s="252"/>
      <c r="D61" s="252"/>
      <c r="E61" s="252"/>
      <c r="F61" s="252"/>
      <c r="G61" s="252"/>
      <c r="H61" s="252"/>
      <c r="I61" s="252"/>
      <c r="J61" s="252"/>
      <c r="K61" s="252"/>
      <c r="L61" s="252"/>
      <c r="M61" s="244"/>
      <c r="N61" s="244"/>
      <c r="O61" s="244"/>
      <c r="P61" s="244"/>
      <c r="Q61" s="244"/>
      <c r="R61" s="244"/>
      <c r="S61" s="244"/>
      <c r="T61" s="244"/>
      <c r="U61" s="263"/>
      <c r="V61" s="245"/>
      <c r="W61" s="6"/>
    </row>
    <row r="62" spans="1:23" s="151" customFormat="1" ht="46.8">
      <c r="A62" s="264"/>
      <c r="B62" s="512"/>
      <c r="C62" s="513"/>
      <c r="D62" s="513"/>
      <c r="E62" s="513"/>
      <c r="F62" s="513"/>
      <c r="G62" s="513"/>
      <c r="H62" s="513"/>
      <c r="I62" s="513"/>
      <c r="J62" s="513"/>
      <c r="K62" s="513" t="s">
        <v>197</v>
      </c>
      <c r="L62" s="513"/>
      <c r="M62" s="513" t="s">
        <v>98</v>
      </c>
      <c r="N62" s="513"/>
      <c r="O62" s="513" t="s">
        <v>107</v>
      </c>
      <c r="P62" s="513"/>
      <c r="Q62" s="513" t="s">
        <v>111</v>
      </c>
      <c r="R62" s="513"/>
      <c r="S62" s="513" t="s">
        <v>113</v>
      </c>
      <c r="T62" s="513"/>
      <c r="U62" s="514" t="s">
        <v>120</v>
      </c>
      <c r="V62" s="515"/>
      <c r="W62" s="150"/>
    </row>
    <row r="63" spans="1:23" ht="15.6">
      <c r="A63" s="378"/>
      <c r="B63" s="379" t="s">
        <v>24</v>
      </c>
      <c r="C63" s="440"/>
      <c r="D63" s="440"/>
      <c r="E63" s="440"/>
      <c r="F63" s="440"/>
      <c r="G63" s="440"/>
      <c r="H63" s="440"/>
      <c r="I63" s="440"/>
      <c r="J63" s="440"/>
      <c r="K63" s="440">
        <f>265+63566+3306</f>
        <v>67137</v>
      </c>
      <c r="L63" s="440"/>
      <c r="M63" s="440">
        <v>8498</v>
      </c>
      <c r="N63" s="440"/>
      <c r="O63" s="440">
        <f>220+6+202</f>
        <v>428</v>
      </c>
      <c r="P63" s="440"/>
      <c r="Q63" s="440">
        <v>0</v>
      </c>
      <c r="R63" s="440"/>
      <c r="S63" s="440">
        <v>0</v>
      </c>
      <c r="T63" s="440"/>
      <c r="U63" s="441">
        <f>+M63-O63+Q63-S63</f>
        <v>8070</v>
      </c>
      <c r="V63" s="410"/>
      <c r="W63" s="6"/>
    </row>
    <row r="64" spans="1:23" ht="15.6">
      <c r="A64" s="378"/>
      <c r="B64" s="379" t="s">
        <v>25</v>
      </c>
      <c r="C64" s="440"/>
      <c r="D64" s="440"/>
      <c r="E64" s="440"/>
      <c r="F64" s="440"/>
      <c r="G64" s="440"/>
      <c r="H64" s="440"/>
      <c r="I64" s="440"/>
      <c r="J64" s="440"/>
      <c r="K64" s="440"/>
      <c r="L64" s="440"/>
      <c r="M64" s="440"/>
      <c r="N64" s="440"/>
      <c r="O64" s="440"/>
      <c r="P64" s="440"/>
      <c r="Q64" s="440">
        <v>0</v>
      </c>
      <c r="R64" s="440"/>
      <c r="S64" s="440">
        <v>0</v>
      </c>
      <c r="T64" s="440"/>
      <c r="U64" s="441">
        <f>M64-O64</f>
        <v>0</v>
      </c>
      <c r="V64" s="410"/>
      <c r="W64" s="6"/>
    </row>
    <row r="65" spans="1:24" ht="15.6">
      <c r="A65" s="378"/>
      <c r="B65" s="379"/>
      <c r="C65" s="440"/>
      <c r="D65" s="440"/>
      <c r="E65" s="440"/>
      <c r="F65" s="440"/>
      <c r="G65" s="440"/>
      <c r="H65" s="440"/>
      <c r="I65" s="440"/>
      <c r="J65" s="440"/>
      <c r="K65" s="440"/>
      <c r="L65" s="440"/>
      <c r="M65" s="440"/>
      <c r="N65" s="440"/>
      <c r="O65" s="440"/>
      <c r="P65" s="440"/>
      <c r="Q65" s="440"/>
      <c r="R65" s="440"/>
      <c r="S65" s="440"/>
      <c r="T65" s="440"/>
      <c r="U65" s="441"/>
      <c r="V65" s="410"/>
      <c r="W65" s="6"/>
    </row>
    <row r="66" spans="1:24" ht="15.6">
      <c r="A66" s="378"/>
      <c r="B66" s="379" t="s">
        <v>26</v>
      </c>
      <c r="C66" s="440"/>
      <c r="D66" s="440"/>
      <c r="E66" s="440"/>
      <c r="F66" s="440"/>
      <c r="G66" s="440"/>
      <c r="H66" s="440"/>
      <c r="I66" s="440"/>
      <c r="J66" s="440"/>
      <c r="K66" s="440">
        <v>24470</v>
      </c>
      <c r="L66" s="440"/>
      <c r="M66" s="440">
        <v>2073</v>
      </c>
      <c r="N66" s="440"/>
      <c r="O66" s="440">
        <v>171</v>
      </c>
      <c r="P66" s="440"/>
      <c r="Q66" s="440">
        <v>0</v>
      </c>
      <c r="R66" s="440"/>
      <c r="S66" s="440">
        <f>SUM(S63:S65)</f>
        <v>0</v>
      </c>
      <c r="T66" s="440"/>
      <c r="U66" s="441">
        <f>+M66-O66+Q66-S66</f>
        <v>1902</v>
      </c>
      <c r="V66" s="410"/>
      <c r="W66" s="6"/>
    </row>
    <row r="67" spans="1:24" ht="15.6">
      <c r="A67" s="378"/>
      <c r="B67" s="379" t="s">
        <v>25</v>
      </c>
      <c r="C67" s="440"/>
      <c r="D67" s="440"/>
      <c r="E67" s="440"/>
      <c r="F67" s="440"/>
      <c r="G67" s="440"/>
      <c r="H67" s="440"/>
      <c r="I67" s="440"/>
      <c r="J67" s="440"/>
      <c r="K67" s="440"/>
      <c r="L67" s="440"/>
      <c r="M67" s="440"/>
      <c r="N67" s="440"/>
      <c r="O67" s="440"/>
      <c r="P67" s="440"/>
      <c r="Q67" s="440">
        <v>0</v>
      </c>
      <c r="R67" s="440"/>
      <c r="S67" s="440">
        <v>0</v>
      </c>
      <c r="T67" s="440"/>
      <c r="U67" s="440"/>
      <c r="V67" s="410"/>
      <c r="W67" s="6"/>
    </row>
    <row r="68" spans="1:24" ht="15.6">
      <c r="A68" s="378"/>
      <c r="B68" s="386"/>
      <c r="C68" s="440"/>
      <c r="D68" s="440"/>
      <c r="E68" s="440"/>
      <c r="F68" s="440"/>
      <c r="G68" s="440"/>
      <c r="H68" s="440"/>
      <c r="I68" s="440"/>
      <c r="J68" s="440"/>
      <c r="K68" s="440"/>
      <c r="L68" s="440"/>
      <c r="M68" s="440"/>
      <c r="N68" s="440"/>
      <c r="O68" s="442"/>
      <c r="P68" s="440"/>
      <c r="Q68" s="440"/>
      <c r="R68" s="440"/>
      <c r="S68" s="440"/>
      <c r="T68" s="440"/>
      <c r="U68" s="440"/>
      <c r="V68" s="410"/>
      <c r="W68" s="6"/>
    </row>
    <row r="69" spans="1:24" ht="15.6">
      <c r="A69" s="378"/>
      <c r="B69" s="379" t="s">
        <v>27</v>
      </c>
      <c r="C69" s="440"/>
      <c r="D69" s="440"/>
      <c r="E69" s="440"/>
      <c r="F69" s="440"/>
      <c r="G69" s="440"/>
      <c r="H69" s="440"/>
      <c r="I69" s="440"/>
      <c r="J69" s="440"/>
      <c r="K69" s="440">
        <v>220072</v>
      </c>
      <c r="L69" s="440"/>
      <c r="M69" s="440">
        <v>170518</v>
      </c>
      <c r="N69" s="440"/>
      <c r="O69" s="440">
        <f>5935+775</f>
        <v>6710</v>
      </c>
      <c r="P69" s="440"/>
      <c r="Q69" s="440">
        <v>0</v>
      </c>
      <c r="R69" s="440"/>
      <c r="S69" s="440">
        <v>0</v>
      </c>
      <c r="T69" s="440"/>
      <c r="U69" s="441">
        <f>+M69-O69+Q69-S69</f>
        <v>163808</v>
      </c>
      <c r="V69" s="410"/>
      <c r="W69" s="6"/>
    </row>
    <row r="70" spans="1:24" ht="15.6">
      <c r="A70" s="378"/>
      <c r="B70" s="379" t="s">
        <v>25</v>
      </c>
      <c r="C70" s="440"/>
      <c r="D70" s="440"/>
      <c r="E70" s="440"/>
      <c r="F70" s="440"/>
      <c r="G70" s="440"/>
      <c r="H70" s="440"/>
      <c r="I70" s="440"/>
      <c r="J70" s="440"/>
      <c r="K70" s="440"/>
      <c r="L70" s="440"/>
      <c r="M70" s="440"/>
      <c r="N70" s="440"/>
      <c r="O70" s="440"/>
      <c r="P70" s="440"/>
      <c r="Q70" s="440">
        <v>0</v>
      </c>
      <c r="R70" s="440"/>
      <c r="S70" s="440">
        <v>0</v>
      </c>
      <c r="T70" s="440"/>
      <c r="U70" s="441">
        <f>M70-O70+Q70-S70</f>
        <v>0</v>
      </c>
      <c r="V70" s="410"/>
      <c r="W70" s="6"/>
    </row>
    <row r="71" spans="1:24" ht="15.6">
      <c r="A71" s="378"/>
      <c r="B71" s="379"/>
      <c r="C71" s="440"/>
      <c r="D71" s="440"/>
      <c r="E71" s="440"/>
      <c r="F71" s="440"/>
      <c r="G71" s="440"/>
      <c r="H71" s="440"/>
      <c r="I71" s="440"/>
      <c r="J71" s="440"/>
      <c r="K71" s="440"/>
      <c r="L71" s="440"/>
      <c r="M71" s="440"/>
      <c r="N71" s="440"/>
      <c r="O71" s="440"/>
      <c r="P71" s="440"/>
      <c r="Q71" s="440"/>
      <c r="R71" s="440"/>
      <c r="S71" s="440"/>
      <c r="T71" s="440"/>
      <c r="U71" s="441"/>
      <c r="V71" s="410"/>
      <c r="W71" s="6"/>
    </row>
    <row r="72" spans="1:24" ht="15.6">
      <c r="A72" s="378"/>
      <c r="B72" s="379" t="s">
        <v>28</v>
      </c>
      <c r="C72" s="440"/>
      <c r="D72" s="440"/>
      <c r="E72" s="440"/>
      <c r="F72" s="440"/>
      <c r="G72" s="440"/>
      <c r="H72" s="440"/>
      <c r="I72" s="440"/>
      <c r="J72" s="440"/>
      <c r="K72" s="440">
        <v>138321</v>
      </c>
      <c r="L72" s="440"/>
      <c r="M72" s="440">
        <v>4114</v>
      </c>
      <c r="N72" s="440"/>
      <c r="O72" s="440">
        <f>936+158</f>
        <v>1094</v>
      </c>
      <c r="P72" s="440"/>
      <c r="Q72" s="440">
        <v>0</v>
      </c>
      <c r="R72" s="440"/>
      <c r="S72" s="440">
        <v>0</v>
      </c>
      <c r="T72" s="440"/>
      <c r="U72" s="441">
        <f>+M72-O72+Q72-S72</f>
        <v>3020</v>
      </c>
      <c r="V72" s="410"/>
      <c r="W72" s="6"/>
    </row>
    <row r="73" spans="1:24" ht="15.6">
      <c r="A73" s="378"/>
      <c r="B73" s="379" t="s">
        <v>25</v>
      </c>
      <c r="C73" s="440"/>
      <c r="D73" s="440"/>
      <c r="E73" s="440"/>
      <c r="F73" s="440"/>
      <c r="G73" s="440"/>
      <c r="H73" s="440"/>
      <c r="I73" s="440"/>
      <c r="J73" s="440"/>
      <c r="K73" s="440"/>
      <c r="L73" s="440"/>
      <c r="M73" s="440"/>
      <c r="N73" s="440"/>
      <c r="O73" s="440"/>
      <c r="P73" s="440"/>
      <c r="Q73" s="440">
        <v>0</v>
      </c>
      <c r="R73" s="440"/>
      <c r="S73" s="440">
        <v>0</v>
      </c>
      <c r="T73" s="440"/>
      <c r="U73" s="441"/>
      <c r="V73" s="410"/>
      <c r="W73" s="6"/>
    </row>
    <row r="74" spans="1:24" ht="15.6">
      <c r="A74" s="378"/>
      <c r="B74" s="440"/>
      <c r="C74" s="440"/>
      <c r="D74" s="440"/>
      <c r="E74" s="440"/>
      <c r="F74" s="440"/>
      <c r="G74" s="440"/>
      <c r="H74" s="440"/>
      <c r="I74" s="440"/>
      <c r="J74" s="440"/>
      <c r="K74" s="440"/>
      <c r="L74" s="440"/>
      <c r="M74" s="440"/>
      <c r="N74" s="440"/>
      <c r="O74" s="440"/>
      <c r="P74" s="440"/>
      <c r="Q74" s="440"/>
      <c r="R74" s="440"/>
      <c r="S74" s="440"/>
      <c r="T74" s="440"/>
      <c r="U74" s="441"/>
      <c r="V74" s="410"/>
      <c r="W74" s="6"/>
    </row>
    <row r="75" spans="1:24" ht="15.6">
      <c r="A75" s="378"/>
      <c r="B75" s="379" t="s">
        <v>29</v>
      </c>
      <c r="C75" s="440"/>
      <c r="D75" s="440"/>
      <c r="E75" s="440"/>
      <c r="F75" s="440"/>
      <c r="G75" s="440"/>
      <c r="H75" s="440"/>
      <c r="I75" s="440"/>
      <c r="J75" s="440"/>
      <c r="K75" s="440">
        <f>SUM(K63:K72)</f>
        <v>450000</v>
      </c>
      <c r="L75" s="440"/>
      <c r="M75" s="440">
        <f>SUM(M63:M72)</f>
        <v>185203</v>
      </c>
      <c r="N75" s="440"/>
      <c r="O75" s="440">
        <f>SUM(O63:O73)</f>
        <v>8403</v>
      </c>
      <c r="P75" s="440"/>
      <c r="Q75" s="440">
        <f>SUM(Q63:Q73)</f>
        <v>0</v>
      </c>
      <c r="R75" s="440"/>
      <c r="S75" s="440">
        <f>SUM(S70:S74)</f>
        <v>0</v>
      </c>
      <c r="T75" s="440"/>
      <c r="U75" s="440">
        <f>SUM(U63:U73)</f>
        <v>176800</v>
      </c>
      <c r="V75" s="410"/>
      <c r="W75" s="6"/>
      <c r="X75" s="182"/>
    </row>
    <row r="76" spans="1:24" ht="15.6">
      <c r="A76" s="378"/>
      <c r="B76" s="379"/>
      <c r="C76" s="440"/>
      <c r="D76" s="440"/>
      <c r="E76" s="440"/>
      <c r="F76" s="440"/>
      <c r="G76" s="440"/>
      <c r="H76" s="440"/>
      <c r="I76" s="440"/>
      <c r="J76" s="440"/>
      <c r="K76" s="440"/>
      <c r="L76" s="440"/>
      <c r="M76" s="440"/>
      <c r="N76" s="440"/>
      <c r="O76" s="440"/>
      <c r="P76" s="440"/>
      <c r="Q76" s="440"/>
      <c r="R76" s="440"/>
      <c r="S76" s="440"/>
      <c r="T76" s="440"/>
      <c r="U76" s="440"/>
      <c r="V76" s="410"/>
      <c r="W76" s="6"/>
    </row>
    <row r="77" spans="1:24" ht="15.6">
      <c r="A77" s="378"/>
      <c r="B77" s="379" t="s">
        <v>214</v>
      </c>
      <c r="C77" s="440"/>
      <c r="D77" s="440"/>
      <c r="E77" s="440"/>
      <c r="F77" s="440"/>
      <c r="G77" s="440"/>
      <c r="H77" s="440"/>
      <c r="I77" s="440"/>
      <c r="J77" s="440"/>
      <c r="K77" s="440">
        <v>0</v>
      </c>
      <c r="L77" s="440"/>
      <c r="M77" s="440">
        <v>-13101</v>
      </c>
      <c r="N77" s="440"/>
      <c r="O77" s="440">
        <v>33</v>
      </c>
      <c r="P77" s="440"/>
      <c r="Q77" s="440"/>
      <c r="R77" s="440"/>
      <c r="S77" s="440"/>
      <c r="T77" s="440"/>
      <c r="U77" s="441">
        <f>+M77-O77</f>
        <v>-13134</v>
      </c>
      <c r="V77" s="410"/>
      <c r="W77" s="6"/>
    </row>
    <row r="78" spans="1:24" ht="15.6">
      <c r="A78" s="378"/>
      <c r="B78" s="379" t="s">
        <v>30</v>
      </c>
      <c r="C78" s="440"/>
      <c r="D78" s="440"/>
      <c r="E78" s="440"/>
      <c r="F78" s="440"/>
      <c r="G78" s="440"/>
      <c r="H78" s="440"/>
      <c r="I78" s="440"/>
      <c r="J78" s="440"/>
      <c r="K78" s="440">
        <v>0</v>
      </c>
      <c r="L78" s="440"/>
      <c r="M78" s="440">
        <v>0</v>
      </c>
      <c r="N78" s="440"/>
      <c r="O78" s="440">
        <v>0</v>
      </c>
      <c r="P78" s="440"/>
      <c r="Q78" s="440">
        <v>0</v>
      </c>
      <c r="R78" s="440"/>
      <c r="S78" s="440"/>
      <c r="T78" s="440"/>
      <c r="U78" s="440">
        <v>0</v>
      </c>
      <c r="V78" s="410"/>
      <c r="W78" s="6"/>
      <c r="X78" s="182"/>
    </row>
    <row r="79" spans="1:24" ht="15.6">
      <c r="A79" s="378"/>
      <c r="B79" s="379" t="s">
        <v>31</v>
      </c>
      <c r="C79" s="440"/>
      <c r="D79" s="440"/>
      <c r="E79" s="440"/>
      <c r="F79" s="440"/>
      <c r="G79" s="440"/>
      <c r="H79" s="440"/>
      <c r="I79" s="440"/>
      <c r="J79" s="440"/>
      <c r="K79" s="440">
        <v>0</v>
      </c>
      <c r="L79" s="440"/>
      <c r="M79" s="440">
        <v>0</v>
      </c>
      <c r="N79" s="440"/>
      <c r="O79" s="440"/>
      <c r="P79" s="440"/>
      <c r="Q79" s="440">
        <v>0</v>
      </c>
      <c r="R79" s="440"/>
      <c r="S79" s="440"/>
      <c r="T79" s="440"/>
      <c r="U79" s="440">
        <f>Q79+M79</f>
        <v>0</v>
      </c>
      <c r="V79" s="410"/>
      <c r="W79" s="6"/>
    </row>
    <row r="80" spans="1:24" ht="15.6">
      <c r="A80" s="378"/>
      <c r="B80" s="379" t="s">
        <v>16</v>
      </c>
      <c r="C80" s="440"/>
      <c r="D80" s="440"/>
      <c r="E80" s="440"/>
      <c r="F80" s="440"/>
      <c r="G80" s="440"/>
      <c r="H80" s="440"/>
      <c r="I80" s="440"/>
      <c r="J80" s="440"/>
      <c r="K80" s="440">
        <f>SUM(K75:K79)</f>
        <v>450000</v>
      </c>
      <c r="L80" s="440"/>
      <c r="M80" s="440">
        <f>SUM(M75:M79)</f>
        <v>172102</v>
      </c>
      <c r="N80" s="440"/>
      <c r="O80" s="440">
        <f>O78-O79</f>
        <v>0</v>
      </c>
      <c r="P80" s="440"/>
      <c r="Q80" s="440"/>
      <c r="R80" s="440"/>
      <c r="S80" s="440"/>
      <c r="T80" s="440"/>
      <c r="U80" s="440">
        <f>SUM(U75:U79)</f>
        <v>163666</v>
      </c>
      <c r="V80" s="410"/>
      <c r="W80" s="6"/>
    </row>
    <row r="81" spans="1:24" ht="15.6">
      <c r="A81" s="242"/>
      <c r="B81" s="437"/>
      <c r="C81" s="438"/>
      <c r="D81" s="438"/>
      <c r="E81" s="438"/>
      <c r="F81" s="438"/>
      <c r="G81" s="438"/>
      <c r="H81" s="438"/>
      <c r="I81" s="438"/>
      <c r="J81" s="438"/>
      <c r="K81" s="438"/>
      <c r="L81" s="438"/>
      <c r="M81" s="438"/>
      <c r="N81" s="438"/>
      <c r="O81" s="438"/>
      <c r="P81" s="438"/>
      <c r="Q81" s="438"/>
      <c r="R81" s="438"/>
      <c r="S81" s="439"/>
      <c r="T81" s="438"/>
      <c r="U81" s="439"/>
      <c r="V81" s="245"/>
      <c r="W81" s="6"/>
    </row>
    <row r="82" spans="1:24" ht="15.6">
      <c r="A82" s="230"/>
      <c r="B82" s="511" t="s">
        <v>32</v>
      </c>
      <c r="C82" s="511"/>
      <c r="D82" s="511"/>
      <c r="E82" s="511"/>
      <c r="F82" s="511"/>
      <c r="G82" s="511"/>
      <c r="H82" s="511"/>
      <c r="I82" s="511"/>
      <c r="J82" s="511"/>
      <c r="K82" s="511"/>
      <c r="L82" s="511"/>
      <c r="M82" s="511"/>
      <c r="N82" s="511"/>
      <c r="O82" s="511"/>
      <c r="P82" s="511"/>
      <c r="Q82" s="511"/>
      <c r="R82" s="232"/>
      <c r="S82" s="232"/>
      <c r="T82" s="232"/>
      <c r="U82" s="232" t="s">
        <v>121</v>
      </c>
      <c r="V82" s="516"/>
      <c r="W82" s="6"/>
    </row>
    <row r="83" spans="1:24" ht="15.6">
      <c r="A83" s="315"/>
      <c r="B83" s="294" t="s">
        <v>33</v>
      </c>
      <c r="C83" s="294"/>
      <c r="D83" s="294"/>
      <c r="E83" s="294"/>
      <c r="F83" s="294"/>
      <c r="G83" s="294"/>
      <c r="H83" s="294"/>
      <c r="I83" s="294"/>
      <c r="J83" s="294"/>
      <c r="K83" s="294"/>
      <c r="L83" s="294"/>
      <c r="M83" s="294"/>
      <c r="N83" s="294"/>
      <c r="O83" s="310"/>
      <c r="P83" s="294"/>
      <c r="Q83" s="294"/>
      <c r="R83" s="294"/>
      <c r="S83" s="310"/>
      <c r="T83" s="294"/>
      <c r="U83" s="311">
        <v>51857</v>
      </c>
      <c r="V83" s="298"/>
      <c r="W83" s="6"/>
    </row>
    <row r="84" spans="1:24" ht="15.6">
      <c r="A84" s="444"/>
      <c r="B84" s="379" t="s">
        <v>34</v>
      </c>
      <c r="C84" s="431"/>
      <c r="D84" s="431"/>
      <c r="E84" s="431"/>
      <c r="F84" s="431"/>
      <c r="G84" s="431"/>
      <c r="H84" s="431"/>
      <c r="I84" s="431"/>
      <c r="J84" s="431"/>
      <c r="K84" s="431"/>
      <c r="L84" s="431"/>
      <c r="M84" s="430"/>
      <c r="N84" s="379"/>
      <c r="O84" s="379"/>
      <c r="P84" s="379"/>
      <c r="Q84" s="379"/>
      <c r="R84" s="379"/>
      <c r="S84" s="440"/>
      <c r="T84" s="379"/>
      <c r="U84" s="441">
        <f>451+17+9-30</f>
        <v>447</v>
      </c>
      <c r="V84" s="410"/>
      <c r="W84" s="6"/>
    </row>
    <row r="85" spans="1:24" ht="15.6">
      <c r="A85" s="444"/>
      <c r="B85" s="379" t="s">
        <v>230</v>
      </c>
      <c r="C85" s="379"/>
      <c r="D85" s="379"/>
      <c r="E85" s="379"/>
      <c r="F85" s="379"/>
      <c r="G85" s="379"/>
      <c r="H85" s="379"/>
      <c r="I85" s="379"/>
      <c r="J85" s="379"/>
      <c r="K85" s="379"/>
      <c r="L85" s="379"/>
      <c r="M85" s="379"/>
      <c r="N85" s="379"/>
      <c r="O85" s="379"/>
      <c r="P85" s="379"/>
      <c r="Q85" s="379"/>
      <c r="R85" s="379"/>
      <c r="S85" s="440"/>
      <c r="T85" s="379"/>
      <c r="U85" s="441">
        <v>0</v>
      </c>
      <c r="V85" s="410"/>
      <c r="W85" s="6"/>
      <c r="X85" s="64"/>
    </row>
    <row r="86" spans="1:24" ht="15.6">
      <c r="A86" s="444"/>
      <c r="B86" s="379" t="s">
        <v>231</v>
      </c>
      <c r="C86" s="379"/>
      <c r="D86" s="379"/>
      <c r="E86" s="379"/>
      <c r="F86" s="379"/>
      <c r="G86" s="379"/>
      <c r="H86" s="379"/>
      <c r="I86" s="379"/>
      <c r="J86" s="379"/>
      <c r="K86" s="379"/>
      <c r="L86" s="379"/>
      <c r="M86" s="379"/>
      <c r="N86" s="379"/>
      <c r="O86" s="379"/>
      <c r="P86" s="379"/>
      <c r="Q86" s="379"/>
      <c r="R86" s="379"/>
      <c r="S86" s="440"/>
      <c r="T86" s="379"/>
      <c r="U86" s="441">
        <v>0</v>
      </c>
      <c r="V86" s="410"/>
      <c r="W86" s="6"/>
      <c r="X86" s="64"/>
    </row>
    <row r="87" spans="1:24" ht="15.6">
      <c r="A87" s="444"/>
      <c r="B87" s="379" t="s">
        <v>35</v>
      </c>
      <c r="C87" s="379"/>
      <c r="D87" s="379"/>
      <c r="E87" s="379"/>
      <c r="F87" s="379"/>
      <c r="G87" s="379"/>
      <c r="H87" s="379"/>
      <c r="I87" s="379"/>
      <c r="J87" s="379"/>
      <c r="K87" s="379"/>
      <c r="L87" s="379"/>
      <c r="M87" s="379"/>
      <c r="N87" s="379"/>
      <c r="O87" s="379"/>
      <c r="P87" s="379"/>
      <c r="Q87" s="379"/>
      <c r="R87" s="379"/>
      <c r="S87" s="440"/>
      <c r="T87" s="379"/>
      <c r="U87" s="441">
        <f>SUM(U83:U86)</f>
        <v>52304</v>
      </c>
      <c r="V87" s="410"/>
      <c r="W87" s="6"/>
      <c r="X87" s="64"/>
    </row>
    <row r="88" spans="1:24" ht="15.6">
      <c r="A88" s="444"/>
      <c r="B88" s="379"/>
      <c r="C88" s="379"/>
      <c r="D88" s="379"/>
      <c r="E88" s="379"/>
      <c r="F88" s="379"/>
      <c r="G88" s="379"/>
      <c r="H88" s="379"/>
      <c r="I88" s="379"/>
      <c r="J88" s="379"/>
      <c r="K88" s="379"/>
      <c r="L88" s="379"/>
      <c r="M88" s="379"/>
      <c r="N88" s="379"/>
      <c r="O88" s="379"/>
      <c r="P88" s="379"/>
      <c r="Q88" s="379"/>
      <c r="R88" s="379"/>
      <c r="S88" s="440"/>
      <c r="T88" s="379"/>
      <c r="U88" s="440"/>
      <c r="V88" s="410"/>
      <c r="W88" s="6"/>
    </row>
    <row r="89" spans="1:24" ht="15.6">
      <c r="A89" s="444"/>
      <c r="B89" s="446" t="s">
        <v>36</v>
      </c>
      <c r="C89" s="446"/>
      <c r="D89" s="446"/>
      <c r="E89" s="446"/>
      <c r="F89" s="446"/>
      <c r="G89" s="446"/>
      <c r="H89" s="446"/>
      <c r="I89" s="446"/>
      <c r="J89" s="446"/>
      <c r="K89" s="446"/>
      <c r="L89" s="446"/>
      <c r="M89" s="379"/>
      <c r="N89" s="379"/>
      <c r="O89" s="379"/>
      <c r="P89" s="379"/>
      <c r="Q89" s="379"/>
      <c r="R89" s="379"/>
      <c r="S89" s="440"/>
      <c r="T89" s="379"/>
      <c r="U89" s="441"/>
      <c r="V89" s="410"/>
      <c r="W89" s="6"/>
      <c r="X89" s="64"/>
    </row>
    <row r="90" spans="1:24" ht="15.6">
      <c r="A90" s="444">
        <v>1</v>
      </c>
      <c r="B90" s="379" t="s">
        <v>37</v>
      </c>
      <c r="C90" s="379"/>
      <c r="D90" s="379"/>
      <c r="E90" s="379"/>
      <c r="F90" s="379"/>
      <c r="G90" s="379"/>
      <c r="H90" s="379"/>
      <c r="I90" s="379"/>
      <c r="J90" s="379"/>
      <c r="K90" s="379"/>
      <c r="L90" s="379"/>
      <c r="M90" s="379"/>
      <c r="N90" s="379"/>
      <c r="O90" s="379"/>
      <c r="P90" s="379"/>
      <c r="Q90" s="379"/>
      <c r="R90" s="379"/>
      <c r="S90" s="379"/>
      <c r="T90" s="379"/>
      <c r="U90" s="441">
        <v>-2</v>
      </c>
      <c r="V90" s="410"/>
      <c r="W90" s="6"/>
    </row>
    <row r="91" spans="1:24" ht="15.6">
      <c r="A91" s="444">
        <f>A90+1</f>
        <v>2</v>
      </c>
      <c r="B91" s="379" t="s">
        <v>168</v>
      </c>
      <c r="C91" s="379"/>
      <c r="D91" s="379"/>
      <c r="E91" s="379"/>
      <c r="F91" s="379"/>
      <c r="G91" s="379"/>
      <c r="H91" s="379"/>
      <c r="I91" s="379"/>
      <c r="J91" s="379"/>
      <c r="K91" s="379"/>
      <c r="L91" s="379"/>
      <c r="M91" s="379"/>
      <c r="N91" s="379"/>
      <c r="O91" s="379"/>
      <c r="P91" s="379"/>
      <c r="Q91" s="379"/>
      <c r="R91" s="379"/>
      <c r="S91" s="379"/>
      <c r="T91" s="379"/>
      <c r="U91" s="441">
        <f>-171-80-2</f>
        <v>-253</v>
      </c>
      <c r="V91" s="410"/>
      <c r="W91" s="6"/>
      <c r="X91" s="64"/>
    </row>
    <row r="92" spans="1:24" ht="15.6">
      <c r="A92" s="444">
        <v>3</v>
      </c>
      <c r="B92" s="379" t="s">
        <v>38</v>
      </c>
      <c r="C92" s="379"/>
      <c r="D92" s="379"/>
      <c r="E92" s="379"/>
      <c r="F92" s="379"/>
      <c r="G92" s="379"/>
      <c r="H92" s="379"/>
      <c r="I92" s="379"/>
      <c r="J92" s="379"/>
      <c r="K92" s="379"/>
      <c r="L92" s="379"/>
      <c r="M92" s="379"/>
      <c r="N92" s="379"/>
      <c r="O92" s="379"/>
      <c r="P92" s="379"/>
      <c r="Q92" s="379"/>
      <c r="R92" s="379"/>
      <c r="S92" s="379"/>
      <c r="T92" s="379"/>
      <c r="U92" s="441">
        <v>-89</v>
      </c>
      <c r="V92" s="410"/>
      <c r="W92" s="6"/>
      <c r="X92" s="64"/>
    </row>
    <row r="93" spans="1:24" ht="15.6">
      <c r="A93" s="447" t="s">
        <v>190</v>
      </c>
      <c r="B93" s="379" t="s">
        <v>169</v>
      </c>
      <c r="C93" s="379"/>
      <c r="D93" s="379"/>
      <c r="E93" s="379"/>
      <c r="F93" s="379"/>
      <c r="G93" s="379"/>
      <c r="H93" s="379"/>
      <c r="I93" s="379"/>
      <c r="J93" s="379"/>
      <c r="K93" s="379"/>
      <c r="L93" s="379"/>
      <c r="M93" s="379"/>
      <c r="N93" s="379"/>
      <c r="O93" s="379"/>
      <c r="P93" s="379"/>
      <c r="Q93" s="379"/>
      <c r="R93" s="379"/>
      <c r="S93" s="379"/>
      <c r="T93" s="379"/>
      <c r="U93" s="441">
        <v>-124</v>
      </c>
      <c r="V93" s="410"/>
      <c r="W93" s="6"/>
      <c r="X93" s="64"/>
    </row>
    <row r="94" spans="1:24" ht="15.6">
      <c r="A94" s="447" t="s">
        <v>191</v>
      </c>
      <c r="B94" s="379" t="s">
        <v>170</v>
      </c>
      <c r="C94" s="379"/>
      <c r="D94" s="379"/>
      <c r="E94" s="379"/>
      <c r="F94" s="379"/>
      <c r="G94" s="379"/>
      <c r="H94" s="379"/>
      <c r="I94" s="379"/>
      <c r="J94" s="379"/>
      <c r="K94" s="379"/>
      <c r="L94" s="379"/>
      <c r="M94" s="379"/>
      <c r="N94" s="379"/>
      <c r="O94" s="379"/>
      <c r="P94" s="379"/>
      <c r="Q94" s="379"/>
      <c r="R94" s="379"/>
      <c r="S94" s="379"/>
      <c r="T94" s="379"/>
      <c r="U94" s="441">
        <v>-156</v>
      </c>
      <c r="V94" s="410"/>
      <c r="W94" s="6"/>
      <c r="X94" s="182"/>
    </row>
    <row r="95" spans="1:24" ht="15.6">
      <c r="A95" s="444">
        <v>5</v>
      </c>
      <c r="B95" s="379" t="s">
        <v>171</v>
      </c>
      <c r="C95" s="379"/>
      <c r="D95" s="379"/>
      <c r="E95" s="379"/>
      <c r="F95" s="379"/>
      <c r="G95" s="379"/>
      <c r="H95" s="379"/>
      <c r="I95" s="379"/>
      <c r="J95" s="379"/>
      <c r="K95" s="379"/>
      <c r="L95" s="379"/>
      <c r="M95" s="379"/>
      <c r="N95" s="379"/>
      <c r="O95" s="379"/>
      <c r="P95" s="379"/>
      <c r="Q95" s="379"/>
      <c r="R95" s="379"/>
      <c r="S95" s="379"/>
      <c r="T95" s="379"/>
      <c r="U95" s="441">
        <v>-8</v>
      </c>
      <c r="V95" s="410"/>
      <c r="W95" s="6"/>
    </row>
    <row r="96" spans="1:24" ht="15.6">
      <c r="A96" s="447" t="s">
        <v>174</v>
      </c>
      <c r="B96" s="379" t="s">
        <v>172</v>
      </c>
      <c r="C96" s="379"/>
      <c r="D96" s="379"/>
      <c r="E96" s="379"/>
      <c r="F96" s="379"/>
      <c r="G96" s="379"/>
      <c r="H96" s="379"/>
      <c r="I96" s="379"/>
      <c r="J96" s="379"/>
      <c r="K96" s="379"/>
      <c r="L96" s="379"/>
      <c r="M96" s="379"/>
      <c r="N96" s="379"/>
      <c r="O96" s="379"/>
      <c r="P96" s="379"/>
      <c r="Q96" s="379"/>
      <c r="R96" s="379"/>
      <c r="S96" s="379"/>
      <c r="T96" s="379"/>
      <c r="U96" s="441">
        <v>-51</v>
      </c>
      <c r="V96" s="410"/>
      <c r="W96" s="6"/>
      <c r="X96" s="182"/>
    </row>
    <row r="97" spans="1:24" ht="15.6">
      <c r="A97" s="447" t="s">
        <v>176</v>
      </c>
      <c r="B97" s="379" t="s">
        <v>173</v>
      </c>
      <c r="C97" s="379"/>
      <c r="D97" s="379"/>
      <c r="E97" s="379"/>
      <c r="F97" s="379"/>
      <c r="G97" s="379"/>
      <c r="H97" s="379"/>
      <c r="I97" s="379"/>
      <c r="J97" s="379"/>
      <c r="K97" s="379"/>
      <c r="L97" s="379"/>
      <c r="M97" s="379"/>
      <c r="N97" s="379"/>
      <c r="O97" s="379"/>
      <c r="P97" s="379"/>
      <c r="Q97" s="379"/>
      <c r="R97" s="379"/>
      <c r="S97" s="379"/>
      <c r="T97" s="379"/>
      <c r="U97" s="441">
        <v>-82</v>
      </c>
      <c r="V97" s="410"/>
      <c r="W97" s="119"/>
      <c r="X97" s="182"/>
    </row>
    <row r="98" spans="1:24" ht="15.6">
      <c r="A98" s="447" t="s">
        <v>178</v>
      </c>
      <c r="B98" s="379" t="s">
        <v>175</v>
      </c>
      <c r="C98" s="379"/>
      <c r="D98" s="379"/>
      <c r="E98" s="379"/>
      <c r="F98" s="379"/>
      <c r="G98" s="379"/>
      <c r="H98" s="379"/>
      <c r="I98" s="379"/>
      <c r="J98" s="379"/>
      <c r="K98" s="379"/>
      <c r="L98" s="379"/>
      <c r="M98" s="379"/>
      <c r="N98" s="379"/>
      <c r="O98" s="379"/>
      <c r="P98" s="379"/>
      <c r="Q98" s="379"/>
      <c r="R98" s="379"/>
      <c r="S98" s="379"/>
      <c r="T98" s="379"/>
      <c r="U98" s="441">
        <v>-76</v>
      </c>
      <c r="V98" s="410"/>
      <c r="W98" s="6"/>
      <c r="X98" s="182"/>
    </row>
    <row r="99" spans="1:24" ht="15.6">
      <c r="A99" s="447" t="s">
        <v>180</v>
      </c>
      <c r="B99" s="379" t="s">
        <v>177</v>
      </c>
      <c r="C99" s="379"/>
      <c r="D99" s="379"/>
      <c r="E99" s="379"/>
      <c r="F99" s="379"/>
      <c r="G99" s="379"/>
      <c r="H99" s="379"/>
      <c r="I99" s="379"/>
      <c r="J99" s="379"/>
      <c r="K99" s="379"/>
      <c r="L99" s="379"/>
      <c r="M99" s="379"/>
      <c r="N99" s="379"/>
      <c r="O99" s="379"/>
      <c r="P99" s="379"/>
      <c r="Q99" s="379"/>
      <c r="R99" s="379"/>
      <c r="S99" s="379"/>
      <c r="T99" s="379"/>
      <c r="U99" s="441">
        <v>-97</v>
      </c>
      <c r="V99" s="410"/>
      <c r="W99" s="119"/>
      <c r="X99" s="182"/>
    </row>
    <row r="100" spans="1:24" ht="15.6">
      <c r="A100" s="447" t="s">
        <v>192</v>
      </c>
      <c r="B100" s="379" t="s">
        <v>179</v>
      </c>
      <c r="C100" s="379"/>
      <c r="D100" s="379"/>
      <c r="E100" s="379"/>
      <c r="F100" s="379"/>
      <c r="G100" s="379"/>
      <c r="H100" s="379"/>
      <c r="I100" s="379"/>
      <c r="J100" s="379"/>
      <c r="K100" s="379"/>
      <c r="L100" s="379"/>
      <c r="M100" s="379"/>
      <c r="N100" s="379"/>
      <c r="O100" s="379"/>
      <c r="P100" s="379"/>
      <c r="Q100" s="379"/>
      <c r="R100" s="379"/>
      <c r="S100" s="379"/>
      <c r="T100" s="379"/>
      <c r="U100" s="441">
        <v>-136</v>
      </c>
      <c r="V100" s="410"/>
      <c r="W100" s="6"/>
      <c r="X100" s="182"/>
    </row>
    <row r="101" spans="1:24" ht="15.6">
      <c r="A101" s="447" t="s">
        <v>193</v>
      </c>
      <c r="B101" s="379" t="s">
        <v>181</v>
      </c>
      <c r="C101" s="379"/>
      <c r="D101" s="379"/>
      <c r="E101" s="379"/>
      <c r="F101" s="379"/>
      <c r="G101" s="379"/>
      <c r="H101" s="379"/>
      <c r="I101" s="379"/>
      <c r="J101" s="379"/>
      <c r="K101" s="379"/>
      <c r="L101" s="379"/>
      <c r="M101" s="379"/>
      <c r="N101" s="379"/>
      <c r="O101" s="379"/>
      <c r="P101" s="379"/>
      <c r="Q101" s="379"/>
      <c r="R101" s="379"/>
      <c r="S101" s="379"/>
      <c r="T101" s="379"/>
      <c r="U101" s="441">
        <v>-117</v>
      </c>
      <c r="V101" s="410"/>
      <c r="W101" s="119"/>
      <c r="X101" s="182"/>
    </row>
    <row r="102" spans="1:24" ht="15.6">
      <c r="A102" s="444">
        <v>9</v>
      </c>
      <c r="B102" s="379" t="s">
        <v>257</v>
      </c>
      <c r="C102" s="379"/>
      <c r="D102" s="379"/>
      <c r="E102" s="379"/>
      <c r="F102" s="379"/>
      <c r="G102" s="379"/>
      <c r="H102" s="379"/>
      <c r="I102" s="379"/>
      <c r="J102" s="379"/>
      <c r="K102" s="379"/>
      <c r="L102" s="379"/>
      <c r="M102" s="379"/>
      <c r="N102" s="379"/>
      <c r="O102" s="379"/>
      <c r="P102" s="379"/>
      <c r="Q102" s="379"/>
      <c r="R102" s="379"/>
      <c r="S102" s="379"/>
      <c r="T102" s="379"/>
      <c r="U102" s="441">
        <f>+S219-U32</f>
        <v>-8435.8520000000135</v>
      </c>
      <c r="V102" s="410"/>
      <c r="W102" s="6"/>
      <c r="X102" s="182"/>
    </row>
    <row r="103" spans="1:24" ht="15.6">
      <c r="A103" s="444">
        <v>10</v>
      </c>
      <c r="B103" s="379" t="s">
        <v>234</v>
      </c>
      <c r="C103" s="379"/>
      <c r="D103" s="379"/>
      <c r="E103" s="379"/>
      <c r="F103" s="379"/>
      <c r="G103" s="379"/>
      <c r="H103" s="379"/>
      <c r="I103" s="379"/>
      <c r="J103" s="379"/>
      <c r="K103" s="379"/>
      <c r="L103" s="379"/>
      <c r="M103" s="379"/>
      <c r="N103" s="379"/>
      <c r="O103" s="379"/>
      <c r="P103" s="379"/>
      <c r="Q103" s="379"/>
      <c r="R103" s="379"/>
      <c r="S103" s="379"/>
      <c r="T103" s="379"/>
      <c r="U103" s="441">
        <v>-40500</v>
      </c>
      <c r="V103" s="410"/>
      <c r="W103" s="6"/>
      <c r="X103" s="64"/>
    </row>
    <row r="104" spans="1:24" ht="15.6">
      <c r="A104" s="444">
        <v>11</v>
      </c>
      <c r="B104" s="379" t="s">
        <v>183</v>
      </c>
      <c r="C104" s="379"/>
      <c r="D104" s="379"/>
      <c r="E104" s="379"/>
      <c r="F104" s="379"/>
      <c r="G104" s="379"/>
      <c r="H104" s="379"/>
      <c r="I104" s="379"/>
      <c r="J104" s="379"/>
      <c r="K104" s="379"/>
      <c r="L104" s="379"/>
      <c r="M104" s="379"/>
      <c r="N104" s="379"/>
      <c r="O104" s="379"/>
      <c r="P104" s="379"/>
      <c r="Q104" s="379"/>
      <c r="R104" s="379"/>
      <c r="S104" s="379"/>
      <c r="T104" s="379"/>
      <c r="U104" s="441">
        <v>0</v>
      </c>
      <c r="V104" s="410"/>
      <c r="W104" s="6"/>
      <c r="X104" s="64"/>
    </row>
    <row r="105" spans="1:24" ht="15.6">
      <c r="A105" s="444">
        <v>12</v>
      </c>
      <c r="B105" s="379" t="s">
        <v>184</v>
      </c>
      <c r="C105" s="379"/>
      <c r="D105" s="379"/>
      <c r="E105" s="379"/>
      <c r="F105" s="379"/>
      <c r="G105" s="379"/>
      <c r="H105" s="379"/>
      <c r="I105" s="379"/>
      <c r="J105" s="379"/>
      <c r="K105" s="379"/>
      <c r="L105" s="379"/>
      <c r="M105" s="379"/>
      <c r="N105" s="379"/>
      <c r="O105" s="379"/>
      <c r="P105" s="379"/>
      <c r="Q105" s="379"/>
      <c r="R105" s="379"/>
      <c r="S105" s="379"/>
      <c r="T105" s="379"/>
      <c r="U105" s="441">
        <v>-193</v>
      </c>
      <c r="V105" s="410"/>
      <c r="W105" s="6"/>
      <c r="X105" s="182"/>
    </row>
    <row r="106" spans="1:24" ht="15.6">
      <c r="A106" s="444">
        <v>13</v>
      </c>
      <c r="B106" s="379" t="s">
        <v>40</v>
      </c>
      <c r="C106" s="379"/>
      <c r="D106" s="379"/>
      <c r="E106" s="379"/>
      <c r="F106" s="379"/>
      <c r="G106" s="379"/>
      <c r="H106" s="379"/>
      <c r="I106" s="379"/>
      <c r="J106" s="379"/>
      <c r="K106" s="379"/>
      <c r="L106" s="379"/>
      <c r="M106" s="379"/>
      <c r="N106" s="379"/>
      <c r="O106" s="379"/>
      <c r="P106" s="379"/>
      <c r="Q106" s="379"/>
      <c r="R106" s="379"/>
      <c r="S106" s="379"/>
      <c r="T106" s="379"/>
      <c r="U106" s="441">
        <f>-SUM(U87:V105)</f>
        <v>-1984.1479999999865</v>
      </c>
      <c r="V106" s="410"/>
      <c r="W106" s="6"/>
      <c r="X106" s="182"/>
    </row>
    <row r="107" spans="1:24" ht="15.6">
      <c r="A107" s="316"/>
      <c r="B107" s="443"/>
      <c r="C107" s="364"/>
      <c r="D107" s="364"/>
      <c r="E107" s="364"/>
      <c r="F107" s="364"/>
      <c r="G107" s="364"/>
      <c r="H107" s="364"/>
      <c r="I107" s="364"/>
      <c r="J107" s="364"/>
      <c r="K107" s="364"/>
      <c r="L107" s="364"/>
      <c r="M107" s="364"/>
      <c r="N107" s="364"/>
      <c r="O107" s="364"/>
      <c r="P107" s="364"/>
      <c r="Q107" s="364"/>
      <c r="R107" s="364"/>
      <c r="S107" s="360"/>
      <c r="T107" s="360"/>
      <c r="U107" s="360"/>
      <c r="V107" s="303"/>
      <c r="W107" s="6"/>
      <c r="X107" s="182"/>
    </row>
    <row r="108" spans="1:24" ht="15.6">
      <c r="A108" s="316"/>
      <c r="B108" s="317"/>
      <c r="C108" s="288"/>
      <c r="D108" s="288"/>
      <c r="E108" s="288"/>
      <c r="F108" s="288"/>
      <c r="G108" s="288"/>
      <c r="H108" s="288"/>
      <c r="I108" s="288"/>
      <c r="J108" s="288"/>
      <c r="K108" s="288"/>
      <c r="L108" s="288"/>
      <c r="M108" s="288"/>
      <c r="N108" s="288"/>
      <c r="O108" s="288"/>
      <c r="P108" s="288"/>
      <c r="Q108" s="288"/>
      <c r="R108" s="288"/>
      <c r="S108" s="318"/>
      <c r="T108" s="318"/>
      <c r="U108" s="318"/>
      <c r="V108" s="303"/>
      <c r="W108" s="6"/>
    </row>
    <row r="109" spans="1:24" ht="16.2" thickBot="1">
      <c r="A109" s="319"/>
      <c r="B109" s="304" t="str">
        <f>+B59</f>
        <v>PPAF3 INVESTOR REPORT QUARTER ENDING JUNE 2012</v>
      </c>
      <c r="C109" s="305"/>
      <c r="D109" s="305"/>
      <c r="E109" s="305"/>
      <c r="F109" s="305"/>
      <c r="G109" s="305"/>
      <c r="H109" s="305"/>
      <c r="I109" s="305"/>
      <c r="J109" s="305"/>
      <c r="K109" s="305"/>
      <c r="L109" s="305"/>
      <c r="M109" s="305"/>
      <c r="N109" s="305"/>
      <c r="O109" s="305"/>
      <c r="P109" s="305"/>
      <c r="Q109" s="305"/>
      <c r="R109" s="305"/>
      <c r="S109" s="320"/>
      <c r="T109" s="320"/>
      <c r="U109" s="320"/>
      <c r="V109" s="307"/>
      <c r="W109" s="6"/>
    </row>
    <row r="110" spans="1:24" ht="15.6">
      <c r="A110" s="238"/>
      <c r="B110" s="240"/>
      <c r="C110" s="240"/>
      <c r="D110" s="240"/>
      <c r="E110" s="240"/>
      <c r="F110" s="240"/>
      <c r="G110" s="240"/>
      <c r="H110" s="240"/>
      <c r="I110" s="240"/>
      <c r="J110" s="240"/>
      <c r="K110" s="240"/>
      <c r="L110" s="240"/>
      <c r="M110" s="240"/>
      <c r="N110" s="240"/>
      <c r="O110" s="240"/>
      <c r="P110" s="240"/>
      <c r="Q110" s="240"/>
      <c r="R110" s="240"/>
      <c r="S110" s="269"/>
      <c r="T110" s="269"/>
      <c r="U110" s="269"/>
      <c r="V110" s="241"/>
      <c r="W110" s="6"/>
    </row>
    <row r="111" spans="1:24" ht="15.6">
      <c r="A111" s="321"/>
      <c r="B111" s="517" t="s">
        <v>41</v>
      </c>
      <c r="C111" s="322"/>
      <c r="D111" s="322"/>
      <c r="E111" s="322"/>
      <c r="F111" s="322"/>
      <c r="G111" s="322"/>
      <c r="H111" s="322"/>
      <c r="I111" s="322"/>
      <c r="J111" s="322"/>
      <c r="K111" s="322"/>
      <c r="L111" s="322"/>
      <c r="M111" s="322"/>
      <c r="N111" s="322"/>
      <c r="O111" s="322"/>
      <c r="P111" s="322"/>
      <c r="Q111" s="322"/>
      <c r="R111" s="322"/>
      <c r="S111" s="322"/>
      <c r="T111" s="322"/>
      <c r="U111" s="323"/>
      <c r="V111" s="324"/>
      <c r="W111" s="6"/>
    </row>
    <row r="112" spans="1:24" ht="15.6">
      <c r="A112" s="270"/>
      <c r="B112" s="271"/>
      <c r="C112" s="271"/>
      <c r="D112" s="271"/>
      <c r="E112" s="271"/>
      <c r="F112" s="271"/>
      <c r="G112" s="271"/>
      <c r="H112" s="271"/>
      <c r="I112" s="271"/>
      <c r="J112" s="271"/>
      <c r="K112" s="271"/>
      <c r="L112" s="271"/>
      <c r="M112" s="271"/>
      <c r="N112" s="271"/>
      <c r="O112" s="271"/>
      <c r="P112" s="271"/>
      <c r="Q112" s="271"/>
      <c r="R112" s="271"/>
      <c r="S112" s="271"/>
      <c r="T112" s="271"/>
      <c r="U112" s="272"/>
      <c r="V112" s="273"/>
      <c r="W112" s="6"/>
    </row>
    <row r="113" spans="1:24" ht="15.6">
      <c r="A113" s="242"/>
      <c r="B113" s="274" t="s">
        <v>42</v>
      </c>
      <c r="C113" s="252"/>
      <c r="D113" s="252"/>
      <c r="E113" s="252"/>
      <c r="F113" s="252"/>
      <c r="G113" s="252"/>
      <c r="H113" s="252"/>
      <c r="I113" s="252"/>
      <c r="J113" s="252"/>
      <c r="K113" s="252"/>
      <c r="L113" s="252"/>
      <c r="M113" s="244"/>
      <c r="N113" s="244"/>
      <c r="O113" s="244"/>
      <c r="P113" s="244"/>
      <c r="Q113" s="244"/>
      <c r="R113" s="244"/>
      <c r="S113" s="244"/>
      <c r="T113" s="244"/>
      <c r="U113" s="263"/>
      <c r="V113" s="245"/>
      <c r="W113" s="6"/>
    </row>
    <row r="114" spans="1:24" ht="15.6">
      <c r="A114" s="378"/>
      <c r="B114" s="379" t="s">
        <v>43</v>
      </c>
      <c r="C114" s="379"/>
      <c r="D114" s="379"/>
      <c r="E114" s="379"/>
      <c r="F114" s="379"/>
      <c r="G114" s="379"/>
      <c r="H114" s="379"/>
      <c r="I114" s="379"/>
      <c r="J114" s="379"/>
      <c r="K114" s="379"/>
      <c r="L114" s="379"/>
      <c r="M114" s="379"/>
      <c r="N114" s="379"/>
      <c r="O114" s="379"/>
      <c r="P114" s="379"/>
      <c r="Q114" s="379"/>
      <c r="R114" s="379"/>
      <c r="S114" s="379"/>
      <c r="T114" s="379"/>
      <c r="U114" s="441">
        <v>40500</v>
      </c>
      <c r="V114" s="410"/>
      <c r="W114" s="6"/>
    </row>
    <row r="115" spans="1:24" ht="15.6">
      <c r="A115" s="378"/>
      <c r="B115" s="379" t="s">
        <v>240</v>
      </c>
      <c r="C115" s="379"/>
      <c r="D115" s="379"/>
      <c r="E115" s="379"/>
      <c r="F115" s="379"/>
      <c r="G115" s="379"/>
      <c r="H115" s="379"/>
      <c r="I115" s="379"/>
      <c r="J115" s="379"/>
      <c r="K115" s="379"/>
      <c r="L115" s="379"/>
      <c r="M115" s="379"/>
      <c r="N115" s="379"/>
      <c r="O115" s="379"/>
      <c r="P115" s="379"/>
      <c r="Q115" s="379"/>
      <c r="R115" s="379"/>
      <c r="S115" s="379"/>
      <c r="T115" s="379"/>
      <c r="U115" s="441">
        <v>40500</v>
      </c>
      <c r="V115" s="410"/>
      <c r="W115" s="6"/>
    </row>
    <row r="116" spans="1:24" ht="15.6">
      <c r="A116" s="378"/>
      <c r="B116" s="379" t="s">
        <v>241</v>
      </c>
      <c r="C116" s="379"/>
      <c r="D116" s="379"/>
      <c r="E116" s="379"/>
      <c r="F116" s="379"/>
      <c r="G116" s="379"/>
      <c r="H116" s="379"/>
      <c r="I116" s="379"/>
      <c r="J116" s="379"/>
      <c r="K116" s="379"/>
      <c r="L116" s="379"/>
      <c r="M116" s="379"/>
      <c r="N116" s="379"/>
      <c r="O116" s="379"/>
      <c r="P116" s="379"/>
      <c r="Q116" s="379"/>
      <c r="R116" s="379"/>
      <c r="S116" s="379"/>
      <c r="T116" s="379"/>
      <c r="U116" s="441">
        <v>0</v>
      </c>
      <c r="V116" s="410"/>
      <c r="W116" s="6"/>
    </row>
    <row r="117" spans="1:24" ht="15.6">
      <c r="A117" s="378"/>
      <c r="B117" s="379" t="s">
        <v>209</v>
      </c>
      <c r="C117" s="379"/>
      <c r="D117" s="379"/>
      <c r="E117" s="379"/>
      <c r="F117" s="379"/>
      <c r="G117" s="379"/>
      <c r="H117" s="379"/>
      <c r="I117" s="379"/>
      <c r="J117" s="379"/>
      <c r="K117" s="379"/>
      <c r="L117" s="379"/>
      <c r="M117" s="379"/>
      <c r="N117" s="379"/>
      <c r="O117" s="379"/>
      <c r="P117" s="379"/>
      <c r="Q117" s="379"/>
      <c r="R117" s="379"/>
      <c r="S117" s="379"/>
      <c r="T117" s="379"/>
      <c r="U117" s="441">
        <v>0</v>
      </c>
      <c r="V117" s="410"/>
      <c r="W117" s="6"/>
    </row>
    <row r="118" spans="1:24" ht="15.6">
      <c r="A118" s="378"/>
      <c r="B118" s="379" t="s">
        <v>210</v>
      </c>
      <c r="C118" s="379"/>
      <c r="D118" s="379"/>
      <c r="E118" s="379"/>
      <c r="F118" s="379"/>
      <c r="G118" s="379"/>
      <c r="H118" s="379"/>
      <c r="I118" s="379"/>
      <c r="J118" s="379"/>
      <c r="K118" s="379"/>
      <c r="L118" s="379"/>
      <c r="M118" s="379"/>
      <c r="N118" s="379"/>
      <c r="O118" s="379"/>
      <c r="P118" s="379"/>
      <c r="Q118" s="379"/>
      <c r="R118" s="379"/>
      <c r="S118" s="379"/>
      <c r="T118" s="379"/>
      <c r="U118" s="441">
        <v>0</v>
      </c>
      <c r="V118" s="410"/>
      <c r="W118" s="6"/>
    </row>
    <row r="119" spans="1:24" ht="15.6">
      <c r="A119" s="378"/>
      <c r="B119" s="379" t="s">
        <v>211</v>
      </c>
      <c r="C119" s="379"/>
      <c r="D119" s="379"/>
      <c r="E119" s="379"/>
      <c r="F119" s="379"/>
      <c r="G119" s="379"/>
      <c r="H119" s="379"/>
      <c r="I119" s="379"/>
      <c r="J119" s="379"/>
      <c r="K119" s="379"/>
      <c r="L119" s="379"/>
      <c r="M119" s="379"/>
      <c r="N119" s="379"/>
      <c r="O119" s="379"/>
      <c r="P119" s="379"/>
      <c r="Q119" s="379"/>
      <c r="R119" s="379"/>
      <c r="S119" s="379"/>
      <c r="T119" s="379"/>
      <c r="U119" s="441">
        <v>0</v>
      </c>
      <c r="V119" s="410"/>
      <c r="W119" s="6"/>
    </row>
    <row r="120" spans="1:24" ht="15.6">
      <c r="A120" s="378"/>
      <c r="B120" s="379" t="s">
        <v>212</v>
      </c>
      <c r="C120" s="379"/>
      <c r="D120" s="379"/>
      <c r="E120" s="379"/>
      <c r="F120" s="379"/>
      <c r="G120" s="379"/>
      <c r="H120" s="379"/>
      <c r="I120" s="379"/>
      <c r="J120" s="379"/>
      <c r="K120" s="379"/>
      <c r="L120" s="379"/>
      <c r="M120" s="379"/>
      <c r="N120" s="379"/>
      <c r="O120" s="379"/>
      <c r="P120" s="379"/>
      <c r="Q120" s="379"/>
      <c r="R120" s="379"/>
      <c r="S120" s="379"/>
      <c r="T120" s="379"/>
      <c r="U120" s="441">
        <v>0</v>
      </c>
      <c r="V120" s="410"/>
      <c r="W120" s="6"/>
    </row>
    <row r="121" spans="1:24" ht="15.6">
      <c r="A121" s="378"/>
      <c r="B121" s="379" t="s">
        <v>242</v>
      </c>
      <c r="C121" s="379"/>
      <c r="D121" s="379"/>
      <c r="E121" s="379"/>
      <c r="F121" s="379"/>
      <c r="G121" s="379"/>
      <c r="H121" s="379"/>
      <c r="I121" s="379"/>
      <c r="J121" s="379"/>
      <c r="K121" s="379"/>
      <c r="L121" s="379"/>
      <c r="M121" s="379"/>
      <c r="N121" s="379"/>
      <c r="O121" s="379"/>
      <c r="P121" s="379"/>
      <c r="Q121" s="379"/>
      <c r="R121" s="379"/>
      <c r="S121" s="379"/>
      <c r="T121" s="379"/>
      <c r="U121" s="441">
        <v>0</v>
      </c>
      <c r="V121" s="410"/>
      <c r="W121" s="6"/>
    </row>
    <row r="122" spans="1:24" ht="15.6">
      <c r="A122" s="378"/>
      <c r="B122" s="379" t="s">
        <v>45</v>
      </c>
      <c r="C122" s="379"/>
      <c r="D122" s="379"/>
      <c r="E122" s="379"/>
      <c r="F122" s="379"/>
      <c r="G122" s="379"/>
      <c r="H122" s="379"/>
      <c r="I122" s="379"/>
      <c r="J122" s="379"/>
      <c r="K122" s="379"/>
      <c r="L122" s="379"/>
      <c r="M122" s="379"/>
      <c r="N122" s="379"/>
      <c r="O122" s="379"/>
      <c r="P122" s="379"/>
      <c r="Q122" s="379"/>
      <c r="R122" s="379"/>
      <c r="S122" s="379"/>
      <c r="T122" s="379"/>
      <c r="U122" s="441">
        <f>SUM(U115:U121)</f>
        <v>40500</v>
      </c>
      <c r="V122" s="410"/>
      <c r="W122" s="6"/>
    </row>
    <row r="123" spans="1:24" ht="15.6">
      <c r="A123" s="242"/>
      <c r="B123" s="438"/>
      <c r="C123" s="438"/>
      <c r="D123" s="438"/>
      <c r="E123" s="438"/>
      <c r="F123" s="438"/>
      <c r="G123" s="438"/>
      <c r="H123" s="438"/>
      <c r="I123" s="438"/>
      <c r="J123" s="438"/>
      <c r="K123" s="438"/>
      <c r="L123" s="438"/>
      <c r="M123" s="438"/>
      <c r="N123" s="438"/>
      <c r="O123" s="438"/>
      <c r="P123" s="438"/>
      <c r="Q123" s="438"/>
      <c r="R123" s="438"/>
      <c r="S123" s="438"/>
      <c r="T123" s="438"/>
      <c r="U123" s="448"/>
      <c r="V123" s="245"/>
      <c r="W123" s="6"/>
    </row>
    <row r="124" spans="1:24" ht="15.6">
      <c r="A124" s="242"/>
      <c r="B124" s="274" t="s">
        <v>46</v>
      </c>
      <c r="C124" s="252"/>
      <c r="D124" s="252"/>
      <c r="E124" s="252"/>
      <c r="F124" s="252"/>
      <c r="G124" s="252"/>
      <c r="H124" s="252"/>
      <c r="I124" s="252"/>
      <c r="J124" s="252"/>
      <c r="K124" s="252"/>
      <c r="L124" s="252"/>
      <c r="M124" s="244"/>
      <c r="N124" s="244"/>
      <c r="O124" s="244"/>
      <c r="P124" s="275"/>
      <c r="Q124" s="244"/>
      <c r="R124" s="244"/>
      <c r="S124" s="244"/>
      <c r="T124" s="244"/>
      <c r="U124" s="276"/>
      <c r="V124" s="245"/>
      <c r="W124" s="6"/>
    </row>
    <row r="125" spans="1:24" ht="15.6">
      <c r="A125" s="230"/>
      <c r="B125" s="511"/>
      <c r="C125" s="232" t="s">
        <v>185</v>
      </c>
      <c r="D125" s="232"/>
      <c r="E125" s="232" t="s">
        <v>99</v>
      </c>
      <c r="F125" s="232"/>
      <c r="G125" s="232" t="s">
        <v>102</v>
      </c>
      <c r="H125" s="232"/>
      <c r="I125" s="232" t="s">
        <v>108</v>
      </c>
      <c r="J125" s="232"/>
      <c r="K125" s="232"/>
      <c r="L125" s="232"/>
      <c r="M125" s="232"/>
      <c r="N125" s="232"/>
      <c r="O125" s="232"/>
      <c r="P125" s="326"/>
      <c r="Q125" s="326"/>
      <c r="R125" s="231"/>
      <c r="S125" s="231"/>
      <c r="T125" s="231"/>
      <c r="U125" s="309"/>
      <c r="V125" s="237"/>
      <c r="W125" s="6"/>
    </row>
    <row r="126" spans="1:24" ht="15.6">
      <c r="A126" s="257"/>
      <c r="B126" s="294" t="s">
        <v>122</v>
      </c>
      <c r="C126" s="310">
        <f>+N199-'March 12'!N199</f>
        <v>-115</v>
      </c>
      <c r="D126" s="294"/>
      <c r="E126" s="310">
        <f>+S199-'March 12'!S199</f>
        <v>-51</v>
      </c>
      <c r="F126" s="294"/>
      <c r="G126" s="310">
        <f>+'June 12'!N212-'March 12'!N212</f>
        <v>237</v>
      </c>
      <c r="H126" s="294"/>
      <c r="I126" s="310">
        <f>+S212-'March 12'!S212</f>
        <v>-38</v>
      </c>
      <c r="J126" s="294"/>
      <c r="K126" s="294"/>
      <c r="L126" s="294"/>
      <c r="M126" s="294"/>
      <c r="N126" s="294"/>
      <c r="O126" s="294"/>
      <c r="P126" s="325"/>
      <c r="Q126" s="325"/>
      <c r="R126" s="294"/>
      <c r="S126" s="294"/>
      <c r="T126" s="294"/>
      <c r="U126" s="311">
        <f>SUM(C126:I126)</f>
        <v>33</v>
      </c>
      <c r="V126" s="298"/>
      <c r="W126" s="6"/>
      <c r="X126" s="182"/>
    </row>
    <row r="127" spans="1:24" ht="15.6">
      <c r="A127" s="378"/>
      <c r="B127" s="379" t="s">
        <v>47</v>
      </c>
      <c r="C127" s="379">
        <v>202</v>
      </c>
      <c r="D127" s="379"/>
      <c r="E127" s="379">
        <v>0</v>
      </c>
      <c r="F127" s="379"/>
      <c r="G127" s="379">
        <v>775</v>
      </c>
      <c r="H127" s="379"/>
      <c r="I127" s="440">
        <v>158</v>
      </c>
      <c r="J127" s="379"/>
      <c r="K127" s="379"/>
      <c r="L127" s="379"/>
      <c r="M127" s="379"/>
      <c r="N127" s="379"/>
      <c r="O127" s="379"/>
      <c r="P127" s="450"/>
      <c r="Q127" s="450"/>
      <c r="R127" s="379"/>
      <c r="S127" s="379"/>
      <c r="T127" s="379"/>
      <c r="U127" s="441">
        <f>SUM(C127:I127)</f>
        <v>1135</v>
      </c>
      <c r="V127" s="410"/>
      <c r="W127" s="6"/>
    </row>
    <row r="128" spans="1:24" ht="15.6">
      <c r="A128" s="242"/>
      <c r="B128" s="364" t="s">
        <v>48</v>
      </c>
      <c r="C128" s="364"/>
      <c r="D128" s="364"/>
      <c r="E128" s="364"/>
      <c r="F128" s="364"/>
      <c r="G128" s="364"/>
      <c r="H128" s="364"/>
      <c r="I128" s="364"/>
      <c r="J128" s="364"/>
      <c r="K128" s="364"/>
      <c r="L128" s="364"/>
      <c r="M128" s="364"/>
      <c r="N128" s="364"/>
      <c r="O128" s="364"/>
      <c r="P128" s="364"/>
      <c r="Q128" s="364"/>
      <c r="R128" s="364"/>
      <c r="S128" s="364"/>
      <c r="T128" s="364"/>
      <c r="U128" s="449">
        <f>SUM(U126:U127)</f>
        <v>1168</v>
      </c>
      <c r="V128" s="303"/>
      <c r="W128" s="6"/>
      <c r="X128" s="182"/>
    </row>
    <row r="129" spans="1:25" ht="15.6">
      <c r="A129" s="242"/>
      <c r="B129" s="274" t="s">
        <v>49</v>
      </c>
      <c r="C129" s="252"/>
      <c r="D129" s="252"/>
      <c r="E129" s="252"/>
      <c r="F129" s="252"/>
      <c r="G129" s="252"/>
      <c r="H129" s="252"/>
      <c r="I129" s="252"/>
      <c r="J129" s="252"/>
      <c r="K129" s="252"/>
      <c r="L129" s="252"/>
      <c r="M129" s="244"/>
      <c r="N129" s="244"/>
      <c r="O129" s="244"/>
      <c r="P129" s="244"/>
      <c r="Q129" s="244"/>
      <c r="R129" s="244"/>
      <c r="S129" s="244"/>
      <c r="T129" s="244"/>
      <c r="U129" s="263"/>
      <c r="V129" s="245"/>
      <c r="W129" s="6"/>
    </row>
    <row r="130" spans="1:25" ht="15.6">
      <c r="A130" s="444"/>
      <c r="B130" s="379" t="s">
        <v>50</v>
      </c>
      <c r="C130" s="386"/>
      <c r="D130" s="386"/>
      <c r="E130" s="386"/>
      <c r="F130" s="386"/>
      <c r="G130" s="386"/>
      <c r="H130" s="386"/>
      <c r="I130" s="386"/>
      <c r="J130" s="386"/>
      <c r="K130" s="386"/>
      <c r="L130" s="386"/>
      <c r="M130" s="379"/>
      <c r="N130" s="379"/>
      <c r="O130" s="379"/>
      <c r="P130" s="379"/>
      <c r="Q130" s="379"/>
      <c r="R130" s="379"/>
      <c r="S130" s="379"/>
      <c r="T130" s="379"/>
      <c r="U130" s="441">
        <f>U75+U77</f>
        <v>163666</v>
      </c>
      <c r="V130" s="410"/>
      <c r="W130" s="6"/>
      <c r="X130" s="182"/>
    </row>
    <row r="131" spans="1:25" ht="15.6">
      <c r="A131" s="444"/>
      <c r="B131" s="379" t="s">
        <v>51</v>
      </c>
      <c r="C131" s="386"/>
      <c r="D131" s="386"/>
      <c r="E131" s="386"/>
      <c r="F131" s="386"/>
      <c r="G131" s="386"/>
      <c r="H131" s="386"/>
      <c r="I131" s="386"/>
      <c r="J131" s="386"/>
      <c r="K131" s="386"/>
      <c r="L131" s="386"/>
      <c r="M131" s="379"/>
      <c r="N131" s="379"/>
      <c r="O131" s="379"/>
      <c r="P131" s="379"/>
      <c r="Q131" s="379"/>
      <c r="R131" s="379"/>
      <c r="S131" s="379"/>
      <c r="T131" s="379"/>
      <c r="U131" s="441">
        <v>0</v>
      </c>
      <c r="V131" s="410"/>
      <c r="W131" s="6"/>
      <c r="Y131" s="182"/>
    </row>
    <row r="132" spans="1:25" ht="15.6">
      <c r="A132" s="444"/>
      <c r="B132" s="379" t="s">
        <v>52</v>
      </c>
      <c r="C132" s="386"/>
      <c r="D132" s="386"/>
      <c r="E132" s="386"/>
      <c r="F132" s="386"/>
      <c r="G132" s="386"/>
      <c r="H132" s="386"/>
      <c r="I132" s="386"/>
      <c r="J132" s="386"/>
      <c r="K132" s="386"/>
      <c r="L132" s="386"/>
      <c r="M132" s="379"/>
      <c r="N132" s="379"/>
      <c r="O132" s="379"/>
      <c r="P132" s="379"/>
      <c r="Q132" s="379"/>
      <c r="R132" s="379"/>
      <c r="S132" s="379"/>
      <c r="T132" s="379"/>
      <c r="U132" s="441">
        <f>+U130+U131</f>
        <v>163666</v>
      </c>
      <c r="V132" s="410"/>
      <c r="W132" s="6"/>
    </row>
    <row r="133" spans="1:25" ht="15.6">
      <c r="A133" s="444"/>
      <c r="B133" s="379" t="s">
        <v>53</v>
      </c>
      <c r="C133" s="386"/>
      <c r="D133" s="386"/>
      <c r="E133" s="386"/>
      <c r="F133" s="386"/>
      <c r="G133" s="386"/>
      <c r="H133" s="386"/>
      <c r="I133" s="386"/>
      <c r="J133" s="386"/>
      <c r="K133" s="386"/>
      <c r="L133" s="386"/>
      <c r="M133" s="379"/>
      <c r="N133" s="379"/>
      <c r="O133" s="379"/>
      <c r="P133" s="379"/>
      <c r="Q133" s="379"/>
      <c r="R133" s="379"/>
      <c r="S133" s="379"/>
      <c r="T133" s="379"/>
      <c r="U133" s="441">
        <f>U80</f>
        <v>163666</v>
      </c>
      <c r="V133" s="410"/>
      <c r="W133" s="6"/>
      <c r="X133" s="64"/>
    </row>
    <row r="134" spans="1:25" ht="15.6">
      <c r="A134" s="242"/>
      <c r="B134" s="438"/>
      <c r="C134" s="438"/>
      <c r="D134" s="438"/>
      <c r="E134" s="438"/>
      <c r="F134" s="438"/>
      <c r="G134" s="438"/>
      <c r="H134" s="438"/>
      <c r="I134" s="438"/>
      <c r="J134" s="438"/>
      <c r="K134" s="438"/>
      <c r="L134" s="438"/>
      <c r="M134" s="438"/>
      <c r="N134" s="438"/>
      <c r="O134" s="438"/>
      <c r="P134" s="438"/>
      <c r="Q134" s="438"/>
      <c r="R134" s="438"/>
      <c r="S134" s="438"/>
      <c r="T134" s="438"/>
      <c r="U134" s="451"/>
      <c r="V134" s="245"/>
      <c r="W134" s="6"/>
    </row>
    <row r="135" spans="1:25" ht="15.6">
      <c r="A135" s="242"/>
      <c r="B135" s="274" t="s">
        <v>54</v>
      </c>
      <c r="C135" s="247"/>
      <c r="D135" s="247"/>
      <c r="E135" s="247"/>
      <c r="F135" s="247"/>
      <c r="G135" s="247"/>
      <c r="H135" s="247"/>
      <c r="I135" s="247"/>
      <c r="J135" s="247"/>
      <c r="K135" s="247"/>
      <c r="L135" s="247"/>
      <c r="M135" s="247"/>
      <c r="N135" s="247"/>
      <c r="O135" s="247"/>
      <c r="P135" s="247"/>
      <c r="Q135" s="277" t="s">
        <v>112</v>
      </c>
      <c r="R135" s="278"/>
      <c r="S135" s="277" t="s">
        <v>114</v>
      </c>
      <c r="T135" s="247"/>
      <c r="U135" s="279" t="s">
        <v>90</v>
      </c>
      <c r="V135" s="245"/>
      <c r="W135" s="6"/>
    </row>
    <row r="136" spans="1:25" ht="15.6">
      <c r="A136" s="378"/>
      <c r="B136" s="379" t="s">
        <v>55</v>
      </c>
      <c r="C136" s="379"/>
      <c r="D136" s="379"/>
      <c r="E136" s="379"/>
      <c r="F136" s="379"/>
      <c r="G136" s="379"/>
      <c r="H136" s="379"/>
      <c r="I136" s="379"/>
      <c r="J136" s="379"/>
      <c r="K136" s="379"/>
      <c r="L136" s="379"/>
      <c r="M136" s="379"/>
      <c r="N136" s="379"/>
      <c r="O136" s="379"/>
      <c r="P136" s="379"/>
      <c r="Q136" s="441">
        <v>0</v>
      </c>
      <c r="R136" s="379"/>
      <c r="S136" s="453" t="s">
        <v>115</v>
      </c>
      <c r="T136" s="379"/>
      <c r="U136" s="441">
        <f>Q136</f>
        <v>0</v>
      </c>
      <c r="V136" s="385"/>
      <c r="W136" s="6"/>
    </row>
    <row r="137" spans="1:25" ht="15.6">
      <c r="A137" s="378"/>
      <c r="B137" s="379" t="s">
        <v>56</v>
      </c>
      <c r="C137" s="379"/>
      <c r="D137" s="379"/>
      <c r="E137" s="379"/>
      <c r="F137" s="379"/>
      <c r="G137" s="379"/>
      <c r="H137" s="379"/>
      <c r="I137" s="379"/>
      <c r="J137" s="379"/>
      <c r="K137" s="379"/>
      <c r="L137" s="379"/>
      <c r="M137" s="379"/>
      <c r="N137" s="379"/>
      <c r="O137" s="379"/>
      <c r="P137" s="379"/>
      <c r="Q137" s="441">
        <f>+'March 12'!Q139</f>
        <v>4229</v>
      </c>
      <c r="R137" s="379"/>
      <c r="S137" s="453" t="s">
        <v>115</v>
      </c>
      <c r="T137" s="379"/>
      <c r="U137" s="441">
        <f>Q137</f>
        <v>4229</v>
      </c>
      <c r="V137" s="385"/>
      <c r="W137" s="6"/>
    </row>
    <row r="138" spans="1:25" ht="15.6">
      <c r="A138" s="378"/>
      <c r="B138" s="379" t="s">
        <v>57</v>
      </c>
      <c r="C138" s="379"/>
      <c r="D138" s="379"/>
      <c r="E138" s="379"/>
      <c r="F138" s="379"/>
      <c r="G138" s="379"/>
      <c r="H138" s="379"/>
      <c r="I138" s="379"/>
      <c r="J138" s="379"/>
      <c r="K138" s="379"/>
      <c r="L138" s="379"/>
      <c r="M138" s="379"/>
      <c r="N138" s="379"/>
      <c r="O138" s="379"/>
      <c r="P138" s="379"/>
      <c r="Q138" s="441">
        <v>0</v>
      </c>
      <c r="R138" s="379"/>
      <c r="S138" s="453" t="s">
        <v>115</v>
      </c>
      <c r="T138" s="379"/>
      <c r="U138" s="441">
        <f>Q138</f>
        <v>0</v>
      </c>
      <c r="V138" s="385"/>
      <c r="W138" s="6"/>
    </row>
    <row r="139" spans="1:25" ht="15.6">
      <c r="A139" s="378"/>
      <c r="B139" s="379" t="s">
        <v>58</v>
      </c>
      <c r="C139" s="379"/>
      <c r="D139" s="379"/>
      <c r="E139" s="379"/>
      <c r="F139" s="379"/>
      <c r="G139" s="379"/>
      <c r="H139" s="379"/>
      <c r="I139" s="379"/>
      <c r="J139" s="379"/>
      <c r="K139" s="379"/>
      <c r="L139" s="379"/>
      <c r="M139" s="379"/>
      <c r="N139" s="379"/>
      <c r="O139" s="379"/>
      <c r="P139" s="379"/>
      <c r="Q139" s="441">
        <f>SUM(Q137:Q138)</f>
        <v>4229</v>
      </c>
      <c r="R139" s="379"/>
      <c r="S139" s="453" t="s">
        <v>115</v>
      </c>
      <c r="T139" s="379"/>
      <c r="U139" s="441">
        <f>Q139</f>
        <v>4229</v>
      </c>
      <c r="V139" s="385"/>
      <c r="W139" s="6"/>
    </row>
    <row r="140" spans="1:25" ht="15.6">
      <c r="A140" s="378"/>
      <c r="B140" s="379" t="s">
        <v>215</v>
      </c>
      <c r="C140" s="379"/>
      <c r="D140" s="379"/>
      <c r="E140" s="379"/>
      <c r="F140" s="379"/>
      <c r="G140" s="379"/>
      <c r="H140" s="379"/>
      <c r="I140" s="379"/>
      <c r="J140" s="379"/>
      <c r="K140" s="379"/>
      <c r="L140" s="379"/>
      <c r="M140" s="379"/>
      <c r="N140" s="379"/>
      <c r="O140" s="379"/>
      <c r="P140" s="379"/>
      <c r="Q140" s="441"/>
      <c r="R140" s="379"/>
      <c r="S140" s="453"/>
      <c r="T140" s="379"/>
      <c r="U140" s="441"/>
      <c r="V140" s="385"/>
      <c r="W140" s="6"/>
    </row>
    <row r="141" spans="1:25" ht="15.6">
      <c r="A141" s="378"/>
      <c r="B141" s="454"/>
      <c r="C141" s="454"/>
      <c r="D141" s="454"/>
      <c r="E141" s="454"/>
      <c r="F141" s="454"/>
      <c r="G141" s="454"/>
      <c r="H141" s="454"/>
      <c r="I141" s="454"/>
      <c r="J141" s="454"/>
      <c r="K141" s="454"/>
      <c r="L141" s="454"/>
      <c r="M141" s="454"/>
      <c r="N141" s="454"/>
      <c r="O141" s="454"/>
      <c r="P141" s="454"/>
      <c r="Q141" s="454"/>
      <c r="R141" s="454"/>
      <c r="S141" s="454"/>
      <c r="T141" s="454"/>
      <c r="U141" s="454"/>
      <c r="V141" s="385"/>
      <c r="W141" s="6"/>
    </row>
    <row r="142" spans="1:25" ht="15.6">
      <c r="A142" s="242"/>
      <c r="B142" s="452"/>
      <c r="C142" s="452"/>
      <c r="D142" s="452"/>
      <c r="E142" s="452"/>
      <c r="F142" s="452"/>
      <c r="G142" s="452"/>
      <c r="H142" s="452"/>
      <c r="I142" s="452"/>
      <c r="J142" s="452"/>
      <c r="K142" s="452"/>
      <c r="L142" s="452"/>
      <c r="M142" s="452"/>
      <c r="N142" s="452"/>
      <c r="O142" s="452"/>
      <c r="P142" s="452"/>
      <c r="Q142" s="452"/>
      <c r="R142" s="452"/>
      <c r="S142" s="452"/>
      <c r="T142" s="452"/>
      <c r="U142" s="452"/>
      <c r="V142" s="284"/>
      <c r="W142" s="6"/>
    </row>
    <row r="143" spans="1:25" ht="15.6">
      <c r="A143" s="230"/>
      <c r="B143" s="511" t="s">
        <v>59</v>
      </c>
      <c r="C143" s="518"/>
      <c r="D143" s="518"/>
      <c r="E143" s="518"/>
      <c r="F143" s="518"/>
      <c r="G143" s="518"/>
      <c r="H143" s="518"/>
      <c r="I143" s="518"/>
      <c r="J143" s="518"/>
      <c r="K143" s="518"/>
      <c r="L143" s="518"/>
      <c r="M143" s="518"/>
      <c r="N143" s="518"/>
      <c r="O143" s="518"/>
      <c r="P143" s="519"/>
      <c r="Q143" s="519"/>
      <c r="R143" s="519"/>
      <c r="S143" s="519">
        <v>41089</v>
      </c>
      <c r="T143" s="231"/>
      <c r="U143" s="231"/>
      <c r="V143" s="237"/>
      <c r="W143" s="6"/>
    </row>
    <row r="144" spans="1:25" ht="15.6">
      <c r="A144" s="281"/>
      <c r="B144" s="294" t="s">
        <v>60</v>
      </c>
      <c r="C144" s="329"/>
      <c r="D144" s="329"/>
      <c r="E144" s="329"/>
      <c r="F144" s="329"/>
      <c r="G144" s="329"/>
      <c r="H144" s="329"/>
      <c r="I144" s="329"/>
      <c r="J144" s="329"/>
      <c r="K144" s="329"/>
      <c r="L144" s="329"/>
      <c r="M144" s="329"/>
      <c r="N144" s="329"/>
      <c r="O144" s="329"/>
      <c r="P144" s="300"/>
      <c r="Q144" s="300"/>
      <c r="R144" s="300"/>
      <c r="S144" s="299">
        <v>0.10630000000000001</v>
      </c>
      <c r="T144" s="294"/>
      <c r="U144" s="294"/>
      <c r="V144" s="260"/>
      <c r="W144" s="6"/>
    </row>
    <row r="145" spans="1:23" ht="15.6">
      <c r="A145" s="458"/>
      <c r="B145" s="379" t="s">
        <v>61</v>
      </c>
      <c r="C145" s="459"/>
      <c r="D145" s="459"/>
      <c r="E145" s="459"/>
      <c r="F145" s="459"/>
      <c r="G145" s="459"/>
      <c r="H145" s="459"/>
      <c r="I145" s="459"/>
      <c r="J145" s="459"/>
      <c r="K145" s="459"/>
      <c r="L145" s="459"/>
      <c r="M145" s="459"/>
      <c r="N145" s="459"/>
      <c r="O145" s="459"/>
      <c r="P145" s="433"/>
      <c r="Q145" s="433"/>
      <c r="R145" s="433"/>
      <c r="S145" s="427">
        <v>5.2200000000000003E-2</v>
      </c>
      <c r="T145" s="427"/>
      <c r="U145" s="379"/>
      <c r="V145" s="385"/>
      <c r="W145" s="6"/>
    </row>
    <row r="146" spans="1:23" ht="15.6">
      <c r="A146" s="458"/>
      <c r="B146" s="379" t="s">
        <v>62</v>
      </c>
      <c r="C146" s="459"/>
      <c r="D146" s="459"/>
      <c r="E146" s="459"/>
      <c r="F146" s="459"/>
      <c r="G146" s="459"/>
      <c r="H146" s="459"/>
      <c r="I146" s="459"/>
      <c r="J146" s="459"/>
      <c r="K146" s="459"/>
      <c r="L146" s="459"/>
      <c r="M146" s="459"/>
      <c r="N146" s="459"/>
      <c r="O146" s="459"/>
      <c r="P146" s="433"/>
      <c r="Q146" s="433"/>
      <c r="R146" s="433"/>
      <c r="S146" s="427">
        <f>S144-S145</f>
        <v>5.4100000000000002E-2</v>
      </c>
      <c r="T146" s="379"/>
      <c r="U146" s="379"/>
      <c r="V146" s="385"/>
      <c r="W146" s="6"/>
    </row>
    <row r="147" spans="1:23" ht="15.6">
      <c r="A147" s="458"/>
      <c r="B147" s="379" t="s">
        <v>63</v>
      </c>
      <c r="C147" s="459"/>
      <c r="D147" s="459"/>
      <c r="E147" s="459"/>
      <c r="F147" s="459"/>
      <c r="G147" s="459"/>
      <c r="H147" s="459"/>
      <c r="I147" s="459"/>
      <c r="J147" s="459"/>
      <c r="K147" s="459"/>
      <c r="L147" s="459"/>
      <c r="M147" s="459"/>
      <c r="N147" s="459"/>
      <c r="O147" s="459"/>
      <c r="P147" s="433"/>
      <c r="Q147" s="433"/>
      <c r="R147" s="433"/>
      <c r="S147" s="427">
        <v>9.1740000000000002E-2</v>
      </c>
      <c r="T147" s="379"/>
      <c r="U147" s="379"/>
      <c r="V147" s="385"/>
      <c r="W147" s="6"/>
    </row>
    <row r="148" spans="1:23" ht="15.6">
      <c r="A148" s="458"/>
      <c r="B148" s="379" t="s">
        <v>64</v>
      </c>
      <c r="C148" s="459"/>
      <c r="D148" s="459"/>
      <c r="E148" s="459"/>
      <c r="F148" s="459"/>
      <c r="G148" s="459"/>
      <c r="H148" s="459"/>
      <c r="I148" s="459"/>
      <c r="J148" s="459"/>
      <c r="K148" s="459"/>
      <c r="L148" s="459"/>
      <c r="M148" s="459"/>
      <c r="N148" s="459"/>
      <c r="O148" s="459"/>
      <c r="P148" s="433"/>
      <c r="Q148" s="433"/>
      <c r="R148" s="433"/>
      <c r="S148" s="427">
        <f>+U40</f>
        <v>1.9611332470459177E-2</v>
      </c>
      <c r="T148" s="379"/>
      <c r="U148" s="379"/>
      <c r="V148" s="385"/>
      <c r="W148" s="6"/>
    </row>
    <row r="149" spans="1:23" ht="15.6">
      <c r="A149" s="458"/>
      <c r="B149" s="379" t="s">
        <v>65</v>
      </c>
      <c r="C149" s="459"/>
      <c r="D149" s="459"/>
      <c r="E149" s="459"/>
      <c r="F149" s="459"/>
      <c r="G149" s="459"/>
      <c r="H149" s="459"/>
      <c r="I149" s="459"/>
      <c r="J149" s="459"/>
      <c r="K149" s="459"/>
      <c r="L149" s="459"/>
      <c r="M149" s="459"/>
      <c r="N149" s="459"/>
      <c r="O149" s="459"/>
      <c r="P149" s="433"/>
      <c r="Q149" s="433"/>
      <c r="R149" s="433"/>
      <c r="S149" s="427">
        <f>S147-S148</f>
        <v>7.2128667529540821E-2</v>
      </c>
      <c r="T149" s="379"/>
      <c r="U149" s="379"/>
      <c r="V149" s="385"/>
      <c r="W149" s="6"/>
    </row>
    <row r="150" spans="1:23" ht="15.6">
      <c r="A150" s="458"/>
      <c r="B150" s="379" t="s">
        <v>204</v>
      </c>
      <c r="C150" s="459"/>
      <c r="D150" s="459"/>
      <c r="E150" s="459"/>
      <c r="F150" s="459"/>
      <c r="G150" s="459"/>
      <c r="H150" s="459"/>
      <c r="I150" s="459"/>
      <c r="J150" s="459"/>
      <c r="K150" s="459"/>
      <c r="L150" s="459"/>
      <c r="M150" s="459"/>
      <c r="N150" s="459"/>
      <c r="O150" s="459"/>
      <c r="P150" s="433"/>
      <c r="Q150" s="433"/>
      <c r="R150" s="433"/>
      <c r="S150" s="429">
        <v>49780</v>
      </c>
      <c r="T150" s="379"/>
      <c r="U150" s="379"/>
      <c r="V150" s="385"/>
      <c r="W150" s="6"/>
    </row>
    <row r="151" spans="1:23" ht="15.6">
      <c r="A151" s="458"/>
      <c r="B151" s="379" t="s">
        <v>205</v>
      </c>
      <c r="C151" s="459"/>
      <c r="D151" s="459"/>
      <c r="E151" s="459"/>
      <c r="F151" s="459"/>
      <c r="G151" s="459"/>
      <c r="H151" s="459"/>
      <c r="I151" s="459"/>
      <c r="J151" s="459"/>
      <c r="K151" s="459"/>
      <c r="L151" s="459"/>
      <c r="M151" s="459"/>
      <c r="N151" s="459"/>
      <c r="O151" s="459"/>
      <c r="P151" s="433"/>
      <c r="Q151" s="433"/>
      <c r="R151" s="433"/>
      <c r="S151" s="429">
        <v>49780</v>
      </c>
      <c r="T151" s="379"/>
      <c r="U151" s="379"/>
      <c r="V151" s="385"/>
      <c r="W151" s="6"/>
    </row>
    <row r="152" spans="1:23" ht="15.6">
      <c r="A152" s="458"/>
      <c r="B152" s="379" t="s">
        <v>206</v>
      </c>
      <c r="C152" s="459"/>
      <c r="D152" s="459"/>
      <c r="E152" s="459"/>
      <c r="F152" s="459"/>
      <c r="G152" s="459"/>
      <c r="H152" s="459"/>
      <c r="I152" s="459"/>
      <c r="J152" s="459"/>
      <c r="K152" s="459"/>
      <c r="L152" s="459"/>
      <c r="M152" s="459"/>
      <c r="N152" s="459"/>
      <c r="O152" s="459"/>
      <c r="P152" s="433"/>
      <c r="Q152" s="433"/>
      <c r="R152" s="433"/>
      <c r="S152" s="429">
        <v>49780</v>
      </c>
      <c r="T152" s="379"/>
      <c r="U152" s="379"/>
      <c r="V152" s="385"/>
      <c r="W152" s="6"/>
    </row>
    <row r="153" spans="1:23" ht="15.6">
      <c r="A153" s="458"/>
      <c r="B153" s="379" t="s">
        <v>207</v>
      </c>
      <c r="C153" s="459"/>
      <c r="D153" s="459"/>
      <c r="E153" s="459"/>
      <c r="F153" s="459"/>
      <c r="G153" s="459"/>
      <c r="H153" s="459"/>
      <c r="I153" s="459"/>
      <c r="J153" s="459"/>
      <c r="K153" s="459"/>
      <c r="L153" s="459"/>
      <c r="M153" s="459"/>
      <c r="N153" s="459"/>
      <c r="O153" s="459"/>
      <c r="P153" s="433"/>
      <c r="Q153" s="433"/>
      <c r="R153" s="433"/>
      <c r="S153" s="429">
        <v>49780</v>
      </c>
      <c r="T153" s="379"/>
      <c r="U153" s="379"/>
      <c r="V153" s="385"/>
      <c r="W153" s="6"/>
    </row>
    <row r="154" spans="1:23" ht="15.6">
      <c r="A154" s="458"/>
      <c r="B154" s="379" t="s">
        <v>221</v>
      </c>
      <c r="C154" s="459"/>
      <c r="D154" s="459"/>
      <c r="E154" s="459"/>
      <c r="F154" s="459"/>
      <c r="G154" s="459"/>
      <c r="H154" s="459"/>
      <c r="I154" s="459"/>
      <c r="J154" s="459"/>
      <c r="K154" s="459"/>
      <c r="L154" s="459"/>
      <c r="M154" s="459"/>
      <c r="N154" s="459"/>
      <c r="O154" s="459"/>
      <c r="P154" s="433"/>
      <c r="Q154" s="433"/>
      <c r="R154" s="433"/>
      <c r="S154" s="432">
        <v>111.34</v>
      </c>
      <c r="T154" s="379"/>
      <c r="U154" s="379"/>
      <c r="V154" s="385"/>
      <c r="W154" s="6"/>
    </row>
    <row r="155" spans="1:23" ht="15.6">
      <c r="A155" s="458"/>
      <c r="B155" s="379" t="s">
        <v>222</v>
      </c>
      <c r="C155" s="459"/>
      <c r="D155" s="459"/>
      <c r="E155" s="459"/>
      <c r="F155" s="459"/>
      <c r="G155" s="459"/>
      <c r="H155" s="459"/>
      <c r="I155" s="459"/>
      <c r="J155" s="459"/>
      <c r="K155" s="459"/>
      <c r="L155" s="459"/>
      <c r="M155" s="459"/>
      <c r="N155" s="459"/>
      <c r="O155" s="459"/>
      <c r="P155" s="433"/>
      <c r="Q155" s="433"/>
      <c r="R155" s="433"/>
      <c r="S155" s="432">
        <v>154.88999999999999</v>
      </c>
      <c r="T155" s="379"/>
      <c r="U155" s="379"/>
      <c r="V155" s="385"/>
      <c r="W155" s="6"/>
    </row>
    <row r="156" spans="1:23" ht="15.6">
      <c r="A156" s="458" t="s">
        <v>223</v>
      </c>
      <c r="B156" s="379" t="s">
        <v>66</v>
      </c>
      <c r="C156" s="459"/>
      <c r="D156" s="459"/>
      <c r="E156" s="459"/>
      <c r="F156" s="459"/>
      <c r="G156" s="459"/>
      <c r="H156" s="459"/>
      <c r="I156" s="459"/>
      <c r="J156" s="459"/>
      <c r="K156" s="459"/>
      <c r="L156" s="459"/>
      <c r="M156" s="459"/>
      <c r="N156" s="459"/>
      <c r="O156" s="459"/>
      <c r="P156" s="433"/>
      <c r="Q156" s="433"/>
      <c r="R156" s="433"/>
      <c r="S156" s="427">
        <v>4.2200000000000001E-2</v>
      </c>
      <c r="T156" s="379"/>
      <c r="U156" s="379"/>
      <c r="V156" s="385"/>
      <c r="W156" s="6"/>
    </row>
    <row r="157" spans="1:23" ht="15.6">
      <c r="A157" s="458"/>
      <c r="B157" s="379" t="s">
        <v>67</v>
      </c>
      <c r="C157" s="459"/>
      <c r="D157" s="459"/>
      <c r="E157" s="459"/>
      <c r="F157" s="459"/>
      <c r="G157" s="459"/>
      <c r="H157" s="459"/>
      <c r="I157" s="459"/>
      <c r="J157" s="459"/>
      <c r="K157" s="459"/>
      <c r="L157" s="459"/>
      <c r="M157" s="459"/>
      <c r="N157" s="459"/>
      <c r="O157" s="459"/>
      <c r="P157" s="433"/>
      <c r="Q157" s="433"/>
      <c r="R157" s="433"/>
      <c r="S157" s="427">
        <v>0.3014</v>
      </c>
      <c r="T157" s="379"/>
      <c r="U157" s="379"/>
      <c r="V157" s="385"/>
      <c r="W157" s="6"/>
    </row>
    <row r="158" spans="1:23" ht="15.6">
      <c r="A158" s="280"/>
      <c r="B158" s="364"/>
      <c r="C158" s="364"/>
      <c r="D158" s="364"/>
      <c r="E158" s="364"/>
      <c r="F158" s="364"/>
      <c r="G158" s="364"/>
      <c r="H158" s="364"/>
      <c r="I158" s="364"/>
      <c r="J158" s="364"/>
      <c r="K158" s="364"/>
      <c r="L158" s="364"/>
      <c r="M158" s="364"/>
      <c r="N158" s="364"/>
      <c r="O158" s="364"/>
      <c r="P158" s="364"/>
      <c r="Q158" s="364"/>
      <c r="R158" s="455"/>
      <c r="S158" s="456"/>
      <c r="T158" s="364"/>
      <c r="U158" s="457"/>
      <c r="V158" s="245"/>
      <c r="W158" s="6"/>
    </row>
    <row r="159" spans="1:23" ht="15.6">
      <c r="A159" s="280"/>
      <c r="B159" s="288"/>
      <c r="C159" s="288"/>
      <c r="D159" s="288"/>
      <c r="E159" s="288"/>
      <c r="F159" s="288"/>
      <c r="G159" s="288"/>
      <c r="H159" s="288"/>
      <c r="I159" s="288"/>
      <c r="J159" s="288"/>
      <c r="K159" s="288"/>
      <c r="L159" s="288"/>
      <c r="M159" s="288"/>
      <c r="N159" s="288"/>
      <c r="O159" s="288"/>
      <c r="P159" s="288"/>
      <c r="Q159" s="288"/>
      <c r="R159" s="331"/>
      <c r="S159" s="332"/>
      <c r="T159" s="288"/>
      <c r="U159" s="333"/>
      <c r="V159" s="245"/>
      <c r="W159" s="6"/>
    </row>
    <row r="160" spans="1:23" ht="16.2" thickBot="1">
      <c r="A160" s="282"/>
      <c r="B160" s="304" t="str">
        <f>+B109</f>
        <v>PPAF3 INVESTOR REPORT QUARTER ENDING JUNE 2012</v>
      </c>
      <c r="C160" s="305"/>
      <c r="D160" s="305"/>
      <c r="E160" s="305"/>
      <c r="F160" s="305"/>
      <c r="G160" s="305"/>
      <c r="H160" s="305"/>
      <c r="I160" s="305"/>
      <c r="J160" s="305"/>
      <c r="K160" s="305"/>
      <c r="L160" s="305"/>
      <c r="M160" s="305"/>
      <c r="N160" s="305"/>
      <c r="O160" s="305"/>
      <c r="P160" s="305"/>
      <c r="Q160" s="305"/>
      <c r="R160" s="334"/>
      <c r="S160" s="335"/>
      <c r="T160" s="305"/>
      <c r="U160" s="336"/>
      <c r="V160" s="262"/>
      <c r="W160" s="6"/>
    </row>
    <row r="161" spans="1:23" ht="15.6">
      <c r="A161" s="337"/>
      <c r="B161" s="520" t="s">
        <v>68</v>
      </c>
      <c r="C161" s="521"/>
      <c r="D161" s="521"/>
      <c r="E161" s="521"/>
      <c r="F161" s="521"/>
      <c r="G161" s="521"/>
      <c r="H161" s="521"/>
      <c r="I161" s="521"/>
      <c r="J161" s="521"/>
      <c r="K161" s="521"/>
      <c r="L161" s="521"/>
      <c r="M161" s="522"/>
      <c r="N161" s="521"/>
      <c r="O161" s="522"/>
      <c r="P161" s="521"/>
      <c r="Q161" s="522"/>
      <c r="R161" s="521" t="s">
        <v>94</v>
      </c>
      <c r="S161" s="522" t="s">
        <v>116</v>
      </c>
      <c r="T161" s="340"/>
      <c r="U161" s="340"/>
      <c r="V161" s="341"/>
      <c r="W161" s="6"/>
    </row>
    <row r="162" spans="1:23" ht="15.6">
      <c r="A162" s="283"/>
      <c r="B162" s="294" t="s">
        <v>216</v>
      </c>
      <c r="C162" s="310"/>
      <c r="D162" s="310"/>
      <c r="E162" s="310"/>
      <c r="F162" s="310"/>
      <c r="G162" s="310"/>
      <c r="H162" s="310"/>
      <c r="I162" s="310"/>
      <c r="J162" s="310"/>
      <c r="K162" s="310"/>
      <c r="L162" s="310"/>
      <c r="M162" s="310"/>
      <c r="N162" s="310"/>
      <c r="O162" s="294"/>
      <c r="P162" s="294"/>
      <c r="Q162" s="294"/>
      <c r="R162" s="310">
        <v>820</v>
      </c>
      <c r="S162" s="311">
        <v>21652</v>
      </c>
      <c r="T162" s="311"/>
      <c r="U162" s="330"/>
      <c r="V162" s="342"/>
      <c r="W162" s="6"/>
    </row>
    <row r="163" spans="1:23" ht="15.6">
      <c r="A163" s="465"/>
      <c r="B163" s="379" t="s">
        <v>217</v>
      </c>
      <c r="C163" s="440"/>
      <c r="D163" s="440"/>
      <c r="E163" s="440"/>
      <c r="F163" s="440"/>
      <c r="G163" s="440"/>
      <c r="H163" s="440"/>
      <c r="I163" s="440"/>
      <c r="J163" s="440"/>
      <c r="K163" s="440"/>
      <c r="L163" s="440"/>
      <c r="M163" s="440"/>
      <c r="N163" s="440"/>
      <c r="O163" s="379"/>
      <c r="P163" s="379"/>
      <c r="Q163" s="379"/>
      <c r="R163" s="539">
        <v>14</v>
      </c>
      <c r="S163" s="540">
        <v>87</v>
      </c>
      <c r="T163" s="441"/>
      <c r="U163" s="466"/>
      <c r="V163" s="467"/>
      <c r="W163" s="6"/>
    </row>
    <row r="164" spans="1:23" ht="15.6">
      <c r="A164" s="465"/>
      <c r="B164" s="379" t="s">
        <v>218</v>
      </c>
      <c r="C164" s="440"/>
      <c r="D164" s="440"/>
      <c r="E164" s="440"/>
      <c r="F164" s="440"/>
      <c r="G164" s="440"/>
      <c r="H164" s="440"/>
      <c r="I164" s="440"/>
      <c r="J164" s="440"/>
      <c r="K164" s="440"/>
      <c r="L164" s="440"/>
      <c r="M164" s="440"/>
      <c r="N164" s="440"/>
      <c r="O164" s="379"/>
      <c r="P164" s="379"/>
      <c r="Q164" s="379"/>
      <c r="R164" s="539">
        <v>148</v>
      </c>
      <c r="S164" s="540">
        <v>150</v>
      </c>
      <c r="T164" s="441"/>
      <c r="U164" s="466"/>
      <c r="V164" s="467"/>
      <c r="W164" s="6"/>
    </row>
    <row r="165" spans="1:23" ht="15.6">
      <c r="A165" s="465"/>
      <c r="B165" s="379" t="s">
        <v>219</v>
      </c>
      <c r="C165" s="440"/>
      <c r="D165" s="440"/>
      <c r="E165" s="440"/>
      <c r="F165" s="440"/>
      <c r="G165" s="440"/>
      <c r="H165" s="440"/>
      <c r="I165" s="440"/>
      <c r="J165" s="440"/>
      <c r="K165" s="440"/>
      <c r="L165" s="440"/>
      <c r="M165" s="440"/>
      <c r="N165" s="440"/>
      <c r="O165" s="379"/>
      <c r="P165" s="379"/>
      <c r="Q165" s="379"/>
      <c r="R165" s="539">
        <v>122</v>
      </c>
      <c r="S165" s="540">
        <v>314</v>
      </c>
      <c r="T165" s="441"/>
      <c r="U165" s="466"/>
      <c r="V165" s="467"/>
      <c r="W165" s="6"/>
    </row>
    <row r="166" spans="1:23" ht="15.6">
      <c r="A166" s="465"/>
      <c r="B166" s="379" t="s">
        <v>90</v>
      </c>
      <c r="C166" s="440"/>
      <c r="D166" s="440"/>
      <c r="E166" s="440"/>
      <c r="F166" s="440"/>
      <c r="G166" s="440"/>
      <c r="H166" s="440"/>
      <c r="I166" s="440"/>
      <c r="J166" s="440"/>
      <c r="K166" s="440"/>
      <c r="L166" s="440"/>
      <c r="M166" s="440"/>
      <c r="N166" s="440"/>
      <c r="O166" s="379"/>
      <c r="P166" s="379"/>
      <c r="Q166" s="379"/>
      <c r="R166" s="541">
        <f>SUM(R162:R165)</f>
        <v>1104</v>
      </c>
      <c r="S166" s="540">
        <f>SUM(S162:S165)</f>
        <v>22203</v>
      </c>
      <c r="T166" s="441"/>
      <c r="U166" s="466"/>
      <c r="V166" s="467"/>
      <c r="W166" s="6"/>
    </row>
    <row r="167" spans="1:23" ht="15.6">
      <c r="A167" s="465"/>
      <c r="B167" s="379"/>
      <c r="C167" s="440"/>
      <c r="D167" s="440"/>
      <c r="E167" s="440"/>
      <c r="F167" s="440"/>
      <c r="G167" s="440"/>
      <c r="H167" s="440"/>
      <c r="I167" s="440"/>
      <c r="J167" s="440"/>
      <c r="K167" s="440"/>
      <c r="L167" s="440"/>
      <c r="M167" s="440"/>
      <c r="N167" s="440"/>
      <c r="O167" s="379"/>
      <c r="P167" s="379"/>
      <c r="Q167" s="379"/>
      <c r="R167" s="379"/>
      <c r="S167" s="441"/>
      <c r="T167" s="441"/>
      <c r="U167" s="466"/>
      <c r="V167" s="467"/>
      <c r="W167" s="6"/>
    </row>
    <row r="168" spans="1:23" ht="15.6">
      <c r="A168" s="465"/>
      <c r="B168" s="379" t="s">
        <v>220</v>
      </c>
      <c r="C168" s="440"/>
      <c r="D168" s="440"/>
      <c r="E168" s="440"/>
      <c r="F168" s="440"/>
      <c r="G168" s="440"/>
      <c r="H168" s="440"/>
      <c r="I168" s="440"/>
      <c r="J168" s="440"/>
      <c r="K168" s="440"/>
      <c r="L168" s="440"/>
      <c r="M168" s="440"/>
      <c r="N168" s="440"/>
      <c r="O168" s="379"/>
      <c r="P168" s="379"/>
      <c r="Q168" s="379"/>
      <c r="R168" s="539">
        <v>3</v>
      </c>
      <c r="S168" s="540">
        <v>31</v>
      </c>
      <c r="T168" s="441"/>
      <c r="U168" s="466"/>
      <c r="V168" s="467"/>
      <c r="W168" s="6"/>
    </row>
    <row r="169" spans="1:23" ht="15.6">
      <c r="A169" s="465"/>
      <c r="B169" s="379" t="s">
        <v>224</v>
      </c>
      <c r="C169" s="440"/>
      <c r="D169" s="440"/>
      <c r="E169" s="440"/>
      <c r="F169" s="440"/>
      <c r="G169" s="440"/>
      <c r="H169" s="440"/>
      <c r="I169" s="440"/>
      <c r="J169" s="440"/>
      <c r="K169" s="440"/>
      <c r="L169" s="440"/>
      <c r="M169" s="440"/>
      <c r="N169" s="440"/>
      <c r="O169" s="379"/>
      <c r="P169" s="379"/>
      <c r="Q169" s="379"/>
      <c r="R169" s="539">
        <v>2</v>
      </c>
      <c r="S169" s="540">
        <v>77</v>
      </c>
      <c r="T169" s="441"/>
      <c r="U169" s="466"/>
      <c r="V169" s="467"/>
      <c r="W169" s="6"/>
    </row>
    <row r="170" spans="1:23" ht="15.6">
      <c r="A170" s="465"/>
      <c r="B170" s="468" t="s">
        <v>69</v>
      </c>
      <c r="C170" s="469"/>
      <c r="D170" s="469"/>
      <c r="E170" s="469"/>
      <c r="F170" s="469"/>
      <c r="G170" s="469"/>
      <c r="H170" s="469"/>
      <c r="I170" s="469"/>
      <c r="J170" s="469"/>
      <c r="K170" s="469"/>
      <c r="L170" s="469"/>
      <c r="M170" s="469"/>
      <c r="N170" s="469"/>
      <c r="O170" s="454"/>
      <c r="P170" s="454"/>
      <c r="Q170" s="454"/>
      <c r="R170" s="539"/>
      <c r="S170" s="540">
        <v>0</v>
      </c>
      <c r="T170" s="454"/>
      <c r="U170" s="470"/>
      <c r="V170" s="471"/>
      <c r="W170" s="6"/>
    </row>
    <row r="171" spans="1:23" ht="15.6">
      <c r="A171" s="465"/>
      <c r="B171" s="468" t="s">
        <v>70</v>
      </c>
      <c r="C171" s="469"/>
      <c r="D171" s="469"/>
      <c r="E171" s="469"/>
      <c r="F171" s="469"/>
      <c r="G171" s="469"/>
      <c r="H171" s="469"/>
      <c r="I171" s="469"/>
      <c r="J171" s="469"/>
      <c r="K171" s="469"/>
      <c r="L171" s="469"/>
      <c r="M171" s="469"/>
      <c r="N171" s="469"/>
      <c r="O171" s="454"/>
      <c r="P171" s="454"/>
      <c r="Q171" s="454"/>
      <c r="R171" s="539"/>
      <c r="S171" s="540">
        <f>Q75</f>
        <v>0</v>
      </c>
      <c r="T171" s="454"/>
      <c r="U171" s="470"/>
      <c r="V171" s="471"/>
      <c r="W171" s="6"/>
    </row>
    <row r="172" spans="1:23" ht="15.6">
      <c r="A172" s="472"/>
      <c r="B172" s="468" t="s">
        <v>71</v>
      </c>
      <c r="C172" s="469"/>
      <c r="D172" s="469"/>
      <c r="E172" s="469"/>
      <c r="F172" s="469"/>
      <c r="G172" s="469"/>
      <c r="H172" s="469"/>
      <c r="I172" s="469"/>
      <c r="J172" s="469"/>
      <c r="K172" s="469"/>
      <c r="L172" s="469"/>
      <c r="M172" s="473"/>
      <c r="N172" s="473"/>
      <c r="O172" s="473"/>
      <c r="P172" s="454"/>
      <c r="Q172" s="454"/>
      <c r="R172" s="379"/>
      <c r="S172" s="500"/>
      <c r="T172" s="454"/>
      <c r="U172" s="470"/>
      <c r="V172" s="474"/>
      <c r="W172" s="6"/>
    </row>
    <row r="173" spans="1:23" ht="15.6">
      <c r="A173" s="465"/>
      <c r="B173" s="379" t="s">
        <v>72</v>
      </c>
      <c r="C173" s="469"/>
      <c r="D173" s="469"/>
      <c r="E173" s="469"/>
      <c r="F173" s="469"/>
      <c r="G173" s="469"/>
      <c r="H173" s="469"/>
      <c r="I173" s="469"/>
      <c r="J173" s="469"/>
      <c r="K173" s="469"/>
      <c r="L173" s="469"/>
      <c r="M173" s="469"/>
      <c r="N173" s="469"/>
      <c r="O173" s="469"/>
      <c r="P173" s="454"/>
      <c r="Q173" s="454"/>
      <c r="R173" s="379"/>
      <c r="S173" s="441">
        <f>U128</f>
        <v>1168</v>
      </c>
      <c r="T173" s="454"/>
      <c r="U173" s="470"/>
      <c r="V173" s="474"/>
      <c r="W173" s="6"/>
    </row>
    <row r="174" spans="1:23" ht="15.6">
      <c r="A174" s="465"/>
      <c r="B174" s="379" t="s">
        <v>73</v>
      </c>
      <c r="C174" s="469"/>
      <c r="D174" s="469"/>
      <c r="E174" s="469"/>
      <c r="F174" s="469"/>
      <c r="G174" s="469"/>
      <c r="H174" s="469"/>
      <c r="I174" s="469"/>
      <c r="J174" s="469"/>
      <c r="K174" s="469"/>
      <c r="L174" s="469"/>
      <c r="M174" s="469"/>
      <c r="N174" s="469"/>
      <c r="O174" s="469"/>
      <c r="P174" s="454"/>
      <c r="Q174" s="454"/>
      <c r="R174" s="379"/>
      <c r="S174" s="441">
        <f>'March 12'!S174+S173</f>
        <v>81006</v>
      </c>
      <c r="T174" s="454"/>
      <c r="U174" s="470"/>
      <c r="V174" s="474"/>
      <c r="W174" s="6"/>
    </row>
    <row r="175" spans="1:23" ht="15.6">
      <c r="A175" s="465"/>
      <c r="B175" s="379" t="s">
        <v>74</v>
      </c>
      <c r="C175" s="469"/>
      <c r="D175" s="469"/>
      <c r="E175" s="469"/>
      <c r="F175" s="469"/>
      <c r="G175" s="469"/>
      <c r="H175" s="469"/>
      <c r="I175" s="469"/>
      <c r="J175" s="469"/>
      <c r="K175" s="469"/>
      <c r="L175" s="469"/>
      <c r="M175" s="469"/>
      <c r="N175" s="469"/>
      <c r="O175" s="469"/>
      <c r="P175" s="454"/>
      <c r="Q175" s="454"/>
      <c r="R175" s="379"/>
      <c r="S175" s="441">
        <f>'March 12'!S175+625</f>
        <v>18536</v>
      </c>
      <c r="T175" s="454"/>
      <c r="U175" s="470"/>
      <c r="V175" s="474"/>
      <c r="W175" s="6"/>
    </row>
    <row r="176" spans="1:23" ht="15.6">
      <c r="A176" s="465"/>
      <c r="B176" s="473"/>
      <c r="C176" s="469"/>
      <c r="D176" s="469"/>
      <c r="E176" s="469"/>
      <c r="F176" s="469"/>
      <c r="G176" s="469"/>
      <c r="H176" s="469"/>
      <c r="I176" s="469"/>
      <c r="J176" s="469"/>
      <c r="K176" s="469"/>
      <c r="L176" s="469"/>
      <c r="M176" s="469"/>
      <c r="N176" s="469"/>
      <c r="O176" s="469"/>
      <c r="P176" s="454"/>
      <c r="Q176" s="454"/>
      <c r="R176" s="379"/>
      <c r="S176" s="441"/>
      <c r="T176" s="454"/>
      <c r="U176" s="470"/>
      <c r="V176" s="474"/>
      <c r="W176" s="6"/>
    </row>
    <row r="177" spans="1:23" ht="15.6">
      <c r="A177" s="472"/>
      <c r="B177" s="468" t="s">
        <v>259</v>
      </c>
      <c r="C177" s="469"/>
      <c r="D177" s="469"/>
      <c r="E177" s="469"/>
      <c r="F177" s="469"/>
      <c r="G177" s="469"/>
      <c r="H177" s="469"/>
      <c r="I177" s="469"/>
      <c r="J177" s="469"/>
      <c r="K177" s="469"/>
      <c r="L177" s="469"/>
      <c r="M177" s="473"/>
      <c r="N177" s="473"/>
      <c r="O177" s="473"/>
      <c r="P177" s="454"/>
      <c r="Q177" s="454"/>
      <c r="R177" s="379"/>
      <c r="S177" s="453"/>
      <c r="T177" s="454"/>
      <c r="U177" s="470"/>
      <c r="V177" s="474"/>
      <c r="W177" s="6"/>
    </row>
    <row r="178" spans="1:23" ht="15.6">
      <c r="A178" s="472"/>
      <c r="B178" s="379" t="s">
        <v>254</v>
      </c>
      <c r="C178" s="469"/>
      <c r="D178" s="469"/>
      <c r="E178" s="469"/>
      <c r="F178" s="469"/>
      <c r="G178" s="469"/>
      <c r="H178" s="469"/>
      <c r="I178" s="469"/>
      <c r="J178" s="469"/>
      <c r="K178" s="469"/>
      <c r="L178" s="469"/>
      <c r="M178" s="473"/>
      <c r="N178" s="473"/>
      <c r="O178" s="473"/>
      <c r="P178" s="454"/>
      <c r="Q178" s="454"/>
      <c r="R178" s="379"/>
      <c r="S178" s="543">
        <v>0</v>
      </c>
      <c r="T178" s="454"/>
      <c r="U178" s="470"/>
      <c r="V178" s="474"/>
      <c r="W178" s="6"/>
    </row>
    <row r="179" spans="1:23" ht="15.6">
      <c r="A179" s="465"/>
      <c r="B179" s="379" t="s">
        <v>75</v>
      </c>
      <c r="C179" s="469"/>
      <c r="D179" s="469"/>
      <c r="E179" s="469"/>
      <c r="F179" s="469"/>
      <c r="G179" s="469"/>
      <c r="H179" s="469"/>
      <c r="I179" s="469"/>
      <c r="J179" s="469"/>
      <c r="K179" s="469"/>
      <c r="L179" s="469"/>
      <c r="M179" s="475"/>
      <c r="N179" s="475"/>
      <c r="O179" s="476"/>
      <c r="P179" s="454"/>
      <c r="Q179" s="454"/>
      <c r="R179" s="379"/>
      <c r="S179" s="544">
        <v>0</v>
      </c>
      <c r="T179" s="454"/>
      <c r="U179" s="470"/>
      <c r="V179" s="474"/>
      <c r="W179" s="6"/>
    </row>
    <row r="180" spans="1:23" ht="15.6">
      <c r="A180" s="465"/>
      <c r="B180" s="379" t="s">
        <v>76</v>
      </c>
      <c r="C180" s="469"/>
      <c r="D180" s="469"/>
      <c r="E180" s="469"/>
      <c r="F180" s="469"/>
      <c r="G180" s="469"/>
      <c r="H180" s="469"/>
      <c r="I180" s="469"/>
      <c r="J180" s="469"/>
      <c r="K180" s="469"/>
      <c r="L180" s="469"/>
      <c r="M180" s="475"/>
      <c r="N180" s="475"/>
      <c r="O180" s="476"/>
      <c r="P180" s="454"/>
      <c r="Q180" s="454"/>
      <c r="R180" s="379"/>
      <c r="S180" s="543">
        <v>0</v>
      </c>
      <c r="T180" s="454"/>
      <c r="U180" s="470"/>
      <c r="V180" s="474"/>
      <c r="W180" s="6"/>
    </row>
    <row r="181" spans="1:23" ht="15.6">
      <c r="A181" s="465"/>
      <c r="B181" s="473"/>
      <c r="C181" s="469"/>
      <c r="D181" s="469"/>
      <c r="E181" s="469"/>
      <c r="F181" s="469"/>
      <c r="G181" s="469"/>
      <c r="H181" s="469"/>
      <c r="I181" s="469"/>
      <c r="J181" s="469"/>
      <c r="K181" s="469"/>
      <c r="L181" s="469"/>
      <c r="M181" s="477"/>
      <c r="N181" s="475"/>
      <c r="O181" s="476"/>
      <c r="P181" s="454"/>
      <c r="Q181" s="454"/>
      <c r="R181" s="379"/>
      <c r="S181" s="537"/>
      <c r="T181" s="454"/>
      <c r="U181" s="470"/>
      <c r="V181" s="474"/>
      <c r="W181" s="6"/>
    </row>
    <row r="182" spans="1:23" ht="15.6">
      <c r="A182" s="465"/>
      <c r="B182" s="468" t="s">
        <v>77</v>
      </c>
      <c r="C182" s="469"/>
      <c r="D182" s="469"/>
      <c r="E182" s="469"/>
      <c r="F182" s="469"/>
      <c r="G182" s="469"/>
      <c r="H182" s="469"/>
      <c r="I182" s="469"/>
      <c r="J182" s="469"/>
      <c r="K182" s="469"/>
      <c r="L182" s="469"/>
      <c r="M182" s="469"/>
      <c r="N182" s="477"/>
      <c r="O182" s="475"/>
      <c r="P182" s="476"/>
      <c r="Q182" s="454"/>
      <c r="R182" s="380"/>
      <c r="S182" s="538"/>
      <c r="T182" s="478"/>
      <c r="U182" s="390"/>
      <c r="V182" s="479"/>
      <c r="W182" s="6"/>
    </row>
    <row r="183" spans="1:23" ht="15.6">
      <c r="A183" s="465"/>
      <c r="B183" s="379" t="s">
        <v>78</v>
      </c>
      <c r="C183" s="469"/>
      <c r="D183" s="469"/>
      <c r="E183" s="469"/>
      <c r="F183" s="469"/>
      <c r="G183" s="469"/>
      <c r="H183" s="469"/>
      <c r="I183" s="469"/>
      <c r="J183" s="469"/>
      <c r="K183" s="469"/>
      <c r="L183" s="469"/>
      <c r="M183" s="469"/>
      <c r="N183" s="477"/>
      <c r="O183" s="475"/>
      <c r="P183" s="476"/>
      <c r="Q183" s="454"/>
      <c r="R183" s="380"/>
      <c r="S183" s="542">
        <v>21</v>
      </c>
      <c r="T183" s="480"/>
      <c r="U183" s="390"/>
      <c r="V183" s="479"/>
      <c r="W183" s="6"/>
    </row>
    <row r="184" spans="1:23" ht="15.6">
      <c r="A184" s="465"/>
      <c r="B184" s="379" t="s">
        <v>75</v>
      </c>
      <c r="C184" s="469"/>
      <c r="D184" s="469"/>
      <c r="E184" s="469"/>
      <c r="F184" s="469"/>
      <c r="G184" s="469"/>
      <c r="H184" s="469"/>
      <c r="I184" s="469"/>
      <c r="J184" s="469"/>
      <c r="K184" s="469"/>
      <c r="L184" s="469"/>
      <c r="M184" s="469"/>
      <c r="N184" s="477"/>
      <c r="O184" s="475"/>
      <c r="P184" s="476"/>
      <c r="Q184" s="454"/>
      <c r="R184" s="380"/>
      <c r="S184" s="542">
        <v>6.56</v>
      </c>
      <c r="T184" s="480"/>
      <c r="U184" s="390"/>
      <c r="V184" s="479"/>
      <c r="W184" s="6"/>
    </row>
    <row r="185" spans="1:23" ht="15.6">
      <c r="A185" s="465"/>
      <c r="B185" s="379" t="s">
        <v>79</v>
      </c>
      <c r="C185" s="469"/>
      <c r="D185" s="469"/>
      <c r="E185" s="469"/>
      <c r="F185" s="469"/>
      <c r="G185" s="469"/>
      <c r="H185" s="469"/>
      <c r="I185" s="469"/>
      <c r="J185" s="469"/>
      <c r="K185" s="469"/>
      <c r="L185" s="469"/>
      <c r="M185" s="469"/>
      <c r="N185" s="477"/>
      <c r="O185" s="475"/>
      <c r="P185" s="476"/>
      <c r="Q185" s="454"/>
      <c r="R185" s="380"/>
      <c r="S185" s="542">
        <v>115</v>
      </c>
      <c r="T185" s="480"/>
      <c r="U185" s="390"/>
      <c r="V185" s="479"/>
      <c r="W185" s="6"/>
    </row>
    <row r="186" spans="1:23" ht="15.6">
      <c r="A186" s="465"/>
      <c r="B186" s="473"/>
      <c r="C186" s="469"/>
      <c r="D186" s="469"/>
      <c r="E186" s="469"/>
      <c r="F186" s="469"/>
      <c r="G186" s="469"/>
      <c r="H186" s="469"/>
      <c r="I186" s="469"/>
      <c r="J186" s="469"/>
      <c r="K186" s="469"/>
      <c r="L186" s="469"/>
      <c r="M186" s="477"/>
      <c r="N186" s="475"/>
      <c r="O186" s="476"/>
      <c r="P186" s="454"/>
      <c r="Q186" s="454"/>
      <c r="R186" s="454"/>
      <c r="S186" s="537"/>
      <c r="T186" s="454"/>
      <c r="U186" s="470"/>
      <c r="V186" s="474"/>
      <c r="W186" s="6"/>
    </row>
    <row r="187" spans="1:23" ht="17.399999999999999">
      <c r="A187" s="465"/>
      <c r="B187" s="482" t="s">
        <v>196</v>
      </c>
      <c r="C187" s="469"/>
      <c r="D187" s="469"/>
      <c r="E187" s="469"/>
      <c r="F187" s="469"/>
      <c r="G187" s="469"/>
      <c r="H187" s="469"/>
      <c r="I187" s="469"/>
      <c r="J187" s="469"/>
      <c r="K187" s="483" t="s">
        <v>195</v>
      </c>
      <c r="L187" s="469"/>
      <c r="M187" s="477"/>
      <c r="N187" s="475"/>
      <c r="O187" s="476"/>
      <c r="P187" s="454"/>
      <c r="Q187" s="454"/>
      <c r="R187" s="454"/>
      <c r="S187" s="481"/>
      <c r="T187" s="454"/>
      <c r="U187" s="470"/>
      <c r="V187" s="474"/>
      <c r="W187" s="6"/>
    </row>
    <row r="188" spans="1:23" ht="15.6">
      <c r="A188" s="242"/>
      <c r="B188" s="460"/>
      <c r="C188" s="461"/>
      <c r="D188" s="461"/>
      <c r="E188" s="461"/>
      <c r="F188" s="461"/>
      <c r="G188" s="461"/>
      <c r="H188" s="461"/>
      <c r="I188" s="461"/>
      <c r="J188" s="461"/>
      <c r="K188" s="461"/>
      <c r="L188" s="461"/>
      <c r="M188" s="462"/>
      <c r="N188" s="461"/>
      <c r="O188" s="462"/>
      <c r="P188" s="461"/>
      <c r="Q188" s="462"/>
      <c r="R188" s="461"/>
      <c r="S188" s="462"/>
      <c r="T188" s="461"/>
      <c r="U188" s="463"/>
      <c r="V188" s="464"/>
      <c r="W188" s="6"/>
    </row>
    <row r="189" spans="1:23" ht="15.6">
      <c r="A189" s="348"/>
      <c r="B189" s="525" t="s">
        <v>80</v>
      </c>
      <c r="C189" s="343"/>
      <c r="D189" s="343"/>
      <c r="E189" s="343"/>
      <c r="F189" s="343"/>
      <c r="G189" s="343"/>
      <c r="H189" s="343"/>
      <c r="I189" s="343"/>
      <c r="J189" s="343"/>
      <c r="K189" s="343"/>
      <c r="L189" s="343"/>
      <c r="M189" s="525" t="s">
        <v>100</v>
      </c>
      <c r="N189" s="526"/>
      <c r="O189" s="527"/>
      <c r="P189" s="526"/>
      <c r="Q189" s="525" t="s">
        <v>26</v>
      </c>
      <c r="R189" s="526"/>
      <c r="S189" s="527"/>
      <c r="T189" s="526"/>
      <c r="U189" s="346"/>
      <c r="V189" s="528"/>
      <c r="W189" s="6"/>
    </row>
    <row r="190" spans="1:23" ht="15.6">
      <c r="A190" s="365"/>
      <c r="B190" s="366"/>
      <c r="C190" s="529"/>
      <c r="D190" s="529"/>
      <c r="E190" s="529"/>
      <c r="F190" s="529"/>
      <c r="G190" s="529"/>
      <c r="H190" s="529"/>
      <c r="I190" s="529"/>
      <c r="J190" s="529"/>
      <c r="K190" s="529"/>
      <c r="L190" s="529" t="s">
        <v>94</v>
      </c>
      <c r="M190" s="530" t="s">
        <v>101</v>
      </c>
      <c r="N190" s="529" t="s">
        <v>103</v>
      </c>
      <c r="O190" s="530" t="s">
        <v>101</v>
      </c>
      <c r="P190" s="530"/>
      <c r="Q190" s="529" t="s">
        <v>94</v>
      </c>
      <c r="R190" s="530" t="s">
        <v>101</v>
      </c>
      <c r="S190" s="529" t="s">
        <v>103</v>
      </c>
      <c r="T190" s="530" t="s">
        <v>101</v>
      </c>
      <c r="U190" s="369"/>
      <c r="V190" s="531"/>
      <c r="W190" s="6"/>
    </row>
    <row r="191" spans="1:23" ht="15.6">
      <c r="A191" s="316"/>
      <c r="B191" s="360" t="s">
        <v>81</v>
      </c>
      <c r="C191" s="361"/>
      <c r="D191" s="361"/>
      <c r="E191" s="361"/>
      <c r="F191" s="361"/>
      <c r="G191" s="361"/>
      <c r="H191" s="361"/>
      <c r="I191" s="361"/>
      <c r="J191" s="361"/>
      <c r="K191" s="361"/>
      <c r="L191" s="361">
        <v>564</v>
      </c>
      <c r="M191" s="362">
        <f t="shared" ref="M191:M197" si="0">+L191/$L$198</f>
        <v>0.74406332453825863</v>
      </c>
      <c r="N191" s="361">
        <v>2169</v>
      </c>
      <c r="O191" s="362">
        <f t="shared" ref="O191:O197" si="1">N191/$N$198</f>
        <v>0.84004647560030987</v>
      </c>
      <c r="P191" s="363"/>
      <c r="Q191" s="361">
        <v>389</v>
      </c>
      <c r="R191" s="362">
        <f t="shared" ref="R191:R197" si="2">+Q191/$Q$198</f>
        <v>0.63875205254515599</v>
      </c>
      <c r="S191" s="361">
        <v>408</v>
      </c>
      <c r="T191" s="362">
        <f t="shared" ref="T191:T197" si="3">+S191/$S$198</f>
        <v>0.6766169154228856</v>
      </c>
      <c r="U191" s="364"/>
      <c r="V191" s="312"/>
      <c r="W191" s="6"/>
    </row>
    <row r="192" spans="1:23" ht="15.6">
      <c r="A192" s="444"/>
      <c r="B192" s="440" t="s">
        <v>82</v>
      </c>
      <c r="C192" s="489"/>
      <c r="D192" s="489"/>
      <c r="E192" s="489"/>
      <c r="F192" s="489"/>
      <c r="G192" s="489"/>
      <c r="H192" s="489"/>
      <c r="I192" s="489"/>
      <c r="J192" s="489"/>
      <c r="K192" s="489"/>
      <c r="L192" s="489">
        <v>14</v>
      </c>
      <c r="M192" s="427">
        <f t="shared" si="0"/>
        <v>1.8469656992084433E-2</v>
      </c>
      <c r="N192" s="489">
        <v>21</v>
      </c>
      <c r="O192" s="427">
        <f t="shared" si="1"/>
        <v>8.1332300542215335E-3</v>
      </c>
      <c r="P192" s="381"/>
      <c r="Q192" s="489">
        <v>10</v>
      </c>
      <c r="R192" s="427">
        <f t="shared" si="2"/>
        <v>1.6420361247947456E-2</v>
      </c>
      <c r="S192" s="489">
        <v>2</v>
      </c>
      <c r="T192" s="427">
        <f t="shared" si="3"/>
        <v>3.3167495854063019E-3</v>
      </c>
      <c r="U192" s="379"/>
      <c r="V192" s="435"/>
      <c r="W192" s="6"/>
    </row>
    <row r="193" spans="1:24" ht="15.6">
      <c r="A193" s="444"/>
      <c r="B193" s="440" t="s">
        <v>83</v>
      </c>
      <c r="C193" s="489"/>
      <c r="D193" s="489"/>
      <c r="E193" s="489"/>
      <c r="F193" s="489"/>
      <c r="G193" s="489"/>
      <c r="H193" s="489"/>
      <c r="I193" s="489"/>
      <c r="J193" s="489"/>
      <c r="K193" s="489"/>
      <c r="L193" s="489">
        <v>14</v>
      </c>
      <c r="M193" s="427">
        <f t="shared" si="0"/>
        <v>1.8469656992084433E-2</v>
      </c>
      <c r="N193" s="489">
        <v>24</v>
      </c>
      <c r="O193" s="427">
        <f t="shared" si="1"/>
        <v>9.2951200619674663E-3</v>
      </c>
      <c r="P193" s="381"/>
      <c r="Q193" s="489">
        <v>10</v>
      </c>
      <c r="R193" s="427">
        <f t="shared" si="2"/>
        <v>1.6420361247947456E-2</v>
      </c>
      <c r="S193" s="489">
        <v>2</v>
      </c>
      <c r="T193" s="427">
        <f t="shared" si="3"/>
        <v>3.3167495854063019E-3</v>
      </c>
      <c r="U193" s="379"/>
      <c r="V193" s="435"/>
      <c r="W193" s="6"/>
    </row>
    <row r="194" spans="1:24" ht="15.6">
      <c r="A194" s="444"/>
      <c r="B194" s="440" t="s">
        <v>186</v>
      </c>
      <c r="C194" s="489"/>
      <c r="D194" s="489"/>
      <c r="E194" s="489"/>
      <c r="F194" s="489"/>
      <c r="G194" s="489"/>
      <c r="H194" s="489"/>
      <c r="I194" s="489"/>
      <c r="J194" s="489"/>
      <c r="K194" s="489"/>
      <c r="L194" s="489">
        <v>13</v>
      </c>
      <c r="M194" s="427">
        <f t="shared" si="0"/>
        <v>1.7150395778364115E-2</v>
      </c>
      <c r="N194" s="489">
        <v>23</v>
      </c>
      <c r="O194" s="427">
        <f t="shared" si="1"/>
        <v>8.9078233927188232E-3</v>
      </c>
      <c r="P194" s="381"/>
      <c r="Q194" s="489">
        <v>20</v>
      </c>
      <c r="R194" s="427">
        <f t="shared" si="2"/>
        <v>3.2840722495894911E-2</v>
      </c>
      <c r="S194" s="489">
        <v>14</v>
      </c>
      <c r="T194" s="427">
        <f t="shared" si="3"/>
        <v>2.3217247097844111E-2</v>
      </c>
      <c r="U194" s="379"/>
      <c r="V194" s="435"/>
      <c r="W194" s="6"/>
    </row>
    <row r="195" spans="1:24" ht="15.6">
      <c r="A195" s="444"/>
      <c r="B195" s="440" t="s">
        <v>187</v>
      </c>
      <c r="C195" s="489"/>
      <c r="D195" s="489"/>
      <c r="E195" s="489"/>
      <c r="F195" s="489"/>
      <c r="G195" s="489"/>
      <c r="H195" s="489"/>
      <c r="I195" s="489"/>
      <c r="J195" s="489"/>
      <c r="K195" s="489"/>
      <c r="L195" s="489">
        <v>14</v>
      </c>
      <c r="M195" s="427">
        <f t="shared" si="0"/>
        <v>1.8469656992084433E-2</v>
      </c>
      <c r="N195" s="489">
        <v>19</v>
      </c>
      <c r="O195" s="427">
        <f t="shared" si="1"/>
        <v>7.3586367157242446E-3</v>
      </c>
      <c r="P195" s="381"/>
      <c r="Q195" s="489">
        <v>21</v>
      </c>
      <c r="R195" s="427">
        <f t="shared" si="2"/>
        <v>3.4482758620689655E-2</v>
      </c>
      <c r="S195" s="489">
        <v>21</v>
      </c>
      <c r="T195" s="427">
        <f t="shared" si="3"/>
        <v>3.482587064676617E-2</v>
      </c>
      <c r="U195" s="379"/>
      <c r="V195" s="435"/>
      <c r="W195" s="6"/>
    </row>
    <row r="196" spans="1:24" ht="15.6">
      <c r="A196" s="444"/>
      <c r="B196" s="440" t="s">
        <v>188</v>
      </c>
      <c r="C196" s="489"/>
      <c r="D196" s="489"/>
      <c r="E196" s="489"/>
      <c r="F196" s="489"/>
      <c r="G196" s="489"/>
      <c r="H196" s="489"/>
      <c r="I196" s="489"/>
      <c r="J196" s="489"/>
      <c r="K196" s="489"/>
      <c r="L196" s="489">
        <v>23</v>
      </c>
      <c r="M196" s="427">
        <f t="shared" si="0"/>
        <v>3.0343007915567283E-2</v>
      </c>
      <c r="N196" s="489">
        <v>42</v>
      </c>
      <c r="O196" s="427">
        <f t="shared" si="1"/>
        <v>1.6266460108443067E-2</v>
      </c>
      <c r="P196" s="381"/>
      <c r="Q196" s="489">
        <v>16</v>
      </c>
      <c r="R196" s="427">
        <f t="shared" si="2"/>
        <v>2.6272577996715927E-2</v>
      </c>
      <c r="S196" s="489">
        <v>9</v>
      </c>
      <c r="T196" s="427">
        <f t="shared" si="3"/>
        <v>1.4925373134328358E-2</v>
      </c>
      <c r="U196" s="379"/>
      <c r="V196" s="435"/>
      <c r="W196" s="6"/>
    </row>
    <row r="197" spans="1:24" ht="15.6">
      <c r="A197" s="444"/>
      <c r="B197" s="440" t="s">
        <v>189</v>
      </c>
      <c r="C197" s="489"/>
      <c r="D197" s="489"/>
      <c r="E197" s="489"/>
      <c r="F197" s="489"/>
      <c r="G197" s="489"/>
      <c r="H197" s="489"/>
      <c r="I197" s="489"/>
      <c r="J197" s="489"/>
      <c r="K197" s="489"/>
      <c r="L197" s="489">
        <v>116</v>
      </c>
      <c r="M197" s="427">
        <f t="shared" si="0"/>
        <v>0.15303430079155672</v>
      </c>
      <c r="N197" s="489">
        <v>284</v>
      </c>
      <c r="O197" s="427">
        <f t="shared" si="1"/>
        <v>0.10999225406661503</v>
      </c>
      <c r="P197" s="381"/>
      <c r="Q197" s="489">
        <v>143</v>
      </c>
      <c r="R197" s="427">
        <f t="shared" si="2"/>
        <v>0.2348111658456486</v>
      </c>
      <c r="S197" s="489">
        <v>147</v>
      </c>
      <c r="T197" s="427">
        <f t="shared" si="3"/>
        <v>0.24378109452736318</v>
      </c>
      <c r="U197" s="379"/>
      <c r="V197" s="435"/>
      <c r="W197" s="6"/>
    </row>
    <row r="198" spans="1:24" ht="15.6">
      <c r="A198" s="444"/>
      <c r="B198" s="440" t="s">
        <v>84</v>
      </c>
      <c r="C198" s="489"/>
      <c r="D198" s="489"/>
      <c r="E198" s="489"/>
      <c r="F198" s="489"/>
      <c r="G198" s="489"/>
      <c r="H198" s="489"/>
      <c r="I198" s="489"/>
      <c r="J198" s="489"/>
      <c r="K198" s="489"/>
      <c r="L198" s="489">
        <f>SUM(L191:L197)</f>
        <v>758</v>
      </c>
      <c r="M198" s="427">
        <f>SUM(M191:M197)</f>
        <v>1.0000000000000002</v>
      </c>
      <c r="N198" s="489">
        <f>SUM(N191:N197)</f>
        <v>2582</v>
      </c>
      <c r="O198" s="427">
        <f>SUM(O191:O197)</f>
        <v>0.99999999999999989</v>
      </c>
      <c r="P198" s="381"/>
      <c r="Q198" s="489">
        <f>SUM(Q191:Q197)</f>
        <v>609</v>
      </c>
      <c r="R198" s="427">
        <f>SUM(R191:R197)</f>
        <v>0.99999999999999978</v>
      </c>
      <c r="S198" s="489">
        <f>SUM(S191:S197)</f>
        <v>603</v>
      </c>
      <c r="T198" s="427">
        <f>SUM(T191:T197)</f>
        <v>1</v>
      </c>
      <c r="U198" s="379"/>
      <c r="V198" s="435"/>
      <c r="W198" s="6"/>
      <c r="X198" s="64"/>
    </row>
    <row r="199" spans="1:24" ht="15.6">
      <c r="A199" s="444"/>
      <c r="B199" s="440" t="s">
        <v>85</v>
      </c>
      <c r="C199" s="489"/>
      <c r="D199" s="489"/>
      <c r="E199" s="489"/>
      <c r="F199" s="489"/>
      <c r="G199" s="489"/>
      <c r="H199" s="489"/>
      <c r="I199" s="489"/>
      <c r="J199" s="489"/>
      <c r="K199" s="489"/>
      <c r="L199" s="489">
        <v>904</v>
      </c>
      <c r="M199" s="380"/>
      <c r="N199" s="489">
        <v>5488</v>
      </c>
      <c r="O199" s="380"/>
      <c r="P199" s="381"/>
      <c r="Q199" s="489">
        <v>587</v>
      </c>
      <c r="R199" s="380"/>
      <c r="S199" s="489">
        <v>1299</v>
      </c>
      <c r="T199" s="380"/>
      <c r="U199" s="379"/>
      <c r="V199" s="435"/>
      <c r="W199" s="6"/>
      <c r="X199" s="64"/>
    </row>
    <row r="200" spans="1:24" ht="15.6">
      <c r="A200" s="444"/>
      <c r="B200" s="440" t="s">
        <v>86</v>
      </c>
      <c r="C200" s="489"/>
      <c r="D200" s="489"/>
      <c r="E200" s="489"/>
      <c r="F200" s="489"/>
      <c r="G200" s="489"/>
      <c r="H200" s="489"/>
      <c r="I200" s="489"/>
      <c r="J200" s="489"/>
      <c r="K200" s="489"/>
      <c r="L200" s="489">
        <f>SUM(L198:L199)</f>
        <v>1662</v>
      </c>
      <c r="M200" s="450"/>
      <c r="N200" s="489">
        <f>SUM(N198:N199)</f>
        <v>8070</v>
      </c>
      <c r="O200" s="490"/>
      <c r="P200" s="450"/>
      <c r="Q200" s="489">
        <f>SUM(Q198:Q199)</f>
        <v>1196</v>
      </c>
      <c r="R200" s="450"/>
      <c r="S200" s="489">
        <f>SUM(S198:S199)</f>
        <v>1902</v>
      </c>
      <c r="T200" s="450"/>
      <c r="U200" s="450"/>
      <c r="V200" s="435"/>
      <c r="W200" s="6"/>
      <c r="X200" s="64"/>
    </row>
    <row r="201" spans="1:24" ht="15.6">
      <c r="A201" s="242"/>
      <c r="B201" s="484"/>
      <c r="C201" s="485"/>
      <c r="D201" s="485"/>
      <c r="E201" s="485"/>
      <c r="F201" s="485"/>
      <c r="G201" s="485"/>
      <c r="H201" s="485"/>
      <c r="I201" s="485"/>
      <c r="J201" s="485"/>
      <c r="K201" s="485"/>
      <c r="L201" s="532"/>
      <c r="M201" s="533"/>
      <c r="N201" s="532"/>
      <c r="O201" s="533"/>
      <c r="P201" s="488"/>
      <c r="Q201" s="532"/>
      <c r="R201" s="533"/>
      <c r="S201" s="532"/>
      <c r="T201" s="533"/>
      <c r="U201" s="463"/>
      <c r="V201" s="464"/>
      <c r="W201" s="6"/>
    </row>
    <row r="202" spans="1:24" ht="15.6">
      <c r="A202" s="349"/>
      <c r="B202" s="525" t="s">
        <v>80</v>
      </c>
      <c r="C202" s="526"/>
      <c r="D202" s="526"/>
      <c r="E202" s="526"/>
      <c r="F202" s="526"/>
      <c r="G202" s="526"/>
      <c r="H202" s="526"/>
      <c r="I202" s="526"/>
      <c r="J202" s="526"/>
      <c r="K202" s="526"/>
      <c r="L202" s="526"/>
      <c r="M202" s="525" t="s">
        <v>27</v>
      </c>
      <c r="N202" s="526"/>
      <c r="O202" s="527"/>
      <c r="P202" s="526"/>
      <c r="Q202" s="525" t="s">
        <v>28</v>
      </c>
      <c r="R202" s="526"/>
      <c r="S202" s="527"/>
      <c r="T202" s="526"/>
      <c r="U202" s="346"/>
      <c r="V202" s="528"/>
      <c r="W202" s="6"/>
    </row>
    <row r="203" spans="1:24" ht="15.6">
      <c r="A203" s="371"/>
      <c r="B203" s="372"/>
      <c r="C203" s="534"/>
      <c r="D203" s="534"/>
      <c r="E203" s="534"/>
      <c r="F203" s="534"/>
      <c r="G203" s="534"/>
      <c r="H203" s="534"/>
      <c r="I203" s="534"/>
      <c r="J203" s="534"/>
      <c r="K203" s="534"/>
      <c r="L203" s="534" t="s">
        <v>94</v>
      </c>
      <c r="M203" s="535" t="s">
        <v>101</v>
      </c>
      <c r="N203" s="534" t="s">
        <v>103</v>
      </c>
      <c r="O203" s="535" t="s">
        <v>101</v>
      </c>
      <c r="P203" s="535"/>
      <c r="Q203" s="534" t="s">
        <v>94</v>
      </c>
      <c r="R203" s="535" t="s">
        <v>101</v>
      </c>
      <c r="S203" s="534" t="s">
        <v>103</v>
      </c>
      <c r="T203" s="535" t="s">
        <v>101</v>
      </c>
      <c r="U203" s="375"/>
      <c r="V203" s="536"/>
      <c r="W203" s="6"/>
    </row>
    <row r="204" spans="1:24" ht="15.6">
      <c r="A204" s="315"/>
      <c r="B204" s="310" t="s">
        <v>81</v>
      </c>
      <c r="C204" s="351"/>
      <c r="D204" s="351"/>
      <c r="E204" s="351"/>
      <c r="F204" s="351"/>
      <c r="G204" s="351"/>
      <c r="H204" s="351"/>
      <c r="I204" s="351"/>
      <c r="J204" s="351"/>
      <c r="K204" s="351"/>
      <c r="L204" s="351">
        <v>5886</v>
      </c>
      <c r="M204" s="299">
        <f t="shared" ref="M204:M210" si="4">+L204/$L$211</f>
        <v>0.87772144348344761</v>
      </c>
      <c r="N204" s="351">
        <v>136302</v>
      </c>
      <c r="O204" s="299">
        <f t="shared" ref="O204:O210" si="5">+N204/$N$211</f>
        <v>0.86292211656558238</v>
      </c>
      <c r="P204" s="296"/>
      <c r="Q204" s="351">
        <v>237</v>
      </c>
      <c r="R204" s="299">
        <f t="shared" ref="R204:R210" si="6">Q204/$Q$211</f>
        <v>0.85869565217391308</v>
      </c>
      <c r="S204" s="351">
        <v>2174</v>
      </c>
      <c r="T204" s="299">
        <f t="shared" ref="T204:T210" si="7">+S204/$S$211</f>
        <v>0.8603086664028492</v>
      </c>
      <c r="U204" s="294"/>
      <c r="V204" s="301"/>
      <c r="W204" s="6"/>
    </row>
    <row r="205" spans="1:24" ht="15.6">
      <c r="A205" s="444"/>
      <c r="B205" s="440" t="s">
        <v>82</v>
      </c>
      <c r="C205" s="489"/>
      <c r="D205" s="489"/>
      <c r="E205" s="489"/>
      <c r="F205" s="489"/>
      <c r="G205" s="489"/>
      <c r="H205" s="489"/>
      <c r="I205" s="489"/>
      <c r="J205" s="489"/>
      <c r="K205" s="489"/>
      <c r="L205" s="489">
        <v>199</v>
      </c>
      <c r="M205" s="427">
        <f t="shared" si="4"/>
        <v>2.967491798389502E-2</v>
      </c>
      <c r="N205" s="489">
        <v>5181</v>
      </c>
      <c r="O205" s="427">
        <f t="shared" si="5"/>
        <v>3.2800688808134013E-2</v>
      </c>
      <c r="P205" s="381"/>
      <c r="Q205" s="489">
        <v>18</v>
      </c>
      <c r="R205" s="427">
        <f t="shared" si="6"/>
        <v>6.5217391304347824E-2</v>
      </c>
      <c r="S205" s="489">
        <v>158</v>
      </c>
      <c r="T205" s="427">
        <f t="shared" si="7"/>
        <v>6.2524732884843684E-2</v>
      </c>
      <c r="U205" s="379"/>
      <c r="V205" s="435"/>
      <c r="W205" s="6"/>
    </row>
    <row r="206" spans="1:24" ht="15.6">
      <c r="A206" s="444"/>
      <c r="B206" s="440" t="s">
        <v>83</v>
      </c>
      <c r="C206" s="489"/>
      <c r="D206" s="489"/>
      <c r="E206" s="489"/>
      <c r="F206" s="489"/>
      <c r="G206" s="489"/>
      <c r="H206" s="489"/>
      <c r="I206" s="489"/>
      <c r="J206" s="489"/>
      <c r="K206" s="489"/>
      <c r="L206" s="489">
        <v>128</v>
      </c>
      <c r="M206" s="427">
        <f t="shared" si="4"/>
        <v>1.9087384431852074E-2</v>
      </c>
      <c r="N206" s="489">
        <v>3385</v>
      </c>
      <c r="O206" s="427">
        <f t="shared" si="5"/>
        <v>2.1430289831216684E-2</v>
      </c>
      <c r="P206" s="381"/>
      <c r="Q206" s="489">
        <v>2</v>
      </c>
      <c r="R206" s="427">
        <f t="shared" si="6"/>
        <v>7.246376811594203E-3</v>
      </c>
      <c r="S206" s="489">
        <v>8</v>
      </c>
      <c r="T206" s="427">
        <f t="shared" si="7"/>
        <v>3.1658092599920855E-3</v>
      </c>
      <c r="U206" s="379"/>
      <c r="V206" s="435"/>
      <c r="W206" s="6"/>
      <c r="X206" s="182"/>
    </row>
    <row r="207" spans="1:24" ht="15.6">
      <c r="A207" s="444"/>
      <c r="B207" s="440" t="s">
        <v>186</v>
      </c>
      <c r="C207" s="489"/>
      <c r="D207" s="489"/>
      <c r="E207" s="489"/>
      <c r="F207" s="489"/>
      <c r="G207" s="489"/>
      <c r="H207" s="489"/>
      <c r="I207" s="489"/>
      <c r="J207" s="489"/>
      <c r="K207" s="489"/>
      <c r="L207" s="489">
        <v>96</v>
      </c>
      <c r="M207" s="427">
        <f t="shared" si="4"/>
        <v>1.4315538323889055E-2</v>
      </c>
      <c r="N207" s="489">
        <v>2705</v>
      </c>
      <c r="O207" s="427">
        <f t="shared" si="5"/>
        <v>1.7125238993631057E-2</v>
      </c>
      <c r="P207" s="381"/>
      <c r="Q207" s="489">
        <v>6</v>
      </c>
      <c r="R207" s="427">
        <f t="shared" si="6"/>
        <v>2.1739130434782608E-2</v>
      </c>
      <c r="S207" s="489">
        <v>66</v>
      </c>
      <c r="T207" s="427">
        <f t="shared" si="7"/>
        <v>2.6117926394934706E-2</v>
      </c>
      <c r="U207" s="379"/>
      <c r="V207" s="435"/>
      <c r="W207" s="6"/>
    </row>
    <row r="208" spans="1:24" ht="15.6">
      <c r="A208" s="444"/>
      <c r="B208" s="440" t="s">
        <v>187</v>
      </c>
      <c r="C208" s="489"/>
      <c r="D208" s="489"/>
      <c r="E208" s="489"/>
      <c r="F208" s="489"/>
      <c r="G208" s="489"/>
      <c r="H208" s="489"/>
      <c r="I208" s="489"/>
      <c r="J208" s="489"/>
      <c r="K208" s="489"/>
      <c r="L208" s="489">
        <v>89</v>
      </c>
      <c r="M208" s="427">
        <f t="shared" si="4"/>
        <v>1.3271696987772145E-2</v>
      </c>
      <c r="N208" s="489">
        <v>2127</v>
      </c>
      <c r="O208" s="427">
        <f t="shared" si="5"/>
        <v>1.3465945781683275E-2</v>
      </c>
      <c r="P208" s="381"/>
      <c r="Q208" s="489">
        <v>5</v>
      </c>
      <c r="R208" s="427">
        <f t="shared" si="6"/>
        <v>1.8115942028985508E-2</v>
      </c>
      <c r="S208" s="489">
        <v>59</v>
      </c>
      <c r="T208" s="427">
        <f t="shared" si="7"/>
        <v>2.334784329244163E-2</v>
      </c>
      <c r="U208" s="379"/>
      <c r="V208" s="435"/>
      <c r="W208" s="6"/>
    </row>
    <row r="209" spans="1:24" ht="15.6">
      <c r="A209" s="444"/>
      <c r="B209" s="440" t="s">
        <v>188</v>
      </c>
      <c r="C209" s="489"/>
      <c r="D209" s="489"/>
      <c r="E209" s="489"/>
      <c r="F209" s="489"/>
      <c r="G209" s="489"/>
      <c r="H209" s="489"/>
      <c r="I209" s="489"/>
      <c r="J209" s="489"/>
      <c r="K209" s="489"/>
      <c r="L209" s="489">
        <v>77</v>
      </c>
      <c r="M209" s="427">
        <f t="shared" si="4"/>
        <v>1.1482254697286013E-2</v>
      </c>
      <c r="N209" s="489">
        <v>2049</v>
      </c>
      <c r="O209" s="427">
        <f t="shared" si="5"/>
        <v>1.2972131126783748E-2</v>
      </c>
      <c r="P209" s="381"/>
      <c r="Q209" s="489">
        <v>0</v>
      </c>
      <c r="R209" s="427">
        <f t="shared" si="6"/>
        <v>0</v>
      </c>
      <c r="S209" s="489">
        <v>0</v>
      </c>
      <c r="T209" s="427">
        <f t="shared" si="7"/>
        <v>0</v>
      </c>
      <c r="U209" s="379"/>
      <c r="V209" s="435"/>
      <c r="W209" s="6"/>
    </row>
    <row r="210" spans="1:24" ht="15.6">
      <c r="A210" s="444"/>
      <c r="B210" s="440" t="s">
        <v>189</v>
      </c>
      <c r="C210" s="489"/>
      <c r="D210" s="489"/>
      <c r="E210" s="489"/>
      <c r="F210" s="489"/>
      <c r="G210" s="489"/>
      <c r="H210" s="489"/>
      <c r="I210" s="489"/>
      <c r="J210" s="489"/>
      <c r="K210" s="489"/>
      <c r="L210" s="489">
        <v>231</v>
      </c>
      <c r="M210" s="427">
        <f t="shared" si="4"/>
        <v>3.444676409185804E-2</v>
      </c>
      <c r="N210" s="489">
        <v>6205</v>
      </c>
      <c r="O210" s="427">
        <f t="shared" si="5"/>
        <v>3.9283588892968839E-2</v>
      </c>
      <c r="P210" s="381"/>
      <c r="Q210" s="489">
        <v>8</v>
      </c>
      <c r="R210" s="427">
        <f t="shared" si="6"/>
        <v>2.8985507246376812E-2</v>
      </c>
      <c r="S210" s="489">
        <v>62</v>
      </c>
      <c r="T210" s="427">
        <f t="shared" si="7"/>
        <v>2.4535021764938662E-2</v>
      </c>
      <c r="U210" s="379"/>
      <c r="V210" s="435"/>
      <c r="W210" s="6"/>
    </row>
    <row r="211" spans="1:24" ht="15.6">
      <c r="A211" s="444"/>
      <c r="B211" s="440" t="str">
        <f>B198</f>
        <v>Total Performing  Assets</v>
      </c>
      <c r="C211" s="489"/>
      <c r="D211" s="489"/>
      <c r="E211" s="489"/>
      <c r="F211" s="489"/>
      <c r="G211" s="489"/>
      <c r="H211" s="489"/>
      <c r="I211" s="489"/>
      <c r="J211" s="489"/>
      <c r="K211" s="489"/>
      <c r="L211" s="489">
        <f>SUM(L204:L210)</f>
        <v>6706</v>
      </c>
      <c r="M211" s="427">
        <f>SUM(M204:M210)</f>
        <v>1</v>
      </c>
      <c r="N211" s="489">
        <f>SUM(N204:N210)</f>
        <v>157954</v>
      </c>
      <c r="O211" s="427">
        <f>SUM(O204:O210)</f>
        <v>0.99999999999999989</v>
      </c>
      <c r="P211" s="381"/>
      <c r="Q211" s="489">
        <f>SUM(Q204:Q210)</f>
        <v>276</v>
      </c>
      <c r="R211" s="427">
        <f>SUM(R204:R210)</f>
        <v>1</v>
      </c>
      <c r="S211" s="489">
        <f>SUM(S204:S210)</f>
        <v>2527</v>
      </c>
      <c r="T211" s="427">
        <f>SUM(T204:T210)</f>
        <v>1</v>
      </c>
      <c r="U211" s="379"/>
      <c r="V211" s="435"/>
      <c r="W211" s="6"/>
    </row>
    <row r="212" spans="1:24" ht="15.6">
      <c r="A212" s="444"/>
      <c r="B212" s="440" t="s">
        <v>85</v>
      </c>
      <c r="C212" s="489"/>
      <c r="D212" s="489"/>
      <c r="E212" s="489"/>
      <c r="F212" s="489"/>
      <c r="G212" s="489"/>
      <c r="H212" s="489"/>
      <c r="I212" s="489"/>
      <c r="J212" s="489"/>
      <c r="K212" s="489"/>
      <c r="L212" s="489">
        <v>207</v>
      </c>
      <c r="M212" s="381"/>
      <c r="N212" s="489">
        <v>5854</v>
      </c>
      <c r="O212" s="380"/>
      <c r="P212" s="381"/>
      <c r="Q212" s="489">
        <v>27</v>
      </c>
      <c r="R212" s="381"/>
      <c r="S212" s="489">
        <v>493</v>
      </c>
      <c r="T212" s="381"/>
      <c r="U212" s="379"/>
      <c r="V212" s="435"/>
      <c r="W212" s="6"/>
    </row>
    <row r="213" spans="1:24" ht="15.6">
      <c r="A213" s="444"/>
      <c r="B213" s="440" t="s">
        <v>86</v>
      </c>
      <c r="C213" s="489"/>
      <c r="D213" s="489"/>
      <c r="E213" s="489"/>
      <c r="F213" s="489"/>
      <c r="G213" s="489"/>
      <c r="H213" s="489"/>
      <c r="I213" s="489"/>
      <c r="J213" s="489"/>
      <c r="K213" s="489"/>
      <c r="L213" s="489">
        <f>SUM(L211:L212)</f>
        <v>6913</v>
      </c>
      <c r="M213" s="450"/>
      <c r="N213" s="489">
        <f>SUM(N211:N212)</f>
        <v>163808</v>
      </c>
      <c r="O213" s="427"/>
      <c r="P213" s="450"/>
      <c r="Q213" s="489">
        <f>SUM(Q211:Q212)</f>
        <v>303</v>
      </c>
      <c r="R213" s="450"/>
      <c r="S213" s="489">
        <f>SUM(S211:S212)</f>
        <v>3020</v>
      </c>
      <c r="T213" s="450"/>
      <c r="U213" s="450"/>
      <c r="V213" s="492"/>
    </row>
    <row r="214" spans="1:24" ht="15.6">
      <c r="A214" s="444"/>
      <c r="B214" s="440"/>
      <c r="C214" s="381"/>
      <c r="D214" s="381"/>
      <c r="E214" s="381"/>
      <c r="F214" s="381"/>
      <c r="G214" s="381"/>
      <c r="H214" s="381"/>
      <c r="I214" s="381"/>
      <c r="J214" s="381"/>
      <c r="K214" s="381"/>
      <c r="L214" s="381"/>
      <c r="M214" s="493"/>
      <c r="N214" s="381"/>
      <c r="O214" s="493"/>
      <c r="P214" s="381"/>
      <c r="Q214" s="493"/>
      <c r="R214" s="381"/>
      <c r="S214" s="489"/>
      <c r="T214" s="381"/>
      <c r="U214" s="379"/>
      <c r="V214" s="435"/>
      <c r="W214" s="6"/>
    </row>
    <row r="215" spans="1:24" ht="15.6">
      <c r="A215" s="444"/>
      <c r="B215" s="440" t="s">
        <v>86</v>
      </c>
      <c r="C215" s="381"/>
      <c r="D215" s="381"/>
      <c r="E215" s="381"/>
      <c r="F215" s="381"/>
      <c r="G215" s="381"/>
      <c r="H215" s="381"/>
      <c r="I215" s="381"/>
      <c r="J215" s="381"/>
      <c r="K215" s="381"/>
      <c r="L215" s="493"/>
      <c r="M215" s="493"/>
      <c r="N215" s="493"/>
      <c r="O215" s="493"/>
      <c r="P215" s="381"/>
      <c r="Q215" s="493"/>
      <c r="R215" s="381"/>
      <c r="S215" s="489">
        <f>+N200+S200+N213+S213</f>
        <v>176800</v>
      </c>
      <c r="T215" s="490"/>
      <c r="U215" s="379"/>
      <c r="V215" s="435"/>
      <c r="W215" s="6"/>
      <c r="X215" s="182"/>
    </row>
    <row r="216" spans="1:24" ht="15.6">
      <c r="A216" s="316"/>
      <c r="B216" s="360"/>
      <c r="C216" s="363"/>
      <c r="D216" s="363"/>
      <c r="E216" s="363"/>
      <c r="F216" s="363"/>
      <c r="G216" s="363"/>
      <c r="H216" s="363"/>
      <c r="I216" s="363"/>
      <c r="J216" s="363"/>
      <c r="K216" s="363"/>
      <c r="L216" s="491"/>
      <c r="M216" s="491"/>
      <c r="N216" s="491"/>
      <c r="O216" s="491"/>
      <c r="P216" s="363"/>
      <c r="Q216" s="491"/>
      <c r="R216" s="363"/>
      <c r="S216" s="361"/>
      <c r="T216" s="363"/>
      <c r="U216" s="364"/>
      <c r="V216" s="312"/>
      <c r="W216" s="6"/>
    </row>
    <row r="217" spans="1:24" ht="15.6">
      <c r="A217" s="349"/>
      <c r="B217" s="357" t="s">
        <v>87</v>
      </c>
      <c r="C217" s="526"/>
      <c r="D217" s="526"/>
      <c r="E217" s="526"/>
      <c r="F217" s="526"/>
      <c r="G217" s="526"/>
      <c r="H217" s="526"/>
      <c r="I217" s="526"/>
      <c r="J217" s="526"/>
      <c r="K217" s="526"/>
      <c r="L217" s="526"/>
      <c r="M217" s="527"/>
      <c r="N217" s="526"/>
      <c r="O217" s="527"/>
      <c r="P217" s="526"/>
      <c r="Q217" s="527"/>
      <c r="R217" s="526"/>
      <c r="S217" s="358"/>
      <c r="T217" s="526"/>
      <c r="U217" s="350"/>
      <c r="V217" s="528"/>
      <c r="W217" s="6"/>
    </row>
    <row r="218" spans="1:24" ht="15.6">
      <c r="A218" s="315"/>
      <c r="B218" s="310"/>
      <c r="C218" s="296"/>
      <c r="D218" s="296"/>
      <c r="E218" s="296"/>
      <c r="F218" s="296"/>
      <c r="G218" s="296"/>
      <c r="H218" s="296"/>
      <c r="I218" s="296"/>
      <c r="J218" s="296"/>
      <c r="K218" s="296"/>
      <c r="L218" s="296"/>
      <c r="M218" s="352"/>
      <c r="N218" s="296"/>
      <c r="O218" s="352"/>
      <c r="P218" s="296"/>
      <c r="Q218" s="352"/>
      <c r="R218" s="296"/>
      <c r="S218" s="351"/>
      <c r="T218" s="296"/>
      <c r="U218" s="294"/>
      <c r="V218" s="301"/>
      <c r="W218" s="6"/>
    </row>
    <row r="219" spans="1:24" ht="15.6">
      <c r="A219" s="444"/>
      <c r="B219" s="440" t="s">
        <v>88</v>
      </c>
      <c r="C219" s="381"/>
      <c r="D219" s="381"/>
      <c r="E219" s="381"/>
      <c r="F219" s="381"/>
      <c r="G219" s="381"/>
      <c r="H219" s="381"/>
      <c r="I219" s="381"/>
      <c r="J219" s="381"/>
      <c r="K219" s="381"/>
      <c r="L219" s="381"/>
      <c r="M219" s="493"/>
      <c r="N219" s="381"/>
      <c r="O219" s="493"/>
      <c r="P219" s="381"/>
      <c r="Q219" s="493"/>
      <c r="R219" s="381"/>
      <c r="S219" s="489">
        <f>+N198+S198+N211+S211</f>
        <v>163666</v>
      </c>
      <c r="T219" s="381"/>
      <c r="U219" s="379"/>
      <c r="V219" s="435"/>
      <c r="W219" s="6"/>
      <c r="X219" s="182"/>
    </row>
    <row r="220" spans="1:24" ht="15.6">
      <c r="A220" s="444"/>
      <c r="B220" s="440" t="s">
        <v>89</v>
      </c>
      <c r="C220" s="381"/>
      <c r="D220" s="381"/>
      <c r="E220" s="381"/>
      <c r="F220" s="381"/>
      <c r="G220" s="381"/>
      <c r="H220" s="381"/>
      <c r="I220" s="381"/>
      <c r="J220" s="381"/>
      <c r="K220" s="381"/>
      <c r="L220" s="381"/>
      <c r="M220" s="493"/>
      <c r="N220" s="381"/>
      <c r="O220" s="493"/>
      <c r="P220" s="381"/>
      <c r="Q220" s="493"/>
      <c r="R220" s="381"/>
      <c r="S220" s="489">
        <f>+U78</f>
        <v>0</v>
      </c>
      <c r="T220" s="381"/>
      <c r="U220" s="379"/>
      <c r="V220" s="435"/>
      <c r="W220" s="119"/>
    </row>
    <row r="221" spans="1:24" ht="15.6">
      <c r="A221" s="444"/>
      <c r="B221" s="440" t="s">
        <v>90</v>
      </c>
      <c r="C221" s="381"/>
      <c r="D221" s="381"/>
      <c r="E221" s="381"/>
      <c r="F221" s="381"/>
      <c r="G221" s="381"/>
      <c r="H221" s="381"/>
      <c r="I221" s="381"/>
      <c r="J221" s="381"/>
      <c r="K221" s="381"/>
      <c r="L221" s="381"/>
      <c r="M221" s="493"/>
      <c r="N221" s="381"/>
      <c r="O221" s="493"/>
      <c r="P221" s="381"/>
      <c r="Q221" s="493"/>
      <c r="R221" s="381"/>
      <c r="S221" s="489">
        <f>S219+S220</f>
        <v>163666</v>
      </c>
      <c r="T221" s="381"/>
      <c r="U221" s="379"/>
      <c r="V221" s="435"/>
      <c r="W221" s="6"/>
    </row>
    <row r="222" spans="1:24" ht="15.6">
      <c r="A222" s="444"/>
      <c r="B222" s="440"/>
      <c r="C222" s="381"/>
      <c r="D222" s="381"/>
      <c r="E222" s="381"/>
      <c r="F222" s="381"/>
      <c r="G222" s="381"/>
      <c r="H222" s="381"/>
      <c r="I222" s="381"/>
      <c r="J222" s="381"/>
      <c r="K222" s="381"/>
      <c r="L222" s="381"/>
      <c r="M222" s="493"/>
      <c r="N222" s="381"/>
      <c r="O222" s="493"/>
      <c r="P222" s="381"/>
      <c r="Q222" s="493"/>
      <c r="R222" s="381"/>
      <c r="S222" s="489"/>
      <c r="T222" s="381"/>
      <c r="U222" s="379"/>
      <c r="V222" s="435"/>
      <c r="W222" s="6"/>
    </row>
    <row r="223" spans="1:24" ht="15.6">
      <c r="A223" s="444"/>
      <c r="B223" s="440" t="s">
        <v>91</v>
      </c>
      <c r="C223" s="381"/>
      <c r="D223" s="381"/>
      <c r="E223" s="381"/>
      <c r="F223" s="381"/>
      <c r="G223" s="381"/>
      <c r="H223" s="381"/>
      <c r="I223" s="381"/>
      <c r="J223" s="381"/>
      <c r="K223" s="381"/>
      <c r="L223" s="381"/>
      <c r="M223" s="493"/>
      <c r="N223" s="381"/>
      <c r="O223" s="493"/>
      <c r="P223" s="381"/>
      <c r="Q223" s="493"/>
      <c r="R223" s="381"/>
      <c r="S223" s="489">
        <f>U33</f>
        <v>163666.31759999998</v>
      </c>
      <c r="T223" s="381"/>
      <c r="U223" s="379"/>
      <c r="V223" s="435"/>
      <c r="W223" s="6"/>
    </row>
    <row r="224" spans="1:24" ht="15.6">
      <c r="A224" s="444"/>
      <c r="B224" s="440"/>
      <c r="C224" s="381"/>
      <c r="D224" s="381"/>
      <c r="E224" s="381"/>
      <c r="F224" s="381"/>
      <c r="G224" s="381"/>
      <c r="H224" s="381"/>
      <c r="I224" s="381"/>
      <c r="J224" s="381"/>
      <c r="K224" s="381"/>
      <c r="L224" s="381"/>
      <c r="M224" s="493"/>
      <c r="N224" s="381"/>
      <c r="O224" s="493"/>
      <c r="P224" s="381"/>
      <c r="Q224" s="493"/>
      <c r="R224" s="381"/>
      <c r="S224" s="489"/>
      <c r="T224" s="381"/>
      <c r="U224" s="379"/>
      <c r="V224" s="435"/>
      <c r="W224" s="6"/>
    </row>
    <row r="225" spans="1:23" ht="15.6">
      <c r="A225" s="444"/>
      <c r="B225" s="440" t="s">
        <v>92</v>
      </c>
      <c r="C225" s="381"/>
      <c r="D225" s="381"/>
      <c r="E225" s="381"/>
      <c r="F225" s="381"/>
      <c r="G225" s="381"/>
      <c r="H225" s="381"/>
      <c r="I225" s="381"/>
      <c r="J225" s="381"/>
      <c r="K225" s="381"/>
      <c r="L225" s="381"/>
      <c r="M225" s="493"/>
      <c r="N225" s="381"/>
      <c r="O225" s="493"/>
      <c r="P225" s="381"/>
      <c r="Q225" s="493"/>
      <c r="R225" s="381"/>
      <c r="S225" s="489">
        <f>S221/S223</f>
        <v>0.9999980594663298</v>
      </c>
      <c r="T225" s="381"/>
      <c r="U225" s="379"/>
      <c r="V225" s="435"/>
      <c r="W225" s="6"/>
    </row>
    <row r="226" spans="1:23" ht="15.6">
      <c r="A226" s="444"/>
      <c r="B226" s="379"/>
      <c r="C226" s="379"/>
      <c r="D226" s="379"/>
      <c r="E226" s="379"/>
      <c r="F226" s="379"/>
      <c r="G226" s="379"/>
      <c r="H226" s="379"/>
      <c r="I226" s="379"/>
      <c r="J226" s="379"/>
      <c r="K226" s="379"/>
      <c r="L226" s="379"/>
      <c r="M226" s="380"/>
      <c r="N226" s="379"/>
      <c r="O226" s="379"/>
      <c r="P226" s="379"/>
      <c r="Q226" s="440"/>
      <c r="R226" s="497"/>
      <c r="S226" s="441"/>
      <c r="T226" s="497"/>
      <c r="U226" s="466"/>
      <c r="V226" s="410"/>
      <c r="W226" s="6"/>
    </row>
    <row r="227" spans="1:23" ht="15.6">
      <c r="A227" s="353"/>
      <c r="B227" s="494" t="s">
        <v>127</v>
      </c>
      <c r="C227" s="495"/>
      <c r="D227" s="495"/>
      <c r="E227" s="495"/>
      <c r="F227" s="495"/>
      <c r="G227" s="495"/>
      <c r="H227" s="495"/>
      <c r="I227" s="495"/>
      <c r="J227" s="495"/>
      <c r="K227" s="495"/>
      <c r="L227" s="495"/>
      <c r="M227" s="363"/>
      <c r="N227" s="364"/>
      <c r="O227" s="494"/>
      <c r="P227" s="443"/>
      <c r="Q227" s="443"/>
      <c r="R227" s="443"/>
      <c r="S227" s="496"/>
      <c r="T227" s="443"/>
      <c r="U227" s="443"/>
      <c r="V227" s="355"/>
      <c r="W227" s="6"/>
    </row>
    <row r="228" spans="1:23" ht="15.6">
      <c r="A228" s="353"/>
      <c r="B228" s="287" t="s">
        <v>128</v>
      </c>
      <c r="C228" s="354"/>
      <c r="D228" s="354"/>
      <c r="E228" s="354"/>
      <c r="F228" s="354"/>
      <c r="G228" s="354"/>
      <c r="H228" s="354"/>
      <c r="I228" s="354"/>
      <c r="J228" s="354"/>
      <c r="K228" s="354"/>
      <c r="L228" s="354"/>
      <c r="M228" s="290"/>
      <c r="N228" s="287"/>
      <c r="O228" s="287"/>
      <c r="P228" s="354"/>
      <c r="Q228" s="354"/>
      <c r="R228" s="317"/>
      <c r="S228" s="317"/>
      <c r="T228" s="317"/>
      <c r="U228" s="317"/>
      <c r="V228" s="355"/>
      <c r="W228" s="6"/>
    </row>
    <row r="229" spans="1:23" ht="15.6">
      <c r="A229" s="353"/>
      <c r="B229" s="287" t="s">
        <v>246</v>
      </c>
      <c r="C229" s="287"/>
      <c r="D229" s="287"/>
      <c r="E229" s="287"/>
      <c r="F229" s="287"/>
      <c r="G229" s="287"/>
      <c r="H229" s="287"/>
      <c r="I229" s="287"/>
      <c r="J229" s="287"/>
      <c r="K229" s="287"/>
      <c r="L229" s="287"/>
      <c r="M229" s="287"/>
      <c r="N229" s="287"/>
      <c r="O229" s="287"/>
      <c r="P229" s="287"/>
      <c r="Q229" s="287"/>
      <c r="R229" s="287"/>
      <c r="S229" s="287"/>
      <c r="T229" s="287"/>
      <c r="U229" s="287"/>
      <c r="V229" s="355"/>
      <c r="W229" s="6"/>
    </row>
    <row r="230" spans="1:23" ht="15.6">
      <c r="A230" s="353"/>
      <c r="B230" s="287" t="s">
        <v>129</v>
      </c>
      <c r="C230" s="354"/>
      <c r="D230" s="354"/>
      <c r="E230" s="354"/>
      <c r="F230" s="354"/>
      <c r="G230" s="354"/>
      <c r="H230" s="354"/>
      <c r="I230" s="354"/>
      <c r="J230" s="354"/>
      <c r="K230" s="354"/>
      <c r="L230" s="354"/>
      <c r="M230" s="290"/>
      <c r="N230" s="287"/>
      <c r="O230" s="287"/>
      <c r="P230" s="354"/>
      <c r="Q230" s="354"/>
      <c r="R230" s="317"/>
      <c r="S230" s="317"/>
      <c r="T230" s="317"/>
      <c r="U230" s="317"/>
      <c r="V230" s="355"/>
      <c r="W230" s="6"/>
    </row>
    <row r="231" spans="1:23" ht="15.6">
      <c r="A231" s="353"/>
      <c r="B231" s="287"/>
      <c r="C231" s="354"/>
      <c r="D231" s="354"/>
      <c r="E231" s="354"/>
      <c r="F231" s="354"/>
      <c r="G231" s="354"/>
      <c r="H231" s="354"/>
      <c r="I231" s="354"/>
      <c r="J231" s="354"/>
      <c r="K231" s="354"/>
      <c r="L231" s="354"/>
      <c r="M231" s="290"/>
      <c r="N231" s="287"/>
      <c r="O231" s="287"/>
      <c r="P231" s="354"/>
      <c r="Q231" s="354"/>
      <c r="R231" s="317"/>
      <c r="S231" s="317"/>
      <c r="T231" s="317"/>
      <c r="U231" s="317"/>
      <c r="V231" s="355"/>
      <c r="W231" s="6"/>
    </row>
    <row r="232" spans="1:23" ht="15.6">
      <c r="A232" s="353"/>
      <c r="B232" s="287"/>
      <c r="C232" s="354"/>
      <c r="D232" s="354"/>
      <c r="E232" s="354"/>
      <c r="F232" s="354"/>
      <c r="G232" s="354"/>
      <c r="H232" s="354"/>
      <c r="I232" s="354"/>
      <c r="J232" s="354"/>
      <c r="K232" s="354"/>
      <c r="L232" s="354"/>
      <c r="M232" s="290"/>
      <c r="N232" s="287"/>
      <c r="O232" s="287"/>
      <c r="P232" s="354"/>
      <c r="Q232" s="354"/>
      <c r="R232" s="317"/>
      <c r="S232" s="317"/>
      <c r="T232" s="317"/>
      <c r="U232" s="317"/>
      <c r="V232" s="355"/>
      <c r="W232" s="6"/>
    </row>
    <row r="233" spans="1:23" ht="16.2" thickBot="1">
      <c r="A233" s="353"/>
      <c r="B233" s="287" t="str">
        <f>+B160</f>
        <v>PPAF3 INVESTOR REPORT QUARTER ENDING JUNE 2012</v>
      </c>
      <c r="C233" s="354"/>
      <c r="D233" s="354"/>
      <c r="E233" s="354"/>
      <c r="F233" s="354"/>
      <c r="G233" s="354"/>
      <c r="H233" s="354"/>
      <c r="I233" s="354"/>
      <c r="J233" s="354"/>
      <c r="K233" s="354"/>
      <c r="L233" s="354"/>
      <c r="M233" s="290"/>
      <c r="N233" s="287"/>
      <c r="O233" s="287"/>
      <c r="P233" s="354"/>
      <c r="Q233" s="354"/>
      <c r="R233" s="317"/>
      <c r="S233" s="317"/>
      <c r="T233" s="317"/>
      <c r="U233" s="317"/>
      <c r="V233" s="356"/>
      <c r="W233" s="6"/>
    </row>
    <row r="234" spans="1:2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row>
  </sheetData>
  <hyperlinks>
    <hyperlink ref="I9" r:id="rId1"/>
    <hyperlink ref="K187"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21" man="1"/>
    <brk id="109" max="16383" man="1"/>
    <brk id="160" max="21" man="1"/>
    <brk id="239" man="1"/>
  </rowBreaks>
  <colBreaks count="1" manualBreakCount="1">
    <brk id="23" max="1048575" man="1"/>
  </colBreaks>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0" tint="-0.499984740745262"/>
  </sheetPr>
  <dimension ref="A1:Y234"/>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38" t="s">
        <v>223</v>
      </c>
      <c r="B1" s="285" t="s">
        <v>123</v>
      </c>
      <c r="C1" s="239"/>
      <c r="D1" s="239"/>
      <c r="E1" s="239"/>
      <c r="F1" s="239"/>
      <c r="G1" s="239"/>
      <c r="H1" s="239"/>
      <c r="I1" s="239"/>
      <c r="J1" s="239"/>
      <c r="K1" s="239"/>
      <c r="L1" s="239"/>
      <c r="M1" s="240"/>
      <c r="N1" s="240"/>
      <c r="O1" s="240"/>
      <c r="P1" s="240"/>
      <c r="Q1" s="240"/>
      <c r="R1" s="240"/>
      <c r="S1" s="240"/>
      <c r="T1" s="240"/>
      <c r="U1" s="240"/>
      <c r="V1" s="241"/>
      <c r="W1" s="6"/>
    </row>
    <row r="2" spans="1:23" ht="15.6">
      <c r="A2" s="242"/>
      <c r="B2" s="243"/>
      <c r="C2" s="243"/>
      <c r="D2" s="243"/>
      <c r="E2" s="243"/>
      <c r="F2" s="243"/>
      <c r="G2" s="243"/>
      <c r="H2" s="243"/>
      <c r="I2" s="243"/>
      <c r="J2" s="243"/>
      <c r="K2" s="243"/>
      <c r="L2" s="243"/>
      <c r="M2" s="244"/>
      <c r="N2" s="244"/>
      <c r="O2" s="244"/>
      <c r="P2" s="244"/>
      <c r="Q2" s="244"/>
      <c r="R2" s="244"/>
      <c r="S2" s="244"/>
      <c r="T2" s="244"/>
      <c r="U2" s="244"/>
      <c r="V2" s="245"/>
      <c r="W2" s="6"/>
    </row>
    <row r="3" spans="1:23" ht="15.6">
      <c r="A3" s="246"/>
      <c r="B3" s="247" t="s">
        <v>125</v>
      </c>
      <c r="C3" s="244"/>
      <c r="D3" s="244"/>
      <c r="E3" s="244"/>
      <c r="F3" s="244"/>
      <c r="G3" s="244"/>
      <c r="H3" s="244"/>
      <c r="I3" s="244"/>
      <c r="J3" s="244"/>
      <c r="K3" s="244"/>
      <c r="L3" s="244"/>
      <c r="M3" s="244"/>
      <c r="N3" s="244"/>
      <c r="O3" s="244"/>
      <c r="P3" s="244"/>
      <c r="Q3" s="244"/>
      <c r="R3" s="244"/>
      <c r="S3" s="244"/>
      <c r="T3" s="244"/>
      <c r="U3" s="244"/>
      <c r="V3" s="245"/>
      <c r="W3" s="6"/>
    </row>
    <row r="4" spans="1:23" ht="15.6">
      <c r="A4" s="242"/>
      <c r="B4" s="243"/>
      <c r="C4" s="243"/>
      <c r="D4" s="243"/>
      <c r="E4" s="243"/>
      <c r="F4" s="243"/>
      <c r="G4" s="243"/>
      <c r="H4" s="243"/>
      <c r="I4" s="243"/>
      <c r="J4" s="243"/>
      <c r="K4" s="243"/>
      <c r="L4" s="243"/>
      <c r="M4" s="244"/>
      <c r="N4" s="244"/>
      <c r="O4" s="244"/>
      <c r="P4" s="244"/>
      <c r="Q4" s="244"/>
      <c r="R4" s="244"/>
      <c r="S4" s="244"/>
      <c r="T4" s="244"/>
      <c r="U4" s="244"/>
      <c r="V4" s="245"/>
      <c r="W4" s="6"/>
    </row>
    <row r="5" spans="1:23" ht="16.2">
      <c r="A5" s="242"/>
      <c r="B5" s="286" t="s">
        <v>0</v>
      </c>
      <c r="C5" s="248"/>
      <c r="D5" s="248"/>
      <c r="E5" s="248"/>
      <c r="F5" s="248"/>
      <c r="G5" s="248"/>
      <c r="H5" s="248"/>
      <c r="I5" s="248"/>
      <c r="J5" s="248"/>
      <c r="K5" s="248"/>
      <c r="L5" s="248"/>
      <c r="M5" s="244"/>
      <c r="N5" s="244"/>
      <c r="O5" s="244"/>
      <c r="P5" s="244"/>
      <c r="Q5" s="244"/>
      <c r="R5" s="244"/>
      <c r="S5" s="244"/>
      <c r="T5" s="244"/>
      <c r="U5" s="244"/>
      <c r="V5" s="245"/>
      <c r="W5" s="6"/>
    </row>
    <row r="6" spans="1:23" ht="16.2">
      <c r="A6" s="242"/>
      <c r="B6" s="286" t="s">
        <v>1</v>
      </c>
      <c r="C6" s="248"/>
      <c r="D6" s="248"/>
      <c r="E6" s="248"/>
      <c r="F6" s="248"/>
      <c r="G6" s="248"/>
      <c r="H6" s="248"/>
      <c r="I6" s="248"/>
      <c r="J6" s="248"/>
      <c r="K6" s="248"/>
      <c r="L6" s="248"/>
      <c r="M6" s="244"/>
      <c r="N6" s="244"/>
      <c r="O6" s="244"/>
      <c r="P6" s="244"/>
      <c r="Q6" s="244"/>
      <c r="R6" s="244"/>
      <c r="S6" s="244"/>
      <c r="T6" s="244"/>
      <c r="U6" s="244"/>
      <c r="V6" s="245"/>
      <c r="W6" s="6"/>
    </row>
    <row r="7" spans="1:23" ht="16.2">
      <c r="A7" s="242"/>
      <c r="B7" s="286" t="s">
        <v>2</v>
      </c>
      <c r="C7" s="248"/>
      <c r="D7" s="248"/>
      <c r="E7" s="248"/>
      <c r="F7" s="248"/>
      <c r="G7" s="248"/>
      <c r="H7" s="248"/>
      <c r="I7" s="248"/>
      <c r="J7" s="248"/>
      <c r="K7" s="248"/>
      <c r="L7" s="248"/>
      <c r="M7" s="244"/>
      <c r="N7" s="244"/>
      <c r="O7" s="244"/>
      <c r="P7" s="244"/>
      <c r="Q7" s="244"/>
      <c r="R7" s="244"/>
      <c r="S7" s="244"/>
      <c r="T7" s="244"/>
      <c r="U7" s="244"/>
      <c r="V7" s="245"/>
      <c r="W7" s="6"/>
    </row>
    <row r="8" spans="1:23" ht="16.2">
      <c r="A8" s="242"/>
      <c r="B8" s="249"/>
      <c r="C8" s="248"/>
      <c r="D8" s="248"/>
      <c r="E8" s="248"/>
      <c r="F8" s="248"/>
      <c r="G8" s="248"/>
      <c r="H8" s="248"/>
      <c r="I8" s="248"/>
      <c r="J8" s="248"/>
      <c r="K8" s="248"/>
      <c r="L8" s="248"/>
      <c r="M8" s="244"/>
      <c r="N8" s="244"/>
      <c r="O8" s="244"/>
      <c r="P8" s="244"/>
      <c r="Q8" s="244"/>
      <c r="R8" s="244"/>
      <c r="S8" s="244"/>
      <c r="T8" s="244"/>
      <c r="U8" s="244"/>
      <c r="V8" s="245"/>
      <c r="W8" s="6"/>
    </row>
    <row r="9" spans="1:23" ht="18">
      <c r="A9" s="242"/>
      <c r="B9" s="250" t="s">
        <v>194</v>
      </c>
      <c r="C9" s="248"/>
      <c r="D9" s="248"/>
      <c r="E9" s="248"/>
      <c r="F9" s="248"/>
      <c r="G9" s="248"/>
      <c r="H9" s="248"/>
      <c r="I9" s="251" t="s">
        <v>195</v>
      </c>
      <c r="J9" s="248"/>
      <c r="K9" s="248"/>
      <c r="L9" s="248"/>
      <c r="M9" s="244"/>
      <c r="N9" s="244"/>
      <c r="O9" s="244"/>
      <c r="P9" s="244"/>
      <c r="Q9" s="244"/>
      <c r="R9" s="244"/>
      <c r="S9" s="244"/>
      <c r="T9" s="244"/>
      <c r="U9" s="244"/>
      <c r="V9" s="245"/>
      <c r="W9" s="6"/>
    </row>
    <row r="10" spans="1:23" ht="16.2">
      <c r="A10" s="242"/>
      <c r="B10" s="248"/>
      <c r="C10" s="248"/>
      <c r="D10" s="248"/>
      <c r="E10" s="248"/>
      <c r="F10" s="248"/>
      <c r="G10" s="248"/>
      <c r="H10" s="248"/>
      <c r="I10" s="248"/>
      <c r="J10" s="248"/>
      <c r="K10" s="248"/>
      <c r="L10" s="248"/>
      <c r="M10" s="252"/>
      <c r="N10" s="252"/>
      <c r="O10" s="244"/>
      <c r="P10" s="244"/>
      <c r="Q10" s="244"/>
      <c r="R10" s="244"/>
      <c r="S10" s="244"/>
      <c r="T10" s="244"/>
      <c r="U10" s="244"/>
      <c r="V10" s="245"/>
      <c r="W10" s="6"/>
    </row>
    <row r="11" spans="1:23" ht="15.6">
      <c r="A11" s="242"/>
      <c r="B11" s="287" t="s">
        <v>3</v>
      </c>
      <c r="C11" s="252"/>
      <c r="D11" s="252"/>
      <c r="E11" s="252"/>
      <c r="F11" s="252"/>
      <c r="G11" s="252"/>
      <c r="H11" s="252"/>
      <c r="I11" s="252"/>
      <c r="J11" s="252"/>
      <c r="K11" s="252"/>
      <c r="L11" s="252"/>
      <c r="M11" s="244"/>
      <c r="N11" s="244"/>
      <c r="O11" s="244"/>
      <c r="P11" s="244"/>
      <c r="Q11" s="244"/>
      <c r="R11" s="244"/>
      <c r="S11" s="244"/>
      <c r="T11" s="244"/>
      <c r="U11" s="244"/>
      <c r="V11" s="245"/>
      <c r="W11" s="6"/>
    </row>
    <row r="12" spans="1:23" ht="16.2" thickBot="1">
      <c r="A12" s="242"/>
      <c r="B12" s="252"/>
      <c r="C12" s="252"/>
      <c r="D12" s="252"/>
      <c r="E12" s="252"/>
      <c r="F12" s="252"/>
      <c r="G12" s="252"/>
      <c r="H12" s="252"/>
      <c r="I12" s="252"/>
      <c r="J12" s="252"/>
      <c r="K12" s="252"/>
      <c r="L12" s="252"/>
      <c r="M12" s="244"/>
      <c r="N12" s="244"/>
      <c r="O12" s="244"/>
      <c r="P12" s="244"/>
      <c r="Q12" s="244"/>
      <c r="R12" s="244"/>
      <c r="S12" s="244"/>
      <c r="T12" s="244"/>
      <c r="U12" s="244"/>
      <c r="V12" s="245"/>
      <c r="W12" s="6"/>
    </row>
    <row r="13" spans="1:23" ht="15.6">
      <c r="A13" s="238"/>
      <c r="B13" s="240"/>
      <c r="C13" s="240"/>
      <c r="D13" s="240"/>
      <c r="E13" s="240"/>
      <c r="F13" s="240"/>
      <c r="G13" s="240"/>
      <c r="H13" s="240"/>
      <c r="I13" s="240"/>
      <c r="J13" s="240"/>
      <c r="K13" s="240"/>
      <c r="L13" s="240"/>
      <c r="M13" s="240"/>
      <c r="N13" s="240"/>
      <c r="O13" s="240"/>
      <c r="P13" s="240"/>
      <c r="Q13" s="240"/>
      <c r="R13" s="240"/>
      <c r="S13" s="240"/>
      <c r="T13" s="240"/>
      <c r="U13" s="240"/>
      <c r="V13" s="241"/>
      <c r="W13" s="6"/>
    </row>
    <row r="14" spans="1:23" ht="15.6">
      <c r="A14" s="242"/>
      <c r="B14" s="287" t="s">
        <v>4</v>
      </c>
      <c r="C14" s="253"/>
      <c r="D14" s="253"/>
      <c r="E14" s="253"/>
      <c r="F14" s="253"/>
      <c r="G14" s="253"/>
      <c r="H14" s="253"/>
      <c r="I14" s="253"/>
      <c r="J14" s="253"/>
      <c r="K14" s="253"/>
      <c r="L14" s="253"/>
      <c r="M14" s="288"/>
      <c r="N14" s="288"/>
      <c r="O14" s="288"/>
      <c r="P14" s="288"/>
      <c r="Q14" s="288"/>
      <c r="R14" s="288"/>
      <c r="S14" s="288"/>
      <c r="T14" s="288"/>
      <c r="U14" s="289" t="s">
        <v>126</v>
      </c>
      <c r="V14" s="245"/>
      <c r="W14" s="6"/>
    </row>
    <row r="15" spans="1:23" ht="15.6">
      <c r="A15" s="242"/>
      <c r="B15" s="287" t="s">
        <v>5</v>
      </c>
      <c r="C15" s="253"/>
      <c r="D15" s="253"/>
      <c r="E15" s="253"/>
      <c r="F15" s="253"/>
      <c r="G15" s="253"/>
      <c r="H15" s="253"/>
      <c r="I15" s="253"/>
      <c r="J15" s="253"/>
      <c r="K15" s="253"/>
      <c r="L15" s="253"/>
      <c r="M15" s="290" t="s">
        <v>93</v>
      </c>
      <c r="N15" s="291">
        <v>0.1492</v>
      </c>
      <c r="O15" s="290" t="s">
        <v>99</v>
      </c>
      <c r="P15" s="291">
        <v>5.4399999999999997E-2</v>
      </c>
      <c r="Q15" s="290" t="s">
        <v>102</v>
      </c>
      <c r="R15" s="291">
        <v>0.48899999999999999</v>
      </c>
      <c r="S15" s="290" t="s">
        <v>108</v>
      </c>
      <c r="T15" s="291">
        <v>0.30740000000000001</v>
      </c>
      <c r="U15" s="289"/>
      <c r="V15" s="254"/>
      <c r="W15" s="6"/>
    </row>
    <row r="16" spans="1:23" ht="15.6">
      <c r="A16" s="242"/>
      <c r="B16" s="287" t="s">
        <v>6</v>
      </c>
      <c r="C16" s="253"/>
      <c r="D16" s="253"/>
      <c r="E16" s="253"/>
      <c r="F16" s="253"/>
      <c r="G16" s="253"/>
      <c r="H16" s="253"/>
      <c r="I16" s="253"/>
      <c r="J16" s="253"/>
      <c r="K16" s="253"/>
      <c r="L16" s="253"/>
      <c r="M16" s="290" t="s">
        <v>93</v>
      </c>
      <c r="N16" s="291">
        <f>+N198/S221</f>
        <v>1.5199554197651852E-2</v>
      </c>
      <c r="O16" s="290" t="s">
        <v>99</v>
      </c>
      <c r="P16" s="291">
        <f>+S198/S221</f>
        <v>3.2090082819315538E-3</v>
      </c>
      <c r="Q16" s="290" t="s">
        <v>102</v>
      </c>
      <c r="R16" s="291">
        <f>+N211/S221</f>
        <v>0.96931265732787608</v>
      </c>
      <c r="S16" s="290" t="s">
        <v>108</v>
      </c>
      <c r="T16" s="291">
        <f>+S211/S221</f>
        <v>1.2278780192540497E-2</v>
      </c>
      <c r="U16" s="289"/>
      <c r="V16" s="254"/>
      <c r="W16" s="6"/>
    </row>
    <row r="17" spans="1:23" ht="15.6">
      <c r="A17" s="242"/>
      <c r="B17" s="287" t="s">
        <v>7</v>
      </c>
      <c r="C17" s="253"/>
      <c r="D17" s="253"/>
      <c r="E17" s="253"/>
      <c r="F17" s="253"/>
      <c r="G17" s="253"/>
      <c r="H17" s="253"/>
      <c r="I17" s="253"/>
      <c r="J17" s="253"/>
      <c r="K17" s="253"/>
      <c r="L17" s="253"/>
      <c r="M17" s="288"/>
      <c r="N17" s="288"/>
      <c r="O17" s="288"/>
      <c r="P17" s="288"/>
      <c r="Q17" s="288"/>
      <c r="R17" s="288"/>
      <c r="S17" s="288"/>
      <c r="T17" s="288"/>
      <c r="U17" s="292">
        <v>38491</v>
      </c>
      <c r="V17" s="245"/>
      <c r="W17" s="6"/>
    </row>
    <row r="18" spans="1:23" ht="15.6">
      <c r="A18" s="242"/>
      <c r="B18" s="287" t="s">
        <v>8</v>
      </c>
      <c r="C18" s="253"/>
      <c r="D18" s="253"/>
      <c r="E18" s="253"/>
      <c r="F18" s="253"/>
      <c r="G18" s="253"/>
      <c r="H18" s="253"/>
      <c r="I18" s="253"/>
      <c r="J18" s="253"/>
      <c r="K18" s="253"/>
      <c r="L18" s="253"/>
      <c r="M18" s="288"/>
      <c r="N18" s="288"/>
      <c r="O18" s="288"/>
      <c r="P18" s="288"/>
      <c r="Q18" s="288"/>
      <c r="R18" s="288"/>
      <c r="S18" s="288"/>
      <c r="T18" s="288"/>
      <c r="U18" s="292">
        <v>41201</v>
      </c>
      <c r="V18" s="245"/>
      <c r="W18" s="6"/>
    </row>
    <row r="19" spans="1:23" ht="15.6">
      <c r="A19" s="242"/>
      <c r="B19" s="288"/>
      <c r="C19" s="244"/>
      <c r="D19" s="244"/>
      <c r="E19" s="244"/>
      <c r="F19" s="244"/>
      <c r="G19" s="244"/>
      <c r="H19" s="244"/>
      <c r="I19" s="244"/>
      <c r="J19" s="244"/>
      <c r="K19" s="244"/>
      <c r="L19" s="244"/>
      <c r="M19" s="244"/>
      <c r="N19" s="244"/>
      <c r="O19" s="244"/>
      <c r="P19" s="244"/>
      <c r="Q19" s="244"/>
      <c r="R19" s="244"/>
      <c r="S19" s="244"/>
      <c r="T19" s="244"/>
      <c r="U19" s="255"/>
      <c r="V19" s="245"/>
      <c r="W19" s="6"/>
    </row>
    <row r="20" spans="1:23" ht="15.6">
      <c r="A20" s="242"/>
      <c r="B20" s="293" t="s">
        <v>9</v>
      </c>
      <c r="C20" s="244"/>
      <c r="D20" s="244"/>
      <c r="E20" s="244"/>
      <c r="F20" s="244"/>
      <c r="G20" s="244"/>
      <c r="H20" s="244"/>
      <c r="I20" s="244"/>
      <c r="J20" s="244"/>
      <c r="K20" s="244"/>
      <c r="L20" s="244"/>
      <c r="M20" s="244"/>
      <c r="N20" s="244"/>
      <c r="O20" s="244"/>
      <c r="P20" s="244"/>
      <c r="Q20" s="244"/>
      <c r="R20" s="244"/>
      <c r="S20" s="255"/>
      <c r="T20" s="244"/>
      <c r="U20" s="249"/>
      <c r="V20" s="245"/>
      <c r="W20" s="6"/>
    </row>
    <row r="21" spans="1:23" ht="15.6">
      <c r="A21" s="242"/>
      <c r="B21" s="244"/>
      <c r="C21" s="244"/>
      <c r="D21" s="244"/>
      <c r="E21" s="244"/>
      <c r="F21" s="244"/>
      <c r="G21" s="244"/>
      <c r="H21" s="244"/>
      <c r="I21" s="244"/>
      <c r="J21" s="244"/>
      <c r="K21" s="244"/>
      <c r="L21" s="244"/>
      <c r="M21" s="244"/>
      <c r="N21" s="244"/>
      <c r="O21" s="244"/>
      <c r="P21" s="244"/>
      <c r="Q21" s="244"/>
      <c r="R21" s="244"/>
      <c r="S21" s="244"/>
      <c r="T21" s="244"/>
      <c r="U21" s="256"/>
      <c r="V21" s="245"/>
      <c r="W21" s="6"/>
    </row>
    <row r="22" spans="1:23" ht="15.6">
      <c r="A22" s="230"/>
      <c r="B22" s="231"/>
      <c r="C22" s="232" t="s">
        <v>130</v>
      </c>
      <c r="D22" s="232"/>
      <c r="E22" s="232" t="s">
        <v>131</v>
      </c>
      <c r="F22" s="232"/>
      <c r="G22" s="232" t="s">
        <v>132</v>
      </c>
      <c r="H22" s="232"/>
      <c r="I22" s="232" t="s">
        <v>133</v>
      </c>
      <c r="J22" s="232"/>
      <c r="K22" s="232" t="s">
        <v>134</v>
      </c>
      <c r="L22" s="232"/>
      <c r="M22" s="233" t="s">
        <v>135</v>
      </c>
      <c r="N22" s="233"/>
      <c r="O22" s="233" t="s">
        <v>136</v>
      </c>
      <c r="P22" s="233"/>
      <c r="Q22" s="233" t="s">
        <v>137</v>
      </c>
      <c r="R22" s="233"/>
      <c r="S22" s="235"/>
      <c r="T22" s="236"/>
      <c r="U22" s="236"/>
      <c r="V22" s="237"/>
      <c r="W22" s="6"/>
    </row>
    <row r="23" spans="1:23" ht="15.6">
      <c r="A23" s="257"/>
      <c r="B23" s="294" t="s">
        <v>10</v>
      </c>
      <c r="C23" s="295" t="s">
        <v>96</v>
      </c>
      <c r="D23" s="295"/>
      <c r="E23" s="295" t="s">
        <v>96</v>
      </c>
      <c r="F23" s="295"/>
      <c r="G23" s="295" t="s">
        <v>138</v>
      </c>
      <c r="H23" s="295"/>
      <c r="I23" s="295" t="s">
        <v>138</v>
      </c>
      <c r="J23" s="295"/>
      <c r="K23" s="295" t="s">
        <v>104</v>
      </c>
      <c r="L23" s="296"/>
      <c r="M23" s="297" t="s">
        <v>104</v>
      </c>
      <c r="N23" s="297"/>
      <c r="O23" s="297" t="s">
        <v>109</v>
      </c>
      <c r="P23" s="297"/>
      <c r="Q23" s="297" t="s">
        <v>109</v>
      </c>
      <c r="R23" s="258"/>
      <c r="S23" s="258"/>
      <c r="T23" s="259"/>
      <c r="U23" s="259"/>
      <c r="V23" s="260"/>
      <c r="W23" s="6"/>
    </row>
    <row r="24" spans="1:23" ht="15.6">
      <c r="A24" s="378"/>
      <c r="B24" s="379" t="s">
        <v>11</v>
      </c>
      <c r="C24" s="380" t="s">
        <v>97</v>
      </c>
      <c r="D24" s="380"/>
      <c r="E24" s="380" t="s">
        <v>97</v>
      </c>
      <c r="F24" s="380"/>
      <c r="G24" s="380" t="s">
        <v>139</v>
      </c>
      <c r="H24" s="380"/>
      <c r="I24" s="380" t="s">
        <v>139</v>
      </c>
      <c r="J24" s="380"/>
      <c r="K24" s="380" t="s">
        <v>105</v>
      </c>
      <c r="L24" s="381"/>
      <c r="M24" s="382" t="s">
        <v>105</v>
      </c>
      <c r="N24" s="382"/>
      <c r="O24" s="382" t="s">
        <v>110</v>
      </c>
      <c r="P24" s="382"/>
      <c r="Q24" s="382" t="s">
        <v>110</v>
      </c>
      <c r="R24" s="383"/>
      <c r="S24" s="383"/>
      <c r="T24" s="384"/>
      <c r="U24" s="384"/>
      <c r="V24" s="385"/>
      <c r="W24" s="6"/>
    </row>
    <row r="25" spans="1:23" ht="15.6">
      <c r="A25" s="378"/>
      <c r="B25" s="386" t="s">
        <v>12</v>
      </c>
      <c r="C25" s="381" t="s">
        <v>96</v>
      </c>
      <c r="D25" s="381"/>
      <c r="E25" s="381" t="s">
        <v>96</v>
      </c>
      <c r="F25" s="381"/>
      <c r="G25" s="381" t="s">
        <v>138</v>
      </c>
      <c r="H25" s="381"/>
      <c r="I25" s="381" t="s">
        <v>138</v>
      </c>
      <c r="J25" s="386"/>
      <c r="K25" s="381" t="s">
        <v>104</v>
      </c>
      <c r="L25" s="386"/>
      <c r="M25" s="387" t="s">
        <v>104</v>
      </c>
      <c r="N25" s="382"/>
      <c r="O25" s="387" t="s">
        <v>109</v>
      </c>
      <c r="P25" s="382"/>
      <c r="Q25" s="387" t="s">
        <v>109</v>
      </c>
      <c r="R25" s="388"/>
      <c r="S25" s="388"/>
      <c r="T25" s="389"/>
      <c r="U25" s="384"/>
      <c r="V25" s="385"/>
      <c r="W25" s="6"/>
    </row>
    <row r="26" spans="1:23" ht="15.6">
      <c r="A26" s="378"/>
      <c r="B26" s="386" t="s">
        <v>13</v>
      </c>
      <c r="C26" s="381" t="s">
        <v>139</v>
      </c>
      <c r="D26" s="381"/>
      <c r="E26" s="381" t="s">
        <v>139</v>
      </c>
      <c r="F26" s="381"/>
      <c r="G26" s="381" t="s">
        <v>139</v>
      </c>
      <c r="H26" s="381"/>
      <c r="I26" s="381" t="s">
        <v>139</v>
      </c>
      <c r="J26" s="386"/>
      <c r="K26" s="381" t="s">
        <v>280</v>
      </c>
      <c r="L26" s="386"/>
      <c r="M26" s="387" t="s">
        <v>280</v>
      </c>
      <c r="N26" s="382"/>
      <c r="O26" s="387" t="s">
        <v>110</v>
      </c>
      <c r="P26" s="382"/>
      <c r="Q26" s="387" t="s">
        <v>110</v>
      </c>
      <c r="R26" s="388"/>
      <c r="S26" s="388"/>
      <c r="T26" s="389"/>
      <c r="U26" s="384"/>
      <c r="V26" s="385"/>
      <c r="W26" s="6"/>
    </row>
    <row r="27" spans="1:23" ht="15.6">
      <c r="A27" s="378"/>
      <c r="B27" s="379" t="s">
        <v>14</v>
      </c>
      <c r="C27" s="380" t="s">
        <v>140</v>
      </c>
      <c r="D27" s="379"/>
      <c r="E27" s="380" t="s">
        <v>141</v>
      </c>
      <c r="F27" s="379"/>
      <c r="G27" s="380" t="s">
        <v>142</v>
      </c>
      <c r="H27" s="379"/>
      <c r="I27" s="380" t="s">
        <v>258</v>
      </c>
      <c r="J27" s="379"/>
      <c r="K27" s="380" t="s">
        <v>143</v>
      </c>
      <c r="L27" s="379"/>
      <c r="M27" s="379" t="s">
        <v>144</v>
      </c>
      <c r="N27" s="382"/>
      <c r="O27" s="379" t="s">
        <v>145</v>
      </c>
      <c r="P27" s="382"/>
      <c r="Q27" s="379" t="s">
        <v>146</v>
      </c>
      <c r="R27" s="383"/>
      <c r="S27" s="390"/>
      <c r="T27" s="384"/>
      <c r="U27" s="384"/>
      <c r="V27" s="385"/>
      <c r="W27" s="6"/>
    </row>
    <row r="28" spans="1:23" ht="15.6">
      <c r="A28" s="378"/>
      <c r="B28" s="379" t="s">
        <v>147</v>
      </c>
      <c r="C28" s="391">
        <v>146000</v>
      </c>
      <c r="D28" s="380"/>
      <c r="E28" s="392">
        <v>259500</v>
      </c>
      <c r="F28" s="380"/>
      <c r="G28" s="391">
        <v>16000</v>
      </c>
      <c r="H28" s="380"/>
      <c r="I28" s="392">
        <v>35500</v>
      </c>
      <c r="J28" s="379"/>
      <c r="K28" s="391">
        <v>18000</v>
      </c>
      <c r="L28" s="379"/>
      <c r="M28" s="392">
        <v>33000</v>
      </c>
      <c r="N28" s="393"/>
      <c r="O28" s="394">
        <v>24500</v>
      </c>
      <c r="P28" s="394"/>
      <c r="Q28" s="392">
        <v>30000</v>
      </c>
      <c r="R28" s="395"/>
      <c r="S28" s="395"/>
      <c r="T28" s="396"/>
      <c r="U28" s="395"/>
      <c r="V28" s="397"/>
      <c r="W28" s="6"/>
    </row>
    <row r="29" spans="1:23" ht="15.6">
      <c r="A29" s="378"/>
      <c r="B29" s="379" t="s">
        <v>15</v>
      </c>
      <c r="C29" s="391">
        <f>C28*C35</f>
        <v>32433.2284</v>
      </c>
      <c r="D29" s="398"/>
      <c r="E29" s="392">
        <f>E28*E35</f>
        <v>57646.731299999999</v>
      </c>
      <c r="F29" s="398"/>
      <c r="G29" s="391">
        <f>G28*G35</f>
        <v>11643.328</v>
      </c>
      <c r="H29" s="398"/>
      <c r="I29" s="392">
        <f>I28*I35</f>
        <v>25833.634000000002</v>
      </c>
      <c r="J29" s="399"/>
      <c r="K29" s="391">
        <f>K28*K35</f>
        <v>13098.744000000001</v>
      </c>
      <c r="L29" s="399"/>
      <c r="M29" s="392">
        <f>M28*M35</f>
        <v>24014.364000000001</v>
      </c>
      <c r="N29" s="393"/>
      <c r="O29" s="391">
        <f>O28*O35</f>
        <v>17828.846000000001</v>
      </c>
      <c r="P29" s="394"/>
      <c r="Q29" s="392">
        <f>Q28*Q35</f>
        <v>21831.24</v>
      </c>
      <c r="R29" s="400"/>
      <c r="S29" s="395"/>
      <c r="T29" s="396"/>
      <c r="U29" s="395"/>
      <c r="V29" s="397"/>
      <c r="W29" s="6"/>
    </row>
    <row r="30" spans="1:23" ht="15.6">
      <c r="A30" s="401"/>
      <c r="B30" s="386" t="s">
        <v>148</v>
      </c>
      <c r="C30" s="415">
        <f>C34*C28</f>
        <v>30938.3344</v>
      </c>
      <c r="D30" s="505"/>
      <c r="E30" s="406">
        <f>E34*E28</f>
        <v>54989.710800000001</v>
      </c>
      <c r="F30" s="505"/>
      <c r="G30" s="415">
        <f>G34*G28</f>
        <v>11106.742399999999</v>
      </c>
      <c r="H30" s="505"/>
      <c r="I30" s="406">
        <f>I34*I28</f>
        <v>24643.084699999999</v>
      </c>
      <c r="J30" s="506"/>
      <c r="K30" s="415">
        <f>K34*K28</f>
        <v>12495.0852</v>
      </c>
      <c r="L30" s="399"/>
      <c r="M30" s="406">
        <f>M34*M28</f>
        <v>22907.656200000001</v>
      </c>
      <c r="N30" s="407"/>
      <c r="O30" s="415">
        <f>O34*O28</f>
        <v>17007.1993</v>
      </c>
      <c r="P30" s="408"/>
      <c r="Q30" s="406">
        <f>Q34*Q28</f>
        <v>20825.142</v>
      </c>
      <c r="R30" s="408"/>
      <c r="S30" s="408"/>
      <c r="T30" s="409"/>
      <c r="U30" s="408"/>
      <c r="V30" s="410"/>
      <c r="W30" s="6"/>
    </row>
    <row r="31" spans="1:23" ht="15.6">
      <c r="A31" s="401"/>
      <c r="B31" s="379" t="s">
        <v>260</v>
      </c>
      <c r="C31" s="391">
        <v>146000</v>
      </c>
      <c r="D31" s="398"/>
      <c r="E31" s="391">
        <v>178000</v>
      </c>
      <c r="F31" s="391"/>
      <c r="G31" s="391">
        <v>16000</v>
      </c>
      <c r="H31" s="391"/>
      <c r="I31" s="391">
        <v>24500</v>
      </c>
      <c r="J31" s="412"/>
      <c r="K31" s="391">
        <v>18000</v>
      </c>
      <c r="L31" s="412"/>
      <c r="M31" s="391">
        <v>22500</v>
      </c>
      <c r="N31" s="414"/>
      <c r="O31" s="391">
        <v>24500</v>
      </c>
      <c r="P31" s="415"/>
      <c r="Q31" s="391">
        <v>20500</v>
      </c>
      <c r="R31" s="408"/>
      <c r="S31" s="408"/>
      <c r="T31" s="409"/>
      <c r="U31" s="394">
        <f>+Q31+O31+M31+K31+I31+G31+E31+C31</f>
        <v>450000</v>
      </c>
      <c r="V31" s="410"/>
      <c r="W31" s="6"/>
    </row>
    <row r="32" spans="1:23" ht="15.6">
      <c r="A32" s="401"/>
      <c r="B32" s="379" t="s">
        <v>261</v>
      </c>
      <c r="C32" s="391">
        <f>C28*C35</f>
        <v>32433.2284</v>
      </c>
      <c r="D32" s="398"/>
      <c r="E32" s="391">
        <f>E31*E35</f>
        <v>39541.881199999996</v>
      </c>
      <c r="F32" s="391"/>
      <c r="G32" s="391">
        <f>G28*G35</f>
        <v>11643.328</v>
      </c>
      <c r="H32" s="391"/>
      <c r="I32" s="391">
        <f>I31*I35</f>
        <v>17828.846000000001</v>
      </c>
      <c r="J32" s="412"/>
      <c r="K32" s="391">
        <f>K28*K35</f>
        <v>13098.744000000001</v>
      </c>
      <c r="L32" s="412"/>
      <c r="M32" s="391">
        <f>M31*M35</f>
        <v>16373.43</v>
      </c>
      <c r="N32" s="414"/>
      <c r="O32" s="391">
        <f>O28*O35</f>
        <v>17828.846000000001</v>
      </c>
      <c r="P32" s="415"/>
      <c r="Q32" s="391">
        <f>Q31*Q35</f>
        <v>14918.014000000001</v>
      </c>
      <c r="R32" s="391"/>
      <c r="S32" s="408"/>
      <c r="T32" s="409"/>
      <c r="U32" s="394">
        <f>+Q32+O32+M32+K32+I32+G32+E32+C32</f>
        <v>163666.31759999998</v>
      </c>
      <c r="V32" s="410"/>
      <c r="W32" s="6"/>
    </row>
    <row r="33" spans="1:23" ht="15.6">
      <c r="A33" s="401"/>
      <c r="B33" s="386" t="s">
        <v>262</v>
      </c>
      <c r="C33" s="415">
        <f>C34*C28</f>
        <v>30938.3344</v>
      </c>
      <c r="D33" s="415"/>
      <c r="E33" s="415">
        <f>E34*E31</f>
        <v>37719.339200000002</v>
      </c>
      <c r="F33" s="415"/>
      <c r="G33" s="415">
        <f>G34*G28</f>
        <v>11106.742399999999</v>
      </c>
      <c r="H33" s="415"/>
      <c r="I33" s="415">
        <f>I34*I31</f>
        <v>17007.1993</v>
      </c>
      <c r="J33" s="414"/>
      <c r="K33" s="415">
        <f>K34*K28</f>
        <v>12495.0852</v>
      </c>
      <c r="L33" s="414"/>
      <c r="M33" s="415">
        <f>M34*M31</f>
        <v>15618.8565</v>
      </c>
      <c r="N33" s="414"/>
      <c r="O33" s="415">
        <f>O34*O28</f>
        <v>17007.1993</v>
      </c>
      <c r="P33" s="415"/>
      <c r="Q33" s="415">
        <f>Q34*Q31</f>
        <v>14230.5137</v>
      </c>
      <c r="R33" s="408"/>
      <c r="S33" s="408"/>
      <c r="T33" s="409"/>
      <c r="U33" s="408">
        <f>+Q33+O33+M33+K33+I33+G33+E33+C33</f>
        <v>156123.26999999999</v>
      </c>
      <c r="V33" s="410"/>
      <c r="W33" s="6"/>
    </row>
    <row r="34" spans="1:23" ht="15.6">
      <c r="A34" s="401"/>
      <c r="B34" s="468" t="s">
        <v>149</v>
      </c>
      <c r="C34" s="507">
        <v>0.21190639999999999</v>
      </c>
      <c r="D34" s="507"/>
      <c r="E34" s="507">
        <v>0.21190639999999999</v>
      </c>
      <c r="F34" s="507"/>
      <c r="G34" s="507">
        <v>0.69417139999999999</v>
      </c>
      <c r="H34" s="507"/>
      <c r="I34" s="507">
        <v>0.69417139999999999</v>
      </c>
      <c r="J34" s="507"/>
      <c r="K34" s="507">
        <v>0.69417139999999999</v>
      </c>
      <c r="L34" s="507"/>
      <c r="M34" s="507">
        <v>0.69417139999999999</v>
      </c>
      <c r="N34" s="507"/>
      <c r="O34" s="507">
        <v>0.69417139999999999</v>
      </c>
      <c r="P34" s="507"/>
      <c r="Q34" s="507">
        <v>0.69417139999999999</v>
      </c>
      <c r="R34" s="508"/>
      <c r="S34" s="420"/>
      <c r="T34" s="421"/>
      <c r="U34" s="420"/>
      <c r="V34" s="385"/>
      <c r="W34" s="6"/>
    </row>
    <row r="35" spans="1:23" ht="15.6">
      <c r="A35" s="401"/>
      <c r="B35" s="468" t="s">
        <v>150</v>
      </c>
      <c r="C35" s="507">
        <v>0.22214539999999999</v>
      </c>
      <c r="D35" s="507"/>
      <c r="E35" s="507">
        <v>0.22214539999999999</v>
      </c>
      <c r="F35" s="507"/>
      <c r="G35" s="507">
        <v>0.72770800000000002</v>
      </c>
      <c r="H35" s="507"/>
      <c r="I35" s="507">
        <v>0.72770800000000002</v>
      </c>
      <c r="J35" s="507"/>
      <c r="K35" s="507">
        <v>0.72770800000000002</v>
      </c>
      <c r="L35" s="507"/>
      <c r="M35" s="507">
        <v>0.72770800000000002</v>
      </c>
      <c r="N35" s="507"/>
      <c r="O35" s="507">
        <v>0.72770800000000002</v>
      </c>
      <c r="P35" s="507"/>
      <c r="Q35" s="507">
        <v>0.72770800000000002</v>
      </c>
      <c r="R35" s="508"/>
      <c r="S35" s="420"/>
      <c r="T35" s="421"/>
      <c r="U35" s="420"/>
      <c r="V35" s="385"/>
      <c r="W35" s="6"/>
    </row>
    <row r="36" spans="1:23" ht="15.6">
      <c r="A36" s="378"/>
      <c r="B36" s="379" t="s">
        <v>153</v>
      </c>
      <c r="C36" s="380" t="s">
        <v>163</v>
      </c>
      <c r="D36" s="380"/>
      <c r="E36" s="380" t="s">
        <v>163</v>
      </c>
      <c r="F36" s="380"/>
      <c r="G36" s="380" t="s">
        <v>164</v>
      </c>
      <c r="H36" s="380"/>
      <c r="I36" s="380" t="s">
        <v>164</v>
      </c>
      <c r="J36" s="380"/>
      <c r="K36" s="380" t="s">
        <v>106</v>
      </c>
      <c r="L36" s="380"/>
      <c r="M36" s="380" t="s">
        <v>165</v>
      </c>
      <c r="N36" s="380"/>
      <c r="O36" s="380" t="s">
        <v>166</v>
      </c>
      <c r="P36" s="380"/>
      <c r="Q36" s="380" t="s">
        <v>167</v>
      </c>
      <c r="R36" s="380"/>
      <c r="S36" s="380"/>
      <c r="T36" s="379"/>
      <c r="U36" s="424"/>
      <c r="V36" s="410"/>
      <c r="W36" s="6"/>
    </row>
    <row r="37" spans="1:23" ht="15.6">
      <c r="A37" s="378"/>
      <c r="B37" s="379" t="s">
        <v>151</v>
      </c>
      <c r="C37" s="509">
        <v>1.26838E-2</v>
      </c>
      <c r="D37" s="509"/>
      <c r="E37" s="509">
        <v>9.3699999999999999E-3</v>
      </c>
      <c r="F37" s="509"/>
      <c r="G37" s="509">
        <v>1.4883800000000001E-2</v>
      </c>
      <c r="H37" s="509"/>
      <c r="I37" s="509">
        <v>1.157E-2</v>
      </c>
      <c r="J37" s="509"/>
      <c r="K37" s="509">
        <v>2.0283800000000001E-2</v>
      </c>
      <c r="L37" s="509"/>
      <c r="M37" s="509">
        <v>1.6369999999999999E-2</v>
      </c>
      <c r="N37" s="509"/>
      <c r="O37" s="509">
        <v>2.72838E-2</v>
      </c>
      <c r="P37" s="509"/>
      <c r="Q37" s="509">
        <v>2.2970000000000001E-2</v>
      </c>
      <c r="R37" s="427"/>
      <c r="S37" s="509"/>
      <c r="T37" s="379"/>
      <c r="U37" s="380"/>
      <c r="V37" s="410"/>
      <c r="W37" s="6"/>
    </row>
    <row r="38" spans="1:23" ht="15.6">
      <c r="A38" s="378"/>
      <c r="B38" s="379" t="s">
        <v>152</v>
      </c>
      <c r="C38" s="509">
        <v>1.4574999999999999E-2</v>
      </c>
      <c r="D38" s="509"/>
      <c r="E38" s="509">
        <v>1.197E-2</v>
      </c>
      <c r="F38" s="509"/>
      <c r="G38" s="509">
        <v>1.6775000000000002E-2</v>
      </c>
      <c r="H38" s="509"/>
      <c r="I38" s="509">
        <v>1.417E-2</v>
      </c>
      <c r="J38" s="509"/>
      <c r="K38" s="509">
        <v>2.2175E-2</v>
      </c>
      <c r="L38" s="509"/>
      <c r="M38" s="509">
        <v>1.8970000000000001E-2</v>
      </c>
      <c r="N38" s="509"/>
      <c r="O38" s="509">
        <v>2.9175E-2</v>
      </c>
      <c r="P38" s="509"/>
      <c r="Q38" s="509">
        <v>2.5569999999999999E-2</v>
      </c>
      <c r="R38" s="427"/>
      <c r="S38" s="509"/>
      <c r="T38" s="379"/>
      <c r="U38" s="424"/>
      <c r="V38" s="410"/>
      <c r="W38" s="6"/>
    </row>
    <row r="39" spans="1:23" ht="15.6">
      <c r="A39" s="378"/>
      <c r="B39" s="379" t="s">
        <v>263</v>
      </c>
      <c r="C39" s="380" t="s">
        <v>163</v>
      </c>
      <c r="D39" s="379"/>
      <c r="E39" s="380" t="s">
        <v>228</v>
      </c>
      <c r="F39" s="379"/>
      <c r="G39" s="380" t="s">
        <v>164</v>
      </c>
      <c r="H39" s="379"/>
      <c r="I39" s="380" t="s">
        <v>226</v>
      </c>
      <c r="J39" s="379"/>
      <c r="K39" s="380" t="s">
        <v>106</v>
      </c>
      <c r="L39" s="379"/>
      <c r="M39" s="380" t="s">
        <v>227</v>
      </c>
      <c r="N39" s="379"/>
      <c r="O39" s="380" t="s">
        <v>166</v>
      </c>
      <c r="P39" s="380"/>
      <c r="Q39" s="380" t="s">
        <v>229</v>
      </c>
      <c r="R39" s="427"/>
      <c r="S39" s="509"/>
      <c r="T39" s="379"/>
      <c r="U39" s="424"/>
      <c r="V39" s="410"/>
      <c r="W39" s="6"/>
    </row>
    <row r="40" spans="1:23" ht="15.6">
      <c r="A40" s="378"/>
      <c r="B40" s="379" t="s">
        <v>264</v>
      </c>
      <c r="C40" s="509">
        <f>+C37</f>
        <v>1.26838E-2</v>
      </c>
      <c r="D40" s="509"/>
      <c r="E40" s="509">
        <v>1.32598E-2</v>
      </c>
      <c r="F40" s="509"/>
      <c r="G40" s="509">
        <f>+G37</f>
        <v>1.4883800000000001E-2</v>
      </c>
      <c r="H40" s="509"/>
      <c r="I40" s="509">
        <v>1.56168E-2</v>
      </c>
      <c r="J40" s="509"/>
      <c r="K40" s="509">
        <f>+K37</f>
        <v>2.0283800000000001E-2</v>
      </c>
      <c r="L40" s="510"/>
      <c r="M40" s="509">
        <v>2.08442E-2</v>
      </c>
      <c r="N40" s="510"/>
      <c r="O40" s="509">
        <f>+O37</f>
        <v>2.72838E-2</v>
      </c>
      <c r="P40" s="509"/>
      <c r="Q40" s="509">
        <v>2.8110199999999998E-2</v>
      </c>
      <c r="R40" s="427"/>
      <c r="S40" s="509"/>
      <c r="T40" s="379"/>
      <c r="U40" s="427">
        <f>SUMPRODUCT(C40:Q40,C32:Q32)/U32</f>
        <v>1.7720145033712671E-2</v>
      </c>
      <c r="V40" s="410"/>
      <c r="W40" s="6"/>
    </row>
    <row r="41" spans="1:23" ht="15.6">
      <c r="A41" s="378"/>
      <c r="B41" s="379" t="s">
        <v>265</v>
      </c>
      <c r="C41" s="509">
        <f>+C38</f>
        <v>1.4574999999999999E-2</v>
      </c>
      <c r="D41" s="509"/>
      <c r="E41" s="509">
        <v>1.5151E-2</v>
      </c>
      <c r="F41" s="509"/>
      <c r="G41" s="509">
        <f>+G38</f>
        <v>1.6775000000000002E-2</v>
      </c>
      <c r="H41" s="509"/>
      <c r="I41" s="509">
        <v>1.7507999999999999E-2</v>
      </c>
      <c r="J41" s="509"/>
      <c r="K41" s="509">
        <f>+K38</f>
        <v>2.2175E-2</v>
      </c>
      <c r="L41" s="510"/>
      <c r="M41" s="509">
        <v>2.2735399999999999E-2</v>
      </c>
      <c r="N41" s="510"/>
      <c r="O41" s="509">
        <f>+O38</f>
        <v>2.9175E-2</v>
      </c>
      <c r="P41" s="509"/>
      <c r="Q41" s="509">
        <v>3.0001400000000001E-2</v>
      </c>
      <c r="R41" s="427"/>
      <c r="S41" s="509"/>
      <c r="T41" s="379"/>
      <c r="U41" s="424"/>
      <c r="V41" s="410"/>
      <c r="W41" s="6"/>
    </row>
    <row r="42" spans="1:23" ht="15.6">
      <c r="A42" s="378"/>
      <c r="B42" s="379" t="s">
        <v>17</v>
      </c>
      <c r="C42" s="429">
        <v>39918</v>
      </c>
      <c r="D42" s="429"/>
      <c r="E42" s="429">
        <v>39918</v>
      </c>
      <c r="F42" s="429"/>
      <c r="G42" s="429">
        <v>39918</v>
      </c>
      <c r="H42" s="429"/>
      <c r="I42" s="429">
        <v>39918</v>
      </c>
      <c r="J42" s="429"/>
      <c r="K42" s="429">
        <v>39918</v>
      </c>
      <c r="L42" s="429"/>
      <c r="M42" s="429">
        <v>39918</v>
      </c>
      <c r="N42" s="429"/>
      <c r="O42" s="429">
        <v>39918</v>
      </c>
      <c r="P42" s="429"/>
      <c r="Q42" s="429">
        <v>39918</v>
      </c>
      <c r="R42" s="380"/>
      <c r="S42" s="380"/>
      <c r="T42" s="379"/>
      <c r="U42" s="424"/>
      <c r="V42" s="410"/>
      <c r="W42" s="6"/>
    </row>
    <row r="43" spans="1:23" ht="15.6">
      <c r="A43" s="378"/>
      <c r="B43" s="379" t="s">
        <v>18</v>
      </c>
      <c r="C43" s="429">
        <v>40283</v>
      </c>
      <c r="D43" s="430"/>
      <c r="E43" s="429">
        <v>40283</v>
      </c>
      <c r="F43" s="430"/>
      <c r="G43" s="429">
        <v>40283</v>
      </c>
      <c r="H43" s="430"/>
      <c r="I43" s="429">
        <v>40283</v>
      </c>
      <c r="J43" s="430"/>
      <c r="K43" s="429">
        <v>40283</v>
      </c>
      <c r="L43" s="430"/>
      <c r="M43" s="429">
        <v>40283</v>
      </c>
      <c r="N43" s="430"/>
      <c r="O43" s="429">
        <v>40283</v>
      </c>
      <c r="P43" s="429"/>
      <c r="Q43" s="429">
        <v>40283</v>
      </c>
      <c r="R43" s="380"/>
      <c r="S43" s="380"/>
      <c r="T43" s="424"/>
      <c r="U43" s="424"/>
      <c r="V43" s="410"/>
      <c r="W43" s="6"/>
    </row>
    <row r="44" spans="1:23" ht="15.6">
      <c r="A44" s="378"/>
      <c r="B44" s="379" t="s">
        <v>154</v>
      </c>
      <c r="C44" s="380" t="s">
        <v>163</v>
      </c>
      <c r="D44" s="380"/>
      <c r="E44" s="380" t="s">
        <v>163</v>
      </c>
      <c r="F44" s="380"/>
      <c r="G44" s="380" t="s">
        <v>164</v>
      </c>
      <c r="H44" s="380"/>
      <c r="I44" s="380" t="s">
        <v>164</v>
      </c>
      <c r="J44" s="380"/>
      <c r="K44" s="380" t="s">
        <v>106</v>
      </c>
      <c r="L44" s="380"/>
      <c r="M44" s="380" t="s">
        <v>165</v>
      </c>
      <c r="N44" s="380"/>
      <c r="O44" s="380" t="s">
        <v>166</v>
      </c>
      <c r="P44" s="380"/>
      <c r="Q44" s="380" t="s">
        <v>167</v>
      </c>
      <c r="R44" s="380"/>
      <c r="S44" s="380"/>
      <c r="T44" s="424"/>
      <c r="U44" s="424"/>
      <c r="V44" s="410"/>
      <c r="W44" s="6"/>
    </row>
    <row r="45" spans="1:23" ht="15.6">
      <c r="A45" s="378"/>
      <c r="B45" s="379" t="s">
        <v>266</v>
      </c>
      <c r="C45" s="380" t="s">
        <v>163</v>
      </c>
      <c r="D45" s="379"/>
      <c r="E45" s="380" t="s">
        <v>228</v>
      </c>
      <c r="F45" s="379"/>
      <c r="G45" s="380" t="s">
        <v>164</v>
      </c>
      <c r="H45" s="379"/>
      <c r="I45" s="380" t="s">
        <v>226</v>
      </c>
      <c r="J45" s="379"/>
      <c r="K45" s="380" t="s">
        <v>106</v>
      </c>
      <c r="L45" s="379"/>
      <c r="M45" s="380" t="s">
        <v>227</v>
      </c>
      <c r="N45" s="379"/>
      <c r="O45" s="380" t="s">
        <v>166</v>
      </c>
      <c r="P45" s="380"/>
      <c r="Q45" s="380" t="s">
        <v>229</v>
      </c>
      <c r="R45" s="380"/>
      <c r="S45" s="380"/>
      <c r="T45" s="424"/>
      <c r="U45" s="424"/>
      <c r="V45" s="410"/>
      <c r="W45" s="6"/>
    </row>
    <row r="46" spans="1:23" ht="15.6">
      <c r="A46" s="378"/>
      <c r="B46" s="379"/>
      <c r="C46" s="379"/>
      <c r="D46" s="379"/>
      <c r="E46" s="379"/>
      <c r="F46" s="379"/>
      <c r="G46" s="379"/>
      <c r="H46" s="379"/>
      <c r="I46" s="379"/>
      <c r="J46" s="379"/>
      <c r="K46" s="379"/>
      <c r="L46" s="379"/>
      <c r="M46" s="431"/>
      <c r="N46" s="431"/>
      <c r="O46" s="379"/>
      <c r="P46" s="431"/>
      <c r="Q46" s="431"/>
      <c r="R46" s="431"/>
      <c r="S46" s="431"/>
      <c r="T46" s="431"/>
      <c r="U46" s="431"/>
      <c r="V46" s="410"/>
      <c r="W46" s="6"/>
    </row>
    <row r="47" spans="1:23" ht="15.6">
      <c r="A47" s="378"/>
      <c r="B47" s="379" t="s">
        <v>201</v>
      </c>
      <c r="C47" s="379"/>
      <c r="D47" s="379"/>
      <c r="E47" s="379"/>
      <c r="F47" s="379"/>
      <c r="G47" s="379"/>
      <c r="H47" s="379"/>
      <c r="I47" s="379"/>
      <c r="J47" s="379"/>
      <c r="K47" s="379"/>
      <c r="L47" s="379"/>
      <c r="M47" s="379"/>
      <c r="N47" s="379"/>
      <c r="O47" s="379"/>
      <c r="P47" s="379"/>
      <c r="Q47" s="379"/>
      <c r="R47" s="379"/>
      <c r="S47" s="379"/>
      <c r="T47" s="379"/>
      <c r="U47" s="427">
        <f>SUM(G31:Q31)/(C31+E31)</f>
        <v>0.3888888888888889</v>
      </c>
      <c r="V47" s="410"/>
      <c r="W47" s="6"/>
    </row>
    <row r="48" spans="1:23" ht="15.6">
      <c r="A48" s="378"/>
      <c r="B48" s="379" t="s">
        <v>202</v>
      </c>
      <c r="C48" s="379"/>
      <c r="D48" s="379"/>
      <c r="E48" s="379"/>
      <c r="F48" s="379"/>
      <c r="G48" s="379"/>
      <c r="H48" s="379"/>
      <c r="I48" s="379"/>
      <c r="J48" s="379"/>
      <c r="K48" s="379"/>
      <c r="L48" s="379"/>
      <c r="M48" s="379"/>
      <c r="N48" s="379"/>
      <c r="O48" s="379"/>
      <c r="P48" s="379"/>
      <c r="Q48" s="379"/>
      <c r="R48" s="379"/>
      <c r="S48" s="379"/>
      <c r="T48" s="379"/>
      <c r="U48" s="427">
        <f>SUM(F33:Q33)/(C33+E33)</f>
        <v>1.2739376651410452</v>
      </c>
      <c r="V48" s="410"/>
      <c r="W48" s="6"/>
    </row>
    <row r="49" spans="1:23" ht="15.6">
      <c r="A49" s="378"/>
      <c r="B49" s="379" t="s">
        <v>203</v>
      </c>
      <c r="C49" s="379"/>
      <c r="D49" s="379"/>
      <c r="E49" s="379"/>
      <c r="F49" s="379"/>
      <c r="G49" s="379"/>
      <c r="H49" s="379"/>
      <c r="I49" s="379"/>
      <c r="J49" s="379"/>
      <c r="K49" s="379"/>
      <c r="L49" s="379"/>
      <c r="M49" s="379"/>
      <c r="N49" s="379"/>
      <c r="O49" s="379"/>
      <c r="P49" s="379"/>
      <c r="Q49" s="379"/>
      <c r="R49" s="379"/>
      <c r="S49" s="380" t="s">
        <v>95</v>
      </c>
      <c r="T49" s="380" t="s">
        <v>117</v>
      </c>
      <c r="U49" s="394">
        <v>99000</v>
      </c>
      <c r="V49" s="410"/>
      <c r="W49" s="6"/>
    </row>
    <row r="50" spans="1:23" ht="15.6">
      <c r="A50" s="378"/>
      <c r="B50" s="379"/>
      <c r="C50" s="379"/>
      <c r="D50" s="379"/>
      <c r="E50" s="379"/>
      <c r="F50" s="379"/>
      <c r="G50" s="379"/>
      <c r="H50" s="379"/>
      <c r="I50" s="379"/>
      <c r="J50" s="379"/>
      <c r="K50" s="379"/>
      <c r="L50" s="379"/>
      <c r="M50" s="379"/>
      <c r="N50" s="379"/>
      <c r="O50" s="379"/>
      <c r="P50" s="379"/>
      <c r="Q50" s="379"/>
      <c r="R50" s="379"/>
      <c r="S50" s="379" t="s">
        <v>213</v>
      </c>
      <c r="T50" s="379"/>
      <c r="U50" s="432"/>
      <c r="V50" s="410"/>
      <c r="W50" s="6"/>
    </row>
    <row r="51" spans="1:23" ht="15.6">
      <c r="A51" s="378"/>
      <c r="B51" s="379" t="s">
        <v>19</v>
      </c>
      <c r="C51" s="379"/>
      <c r="D51" s="379"/>
      <c r="E51" s="379"/>
      <c r="F51" s="379"/>
      <c r="G51" s="379"/>
      <c r="H51" s="379"/>
      <c r="I51" s="379"/>
      <c r="J51" s="379"/>
      <c r="K51" s="379"/>
      <c r="L51" s="379"/>
      <c r="M51" s="379"/>
      <c r="N51" s="379"/>
      <c r="O51" s="379"/>
      <c r="P51" s="379"/>
      <c r="Q51" s="379"/>
      <c r="R51" s="379"/>
      <c r="S51" s="380"/>
      <c r="T51" s="380"/>
      <c r="U51" s="380" t="s">
        <v>118</v>
      </c>
      <c r="V51" s="410"/>
      <c r="W51" s="6"/>
    </row>
    <row r="52" spans="1:23" ht="15.6">
      <c r="A52" s="401"/>
      <c r="B52" s="386" t="s">
        <v>20</v>
      </c>
      <c r="C52" s="386"/>
      <c r="D52" s="386"/>
      <c r="E52" s="386"/>
      <c r="F52" s="386"/>
      <c r="G52" s="386"/>
      <c r="H52" s="386"/>
      <c r="I52" s="386"/>
      <c r="J52" s="386"/>
      <c r="K52" s="386"/>
      <c r="L52" s="386"/>
      <c r="M52" s="386"/>
      <c r="N52" s="386"/>
      <c r="O52" s="386"/>
      <c r="P52" s="386"/>
      <c r="Q52" s="386"/>
      <c r="R52" s="386"/>
      <c r="S52" s="433"/>
      <c r="T52" s="433"/>
      <c r="U52" s="434">
        <v>41197</v>
      </c>
      <c r="V52" s="435"/>
      <c r="W52" s="6"/>
    </row>
    <row r="53" spans="1:23" ht="15.6">
      <c r="A53" s="378"/>
      <c r="B53" s="379" t="s">
        <v>155</v>
      </c>
      <c r="C53" s="379"/>
      <c r="D53" s="379"/>
      <c r="E53" s="379"/>
      <c r="F53" s="379"/>
      <c r="G53" s="379"/>
      <c r="H53" s="379"/>
      <c r="I53" s="379"/>
      <c r="J53" s="379"/>
      <c r="K53" s="379"/>
      <c r="L53" s="379"/>
      <c r="M53" s="379"/>
      <c r="N53" s="379"/>
      <c r="O53" s="379"/>
      <c r="P53" s="379"/>
      <c r="Q53" s="424"/>
      <c r="R53" s="379">
        <f>U53-S53+1</f>
        <v>91</v>
      </c>
      <c r="S53" s="436">
        <v>41015</v>
      </c>
      <c r="T53" s="429"/>
      <c r="U53" s="436">
        <v>41105</v>
      </c>
      <c r="V53" s="410"/>
      <c r="W53" s="6"/>
    </row>
    <row r="54" spans="1:23" ht="15.6">
      <c r="A54" s="378"/>
      <c r="B54" s="379" t="s">
        <v>156</v>
      </c>
      <c r="C54" s="379"/>
      <c r="D54" s="379"/>
      <c r="E54" s="379"/>
      <c r="F54" s="379"/>
      <c r="G54" s="379"/>
      <c r="H54" s="379"/>
      <c r="I54" s="379"/>
      <c r="J54" s="379"/>
      <c r="K54" s="379"/>
      <c r="L54" s="379"/>
      <c r="M54" s="379"/>
      <c r="N54" s="379"/>
      <c r="O54" s="379"/>
      <c r="P54" s="379"/>
      <c r="Q54" s="424"/>
      <c r="R54" s="379">
        <f>U54-S54+1</f>
        <v>91</v>
      </c>
      <c r="S54" s="436">
        <v>41106</v>
      </c>
      <c r="T54" s="429"/>
      <c r="U54" s="436">
        <v>41196</v>
      </c>
      <c r="V54" s="410"/>
      <c r="W54" s="6"/>
    </row>
    <row r="55" spans="1:23" ht="15.6">
      <c r="A55" s="378"/>
      <c r="B55" s="379" t="s">
        <v>21</v>
      </c>
      <c r="C55" s="379"/>
      <c r="D55" s="379"/>
      <c r="E55" s="379"/>
      <c r="F55" s="379"/>
      <c r="G55" s="379"/>
      <c r="H55" s="379"/>
      <c r="I55" s="379"/>
      <c r="J55" s="379"/>
      <c r="K55" s="379"/>
      <c r="L55" s="379"/>
      <c r="M55" s="379"/>
      <c r="N55" s="379"/>
      <c r="O55" s="379"/>
      <c r="P55" s="379"/>
      <c r="Q55" s="379"/>
      <c r="R55" s="379"/>
      <c r="S55" s="436"/>
      <c r="T55" s="429"/>
      <c r="U55" s="436" t="s">
        <v>119</v>
      </c>
      <c r="V55" s="410"/>
      <c r="W55" s="6"/>
    </row>
    <row r="56" spans="1:23" ht="15.6">
      <c r="A56" s="378"/>
      <c r="B56" s="379" t="s">
        <v>22</v>
      </c>
      <c r="C56" s="379"/>
      <c r="D56" s="379"/>
      <c r="E56" s="379"/>
      <c r="F56" s="379"/>
      <c r="G56" s="379"/>
      <c r="H56" s="379"/>
      <c r="I56" s="379"/>
      <c r="J56" s="379"/>
      <c r="K56" s="379"/>
      <c r="L56" s="379"/>
      <c r="M56" s="379"/>
      <c r="N56" s="379"/>
      <c r="O56" s="379"/>
      <c r="P56" s="379"/>
      <c r="Q56" s="379"/>
      <c r="R56" s="379"/>
      <c r="S56" s="436"/>
      <c r="T56" s="429"/>
      <c r="U56" s="436">
        <v>41183</v>
      </c>
      <c r="V56" s="410"/>
      <c r="W56" s="6"/>
    </row>
    <row r="57" spans="1:23" ht="15.6">
      <c r="A57" s="242"/>
      <c r="B57" s="364"/>
      <c r="C57" s="364"/>
      <c r="D57" s="364"/>
      <c r="E57" s="364"/>
      <c r="F57" s="364"/>
      <c r="G57" s="364"/>
      <c r="H57" s="364"/>
      <c r="I57" s="364"/>
      <c r="J57" s="364"/>
      <c r="K57" s="364"/>
      <c r="L57" s="364"/>
      <c r="M57" s="364"/>
      <c r="N57" s="364"/>
      <c r="O57" s="364"/>
      <c r="P57" s="364"/>
      <c r="Q57" s="364"/>
      <c r="R57" s="364"/>
      <c r="S57" s="364"/>
      <c r="T57" s="364"/>
      <c r="U57" s="377"/>
      <c r="V57" s="303"/>
      <c r="W57" s="6"/>
    </row>
    <row r="58" spans="1:23" ht="15.6">
      <c r="A58" s="242"/>
      <c r="B58" s="288"/>
      <c r="C58" s="288"/>
      <c r="D58" s="288"/>
      <c r="E58" s="288"/>
      <c r="F58" s="288"/>
      <c r="G58" s="288"/>
      <c r="H58" s="288"/>
      <c r="I58" s="288"/>
      <c r="J58" s="288"/>
      <c r="K58" s="288"/>
      <c r="L58" s="288"/>
      <c r="M58" s="288"/>
      <c r="N58" s="288"/>
      <c r="O58" s="288"/>
      <c r="P58" s="288"/>
      <c r="Q58" s="288"/>
      <c r="R58" s="288"/>
      <c r="S58" s="288"/>
      <c r="T58" s="288"/>
      <c r="U58" s="302"/>
      <c r="V58" s="303"/>
      <c r="W58" s="6"/>
    </row>
    <row r="59" spans="1:23" ht="16.2" thickBot="1">
      <c r="A59" s="261"/>
      <c r="B59" s="304" t="s">
        <v>281</v>
      </c>
      <c r="C59" s="305"/>
      <c r="D59" s="305"/>
      <c r="E59" s="305"/>
      <c r="F59" s="305"/>
      <c r="G59" s="305"/>
      <c r="H59" s="305"/>
      <c r="I59" s="305"/>
      <c r="J59" s="305"/>
      <c r="K59" s="305"/>
      <c r="L59" s="305"/>
      <c r="M59" s="305"/>
      <c r="N59" s="305"/>
      <c r="O59" s="305"/>
      <c r="P59" s="305"/>
      <c r="Q59" s="305"/>
      <c r="R59" s="305"/>
      <c r="S59" s="305"/>
      <c r="T59" s="305"/>
      <c r="U59" s="306"/>
      <c r="V59" s="307"/>
      <c r="W59" s="6"/>
    </row>
    <row r="60" spans="1:23" ht="15.6">
      <c r="A60" s="230"/>
      <c r="B60" s="511" t="s">
        <v>23</v>
      </c>
      <c r="C60" s="511"/>
      <c r="D60" s="511"/>
      <c r="E60" s="511"/>
      <c r="F60" s="511"/>
      <c r="G60" s="511"/>
      <c r="H60" s="511"/>
      <c r="I60" s="511"/>
      <c r="J60" s="511"/>
      <c r="K60" s="511"/>
      <c r="L60" s="511"/>
      <c r="M60" s="231"/>
      <c r="N60" s="231"/>
      <c r="O60" s="231"/>
      <c r="P60" s="231"/>
      <c r="Q60" s="231"/>
      <c r="R60" s="231"/>
      <c r="S60" s="231"/>
      <c r="T60" s="231"/>
      <c r="U60" s="309"/>
      <c r="V60" s="237"/>
      <c r="W60" s="6"/>
    </row>
    <row r="61" spans="1:23" ht="15.6">
      <c r="A61" s="242"/>
      <c r="B61" s="252"/>
      <c r="C61" s="252"/>
      <c r="D61" s="252"/>
      <c r="E61" s="252"/>
      <c r="F61" s="252"/>
      <c r="G61" s="252"/>
      <c r="H61" s="252"/>
      <c r="I61" s="252"/>
      <c r="J61" s="252"/>
      <c r="K61" s="252"/>
      <c r="L61" s="252"/>
      <c r="M61" s="244"/>
      <c r="N61" s="244"/>
      <c r="O61" s="244"/>
      <c r="P61" s="244"/>
      <c r="Q61" s="244"/>
      <c r="R61" s="244"/>
      <c r="S61" s="244"/>
      <c r="T61" s="244"/>
      <c r="U61" s="263"/>
      <c r="V61" s="245"/>
      <c r="W61" s="6"/>
    </row>
    <row r="62" spans="1:23" s="151" customFormat="1" ht="46.8">
      <c r="A62" s="264"/>
      <c r="B62" s="512"/>
      <c r="C62" s="513"/>
      <c r="D62" s="513"/>
      <c r="E62" s="513"/>
      <c r="F62" s="513"/>
      <c r="G62" s="513"/>
      <c r="H62" s="513"/>
      <c r="I62" s="513"/>
      <c r="J62" s="513"/>
      <c r="K62" s="513" t="s">
        <v>197</v>
      </c>
      <c r="L62" s="513"/>
      <c r="M62" s="513" t="s">
        <v>98</v>
      </c>
      <c r="N62" s="513"/>
      <c r="O62" s="513" t="s">
        <v>107</v>
      </c>
      <c r="P62" s="513"/>
      <c r="Q62" s="513" t="s">
        <v>111</v>
      </c>
      <c r="R62" s="513"/>
      <c r="S62" s="513" t="s">
        <v>113</v>
      </c>
      <c r="T62" s="513"/>
      <c r="U62" s="514" t="s">
        <v>120</v>
      </c>
      <c r="V62" s="515"/>
      <c r="W62" s="150"/>
    </row>
    <row r="63" spans="1:23" ht="15.6">
      <c r="A63" s="378"/>
      <c r="B63" s="379" t="s">
        <v>24</v>
      </c>
      <c r="C63" s="440"/>
      <c r="D63" s="440"/>
      <c r="E63" s="440"/>
      <c r="F63" s="440"/>
      <c r="G63" s="440"/>
      <c r="H63" s="440"/>
      <c r="I63" s="440"/>
      <c r="J63" s="440"/>
      <c r="K63" s="440">
        <f>265+63566+3306</f>
        <v>67137</v>
      </c>
      <c r="L63" s="440"/>
      <c r="M63" s="440">
        <v>8070</v>
      </c>
      <c r="N63" s="440"/>
      <c r="O63" s="440">
        <f>194+4+69+1</f>
        <v>268</v>
      </c>
      <c r="P63" s="440"/>
      <c r="Q63" s="440">
        <v>0</v>
      </c>
      <c r="R63" s="440"/>
      <c r="S63" s="440">
        <v>0</v>
      </c>
      <c r="T63" s="440"/>
      <c r="U63" s="441">
        <f>+M63-O63+Q63-S63</f>
        <v>7802</v>
      </c>
      <c r="V63" s="410"/>
      <c r="W63" s="6"/>
    </row>
    <row r="64" spans="1:23" ht="15.6">
      <c r="A64" s="378"/>
      <c r="B64" s="379" t="s">
        <v>25</v>
      </c>
      <c r="C64" s="440"/>
      <c r="D64" s="440"/>
      <c r="E64" s="440"/>
      <c r="F64" s="440"/>
      <c r="G64" s="440"/>
      <c r="H64" s="440"/>
      <c r="I64" s="440"/>
      <c r="J64" s="440"/>
      <c r="K64" s="440"/>
      <c r="L64" s="440"/>
      <c r="M64" s="440"/>
      <c r="N64" s="440"/>
      <c r="O64" s="440"/>
      <c r="P64" s="440"/>
      <c r="Q64" s="440">
        <v>0</v>
      </c>
      <c r="R64" s="440"/>
      <c r="S64" s="440">
        <v>0</v>
      </c>
      <c r="T64" s="440"/>
      <c r="U64" s="441">
        <f>M64-O64</f>
        <v>0</v>
      </c>
      <c r="V64" s="410"/>
      <c r="W64" s="6"/>
    </row>
    <row r="65" spans="1:24" ht="15.6">
      <c r="A65" s="378"/>
      <c r="B65" s="379"/>
      <c r="C65" s="440"/>
      <c r="D65" s="440"/>
      <c r="E65" s="440"/>
      <c r="F65" s="440"/>
      <c r="G65" s="440"/>
      <c r="H65" s="440"/>
      <c r="I65" s="440"/>
      <c r="J65" s="440"/>
      <c r="K65" s="440"/>
      <c r="L65" s="440"/>
      <c r="M65" s="440"/>
      <c r="N65" s="440"/>
      <c r="O65" s="440"/>
      <c r="P65" s="440"/>
      <c r="Q65" s="440"/>
      <c r="R65" s="440"/>
      <c r="S65" s="440"/>
      <c r="T65" s="440"/>
      <c r="U65" s="441"/>
      <c r="V65" s="410"/>
      <c r="W65" s="6"/>
    </row>
    <row r="66" spans="1:24" ht="15.6">
      <c r="A66" s="378"/>
      <c r="B66" s="379" t="s">
        <v>26</v>
      </c>
      <c r="C66" s="440"/>
      <c r="D66" s="440"/>
      <c r="E66" s="440"/>
      <c r="F66" s="440"/>
      <c r="G66" s="440"/>
      <c r="H66" s="440"/>
      <c r="I66" s="440"/>
      <c r="J66" s="440"/>
      <c r="K66" s="440">
        <v>24470</v>
      </c>
      <c r="L66" s="440"/>
      <c r="M66" s="440">
        <v>1902</v>
      </c>
      <c r="N66" s="440"/>
      <c r="O66" s="440">
        <f>118-6</f>
        <v>112</v>
      </c>
      <c r="P66" s="440"/>
      <c r="Q66" s="440">
        <v>0</v>
      </c>
      <c r="R66" s="440"/>
      <c r="S66" s="440">
        <f>SUM(S63:S65)</f>
        <v>0</v>
      </c>
      <c r="T66" s="440"/>
      <c r="U66" s="441">
        <f>+M66-O66+Q66-S66</f>
        <v>1790</v>
      </c>
      <c r="V66" s="410"/>
      <c r="W66" s="6"/>
    </row>
    <row r="67" spans="1:24" ht="15.6">
      <c r="A67" s="378"/>
      <c r="B67" s="379" t="s">
        <v>25</v>
      </c>
      <c r="C67" s="440"/>
      <c r="D67" s="440"/>
      <c r="E67" s="440"/>
      <c r="F67" s="440"/>
      <c r="G67" s="440"/>
      <c r="H67" s="440"/>
      <c r="I67" s="440"/>
      <c r="J67" s="440"/>
      <c r="K67" s="440"/>
      <c r="L67" s="440"/>
      <c r="M67" s="440"/>
      <c r="N67" s="440"/>
      <c r="O67" s="440"/>
      <c r="P67" s="440"/>
      <c r="Q67" s="440">
        <v>0</v>
      </c>
      <c r="R67" s="440"/>
      <c r="S67" s="440">
        <v>0</v>
      </c>
      <c r="T67" s="440"/>
      <c r="U67" s="440"/>
      <c r="V67" s="410"/>
      <c r="W67" s="6"/>
    </row>
    <row r="68" spans="1:24" ht="15.6">
      <c r="A68" s="378"/>
      <c r="B68" s="386"/>
      <c r="C68" s="440"/>
      <c r="D68" s="440"/>
      <c r="E68" s="440"/>
      <c r="F68" s="440"/>
      <c r="G68" s="440"/>
      <c r="H68" s="440"/>
      <c r="I68" s="440"/>
      <c r="J68" s="440"/>
      <c r="K68" s="440"/>
      <c r="L68" s="440"/>
      <c r="M68" s="440"/>
      <c r="N68" s="440"/>
      <c r="O68" s="442"/>
      <c r="P68" s="440"/>
      <c r="Q68" s="440"/>
      <c r="R68" s="440"/>
      <c r="S68" s="440"/>
      <c r="T68" s="440"/>
      <c r="U68" s="440"/>
      <c r="V68" s="410"/>
      <c r="W68" s="6"/>
    </row>
    <row r="69" spans="1:24" ht="15.6">
      <c r="A69" s="378"/>
      <c r="B69" s="379" t="s">
        <v>27</v>
      </c>
      <c r="C69" s="440"/>
      <c r="D69" s="440"/>
      <c r="E69" s="440"/>
      <c r="F69" s="440"/>
      <c r="G69" s="440"/>
      <c r="H69" s="440"/>
      <c r="I69" s="440"/>
      <c r="J69" s="440"/>
      <c r="K69" s="440">
        <v>220072</v>
      </c>
      <c r="L69" s="440"/>
      <c r="M69" s="440">
        <v>163808</v>
      </c>
      <c r="N69" s="440"/>
      <c r="O69" s="440">
        <f>5585+759</f>
        <v>6344</v>
      </c>
      <c r="P69" s="440"/>
      <c r="Q69" s="440">
        <v>0</v>
      </c>
      <c r="R69" s="440"/>
      <c r="S69" s="440">
        <v>0</v>
      </c>
      <c r="T69" s="440"/>
      <c r="U69" s="441">
        <f>+M69-O69+Q69-S69</f>
        <v>157464</v>
      </c>
      <c r="V69" s="410"/>
      <c r="W69" s="6"/>
    </row>
    <row r="70" spans="1:24" ht="15.6">
      <c r="A70" s="378"/>
      <c r="B70" s="379" t="s">
        <v>25</v>
      </c>
      <c r="C70" s="440"/>
      <c r="D70" s="440"/>
      <c r="E70" s="440"/>
      <c r="F70" s="440"/>
      <c r="G70" s="440"/>
      <c r="H70" s="440"/>
      <c r="I70" s="440"/>
      <c r="J70" s="440"/>
      <c r="K70" s="440"/>
      <c r="L70" s="440"/>
      <c r="M70" s="440"/>
      <c r="N70" s="440"/>
      <c r="O70" s="440"/>
      <c r="P70" s="440"/>
      <c r="Q70" s="440">
        <v>0</v>
      </c>
      <c r="R70" s="440"/>
      <c r="S70" s="440">
        <v>0</v>
      </c>
      <c r="T70" s="440"/>
      <c r="U70" s="441">
        <f>M70-O70+Q70-S70</f>
        <v>0</v>
      </c>
      <c r="V70" s="410"/>
      <c r="W70" s="6"/>
    </row>
    <row r="71" spans="1:24" ht="15.6">
      <c r="A71" s="378"/>
      <c r="B71" s="379"/>
      <c r="C71" s="440"/>
      <c r="D71" s="440"/>
      <c r="E71" s="440"/>
      <c r="F71" s="440"/>
      <c r="G71" s="440"/>
      <c r="H71" s="440"/>
      <c r="I71" s="440"/>
      <c r="J71" s="440"/>
      <c r="K71" s="440"/>
      <c r="L71" s="440"/>
      <c r="M71" s="440"/>
      <c r="N71" s="440"/>
      <c r="O71" s="440"/>
      <c r="P71" s="440"/>
      <c r="Q71" s="440"/>
      <c r="R71" s="440"/>
      <c r="S71" s="440"/>
      <c r="T71" s="440"/>
      <c r="U71" s="441"/>
      <c r="V71" s="410"/>
      <c r="W71" s="6"/>
    </row>
    <row r="72" spans="1:24" ht="15.6">
      <c r="A72" s="378"/>
      <c r="B72" s="379" t="s">
        <v>28</v>
      </c>
      <c r="C72" s="440"/>
      <c r="D72" s="440"/>
      <c r="E72" s="440"/>
      <c r="F72" s="440"/>
      <c r="G72" s="440"/>
      <c r="H72" s="440"/>
      <c r="I72" s="440"/>
      <c r="J72" s="440"/>
      <c r="K72" s="440">
        <v>138321</v>
      </c>
      <c r="L72" s="440"/>
      <c r="M72" s="440">
        <v>3020</v>
      </c>
      <c r="N72" s="440"/>
      <c r="O72" s="440">
        <f>531+87</f>
        <v>618</v>
      </c>
      <c r="P72" s="440"/>
      <c r="Q72" s="440">
        <v>0</v>
      </c>
      <c r="R72" s="440"/>
      <c r="S72" s="440">
        <v>0</v>
      </c>
      <c r="T72" s="440"/>
      <c r="U72" s="441">
        <f>+M72-O72+Q72-S72</f>
        <v>2402</v>
      </c>
      <c r="V72" s="410"/>
      <c r="W72" s="6"/>
    </row>
    <row r="73" spans="1:24" ht="15.6">
      <c r="A73" s="378"/>
      <c r="B73" s="379" t="s">
        <v>25</v>
      </c>
      <c r="C73" s="440"/>
      <c r="D73" s="440"/>
      <c r="E73" s="440"/>
      <c r="F73" s="440"/>
      <c r="G73" s="440"/>
      <c r="H73" s="440"/>
      <c r="I73" s="440"/>
      <c r="J73" s="440"/>
      <c r="K73" s="440"/>
      <c r="L73" s="440"/>
      <c r="M73" s="440"/>
      <c r="N73" s="440"/>
      <c r="O73" s="440"/>
      <c r="P73" s="440"/>
      <c r="Q73" s="440">
        <v>0</v>
      </c>
      <c r="R73" s="440"/>
      <c r="S73" s="440">
        <v>0</v>
      </c>
      <c r="T73" s="440"/>
      <c r="U73" s="441"/>
      <c r="V73" s="410"/>
      <c r="W73" s="6"/>
    </row>
    <row r="74" spans="1:24" ht="15.6">
      <c r="A74" s="378"/>
      <c r="B74" s="440"/>
      <c r="C74" s="440"/>
      <c r="D74" s="440"/>
      <c r="E74" s="440"/>
      <c r="F74" s="440"/>
      <c r="G74" s="440"/>
      <c r="H74" s="440"/>
      <c r="I74" s="440"/>
      <c r="J74" s="440"/>
      <c r="K74" s="440"/>
      <c r="L74" s="440"/>
      <c r="M74" s="440"/>
      <c r="N74" s="440"/>
      <c r="O74" s="440"/>
      <c r="P74" s="440"/>
      <c r="Q74" s="440"/>
      <c r="R74" s="440"/>
      <c r="S74" s="440"/>
      <c r="T74" s="440"/>
      <c r="U74" s="441"/>
      <c r="V74" s="410"/>
      <c r="W74" s="6"/>
    </row>
    <row r="75" spans="1:24" ht="15.6">
      <c r="A75" s="378"/>
      <c r="B75" s="379" t="s">
        <v>29</v>
      </c>
      <c r="C75" s="440"/>
      <c r="D75" s="440"/>
      <c r="E75" s="440"/>
      <c r="F75" s="440"/>
      <c r="G75" s="440"/>
      <c r="H75" s="440"/>
      <c r="I75" s="440"/>
      <c r="J75" s="440"/>
      <c r="K75" s="440">
        <f>SUM(K63:K72)</f>
        <v>450000</v>
      </c>
      <c r="L75" s="440"/>
      <c r="M75" s="440">
        <f>SUM(M63:M72)</f>
        <v>176800</v>
      </c>
      <c r="N75" s="440"/>
      <c r="O75" s="440">
        <f>SUM(O63:O73)</f>
        <v>7342</v>
      </c>
      <c r="P75" s="440"/>
      <c r="Q75" s="440">
        <f>SUM(Q63:Q73)</f>
        <v>0</v>
      </c>
      <c r="R75" s="440"/>
      <c r="S75" s="440">
        <f>SUM(S70:S74)</f>
        <v>0</v>
      </c>
      <c r="T75" s="440"/>
      <c r="U75" s="440">
        <f>SUM(U63:U73)</f>
        <v>169458</v>
      </c>
      <c r="V75" s="410"/>
      <c r="W75" s="6"/>
      <c r="X75" s="182"/>
    </row>
    <row r="76" spans="1:24" ht="15.6">
      <c r="A76" s="378"/>
      <c r="B76" s="379"/>
      <c r="C76" s="440"/>
      <c r="D76" s="440"/>
      <c r="E76" s="440"/>
      <c r="F76" s="440"/>
      <c r="G76" s="440"/>
      <c r="H76" s="440"/>
      <c r="I76" s="440"/>
      <c r="J76" s="440"/>
      <c r="K76" s="440"/>
      <c r="L76" s="440"/>
      <c r="M76" s="440"/>
      <c r="N76" s="440"/>
      <c r="O76" s="440"/>
      <c r="P76" s="440"/>
      <c r="Q76" s="440"/>
      <c r="R76" s="440"/>
      <c r="S76" s="440"/>
      <c r="T76" s="440"/>
      <c r="U76" s="440"/>
      <c r="V76" s="410"/>
      <c r="W76" s="6"/>
    </row>
    <row r="77" spans="1:24" ht="15.6">
      <c r="A77" s="378"/>
      <c r="B77" s="379" t="s">
        <v>214</v>
      </c>
      <c r="C77" s="440"/>
      <c r="D77" s="440"/>
      <c r="E77" s="440"/>
      <c r="F77" s="440"/>
      <c r="G77" s="440"/>
      <c r="H77" s="440"/>
      <c r="I77" s="440"/>
      <c r="J77" s="440"/>
      <c r="K77" s="440">
        <v>0</v>
      </c>
      <c r="L77" s="440"/>
      <c r="M77" s="440">
        <v>-13134</v>
      </c>
      <c r="N77" s="440"/>
      <c r="O77" s="440">
        <v>201</v>
      </c>
      <c r="P77" s="440"/>
      <c r="Q77" s="440"/>
      <c r="R77" s="440"/>
      <c r="S77" s="440"/>
      <c r="T77" s="440"/>
      <c r="U77" s="441">
        <f>+M77-O77</f>
        <v>-13335</v>
      </c>
      <c r="V77" s="410"/>
      <c r="W77" s="6"/>
    </row>
    <row r="78" spans="1:24" ht="15.6">
      <c r="A78" s="378"/>
      <c r="B78" s="379" t="s">
        <v>30</v>
      </c>
      <c r="C78" s="440"/>
      <c r="D78" s="440"/>
      <c r="E78" s="440"/>
      <c r="F78" s="440"/>
      <c r="G78" s="440"/>
      <c r="H78" s="440"/>
      <c r="I78" s="440"/>
      <c r="J78" s="440"/>
      <c r="K78" s="440">
        <v>0</v>
      </c>
      <c r="L78" s="440"/>
      <c r="M78" s="440">
        <v>0</v>
      </c>
      <c r="N78" s="440"/>
      <c r="O78" s="440">
        <v>0</v>
      </c>
      <c r="P78" s="440"/>
      <c r="Q78" s="440">
        <v>0</v>
      </c>
      <c r="R78" s="440"/>
      <c r="S78" s="440"/>
      <c r="T78" s="440"/>
      <c r="U78" s="440">
        <v>0</v>
      </c>
      <c r="V78" s="410"/>
      <c r="W78" s="6"/>
      <c r="X78" s="182"/>
    </row>
    <row r="79" spans="1:24" ht="15.6">
      <c r="A79" s="378"/>
      <c r="B79" s="379" t="s">
        <v>31</v>
      </c>
      <c r="C79" s="440"/>
      <c r="D79" s="440"/>
      <c r="E79" s="440"/>
      <c r="F79" s="440"/>
      <c r="G79" s="440"/>
      <c r="H79" s="440"/>
      <c r="I79" s="440"/>
      <c r="J79" s="440"/>
      <c r="K79" s="440">
        <v>0</v>
      </c>
      <c r="L79" s="440"/>
      <c r="M79" s="440">
        <v>0</v>
      </c>
      <c r="N79" s="440"/>
      <c r="O79" s="440"/>
      <c r="P79" s="440"/>
      <c r="Q79" s="440">
        <v>0</v>
      </c>
      <c r="R79" s="440"/>
      <c r="S79" s="440"/>
      <c r="T79" s="440"/>
      <c r="U79" s="440">
        <f>Q79+M79</f>
        <v>0</v>
      </c>
      <c r="V79" s="410"/>
      <c r="W79" s="6"/>
    </row>
    <row r="80" spans="1:24" ht="15.6">
      <c r="A80" s="378"/>
      <c r="B80" s="379" t="s">
        <v>16</v>
      </c>
      <c r="C80" s="440"/>
      <c r="D80" s="440"/>
      <c r="E80" s="440"/>
      <c r="F80" s="440"/>
      <c r="G80" s="440"/>
      <c r="H80" s="440"/>
      <c r="I80" s="440"/>
      <c r="J80" s="440"/>
      <c r="K80" s="440">
        <f>SUM(K75:K79)</f>
        <v>450000</v>
      </c>
      <c r="L80" s="440"/>
      <c r="M80" s="440">
        <f>SUM(M75:M79)</f>
        <v>163666</v>
      </c>
      <c r="N80" s="440"/>
      <c r="O80" s="440">
        <f>O78-O79</f>
        <v>0</v>
      </c>
      <c r="P80" s="440"/>
      <c r="Q80" s="440"/>
      <c r="R80" s="440"/>
      <c r="S80" s="440"/>
      <c r="T80" s="440"/>
      <c r="U80" s="440">
        <f>SUM(U75:U79)</f>
        <v>156123</v>
      </c>
      <c r="V80" s="410"/>
      <c r="W80" s="6"/>
    </row>
    <row r="81" spans="1:24" ht="15.6">
      <c r="A81" s="242"/>
      <c r="B81" s="437"/>
      <c r="C81" s="438"/>
      <c r="D81" s="438"/>
      <c r="E81" s="438"/>
      <c r="F81" s="438"/>
      <c r="G81" s="438"/>
      <c r="H81" s="438"/>
      <c r="I81" s="438"/>
      <c r="J81" s="438"/>
      <c r="K81" s="438"/>
      <c r="L81" s="438"/>
      <c r="M81" s="438"/>
      <c r="N81" s="438"/>
      <c r="O81" s="438"/>
      <c r="P81" s="438"/>
      <c r="Q81" s="438"/>
      <c r="R81" s="438"/>
      <c r="S81" s="439"/>
      <c r="T81" s="438"/>
      <c r="U81" s="439"/>
      <c r="V81" s="245"/>
      <c r="W81" s="6"/>
    </row>
    <row r="82" spans="1:24" ht="15.6">
      <c r="A82" s="230"/>
      <c r="B82" s="511" t="s">
        <v>32</v>
      </c>
      <c r="C82" s="511"/>
      <c r="D82" s="511"/>
      <c r="E82" s="511"/>
      <c r="F82" s="511"/>
      <c r="G82" s="511"/>
      <c r="H82" s="511"/>
      <c r="I82" s="511"/>
      <c r="J82" s="511"/>
      <c r="K82" s="511"/>
      <c r="L82" s="511"/>
      <c r="M82" s="511"/>
      <c r="N82" s="511"/>
      <c r="O82" s="511"/>
      <c r="P82" s="511"/>
      <c r="Q82" s="511"/>
      <c r="R82" s="232"/>
      <c r="S82" s="232"/>
      <c r="T82" s="232"/>
      <c r="U82" s="232" t="s">
        <v>121</v>
      </c>
      <c r="V82" s="516"/>
      <c r="W82" s="6"/>
    </row>
    <row r="83" spans="1:24" ht="15.6">
      <c r="A83" s="315"/>
      <c r="B83" s="294" t="s">
        <v>33</v>
      </c>
      <c r="C83" s="294"/>
      <c r="D83" s="294"/>
      <c r="E83" s="294"/>
      <c r="F83" s="294"/>
      <c r="G83" s="294"/>
      <c r="H83" s="294"/>
      <c r="I83" s="294"/>
      <c r="J83" s="294"/>
      <c r="K83" s="294"/>
      <c r="L83" s="294"/>
      <c r="M83" s="294"/>
      <c r="N83" s="294"/>
      <c r="O83" s="310"/>
      <c r="P83" s="294"/>
      <c r="Q83" s="294"/>
      <c r="R83" s="294"/>
      <c r="S83" s="310"/>
      <c r="T83" s="294"/>
      <c r="U83" s="311">
        <v>50660</v>
      </c>
      <c r="V83" s="298"/>
      <c r="W83" s="6"/>
    </row>
    <row r="84" spans="1:24" ht="15.6">
      <c r="A84" s="444"/>
      <c r="B84" s="379" t="s">
        <v>34</v>
      </c>
      <c r="C84" s="431"/>
      <c r="D84" s="431"/>
      <c r="E84" s="431"/>
      <c r="F84" s="431"/>
      <c r="G84" s="431"/>
      <c r="H84" s="431"/>
      <c r="I84" s="431"/>
      <c r="J84" s="431"/>
      <c r="K84" s="431"/>
      <c r="L84" s="431"/>
      <c r="M84" s="430"/>
      <c r="N84" s="379"/>
      <c r="O84" s="379"/>
      <c r="P84" s="379"/>
      <c r="Q84" s="379"/>
      <c r="R84" s="379"/>
      <c r="S84" s="440"/>
      <c r="T84" s="379"/>
      <c r="U84" s="441">
        <f>404+50-15</f>
        <v>439</v>
      </c>
      <c r="V84" s="410"/>
      <c r="W84" s="6"/>
    </row>
    <row r="85" spans="1:24" ht="15.6">
      <c r="A85" s="444"/>
      <c r="B85" s="379" t="s">
        <v>230</v>
      </c>
      <c r="C85" s="379"/>
      <c r="D85" s="379"/>
      <c r="E85" s="379"/>
      <c r="F85" s="379"/>
      <c r="G85" s="379"/>
      <c r="H85" s="379"/>
      <c r="I85" s="379"/>
      <c r="J85" s="379"/>
      <c r="K85" s="379"/>
      <c r="L85" s="379"/>
      <c r="M85" s="379"/>
      <c r="N85" s="379"/>
      <c r="O85" s="379"/>
      <c r="P85" s="379"/>
      <c r="Q85" s="379"/>
      <c r="R85" s="379"/>
      <c r="S85" s="440"/>
      <c r="T85" s="379"/>
      <c r="U85" s="441">
        <v>0</v>
      </c>
      <c r="V85" s="410"/>
      <c r="W85" s="6"/>
      <c r="X85" s="64"/>
    </row>
    <row r="86" spans="1:24" ht="15.6">
      <c r="A86" s="444"/>
      <c r="B86" s="379" t="s">
        <v>231</v>
      </c>
      <c r="C86" s="379"/>
      <c r="D86" s="379"/>
      <c r="E86" s="379"/>
      <c r="F86" s="379"/>
      <c r="G86" s="379"/>
      <c r="H86" s="379"/>
      <c r="I86" s="379"/>
      <c r="J86" s="379"/>
      <c r="K86" s="379"/>
      <c r="L86" s="379"/>
      <c r="M86" s="379"/>
      <c r="N86" s="379"/>
      <c r="O86" s="379"/>
      <c r="P86" s="379"/>
      <c r="Q86" s="379"/>
      <c r="R86" s="379"/>
      <c r="S86" s="440"/>
      <c r="T86" s="379"/>
      <c r="U86" s="441">
        <v>0</v>
      </c>
      <c r="V86" s="410"/>
      <c r="W86" s="6"/>
      <c r="X86" s="64"/>
    </row>
    <row r="87" spans="1:24" ht="15.6">
      <c r="A87" s="444"/>
      <c r="B87" s="379" t="s">
        <v>35</v>
      </c>
      <c r="C87" s="379"/>
      <c r="D87" s="379"/>
      <c r="E87" s="379"/>
      <c r="F87" s="379"/>
      <c r="G87" s="379"/>
      <c r="H87" s="379"/>
      <c r="I87" s="379"/>
      <c r="J87" s="379"/>
      <c r="K87" s="379"/>
      <c r="L87" s="379"/>
      <c r="M87" s="379"/>
      <c r="N87" s="379"/>
      <c r="O87" s="379"/>
      <c r="P87" s="379"/>
      <c r="Q87" s="379"/>
      <c r="R87" s="379"/>
      <c r="S87" s="440"/>
      <c r="T87" s="379"/>
      <c r="U87" s="441">
        <f>SUM(U83:U86)</f>
        <v>51099</v>
      </c>
      <c r="V87" s="410"/>
      <c r="W87" s="6"/>
      <c r="X87" s="64"/>
    </row>
    <row r="88" spans="1:24" ht="15.6">
      <c r="A88" s="444"/>
      <c r="B88" s="379"/>
      <c r="C88" s="379"/>
      <c r="D88" s="379"/>
      <c r="E88" s="379"/>
      <c r="F88" s="379"/>
      <c r="G88" s="379"/>
      <c r="H88" s="379"/>
      <c r="I88" s="379"/>
      <c r="J88" s="379"/>
      <c r="K88" s="379"/>
      <c r="L88" s="379"/>
      <c r="M88" s="379"/>
      <c r="N88" s="379"/>
      <c r="O88" s="379"/>
      <c r="P88" s="379"/>
      <c r="Q88" s="379"/>
      <c r="R88" s="379"/>
      <c r="S88" s="440"/>
      <c r="T88" s="379"/>
      <c r="U88" s="440"/>
      <c r="V88" s="410"/>
      <c r="W88" s="6"/>
    </row>
    <row r="89" spans="1:24" ht="15.6">
      <c r="A89" s="444"/>
      <c r="B89" s="446" t="s">
        <v>36</v>
      </c>
      <c r="C89" s="446"/>
      <c r="D89" s="446"/>
      <c r="E89" s="446"/>
      <c r="F89" s="446"/>
      <c r="G89" s="446"/>
      <c r="H89" s="446"/>
      <c r="I89" s="446"/>
      <c r="J89" s="446"/>
      <c r="K89" s="446"/>
      <c r="L89" s="446"/>
      <c r="M89" s="379"/>
      <c r="N89" s="379"/>
      <c r="O89" s="379"/>
      <c r="P89" s="379"/>
      <c r="Q89" s="379"/>
      <c r="R89" s="379"/>
      <c r="S89" s="440"/>
      <c r="T89" s="379"/>
      <c r="U89" s="441"/>
      <c r="V89" s="410"/>
      <c r="W89" s="6"/>
      <c r="X89" s="64"/>
    </row>
    <row r="90" spans="1:24" ht="15.6">
      <c r="A90" s="444">
        <v>1</v>
      </c>
      <c r="B90" s="379" t="s">
        <v>37</v>
      </c>
      <c r="C90" s="379"/>
      <c r="D90" s="379"/>
      <c r="E90" s="379"/>
      <c r="F90" s="379"/>
      <c r="G90" s="379"/>
      <c r="H90" s="379"/>
      <c r="I90" s="379"/>
      <c r="J90" s="379"/>
      <c r="K90" s="379"/>
      <c r="L90" s="379"/>
      <c r="M90" s="379"/>
      <c r="N90" s="379"/>
      <c r="O90" s="379"/>
      <c r="P90" s="379"/>
      <c r="Q90" s="379"/>
      <c r="R90" s="379"/>
      <c r="S90" s="379"/>
      <c r="T90" s="379"/>
      <c r="U90" s="441">
        <v>-2</v>
      </c>
      <c r="V90" s="410"/>
      <c r="W90" s="6"/>
    </row>
    <row r="91" spans="1:24" ht="15.6">
      <c r="A91" s="444">
        <f>A90+1</f>
        <v>2</v>
      </c>
      <c r="B91" s="379" t="s">
        <v>168</v>
      </c>
      <c r="C91" s="379"/>
      <c r="D91" s="379"/>
      <c r="E91" s="379"/>
      <c r="F91" s="379"/>
      <c r="G91" s="379"/>
      <c r="H91" s="379"/>
      <c r="I91" s="379"/>
      <c r="J91" s="379"/>
      <c r="K91" s="379"/>
      <c r="L91" s="379"/>
      <c r="M91" s="379"/>
      <c r="N91" s="379"/>
      <c r="O91" s="379"/>
      <c r="P91" s="379"/>
      <c r="Q91" s="379"/>
      <c r="R91" s="379"/>
      <c r="S91" s="379"/>
      <c r="T91" s="379"/>
      <c r="U91" s="441">
        <f>-165-53-2</f>
        <v>-220</v>
      </c>
      <c r="V91" s="410"/>
      <c r="W91" s="6"/>
      <c r="X91" s="64"/>
    </row>
    <row r="92" spans="1:24" ht="15.6">
      <c r="A92" s="444">
        <v>3</v>
      </c>
      <c r="B92" s="379" t="s">
        <v>38</v>
      </c>
      <c r="C92" s="379"/>
      <c r="D92" s="379"/>
      <c r="E92" s="379"/>
      <c r="F92" s="379"/>
      <c r="G92" s="379"/>
      <c r="H92" s="379"/>
      <c r="I92" s="379"/>
      <c r="J92" s="379"/>
      <c r="K92" s="379"/>
      <c r="L92" s="379"/>
      <c r="M92" s="379"/>
      <c r="N92" s="379"/>
      <c r="O92" s="379"/>
      <c r="P92" s="379"/>
      <c r="Q92" s="379"/>
      <c r="R92" s="379"/>
      <c r="S92" s="379"/>
      <c r="T92" s="379"/>
      <c r="U92" s="441">
        <v>-74</v>
      </c>
      <c r="V92" s="410"/>
      <c r="W92" s="6"/>
      <c r="X92" s="64"/>
    </row>
    <row r="93" spans="1:24" ht="15.6">
      <c r="A93" s="447" t="s">
        <v>190</v>
      </c>
      <c r="B93" s="379" t="s">
        <v>169</v>
      </c>
      <c r="C93" s="379"/>
      <c r="D93" s="379"/>
      <c r="E93" s="379"/>
      <c r="F93" s="379"/>
      <c r="G93" s="379"/>
      <c r="H93" s="379"/>
      <c r="I93" s="379"/>
      <c r="J93" s="379"/>
      <c r="K93" s="379"/>
      <c r="L93" s="379"/>
      <c r="M93" s="379"/>
      <c r="N93" s="379"/>
      <c r="O93" s="379"/>
      <c r="P93" s="379"/>
      <c r="Q93" s="379"/>
      <c r="R93" s="379"/>
      <c r="S93" s="379"/>
      <c r="T93" s="379"/>
      <c r="U93" s="441">
        <v>-102</v>
      </c>
      <c r="V93" s="410"/>
      <c r="W93" s="6"/>
      <c r="X93" s="64"/>
    </row>
    <row r="94" spans="1:24" ht="15.6">
      <c r="A94" s="447" t="s">
        <v>191</v>
      </c>
      <c r="B94" s="379" t="s">
        <v>170</v>
      </c>
      <c r="C94" s="379"/>
      <c r="D94" s="379"/>
      <c r="E94" s="379"/>
      <c r="F94" s="379"/>
      <c r="G94" s="379"/>
      <c r="H94" s="379"/>
      <c r="I94" s="379"/>
      <c r="J94" s="379"/>
      <c r="K94" s="379"/>
      <c r="L94" s="379"/>
      <c r="M94" s="379"/>
      <c r="N94" s="379"/>
      <c r="O94" s="379"/>
      <c r="P94" s="379"/>
      <c r="Q94" s="379"/>
      <c r="R94" s="379"/>
      <c r="S94" s="379"/>
      <c r="T94" s="379"/>
      <c r="U94" s="441">
        <v>-130</v>
      </c>
      <c r="V94" s="410"/>
      <c r="W94" s="6"/>
      <c r="X94" s="182"/>
    </row>
    <row r="95" spans="1:24" ht="15.6">
      <c r="A95" s="444">
        <v>5</v>
      </c>
      <c r="B95" s="379" t="s">
        <v>171</v>
      </c>
      <c r="C95" s="379"/>
      <c r="D95" s="379"/>
      <c r="E95" s="379"/>
      <c r="F95" s="379"/>
      <c r="G95" s="379"/>
      <c r="H95" s="379"/>
      <c r="I95" s="379"/>
      <c r="J95" s="379"/>
      <c r="K95" s="379"/>
      <c r="L95" s="379"/>
      <c r="M95" s="379"/>
      <c r="N95" s="379"/>
      <c r="O95" s="379"/>
      <c r="P95" s="379"/>
      <c r="Q95" s="379"/>
      <c r="R95" s="379"/>
      <c r="S95" s="379"/>
      <c r="T95" s="379"/>
      <c r="U95" s="441">
        <v>-8</v>
      </c>
      <c r="V95" s="410"/>
      <c r="W95" s="6"/>
    </row>
    <row r="96" spans="1:24" ht="15.6">
      <c r="A96" s="447" t="s">
        <v>174</v>
      </c>
      <c r="B96" s="379" t="s">
        <v>172</v>
      </c>
      <c r="C96" s="379"/>
      <c r="D96" s="379"/>
      <c r="E96" s="379"/>
      <c r="F96" s="379"/>
      <c r="G96" s="379"/>
      <c r="H96" s="379"/>
      <c r="I96" s="379"/>
      <c r="J96" s="379"/>
      <c r="K96" s="379"/>
      <c r="L96" s="379"/>
      <c r="M96" s="379"/>
      <c r="N96" s="379"/>
      <c r="O96" s="379"/>
      <c r="P96" s="379"/>
      <c r="Q96" s="379"/>
      <c r="R96" s="379"/>
      <c r="S96" s="379"/>
      <c r="T96" s="379"/>
      <c r="U96" s="441">
        <v>-43</v>
      </c>
      <c r="V96" s="410"/>
      <c r="W96" s="6"/>
      <c r="X96" s="182"/>
    </row>
    <row r="97" spans="1:24" ht="15.6">
      <c r="A97" s="447" t="s">
        <v>176</v>
      </c>
      <c r="B97" s="379" t="s">
        <v>173</v>
      </c>
      <c r="C97" s="379"/>
      <c r="D97" s="379"/>
      <c r="E97" s="379"/>
      <c r="F97" s="379"/>
      <c r="G97" s="379"/>
      <c r="H97" s="379"/>
      <c r="I97" s="379"/>
      <c r="J97" s="379"/>
      <c r="K97" s="379"/>
      <c r="L97" s="379"/>
      <c r="M97" s="379"/>
      <c r="N97" s="379"/>
      <c r="O97" s="379"/>
      <c r="P97" s="379"/>
      <c r="Q97" s="379"/>
      <c r="R97" s="379"/>
      <c r="S97" s="379"/>
      <c r="T97" s="379"/>
      <c r="U97" s="441">
        <v>-69</v>
      </c>
      <c r="V97" s="410"/>
      <c r="W97" s="119"/>
      <c r="X97" s="182"/>
    </row>
    <row r="98" spans="1:24" ht="15.6">
      <c r="A98" s="447" t="s">
        <v>178</v>
      </c>
      <c r="B98" s="379" t="s">
        <v>175</v>
      </c>
      <c r="C98" s="379"/>
      <c r="D98" s="379"/>
      <c r="E98" s="379"/>
      <c r="F98" s="379"/>
      <c r="G98" s="379"/>
      <c r="H98" s="379"/>
      <c r="I98" s="379"/>
      <c r="J98" s="379"/>
      <c r="K98" s="379"/>
      <c r="L98" s="379"/>
      <c r="M98" s="379"/>
      <c r="N98" s="379"/>
      <c r="O98" s="379"/>
      <c r="P98" s="379"/>
      <c r="Q98" s="379"/>
      <c r="R98" s="379"/>
      <c r="S98" s="379"/>
      <c r="T98" s="379"/>
      <c r="U98" s="441">
        <v>-66</v>
      </c>
      <c r="V98" s="410"/>
      <c r="W98" s="6"/>
      <c r="X98" s="182"/>
    </row>
    <row r="99" spans="1:24" ht="15.6">
      <c r="A99" s="447" t="s">
        <v>180</v>
      </c>
      <c r="B99" s="379" t="s">
        <v>177</v>
      </c>
      <c r="C99" s="379"/>
      <c r="D99" s="379"/>
      <c r="E99" s="379"/>
      <c r="F99" s="379"/>
      <c r="G99" s="379"/>
      <c r="H99" s="379"/>
      <c r="I99" s="379"/>
      <c r="J99" s="379"/>
      <c r="K99" s="379"/>
      <c r="L99" s="379"/>
      <c r="M99" s="379"/>
      <c r="N99" s="379"/>
      <c r="O99" s="379"/>
      <c r="P99" s="379"/>
      <c r="Q99" s="379"/>
      <c r="R99" s="379"/>
      <c r="S99" s="379"/>
      <c r="T99" s="379"/>
      <c r="U99" s="441">
        <v>-85</v>
      </c>
      <c r="V99" s="410"/>
      <c r="W99" s="119"/>
      <c r="X99" s="182"/>
    </row>
    <row r="100" spans="1:24" ht="15.6">
      <c r="A100" s="447" t="s">
        <v>192</v>
      </c>
      <c r="B100" s="379" t="s">
        <v>179</v>
      </c>
      <c r="C100" s="379"/>
      <c r="D100" s="379"/>
      <c r="E100" s="379"/>
      <c r="F100" s="379"/>
      <c r="G100" s="379"/>
      <c r="H100" s="379"/>
      <c r="I100" s="379"/>
      <c r="J100" s="379"/>
      <c r="K100" s="379"/>
      <c r="L100" s="379"/>
      <c r="M100" s="379"/>
      <c r="N100" s="379"/>
      <c r="O100" s="379"/>
      <c r="P100" s="379"/>
      <c r="Q100" s="379"/>
      <c r="R100" s="379"/>
      <c r="S100" s="379"/>
      <c r="T100" s="379"/>
      <c r="U100" s="441">
        <v>-121</v>
      </c>
      <c r="V100" s="410"/>
      <c r="W100" s="6"/>
      <c r="X100" s="182"/>
    </row>
    <row r="101" spans="1:24" ht="15.6">
      <c r="A101" s="447" t="s">
        <v>193</v>
      </c>
      <c r="B101" s="379" t="s">
        <v>181</v>
      </c>
      <c r="C101" s="379"/>
      <c r="D101" s="379"/>
      <c r="E101" s="379"/>
      <c r="F101" s="379"/>
      <c r="G101" s="379"/>
      <c r="H101" s="379"/>
      <c r="I101" s="379"/>
      <c r="J101" s="379"/>
      <c r="K101" s="379"/>
      <c r="L101" s="379"/>
      <c r="M101" s="379"/>
      <c r="N101" s="379"/>
      <c r="O101" s="379"/>
      <c r="P101" s="379"/>
      <c r="Q101" s="379"/>
      <c r="R101" s="379"/>
      <c r="S101" s="379"/>
      <c r="T101" s="379"/>
      <c r="U101" s="441">
        <v>-104</v>
      </c>
      <c r="V101" s="410"/>
      <c r="W101" s="119"/>
      <c r="X101" s="182"/>
    </row>
    <row r="102" spans="1:24" ht="15.6">
      <c r="A102" s="444">
        <v>9</v>
      </c>
      <c r="B102" s="379" t="s">
        <v>257</v>
      </c>
      <c r="C102" s="379"/>
      <c r="D102" s="379"/>
      <c r="E102" s="379"/>
      <c r="F102" s="379"/>
      <c r="G102" s="379"/>
      <c r="H102" s="379"/>
      <c r="I102" s="379"/>
      <c r="J102" s="379"/>
      <c r="K102" s="379"/>
      <c r="L102" s="379"/>
      <c r="M102" s="379"/>
      <c r="N102" s="379"/>
      <c r="O102" s="379"/>
      <c r="P102" s="379"/>
      <c r="Q102" s="379"/>
      <c r="R102" s="379"/>
      <c r="S102" s="379"/>
      <c r="T102" s="379"/>
      <c r="U102" s="441">
        <f>+S219-U32</f>
        <v>-7543.3175999999803</v>
      </c>
      <c r="V102" s="410"/>
      <c r="W102" s="6"/>
      <c r="X102" s="182"/>
    </row>
    <row r="103" spans="1:24" ht="15.6">
      <c r="A103" s="444">
        <v>10</v>
      </c>
      <c r="B103" s="379" t="s">
        <v>234</v>
      </c>
      <c r="C103" s="379"/>
      <c r="D103" s="379"/>
      <c r="E103" s="379"/>
      <c r="F103" s="379"/>
      <c r="G103" s="379"/>
      <c r="H103" s="379"/>
      <c r="I103" s="379"/>
      <c r="J103" s="379"/>
      <c r="K103" s="379"/>
      <c r="L103" s="379"/>
      <c r="M103" s="379"/>
      <c r="N103" s="379"/>
      <c r="O103" s="379"/>
      <c r="P103" s="379"/>
      <c r="Q103" s="379"/>
      <c r="R103" s="379"/>
      <c r="S103" s="379"/>
      <c r="T103" s="379"/>
      <c r="U103" s="441">
        <v>-40500</v>
      </c>
      <c r="V103" s="410"/>
      <c r="W103" s="6"/>
      <c r="X103" s="64"/>
    </row>
    <row r="104" spans="1:24" ht="15.6">
      <c r="A104" s="444">
        <v>11</v>
      </c>
      <c r="B104" s="379" t="s">
        <v>183</v>
      </c>
      <c r="C104" s="379"/>
      <c r="D104" s="379"/>
      <c r="E104" s="379"/>
      <c r="F104" s="379"/>
      <c r="G104" s="379"/>
      <c r="H104" s="379"/>
      <c r="I104" s="379"/>
      <c r="J104" s="379"/>
      <c r="K104" s="379"/>
      <c r="L104" s="379"/>
      <c r="M104" s="379"/>
      <c r="N104" s="379"/>
      <c r="O104" s="379"/>
      <c r="P104" s="379"/>
      <c r="Q104" s="379"/>
      <c r="R104" s="379"/>
      <c r="S104" s="379"/>
      <c r="T104" s="379"/>
      <c r="U104" s="441">
        <v>0</v>
      </c>
      <c r="V104" s="410"/>
      <c r="W104" s="6"/>
      <c r="X104" s="64"/>
    </row>
    <row r="105" spans="1:24" ht="15.6">
      <c r="A105" s="444">
        <v>12</v>
      </c>
      <c r="B105" s="379" t="s">
        <v>184</v>
      </c>
      <c r="C105" s="379"/>
      <c r="D105" s="379"/>
      <c r="E105" s="379"/>
      <c r="F105" s="379"/>
      <c r="G105" s="379"/>
      <c r="H105" s="379"/>
      <c r="I105" s="379"/>
      <c r="J105" s="379"/>
      <c r="K105" s="379"/>
      <c r="L105" s="379"/>
      <c r="M105" s="379"/>
      <c r="N105" s="379"/>
      <c r="O105" s="379"/>
      <c r="P105" s="379"/>
      <c r="Q105" s="379"/>
      <c r="R105" s="379"/>
      <c r="S105" s="379"/>
      <c r="T105" s="379"/>
      <c r="U105" s="441">
        <v>-185</v>
      </c>
      <c r="V105" s="410"/>
      <c r="W105" s="6"/>
      <c r="X105" s="182"/>
    </row>
    <row r="106" spans="1:24" ht="15.6">
      <c r="A106" s="444">
        <v>13</v>
      </c>
      <c r="B106" s="379" t="s">
        <v>40</v>
      </c>
      <c r="C106" s="379"/>
      <c r="D106" s="379"/>
      <c r="E106" s="379"/>
      <c r="F106" s="379"/>
      <c r="G106" s="379"/>
      <c r="H106" s="379"/>
      <c r="I106" s="379"/>
      <c r="J106" s="379"/>
      <c r="K106" s="379"/>
      <c r="L106" s="379"/>
      <c r="M106" s="379"/>
      <c r="N106" s="379"/>
      <c r="O106" s="379"/>
      <c r="P106" s="379"/>
      <c r="Q106" s="379"/>
      <c r="R106" s="379"/>
      <c r="S106" s="379"/>
      <c r="T106" s="379"/>
      <c r="U106" s="441">
        <f>-SUM(U87:V105)</f>
        <v>-1846.6824000000197</v>
      </c>
      <c r="V106" s="410"/>
      <c r="W106" s="6"/>
      <c r="X106" s="182"/>
    </row>
    <row r="107" spans="1:24" ht="15.6">
      <c r="A107" s="316"/>
      <c r="B107" s="443"/>
      <c r="C107" s="364"/>
      <c r="D107" s="364"/>
      <c r="E107" s="364"/>
      <c r="F107" s="364"/>
      <c r="G107" s="364"/>
      <c r="H107" s="364"/>
      <c r="I107" s="364"/>
      <c r="J107" s="364"/>
      <c r="K107" s="364"/>
      <c r="L107" s="364"/>
      <c r="M107" s="364"/>
      <c r="N107" s="364"/>
      <c r="O107" s="364"/>
      <c r="P107" s="364"/>
      <c r="Q107" s="364"/>
      <c r="R107" s="364"/>
      <c r="S107" s="360"/>
      <c r="T107" s="360"/>
      <c r="U107" s="360"/>
      <c r="V107" s="303"/>
      <c r="W107" s="6"/>
      <c r="X107" s="182"/>
    </row>
    <row r="108" spans="1:24" ht="15.6">
      <c r="A108" s="316"/>
      <c r="B108" s="317"/>
      <c r="C108" s="288"/>
      <c r="D108" s="288"/>
      <c r="E108" s="288"/>
      <c r="F108" s="288"/>
      <c r="G108" s="288"/>
      <c r="H108" s="288"/>
      <c r="I108" s="288"/>
      <c r="J108" s="288"/>
      <c r="K108" s="288"/>
      <c r="L108" s="288"/>
      <c r="M108" s="288"/>
      <c r="N108" s="288"/>
      <c r="O108" s="288"/>
      <c r="P108" s="288"/>
      <c r="Q108" s="288"/>
      <c r="R108" s="288"/>
      <c r="S108" s="318"/>
      <c r="T108" s="318"/>
      <c r="U108" s="318"/>
      <c r="V108" s="303"/>
      <c r="W108" s="6"/>
    </row>
    <row r="109" spans="1:24" ht="16.2" thickBot="1">
      <c r="A109" s="319"/>
      <c r="B109" s="304" t="str">
        <f>+B59</f>
        <v>PPAF3 INVESTOR REPORT QUARTER ENDING SEPTEMBER 2012</v>
      </c>
      <c r="C109" s="305"/>
      <c r="D109" s="305"/>
      <c r="E109" s="305"/>
      <c r="F109" s="305"/>
      <c r="G109" s="305"/>
      <c r="H109" s="305"/>
      <c r="I109" s="305"/>
      <c r="J109" s="305"/>
      <c r="K109" s="305"/>
      <c r="L109" s="305"/>
      <c r="M109" s="305"/>
      <c r="N109" s="305"/>
      <c r="O109" s="305"/>
      <c r="P109" s="305"/>
      <c r="Q109" s="305"/>
      <c r="R109" s="305"/>
      <c r="S109" s="320"/>
      <c r="T109" s="320"/>
      <c r="U109" s="320"/>
      <c r="V109" s="307"/>
      <c r="W109" s="6"/>
    </row>
    <row r="110" spans="1:24" ht="15.6">
      <c r="A110" s="238"/>
      <c r="B110" s="240"/>
      <c r="C110" s="240"/>
      <c r="D110" s="240"/>
      <c r="E110" s="240"/>
      <c r="F110" s="240"/>
      <c r="G110" s="240"/>
      <c r="H110" s="240"/>
      <c r="I110" s="240"/>
      <c r="J110" s="240"/>
      <c r="K110" s="240"/>
      <c r="L110" s="240"/>
      <c r="M110" s="240"/>
      <c r="N110" s="240"/>
      <c r="O110" s="240"/>
      <c r="P110" s="240"/>
      <c r="Q110" s="240"/>
      <c r="R110" s="240"/>
      <c r="S110" s="269"/>
      <c r="T110" s="269"/>
      <c r="U110" s="269"/>
      <c r="V110" s="241"/>
      <c r="W110" s="6"/>
    </row>
    <row r="111" spans="1:24" ht="15.6">
      <c r="A111" s="321"/>
      <c r="B111" s="517" t="s">
        <v>41</v>
      </c>
      <c r="C111" s="322"/>
      <c r="D111" s="322"/>
      <c r="E111" s="322"/>
      <c r="F111" s="322"/>
      <c r="G111" s="322"/>
      <c r="H111" s="322"/>
      <c r="I111" s="322"/>
      <c r="J111" s="322"/>
      <c r="K111" s="322"/>
      <c r="L111" s="322"/>
      <c r="M111" s="322"/>
      <c r="N111" s="322"/>
      <c r="O111" s="322"/>
      <c r="P111" s="322"/>
      <c r="Q111" s="322"/>
      <c r="R111" s="322"/>
      <c r="S111" s="322"/>
      <c r="T111" s="322"/>
      <c r="U111" s="323"/>
      <c r="V111" s="324"/>
      <c r="W111" s="6"/>
    </row>
    <row r="112" spans="1:24" ht="15.6">
      <c r="A112" s="270"/>
      <c r="B112" s="271"/>
      <c r="C112" s="271"/>
      <c r="D112" s="271"/>
      <c r="E112" s="271"/>
      <c r="F112" s="271"/>
      <c r="G112" s="271"/>
      <c r="H112" s="271"/>
      <c r="I112" s="271"/>
      <c r="J112" s="271"/>
      <c r="K112" s="271"/>
      <c r="L112" s="271"/>
      <c r="M112" s="271"/>
      <c r="N112" s="271"/>
      <c r="O112" s="271"/>
      <c r="P112" s="271"/>
      <c r="Q112" s="271"/>
      <c r="R112" s="271"/>
      <c r="S112" s="271"/>
      <c r="T112" s="271"/>
      <c r="U112" s="272"/>
      <c r="V112" s="273"/>
      <c r="W112" s="6"/>
    </row>
    <row r="113" spans="1:24" ht="15.6">
      <c r="A113" s="242"/>
      <c r="B113" s="274" t="s">
        <v>42</v>
      </c>
      <c r="C113" s="252"/>
      <c r="D113" s="252"/>
      <c r="E113" s="252"/>
      <c r="F113" s="252"/>
      <c r="G113" s="252"/>
      <c r="H113" s="252"/>
      <c r="I113" s="252"/>
      <c r="J113" s="252"/>
      <c r="K113" s="252"/>
      <c r="L113" s="252"/>
      <c r="M113" s="244"/>
      <c r="N113" s="244"/>
      <c r="O113" s="244"/>
      <c r="P113" s="244"/>
      <c r="Q113" s="244"/>
      <c r="R113" s="244"/>
      <c r="S113" s="244"/>
      <c r="T113" s="244"/>
      <c r="U113" s="263"/>
      <c r="V113" s="245"/>
      <c r="W113" s="6"/>
    </row>
    <row r="114" spans="1:24" ht="15.6">
      <c r="A114" s="378"/>
      <c r="B114" s="379" t="s">
        <v>43</v>
      </c>
      <c r="C114" s="379"/>
      <c r="D114" s="379"/>
      <c r="E114" s="379"/>
      <c r="F114" s="379"/>
      <c r="G114" s="379"/>
      <c r="H114" s="379"/>
      <c r="I114" s="379"/>
      <c r="J114" s="379"/>
      <c r="K114" s="379"/>
      <c r="L114" s="379"/>
      <c r="M114" s="379"/>
      <c r="N114" s="379"/>
      <c r="O114" s="379"/>
      <c r="P114" s="379"/>
      <c r="Q114" s="379"/>
      <c r="R114" s="379"/>
      <c r="S114" s="379"/>
      <c r="T114" s="379"/>
      <c r="U114" s="441">
        <v>40500</v>
      </c>
      <c r="V114" s="410"/>
      <c r="W114" s="6"/>
    </row>
    <row r="115" spans="1:24" ht="15.6">
      <c r="A115" s="378"/>
      <c r="B115" s="379" t="s">
        <v>240</v>
      </c>
      <c r="C115" s="379"/>
      <c r="D115" s="379"/>
      <c r="E115" s="379"/>
      <c r="F115" s="379"/>
      <c r="G115" s="379"/>
      <c r="H115" s="379"/>
      <c r="I115" s="379"/>
      <c r="J115" s="379"/>
      <c r="K115" s="379"/>
      <c r="L115" s="379"/>
      <c r="M115" s="379"/>
      <c r="N115" s="379"/>
      <c r="O115" s="379"/>
      <c r="P115" s="379"/>
      <c r="Q115" s="379"/>
      <c r="R115" s="379"/>
      <c r="S115" s="379"/>
      <c r="T115" s="379"/>
      <c r="U115" s="441">
        <v>40500</v>
      </c>
      <c r="V115" s="410"/>
      <c r="W115" s="6"/>
    </row>
    <row r="116" spans="1:24" ht="15.6">
      <c r="A116" s="378"/>
      <c r="B116" s="379" t="s">
        <v>241</v>
      </c>
      <c r="C116" s="379"/>
      <c r="D116" s="379"/>
      <c r="E116" s="379"/>
      <c r="F116" s="379"/>
      <c r="G116" s="379"/>
      <c r="H116" s="379"/>
      <c r="I116" s="379"/>
      <c r="J116" s="379"/>
      <c r="K116" s="379"/>
      <c r="L116" s="379"/>
      <c r="M116" s="379"/>
      <c r="N116" s="379"/>
      <c r="O116" s="379"/>
      <c r="P116" s="379"/>
      <c r="Q116" s="379"/>
      <c r="R116" s="379"/>
      <c r="S116" s="379"/>
      <c r="T116" s="379"/>
      <c r="U116" s="441">
        <v>0</v>
      </c>
      <c r="V116" s="410"/>
      <c r="W116" s="6"/>
    </row>
    <row r="117" spans="1:24" ht="15.6">
      <c r="A117" s="378"/>
      <c r="B117" s="379" t="s">
        <v>209</v>
      </c>
      <c r="C117" s="379"/>
      <c r="D117" s="379"/>
      <c r="E117" s="379"/>
      <c r="F117" s="379"/>
      <c r="G117" s="379"/>
      <c r="H117" s="379"/>
      <c r="I117" s="379"/>
      <c r="J117" s="379"/>
      <c r="K117" s="379"/>
      <c r="L117" s="379"/>
      <c r="M117" s="379"/>
      <c r="N117" s="379"/>
      <c r="O117" s="379"/>
      <c r="P117" s="379"/>
      <c r="Q117" s="379"/>
      <c r="R117" s="379"/>
      <c r="S117" s="379"/>
      <c r="T117" s="379"/>
      <c r="U117" s="441">
        <v>0</v>
      </c>
      <c r="V117" s="410"/>
      <c r="W117" s="6"/>
    </row>
    <row r="118" spans="1:24" ht="15.6">
      <c r="A118" s="378"/>
      <c r="B118" s="379" t="s">
        <v>210</v>
      </c>
      <c r="C118" s="379"/>
      <c r="D118" s="379"/>
      <c r="E118" s="379"/>
      <c r="F118" s="379"/>
      <c r="G118" s="379"/>
      <c r="H118" s="379"/>
      <c r="I118" s="379"/>
      <c r="J118" s="379"/>
      <c r="K118" s="379"/>
      <c r="L118" s="379"/>
      <c r="M118" s="379"/>
      <c r="N118" s="379"/>
      <c r="O118" s="379"/>
      <c r="P118" s="379"/>
      <c r="Q118" s="379"/>
      <c r="R118" s="379"/>
      <c r="S118" s="379"/>
      <c r="T118" s="379"/>
      <c r="U118" s="441">
        <v>0</v>
      </c>
      <c r="V118" s="410"/>
      <c r="W118" s="6"/>
    </row>
    <row r="119" spans="1:24" ht="15.6">
      <c r="A119" s="378"/>
      <c r="B119" s="379" t="s">
        <v>211</v>
      </c>
      <c r="C119" s="379"/>
      <c r="D119" s="379"/>
      <c r="E119" s="379"/>
      <c r="F119" s="379"/>
      <c r="G119" s="379"/>
      <c r="H119" s="379"/>
      <c r="I119" s="379"/>
      <c r="J119" s="379"/>
      <c r="K119" s="379"/>
      <c r="L119" s="379"/>
      <c r="M119" s="379"/>
      <c r="N119" s="379"/>
      <c r="O119" s="379"/>
      <c r="P119" s="379"/>
      <c r="Q119" s="379"/>
      <c r="R119" s="379"/>
      <c r="S119" s="379"/>
      <c r="T119" s="379"/>
      <c r="U119" s="441">
        <v>0</v>
      </c>
      <c r="V119" s="410"/>
      <c r="W119" s="6"/>
    </row>
    <row r="120" spans="1:24" ht="15.6">
      <c r="A120" s="378"/>
      <c r="B120" s="379" t="s">
        <v>212</v>
      </c>
      <c r="C120" s="379"/>
      <c r="D120" s="379"/>
      <c r="E120" s="379"/>
      <c r="F120" s="379"/>
      <c r="G120" s="379"/>
      <c r="H120" s="379"/>
      <c r="I120" s="379"/>
      <c r="J120" s="379"/>
      <c r="K120" s="379"/>
      <c r="L120" s="379"/>
      <c r="M120" s="379"/>
      <c r="N120" s="379"/>
      <c r="O120" s="379"/>
      <c r="P120" s="379"/>
      <c r="Q120" s="379"/>
      <c r="R120" s="379"/>
      <c r="S120" s="379"/>
      <c r="T120" s="379"/>
      <c r="U120" s="441">
        <v>0</v>
      </c>
      <c r="V120" s="410"/>
      <c r="W120" s="6"/>
    </row>
    <row r="121" spans="1:24" ht="15.6">
      <c r="A121" s="378"/>
      <c r="B121" s="379" t="s">
        <v>242</v>
      </c>
      <c r="C121" s="379"/>
      <c r="D121" s="379"/>
      <c r="E121" s="379"/>
      <c r="F121" s="379"/>
      <c r="G121" s="379"/>
      <c r="H121" s="379"/>
      <c r="I121" s="379"/>
      <c r="J121" s="379"/>
      <c r="K121" s="379"/>
      <c r="L121" s="379"/>
      <c r="M121" s="379"/>
      <c r="N121" s="379"/>
      <c r="O121" s="379"/>
      <c r="P121" s="379"/>
      <c r="Q121" s="379"/>
      <c r="R121" s="379"/>
      <c r="S121" s="379"/>
      <c r="T121" s="379"/>
      <c r="U121" s="441">
        <v>0</v>
      </c>
      <c r="V121" s="410"/>
      <c r="W121" s="6"/>
    </row>
    <row r="122" spans="1:24" ht="15.6">
      <c r="A122" s="378"/>
      <c r="B122" s="379" t="s">
        <v>45</v>
      </c>
      <c r="C122" s="379"/>
      <c r="D122" s="379"/>
      <c r="E122" s="379"/>
      <c r="F122" s="379"/>
      <c r="G122" s="379"/>
      <c r="H122" s="379"/>
      <c r="I122" s="379"/>
      <c r="J122" s="379"/>
      <c r="K122" s="379"/>
      <c r="L122" s="379"/>
      <c r="M122" s="379"/>
      <c r="N122" s="379"/>
      <c r="O122" s="379"/>
      <c r="P122" s="379"/>
      <c r="Q122" s="379"/>
      <c r="R122" s="379"/>
      <c r="S122" s="379"/>
      <c r="T122" s="379"/>
      <c r="U122" s="441">
        <f>SUM(U115:U121)</f>
        <v>40500</v>
      </c>
      <c r="V122" s="410"/>
      <c r="W122" s="6"/>
    </row>
    <row r="123" spans="1:24" ht="15.6">
      <c r="A123" s="242"/>
      <c r="B123" s="438"/>
      <c r="C123" s="438"/>
      <c r="D123" s="438"/>
      <c r="E123" s="438"/>
      <c r="F123" s="438"/>
      <c r="G123" s="438"/>
      <c r="H123" s="438"/>
      <c r="I123" s="438"/>
      <c r="J123" s="438"/>
      <c r="K123" s="438"/>
      <c r="L123" s="438"/>
      <c r="M123" s="438"/>
      <c r="N123" s="438"/>
      <c r="O123" s="438"/>
      <c r="P123" s="438"/>
      <c r="Q123" s="438"/>
      <c r="R123" s="438"/>
      <c r="S123" s="438"/>
      <c r="T123" s="438"/>
      <c r="U123" s="448"/>
      <c r="V123" s="245"/>
      <c r="W123" s="6"/>
    </row>
    <row r="124" spans="1:24" ht="15.6">
      <c r="A124" s="242"/>
      <c r="B124" s="274" t="s">
        <v>46</v>
      </c>
      <c r="C124" s="252"/>
      <c r="D124" s="252"/>
      <c r="E124" s="252"/>
      <c r="F124" s="252"/>
      <c r="G124" s="252"/>
      <c r="H124" s="252"/>
      <c r="I124" s="252"/>
      <c r="J124" s="252"/>
      <c r="K124" s="252"/>
      <c r="L124" s="252"/>
      <c r="M124" s="244"/>
      <c r="N124" s="244"/>
      <c r="O124" s="244"/>
      <c r="P124" s="275"/>
      <c r="Q124" s="244"/>
      <c r="R124" s="244"/>
      <c r="S124" s="244"/>
      <c r="T124" s="244"/>
      <c r="U124" s="276"/>
      <c r="V124" s="245"/>
      <c r="W124" s="6"/>
    </row>
    <row r="125" spans="1:24" ht="15.6">
      <c r="A125" s="230"/>
      <c r="B125" s="511"/>
      <c r="C125" s="232" t="s">
        <v>185</v>
      </c>
      <c r="D125" s="232"/>
      <c r="E125" s="232" t="s">
        <v>99</v>
      </c>
      <c r="F125" s="232"/>
      <c r="G125" s="232" t="s">
        <v>102</v>
      </c>
      <c r="H125" s="232"/>
      <c r="I125" s="232" t="s">
        <v>108</v>
      </c>
      <c r="J125" s="232"/>
      <c r="K125" s="232"/>
      <c r="L125" s="232"/>
      <c r="M125" s="232"/>
      <c r="N125" s="232"/>
      <c r="O125" s="232"/>
      <c r="P125" s="326"/>
      <c r="Q125" s="326"/>
      <c r="R125" s="231"/>
      <c r="S125" s="231"/>
      <c r="T125" s="231"/>
      <c r="U125" s="309"/>
      <c r="V125" s="237"/>
      <c r="W125" s="6"/>
    </row>
    <row r="126" spans="1:24" ht="15.6">
      <c r="A126" s="257"/>
      <c r="B126" s="294" t="s">
        <v>122</v>
      </c>
      <c r="C126" s="310">
        <f>+N199-'June 12'!N199</f>
        <v>-59</v>
      </c>
      <c r="D126" s="294"/>
      <c r="E126" s="310">
        <f>+S199-'June 12'!S199</f>
        <v>-10</v>
      </c>
      <c r="F126" s="294"/>
      <c r="G126" s="310">
        <f>+'September 12'!N212-'June 12'!N212</f>
        <v>278</v>
      </c>
      <c r="H126" s="294"/>
      <c r="I126" s="310">
        <f>+S212-'June 12'!S212</f>
        <v>-8</v>
      </c>
      <c r="J126" s="294"/>
      <c r="K126" s="294"/>
      <c r="L126" s="294"/>
      <c r="M126" s="294"/>
      <c r="N126" s="294"/>
      <c r="O126" s="294"/>
      <c r="P126" s="325"/>
      <c r="Q126" s="325"/>
      <c r="R126" s="294"/>
      <c r="S126" s="294"/>
      <c r="T126" s="294"/>
      <c r="U126" s="311">
        <f>SUM(C126:I126)</f>
        <v>201</v>
      </c>
      <c r="V126" s="298"/>
      <c r="W126" s="6"/>
      <c r="X126" s="182"/>
    </row>
    <row r="127" spans="1:24" ht="15.6">
      <c r="A127" s="378"/>
      <c r="B127" s="379" t="s">
        <v>47</v>
      </c>
      <c r="C127" s="379">
        <v>69</v>
      </c>
      <c r="D127" s="379"/>
      <c r="E127" s="379">
        <v>0</v>
      </c>
      <c r="F127" s="379"/>
      <c r="G127" s="379">
        <v>759</v>
      </c>
      <c r="H127" s="379"/>
      <c r="I127" s="440">
        <v>87</v>
      </c>
      <c r="J127" s="379"/>
      <c r="K127" s="379"/>
      <c r="L127" s="379"/>
      <c r="M127" s="379"/>
      <c r="N127" s="379"/>
      <c r="O127" s="379"/>
      <c r="P127" s="450"/>
      <c r="Q127" s="450"/>
      <c r="R127" s="379"/>
      <c r="S127" s="379"/>
      <c r="T127" s="379"/>
      <c r="U127" s="441">
        <f>SUM(C127:I127)</f>
        <v>915</v>
      </c>
      <c r="V127" s="410"/>
      <c r="W127" s="6"/>
    </row>
    <row r="128" spans="1:24" ht="15.6">
      <c r="A128" s="242"/>
      <c r="B128" s="364" t="s">
        <v>48</v>
      </c>
      <c r="C128" s="364"/>
      <c r="D128" s="364"/>
      <c r="E128" s="364"/>
      <c r="F128" s="364"/>
      <c r="G128" s="364"/>
      <c r="H128" s="364"/>
      <c r="I128" s="364"/>
      <c r="J128" s="364"/>
      <c r="K128" s="364"/>
      <c r="L128" s="364"/>
      <c r="M128" s="364"/>
      <c r="N128" s="364"/>
      <c r="O128" s="364"/>
      <c r="P128" s="364"/>
      <c r="Q128" s="364"/>
      <c r="R128" s="364"/>
      <c r="S128" s="364"/>
      <c r="T128" s="364"/>
      <c r="U128" s="449">
        <f>SUM(U126:U127)</f>
        <v>1116</v>
      </c>
      <c r="V128" s="303"/>
      <c r="W128" s="6"/>
      <c r="X128" s="182"/>
    </row>
    <row r="129" spans="1:25" ht="15.6">
      <c r="A129" s="242"/>
      <c r="B129" s="274" t="s">
        <v>49</v>
      </c>
      <c r="C129" s="252"/>
      <c r="D129" s="252"/>
      <c r="E129" s="252"/>
      <c r="F129" s="252"/>
      <c r="G129" s="252"/>
      <c r="H129" s="252"/>
      <c r="I129" s="252"/>
      <c r="J129" s="252"/>
      <c r="K129" s="252"/>
      <c r="L129" s="252"/>
      <c r="M129" s="244"/>
      <c r="N129" s="244"/>
      <c r="O129" s="244"/>
      <c r="P129" s="244"/>
      <c r="Q129" s="244"/>
      <c r="R129" s="244"/>
      <c r="S129" s="244"/>
      <c r="T129" s="244"/>
      <c r="U129" s="263"/>
      <c r="V129" s="245"/>
      <c r="W129" s="6"/>
    </row>
    <row r="130" spans="1:25" ht="15.6">
      <c r="A130" s="444"/>
      <c r="B130" s="379" t="s">
        <v>50</v>
      </c>
      <c r="C130" s="386"/>
      <c r="D130" s="386"/>
      <c r="E130" s="386"/>
      <c r="F130" s="386"/>
      <c r="G130" s="386"/>
      <c r="H130" s="386"/>
      <c r="I130" s="386"/>
      <c r="J130" s="386"/>
      <c r="K130" s="386"/>
      <c r="L130" s="386"/>
      <c r="M130" s="379"/>
      <c r="N130" s="379"/>
      <c r="O130" s="379"/>
      <c r="P130" s="379"/>
      <c r="Q130" s="379"/>
      <c r="R130" s="379"/>
      <c r="S130" s="379"/>
      <c r="T130" s="379"/>
      <c r="U130" s="441">
        <f>U75+U77</f>
        <v>156123</v>
      </c>
      <c r="V130" s="410"/>
      <c r="W130" s="6"/>
      <c r="X130" s="182"/>
    </row>
    <row r="131" spans="1:25" ht="15.6">
      <c r="A131" s="444"/>
      <c r="B131" s="379" t="s">
        <v>51</v>
      </c>
      <c r="C131" s="386"/>
      <c r="D131" s="386"/>
      <c r="E131" s="386"/>
      <c r="F131" s="386"/>
      <c r="G131" s="386"/>
      <c r="H131" s="386"/>
      <c r="I131" s="386"/>
      <c r="J131" s="386"/>
      <c r="K131" s="386"/>
      <c r="L131" s="386"/>
      <c r="M131" s="379"/>
      <c r="N131" s="379"/>
      <c r="O131" s="379"/>
      <c r="P131" s="379"/>
      <c r="Q131" s="379"/>
      <c r="R131" s="379"/>
      <c r="S131" s="379"/>
      <c r="T131" s="379"/>
      <c r="U131" s="441">
        <v>0</v>
      </c>
      <c r="V131" s="410"/>
      <c r="W131" s="6"/>
      <c r="Y131" s="182"/>
    </row>
    <row r="132" spans="1:25" ht="15.6">
      <c r="A132" s="444"/>
      <c r="B132" s="379" t="s">
        <v>52</v>
      </c>
      <c r="C132" s="386"/>
      <c r="D132" s="386"/>
      <c r="E132" s="386"/>
      <c r="F132" s="386"/>
      <c r="G132" s="386"/>
      <c r="H132" s="386"/>
      <c r="I132" s="386"/>
      <c r="J132" s="386"/>
      <c r="K132" s="386"/>
      <c r="L132" s="386"/>
      <c r="M132" s="379"/>
      <c r="N132" s="379"/>
      <c r="O132" s="379"/>
      <c r="P132" s="379"/>
      <c r="Q132" s="379"/>
      <c r="R132" s="379"/>
      <c r="S132" s="379"/>
      <c r="T132" s="379"/>
      <c r="U132" s="441">
        <f>+U130+U131</f>
        <v>156123</v>
      </c>
      <c r="V132" s="410"/>
      <c r="W132" s="6"/>
    </row>
    <row r="133" spans="1:25" ht="15.6">
      <c r="A133" s="444"/>
      <c r="B133" s="379" t="s">
        <v>53</v>
      </c>
      <c r="C133" s="386"/>
      <c r="D133" s="386"/>
      <c r="E133" s="386"/>
      <c r="F133" s="386"/>
      <c r="G133" s="386"/>
      <c r="H133" s="386"/>
      <c r="I133" s="386"/>
      <c r="J133" s="386"/>
      <c r="K133" s="386"/>
      <c r="L133" s="386"/>
      <c r="M133" s="379"/>
      <c r="N133" s="379"/>
      <c r="O133" s="379"/>
      <c r="P133" s="379"/>
      <c r="Q133" s="379"/>
      <c r="R133" s="379"/>
      <c r="S133" s="379"/>
      <c r="T133" s="379"/>
      <c r="U133" s="441">
        <f>U80</f>
        <v>156123</v>
      </c>
      <c r="V133" s="410"/>
      <c r="W133" s="6"/>
      <c r="X133" s="64"/>
    </row>
    <row r="134" spans="1:25" ht="15.6">
      <c r="A134" s="242"/>
      <c r="B134" s="438"/>
      <c r="C134" s="438"/>
      <c r="D134" s="438"/>
      <c r="E134" s="438"/>
      <c r="F134" s="438"/>
      <c r="G134" s="438"/>
      <c r="H134" s="438"/>
      <c r="I134" s="438"/>
      <c r="J134" s="438"/>
      <c r="K134" s="438"/>
      <c r="L134" s="438"/>
      <c r="M134" s="438"/>
      <c r="N134" s="438"/>
      <c r="O134" s="438"/>
      <c r="P134" s="438"/>
      <c r="Q134" s="438"/>
      <c r="R134" s="438"/>
      <c r="S134" s="438"/>
      <c r="T134" s="438"/>
      <c r="U134" s="451"/>
      <c r="V134" s="245"/>
      <c r="W134" s="6"/>
    </row>
    <row r="135" spans="1:25" ht="15.6">
      <c r="A135" s="242"/>
      <c r="B135" s="274" t="s">
        <v>54</v>
      </c>
      <c r="C135" s="247"/>
      <c r="D135" s="247"/>
      <c r="E135" s="247"/>
      <c r="F135" s="247"/>
      <c r="G135" s="247"/>
      <c r="H135" s="247"/>
      <c r="I135" s="247"/>
      <c r="J135" s="247"/>
      <c r="K135" s="247"/>
      <c r="L135" s="247"/>
      <c r="M135" s="247"/>
      <c r="N135" s="247"/>
      <c r="O135" s="247"/>
      <c r="P135" s="247"/>
      <c r="Q135" s="277" t="s">
        <v>112</v>
      </c>
      <c r="R135" s="278"/>
      <c r="S135" s="277" t="s">
        <v>114</v>
      </c>
      <c r="T135" s="247"/>
      <c r="U135" s="279" t="s">
        <v>90</v>
      </c>
      <c r="V135" s="245"/>
      <c r="W135" s="6"/>
    </row>
    <row r="136" spans="1:25" ht="15.6">
      <c r="A136" s="378"/>
      <c r="B136" s="379" t="s">
        <v>55</v>
      </c>
      <c r="C136" s="379"/>
      <c r="D136" s="379"/>
      <c r="E136" s="379"/>
      <c r="F136" s="379"/>
      <c r="G136" s="379"/>
      <c r="H136" s="379"/>
      <c r="I136" s="379"/>
      <c r="J136" s="379"/>
      <c r="K136" s="379"/>
      <c r="L136" s="379"/>
      <c r="M136" s="379"/>
      <c r="N136" s="379"/>
      <c r="O136" s="379"/>
      <c r="P136" s="379"/>
      <c r="Q136" s="441">
        <v>0</v>
      </c>
      <c r="R136" s="379"/>
      <c r="S136" s="453" t="s">
        <v>115</v>
      </c>
      <c r="T136" s="379"/>
      <c r="U136" s="441">
        <f>Q136</f>
        <v>0</v>
      </c>
      <c r="V136" s="385"/>
      <c r="W136" s="6"/>
    </row>
    <row r="137" spans="1:25" ht="15.6">
      <c r="A137" s="378"/>
      <c r="B137" s="379" t="s">
        <v>56</v>
      </c>
      <c r="C137" s="379"/>
      <c r="D137" s="379"/>
      <c r="E137" s="379"/>
      <c r="F137" s="379"/>
      <c r="G137" s="379"/>
      <c r="H137" s="379"/>
      <c r="I137" s="379"/>
      <c r="J137" s="379"/>
      <c r="K137" s="379"/>
      <c r="L137" s="379"/>
      <c r="M137" s="379"/>
      <c r="N137" s="379"/>
      <c r="O137" s="379"/>
      <c r="P137" s="379"/>
      <c r="Q137" s="441">
        <f>+'June 12'!Q139</f>
        <v>4229</v>
      </c>
      <c r="R137" s="379"/>
      <c r="S137" s="453" t="s">
        <v>115</v>
      </c>
      <c r="T137" s="379"/>
      <c r="U137" s="441">
        <f>Q137</f>
        <v>4229</v>
      </c>
      <c r="V137" s="385"/>
      <c r="W137" s="6"/>
    </row>
    <row r="138" spans="1:25" ht="15.6">
      <c r="A138" s="378"/>
      <c r="B138" s="379" t="s">
        <v>57</v>
      </c>
      <c r="C138" s="379"/>
      <c r="D138" s="379"/>
      <c r="E138" s="379"/>
      <c r="F138" s="379"/>
      <c r="G138" s="379"/>
      <c r="H138" s="379"/>
      <c r="I138" s="379"/>
      <c r="J138" s="379"/>
      <c r="K138" s="379"/>
      <c r="L138" s="379"/>
      <c r="M138" s="379"/>
      <c r="N138" s="379"/>
      <c r="O138" s="379"/>
      <c r="P138" s="379"/>
      <c r="Q138" s="441">
        <v>0</v>
      </c>
      <c r="R138" s="379"/>
      <c r="S138" s="453" t="s">
        <v>115</v>
      </c>
      <c r="T138" s="379"/>
      <c r="U138" s="441">
        <f>Q138</f>
        <v>0</v>
      </c>
      <c r="V138" s="385"/>
      <c r="W138" s="6"/>
    </row>
    <row r="139" spans="1:25" ht="15.6">
      <c r="A139" s="378"/>
      <c r="B139" s="379" t="s">
        <v>58</v>
      </c>
      <c r="C139" s="379"/>
      <c r="D139" s="379"/>
      <c r="E139" s="379"/>
      <c r="F139" s="379"/>
      <c r="G139" s="379"/>
      <c r="H139" s="379"/>
      <c r="I139" s="379"/>
      <c r="J139" s="379"/>
      <c r="K139" s="379"/>
      <c r="L139" s="379"/>
      <c r="M139" s="379"/>
      <c r="N139" s="379"/>
      <c r="O139" s="379"/>
      <c r="P139" s="379"/>
      <c r="Q139" s="441">
        <f>SUM(Q137:Q138)</f>
        <v>4229</v>
      </c>
      <c r="R139" s="379"/>
      <c r="S139" s="453" t="s">
        <v>115</v>
      </c>
      <c r="T139" s="379"/>
      <c r="U139" s="441">
        <f>Q139</f>
        <v>4229</v>
      </c>
      <c r="V139" s="385"/>
      <c r="W139" s="6"/>
    </row>
    <row r="140" spans="1:25" ht="15.6">
      <c r="A140" s="378"/>
      <c r="B140" s="379" t="s">
        <v>215</v>
      </c>
      <c r="C140" s="379"/>
      <c r="D140" s="379"/>
      <c r="E140" s="379"/>
      <c r="F140" s="379"/>
      <c r="G140" s="379"/>
      <c r="H140" s="379"/>
      <c r="I140" s="379"/>
      <c r="J140" s="379"/>
      <c r="K140" s="379"/>
      <c r="L140" s="379"/>
      <c r="M140" s="379"/>
      <c r="N140" s="379"/>
      <c r="O140" s="379"/>
      <c r="P140" s="379"/>
      <c r="Q140" s="441"/>
      <c r="R140" s="379"/>
      <c r="S140" s="453"/>
      <c r="T140" s="379"/>
      <c r="U140" s="441"/>
      <c r="V140" s="385"/>
      <c r="W140" s="6"/>
    </row>
    <row r="141" spans="1:25" ht="15.6">
      <c r="A141" s="378"/>
      <c r="B141" s="454"/>
      <c r="C141" s="454"/>
      <c r="D141" s="454"/>
      <c r="E141" s="454"/>
      <c r="F141" s="454"/>
      <c r="G141" s="454"/>
      <c r="H141" s="454"/>
      <c r="I141" s="454"/>
      <c r="J141" s="454"/>
      <c r="K141" s="454"/>
      <c r="L141" s="454"/>
      <c r="M141" s="454"/>
      <c r="N141" s="454"/>
      <c r="O141" s="454"/>
      <c r="P141" s="454"/>
      <c r="Q141" s="454"/>
      <c r="R141" s="454"/>
      <c r="S141" s="454"/>
      <c r="T141" s="454"/>
      <c r="U141" s="454"/>
      <c r="V141" s="385"/>
      <c r="W141" s="6"/>
    </row>
    <row r="142" spans="1:25" ht="15.6">
      <c r="A142" s="242"/>
      <c r="B142" s="452"/>
      <c r="C142" s="452"/>
      <c r="D142" s="452"/>
      <c r="E142" s="452"/>
      <c r="F142" s="452"/>
      <c r="G142" s="452"/>
      <c r="H142" s="452"/>
      <c r="I142" s="452"/>
      <c r="J142" s="452"/>
      <c r="K142" s="452"/>
      <c r="L142" s="452"/>
      <c r="M142" s="452"/>
      <c r="N142" s="452"/>
      <c r="O142" s="452"/>
      <c r="P142" s="452"/>
      <c r="Q142" s="452"/>
      <c r="R142" s="452"/>
      <c r="S142" s="452"/>
      <c r="T142" s="452"/>
      <c r="U142" s="452"/>
      <c r="V142" s="284"/>
      <c r="W142" s="6"/>
    </row>
    <row r="143" spans="1:25" ht="15.6">
      <c r="A143" s="230"/>
      <c r="B143" s="511" t="s">
        <v>59</v>
      </c>
      <c r="C143" s="518"/>
      <c r="D143" s="518"/>
      <c r="E143" s="518"/>
      <c r="F143" s="518"/>
      <c r="G143" s="518"/>
      <c r="H143" s="518"/>
      <c r="I143" s="518"/>
      <c r="J143" s="518"/>
      <c r="K143" s="518"/>
      <c r="L143" s="518"/>
      <c r="M143" s="518"/>
      <c r="N143" s="518"/>
      <c r="O143" s="518"/>
      <c r="P143" s="519"/>
      <c r="Q143" s="519"/>
      <c r="R143" s="519"/>
      <c r="S143" s="519">
        <v>41180</v>
      </c>
      <c r="T143" s="231"/>
      <c r="U143" s="231"/>
      <c r="V143" s="237"/>
      <c r="W143" s="6"/>
    </row>
    <row r="144" spans="1:25" ht="15.6">
      <c r="A144" s="281"/>
      <c r="B144" s="294" t="s">
        <v>60</v>
      </c>
      <c r="C144" s="329"/>
      <c r="D144" s="329"/>
      <c r="E144" s="329"/>
      <c r="F144" s="329"/>
      <c r="G144" s="329"/>
      <c r="H144" s="329"/>
      <c r="I144" s="329"/>
      <c r="J144" s="329"/>
      <c r="K144" s="329"/>
      <c r="L144" s="329"/>
      <c r="M144" s="329"/>
      <c r="N144" s="329"/>
      <c r="O144" s="329"/>
      <c r="P144" s="300"/>
      <c r="Q144" s="300"/>
      <c r="R144" s="300"/>
      <c r="S144" s="299">
        <v>0.10630000000000001</v>
      </c>
      <c r="T144" s="294"/>
      <c r="U144" s="294"/>
      <c r="V144" s="260"/>
      <c r="W144" s="6"/>
    </row>
    <row r="145" spans="1:23" ht="15.6">
      <c r="A145" s="458"/>
      <c r="B145" s="379" t="s">
        <v>61</v>
      </c>
      <c r="C145" s="459"/>
      <c r="D145" s="459"/>
      <c r="E145" s="459"/>
      <c r="F145" s="459"/>
      <c r="G145" s="459"/>
      <c r="H145" s="459"/>
      <c r="I145" s="459"/>
      <c r="J145" s="459"/>
      <c r="K145" s="459"/>
      <c r="L145" s="459"/>
      <c r="M145" s="459"/>
      <c r="N145" s="459"/>
      <c r="O145" s="459"/>
      <c r="P145" s="433"/>
      <c r="Q145" s="433"/>
      <c r="R145" s="433"/>
      <c r="S145" s="427">
        <v>5.2200000000000003E-2</v>
      </c>
      <c r="T145" s="427"/>
      <c r="U145" s="379"/>
      <c r="V145" s="385"/>
      <c r="W145" s="6"/>
    </row>
    <row r="146" spans="1:23" ht="15.6">
      <c r="A146" s="458"/>
      <c r="B146" s="379" t="s">
        <v>62</v>
      </c>
      <c r="C146" s="459"/>
      <c r="D146" s="459"/>
      <c r="E146" s="459"/>
      <c r="F146" s="459"/>
      <c r="G146" s="459"/>
      <c r="H146" s="459"/>
      <c r="I146" s="459"/>
      <c r="J146" s="459"/>
      <c r="K146" s="459"/>
      <c r="L146" s="459"/>
      <c r="M146" s="459"/>
      <c r="N146" s="459"/>
      <c r="O146" s="459"/>
      <c r="P146" s="433"/>
      <c r="Q146" s="433"/>
      <c r="R146" s="433"/>
      <c r="S146" s="427">
        <f>S144-S145</f>
        <v>5.4100000000000002E-2</v>
      </c>
      <c r="T146" s="379"/>
      <c r="U146" s="379"/>
      <c r="V146" s="385"/>
      <c r="W146" s="6"/>
    </row>
    <row r="147" spans="1:23" ht="15.6">
      <c r="A147" s="458"/>
      <c r="B147" s="379" t="s">
        <v>63</v>
      </c>
      <c r="C147" s="459"/>
      <c r="D147" s="459"/>
      <c r="E147" s="459"/>
      <c r="F147" s="459"/>
      <c r="G147" s="459"/>
      <c r="H147" s="459"/>
      <c r="I147" s="459"/>
      <c r="J147" s="459"/>
      <c r="K147" s="459"/>
      <c r="L147" s="459"/>
      <c r="M147" s="459"/>
      <c r="N147" s="459"/>
      <c r="O147" s="459"/>
      <c r="P147" s="433"/>
      <c r="Q147" s="433"/>
      <c r="R147" s="433"/>
      <c r="S147" s="427">
        <v>9.1630000000000003E-2</v>
      </c>
      <c r="T147" s="379"/>
      <c r="U147" s="379"/>
      <c r="V147" s="385"/>
      <c r="W147" s="6"/>
    </row>
    <row r="148" spans="1:23" ht="15.6">
      <c r="A148" s="458"/>
      <c r="B148" s="379" t="s">
        <v>64</v>
      </c>
      <c r="C148" s="459"/>
      <c r="D148" s="459"/>
      <c r="E148" s="459"/>
      <c r="F148" s="459"/>
      <c r="G148" s="459"/>
      <c r="H148" s="459"/>
      <c r="I148" s="459"/>
      <c r="J148" s="459"/>
      <c r="K148" s="459"/>
      <c r="L148" s="459"/>
      <c r="M148" s="459"/>
      <c r="N148" s="459"/>
      <c r="O148" s="459"/>
      <c r="P148" s="433"/>
      <c r="Q148" s="433"/>
      <c r="R148" s="433"/>
      <c r="S148" s="427">
        <f>+U40</f>
        <v>1.7720145033712671E-2</v>
      </c>
      <c r="T148" s="379"/>
      <c r="U148" s="379"/>
      <c r="V148" s="385"/>
      <c r="W148" s="6"/>
    </row>
    <row r="149" spans="1:23" ht="15.6">
      <c r="A149" s="458"/>
      <c r="B149" s="379" t="s">
        <v>65</v>
      </c>
      <c r="C149" s="459"/>
      <c r="D149" s="459"/>
      <c r="E149" s="459"/>
      <c r="F149" s="459"/>
      <c r="G149" s="459"/>
      <c r="H149" s="459"/>
      <c r="I149" s="459"/>
      <c r="J149" s="459"/>
      <c r="K149" s="459"/>
      <c r="L149" s="459"/>
      <c r="M149" s="459"/>
      <c r="N149" s="459"/>
      <c r="O149" s="459"/>
      <c r="P149" s="433"/>
      <c r="Q149" s="433"/>
      <c r="R149" s="433"/>
      <c r="S149" s="427">
        <f>S147-S148</f>
        <v>7.3909854966287325E-2</v>
      </c>
      <c r="T149" s="379"/>
      <c r="U149" s="379"/>
      <c r="V149" s="385"/>
      <c r="W149" s="6"/>
    </row>
    <row r="150" spans="1:23" ht="15.6">
      <c r="A150" s="458"/>
      <c r="B150" s="379" t="s">
        <v>204</v>
      </c>
      <c r="C150" s="459"/>
      <c r="D150" s="459"/>
      <c r="E150" s="459"/>
      <c r="F150" s="459"/>
      <c r="G150" s="459"/>
      <c r="H150" s="459"/>
      <c r="I150" s="459"/>
      <c r="J150" s="459"/>
      <c r="K150" s="459"/>
      <c r="L150" s="459"/>
      <c r="M150" s="459"/>
      <c r="N150" s="459"/>
      <c r="O150" s="459"/>
      <c r="P150" s="433"/>
      <c r="Q150" s="433"/>
      <c r="R150" s="433"/>
      <c r="S150" s="429">
        <v>49780</v>
      </c>
      <c r="T150" s="379"/>
      <c r="U150" s="379"/>
      <c r="V150" s="385"/>
      <c r="W150" s="6"/>
    </row>
    <row r="151" spans="1:23" ht="15.6">
      <c r="A151" s="458"/>
      <c r="B151" s="379" t="s">
        <v>205</v>
      </c>
      <c r="C151" s="459"/>
      <c r="D151" s="459"/>
      <c r="E151" s="459"/>
      <c r="F151" s="459"/>
      <c r="G151" s="459"/>
      <c r="H151" s="459"/>
      <c r="I151" s="459"/>
      <c r="J151" s="459"/>
      <c r="K151" s="459"/>
      <c r="L151" s="459"/>
      <c r="M151" s="459"/>
      <c r="N151" s="459"/>
      <c r="O151" s="459"/>
      <c r="P151" s="433"/>
      <c r="Q151" s="433"/>
      <c r="R151" s="433"/>
      <c r="S151" s="429">
        <v>49780</v>
      </c>
      <c r="T151" s="379"/>
      <c r="U151" s="379"/>
      <c r="V151" s="385"/>
      <c r="W151" s="6"/>
    </row>
    <row r="152" spans="1:23" ht="15.6">
      <c r="A152" s="458"/>
      <c r="B152" s="379" t="s">
        <v>206</v>
      </c>
      <c r="C152" s="459"/>
      <c r="D152" s="459"/>
      <c r="E152" s="459"/>
      <c r="F152" s="459"/>
      <c r="G152" s="459"/>
      <c r="H152" s="459"/>
      <c r="I152" s="459"/>
      <c r="J152" s="459"/>
      <c r="K152" s="459"/>
      <c r="L152" s="459"/>
      <c r="M152" s="459"/>
      <c r="N152" s="459"/>
      <c r="O152" s="459"/>
      <c r="P152" s="433"/>
      <c r="Q152" s="433"/>
      <c r="R152" s="433"/>
      <c r="S152" s="429">
        <v>49780</v>
      </c>
      <c r="T152" s="379"/>
      <c r="U152" s="379"/>
      <c r="V152" s="385"/>
      <c r="W152" s="6"/>
    </row>
    <row r="153" spans="1:23" ht="15.6">
      <c r="A153" s="458"/>
      <c r="B153" s="379" t="s">
        <v>207</v>
      </c>
      <c r="C153" s="459"/>
      <c r="D153" s="459"/>
      <c r="E153" s="459"/>
      <c r="F153" s="459"/>
      <c r="G153" s="459"/>
      <c r="H153" s="459"/>
      <c r="I153" s="459"/>
      <c r="J153" s="459"/>
      <c r="K153" s="459"/>
      <c r="L153" s="459"/>
      <c r="M153" s="459"/>
      <c r="N153" s="459"/>
      <c r="O153" s="459"/>
      <c r="P153" s="433"/>
      <c r="Q153" s="433"/>
      <c r="R153" s="433"/>
      <c r="S153" s="429">
        <v>49780</v>
      </c>
      <c r="T153" s="379"/>
      <c r="U153" s="379"/>
      <c r="V153" s="385"/>
      <c r="W153" s="6"/>
    </row>
    <row r="154" spans="1:23" ht="15.6">
      <c r="A154" s="458"/>
      <c r="B154" s="379" t="s">
        <v>221</v>
      </c>
      <c r="C154" s="459"/>
      <c r="D154" s="459"/>
      <c r="E154" s="459"/>
      <c r="F154" s="459"/>
      <c r="G154" s="459"/>
      <c r="H154" s="459"/>
      <c r="I154" s="459"/>
      <c r="J154" s="459"/>
      <c r="K154" s="459"/>
      <c r="L154" s="459"/>
      <c r="M154" s="459"/>
      <c r="N154" s="459"/>
      <c r="O154" s="459"/>
      <c r="P154" s="433"/>
      <c r="Q154" s="433"/>
      <c r="R154" s="433"/>
      <c r="S154" s="432">
        <v>111.34</v>
      </c>
      <c r="T154" s="379"/>
      <c r="U154" s="379"/>
      <c r="V154" s="385"/>
      <c r="W154" s="6"/>
    </row>
    <row r="155" spans="1:23" ht="15.6">
      <c r="A155" s="458"/>
      <c r="B155" s="379" t="s">
        <v>222</v>
      </c>
      <c r="C155" s="459"/>
      <c r="D155" s="459"/>
      <c r="E155" s="459"/>
      <c r="F155" s="459"/>
      <c r="G155" s="459"/>
      <c r="H155" s="459"/>
      <c r="I155" s="459"/>
      <c r="J155" s="459"/>
      <c r="K155" s="459"/>
      <c r="L155" s="459"/>
      <c r="M155" s="459"/>
      <c r="N155" s="459"/>
      <c r="O155" s="459"/>
      <c r="P155" s="433"/>
      <c r="Q155" s="433"/>
      <c r="R155" s="433"/>
      <c r="S155" s="432">
        <v>153.96</v>
      </c>
      <c r="T155" s="379"/>
      <c r="U155" s="379"/>
      <c r="V155" s="385"/>
      <c r="W155" s="6"/>
    </row>
    <row r="156" spans="1:23" ht="15.6">
      <c r="A156" s="458" t="s">
        <v>223</v>
      </c>
      <c r="B156" s="379" t="s">
        <v>66</v>
      </c>
      <c r="C156" s="459"/>
      <c r="D156" s="459"/>
      <c r="E156" s="459"/>
      <c r="F156" s="459"/>
      <c r="G156" s="459"/>
      <c r="H156" s="459"/>
      <c r="I156" s="459"/>
      <c r="J156" s="459"/>
      <c r="K156" s="459"/>
      <c r="L156" s="459"/>
      <c r="M156" s="459"/>
      <c r="N156" s="459"/>
      <c r="O156" s="459"/>
      <c r="P156" s="433"/>
      <c r="Q156" s="433"/>
      <c r="R156" s="433"/>
      <c r="S156" s="427">
        <v>3.9300000000000002E-2</v>
      </c>
      <c r="T156" s="379"/>
      <c r="U156" s="379"/>
      <c r="V156" s="385"/>
      <c r="W156" s="6"/>
    </row>
    <row r="157" spans="1:23" ht="15.6">
      <c r="A157" s="458"/>
      <c r="B157" s="379" t="s">
        <v>67</v>
      </c>
      <c r="C157" s="459"/>
      <c r="D157" s="459"/>
      <c r="E157" s="459"/>
      <c r="F157" s="459"/>
      <c r="G157" s="459"/>
      <c r="H157" s="459"/>
      <c r="I157" s="459"/>
      <c r="J157" s="459"/>
      <c r="K157" s="459"/>
      <c r="L157" s="459"/>
      <c r="M157" s="459"/>
      <c r="N157" s="459"/>
      <c r="O157" s="459"/>
      <c r="P157" s="433"/>
      <c r="Q157" s="433"/>
      <c r="R157" s="433"/>
      <c r="S157" s="427">
        <v>0.29670000000000002</v>
      </c>
      <c r="T157" s="379"/>
      <c r="U157" s="379"/>
      <c r="V157" s="385"/>
      <c r="W157" s="6"/>
    </row>
    <row r="158" spans="1:23" ht="15.6">
      <c r="A158" s="280"/>
      <c r="B158" s="364"/>
      <c r="C158" s="364"/>
      <c r="D158" s="364"/>
      <c r="E158" s="364"/>
      <c r="F158" s="364"/>
      <c r="G158" s="364"/>
      <c r="H158" s="364"/>
      <c r="I158" s="364"/>
      <c r="J158" s="364"/>
      <c r="K158" s="364"/>
      <c r="L158" s="364"/>
      <c r="M158" s="364"/>
      <c r="N158" s="364"/>
      <c r="O158" s="364"/>
      <c r="P158" s="364"/>
      <c r="Q158" s="364"/>
      <c r="R158" s="455"/>
      <c r="S158" s="456"/>
      <c r="T158" s="364"/>
      <c r="U158" s="457"/>
      <c r="V158" s="245"/>
      <c r="W158" s="6"/>
    </row>
    <row r="159" spans="1:23" ht="15.6">
      <c r="A159" s="280"/>
      <c r="B159" s="288"/>
      <c r="C159" s="288"/>
      <c r="D159" s="288"/>
      <c r="E159" s="288"/>
      <c r="F159" s="288"/>
      <c r="G159" s="288"/>
      <c r="H159" s="288"/>
      <c r="I159" s="288"/>
      <c r="J159" s="288"/>
      <c r="K159" s="288"/>
      <c r="L159" s="288"/>
      <c r="M159" s="288"/>
      <c r="N159" s="288"/>
      <c r="O159" s="288"/>
      <c r="P159" s="288"/>
      <c r="Q159" s="288"/>
      <c r="R159" s="331"/>
      <c r="S159" s="332"/>
      <c r="T159" s="288"/>
      <c r="U159" s="333"/>
      <c r="V159" s="245"/>
      <c r="W159" s="6"/>
    </row>
    <row r="160" spans="1:23" ht="16.2" thickBot="1">
      <c r="A160" s="282"/>
      <c r="B160" s="304" t="str">
        <f>+B109</f>
        <v>PPAF3 INVESTOR REPORT QUARTER ENDING SEPTEMBER 2012</v>
      </c>
      <c r="C160" s="305"/>
      <c r="D160" s="305"/>
      <c r="E160" s="305"/>
      <c r="F160" s="305"/>
      <c r="G160" s="305"/>
      <c r="H160" s="305"/>
      <c r="I160" s="305"/>
      <c r="J160" s="305"/>
      <c r="K160" s="305"/>
      <c r="L160" s="305"/>
      <c r="M160" s="305"/>
      <c r="N160" s="305"/>
      <c r="O160" s="305"/>
      <c r="P160" s="305"/>
      <c r="Q160" s="305"/>
      <c r="R160" s="334"/>
      <c r="S160" s="335"/>
      <c r="T160" s="305"/>
      <c r="U160" s="336"/>
      <c r="V160" s="262"/>
      <c r="W160" s="6"/>
    </row>
    <row r="161" spans="1:23" ht="15.6">
      <c r="A161" s="337"/>
      <c r="B161" s="520" t="s">
        <v>68</v>
      </c>
      <c r="C161" s="521"/>
      <c r="D161" s="521"/>
      <c r="E161" s="521"/>
      <c r="F161" s="521"/>
      <c r="G161" s="521"/>
      <c r="H161" s="521"/>
      <c r="I161" s="521"/>
      <c r="J161" s="521"/>
      <c r="K161" s="521"/>
      <c r="L161" s="521"/>
      <c r="M161" s="522"/>
      <c r="N161" s="521"/>
      <c r="O161" s="522"/>
      <c r="P161" s="521"/>
      <c r="Q161" s="522"/>
      <c r="R161" s="521" t="s">
        <v>94</v>
      </c>
      <c r="S161" s="522" t="s">
        <v>116</v>
      </c>
      <c r="T161" s="340"/>
      <c r="U161" s="340"/>
      <c r="V161" s="341"/>
      <c r="W161" s="6"/>
    </row>
    <row r="162" spans="1:23" ht="15.6">
      <c r="A162" s="283"/>
      <c r="B162" s="294" t="s">
        <v>216</v>
      </c>
      <c r="C162" s="310"/>
      <c r="D162" s="310"/>
      <c r="E162" s="310"/>
      <c r="F162" s="310"/>
      <c r="G162" s="310"/>
      <c r="H162" s="310"/>
      <c r="I162" s="310"/>
      <c r="J162" s="310"/>
      <c r="K162" s="310"/>
      <c r="L162" s="310"/>
      <c r="M162" s="310"/>
      <c r="N162" s="310"/>
      <c r="O162" s="294"/>
      <c r="P162" s="294"/>
      <c r="Q162" s="294"/>
      <c r="R162" s="310">
        <v>792</v>
      </c>
      <c r="S162" s="311">
        <v>20725</v>
      </c>
      <c r="T162" s="311"/>
      <c r="U162" s="330"/>
      <c r="V162" s="342"/>
      <c r="W162" s="6"/>
    </row>
    <row r="163" spans="1:23" ht="15.6">
      <c r="A163" s="465"/>
      <c r="B163" s="379" t="s">
        <v>217</v>
      </c>
      <c r="C163" s="440"/>
      <c r="D163" s="440"/>
      <c r="E163" s="440"/>
      <c r="F163" s="440"/>
      <c r="G163" s="440"/>
      <c r="H163" s="440"/>
      <c r="I163" s="440"/>
      <c r="J163" s="440"/>
      <c r="K163" s="440"/>
      <c r="L163" s="440"/>
      <c r="M163" s="440"/>
      <c r="N163" s="440"/>
      <c r="O163" s="379"/>
      <c r="P163" s="379"/>
      <c r="Q163" s="379"/>
      <c r="R163" s="545">
        <v>10</v>
      </c>
      <c r="S163" s="546">
        <v>120</v>
      </c>
      <c r="T163" s="441"/>
      <c r="U163" s="466"/>
      <c r="V163" s="467"/>
      <c r="W163" s="6"/>
    </row>
    <row r="164" spans="1:23" ht="15.6">
      <c r="A164" s="465"/>
      <c r="B164" s="379" t="s">
        <v>218</v>
      </c>
      <c r="C164" s="440"/>
      <c r="D164" s="440"/>
      <c r="E164" s="440"/>
      <c r="F164" s="440"/>
      <c r="G164" s="440"/>
      <c r="H164" s="440"/>
      <c r="I164" s="440"/>
      <c r="J164" s="440"/>
      <c r="K164" s="440"/>
      <c r="L164" s="440"/>
      <c r="M164" s="440"/>
      <c r="N164" s="440"/>
      <c r="O164" s="379"/>
      <c r="P164" s="379"/>
      <c r="Q164" s="379"/>
      <c r="R164" s="545">
        <v>141</v>
      </c>
      <c r="S164" s="546">
        <v>136</v>
      </c>
      <c r="T164" s="441"/>
      <c r="U164" s="466"/>
      <c r="V164" s="467"/>
      <c r="W164" s="6"/>
    </row>
    <row r="165" spans="1:23" ht="15.6">
      <c r="A165" s="465"/>
      <c r="B165" s="379" t="s">
        <v>219</v>
      </c>
      <c r="C165" s="440"/>
      <c r="D165" s="440"/>
      <c r="E165" s="440"/>
      <c r="F165" s="440"/>
      <c r="G165" s="440"/>
      <c r="H165" s="440"/>
      <c r="I165" s="440"/>
      <c r="J165" s="440"/>
      <c r="K165" s="440"/>
      <c r="L165" s="440"/>
      <c r="M165" s="440"/>
      <c r="N165" s="440"/>
      <c r="O165" s="379"/>
      <c r="P165" s="379"/>
      <c r="Q165" s="379"/>
      <c r="R165" s="545">
        <v>107</v>
      </c>
      <c r="S165" s="546">
        <v>277</v>
      </c>
      <c r="T165" s="441"/>
      <c r="U165" s="466"/>
      <c r="V165" s="467"/>
      <c r="W165" s="6"/>
    </row>
    <row r="166" spans="1:23" ht="15.6">
      <c r="A166" s="465"/>
      <c r="B166" s="379" t="s">
        <v>90</v>
      </c>
      <c r="C166" s="440"/>
      <c r="D166" s="440"/>
      <c r="E166" s="440"/>
      <c r="F166" s="440"/>
      <c r="G166" s="440"/>
      <c r="H166" s="440"/>
      <c r="I166" s="440"/>
      <c r="J166" s="440"/>
      <c r="K166" s="440"/>
      <c r="L166" s="440"/>
      <c r="M166" s="440"/>
      <c r="N166" s="440"/>
      <c r="O166" s="379"/>
      <c r="P166" s="379"/>
      <c r="Q166" s="379"/>
      <c r="R166" s="547">
        <f>SUM(R162:R165)</f>
        <v>1050</v>
      </c>
      <c r="S166" s="546">
        <f>SUM(S162:S165)</f>
        <v>21258</v>
      </c>
      <c r="T166" s="441"/>
      <c r="U166" s="466"/>
      <c r="V166" s="467"/>
      <c r="W166" s="6"/>
    </row>
    <row r="167" spans="1:23" ht="15.6">
      <c r="A167" s="465"/>
      <c r="B167" s="379"/>
      <c r="C167" s="440"/>
      <c r="D167" s="440"/>
      <c r="E167" s="440"/>
      <c r="F167" s="440"/>
      <c r="G167" s="440"/>
      <c r="H167" s="440"/>
      <c r="I167" s="440"/>
      <c r="J167" s="440"/>
      <c r="K167" s="440"/>
      <c r="L167" s="440"/>
      <c r="M167" s="440"/>
      <c r="N167" s="440"/>
      <c r="O167" s="379"/>
      <c r="P167" s="379"/>
      <c r="Q167" s="379"/>
      <c r="R167" s="545"/>
      <c r="S167" s="546"/>
      <c r="T167" s="441"/>
      <c r="U167" s="466"/>
      <c r="V167" s="467"/>
      <c r="W167" s="6"/>
    </row>
    <row r="168" spans="1:23" ht="15.6">
      <c r="A168" s="465"/>
      <c r="B168" s="379" t="s">
        <v>220</v>
      </c>
      <c r="C168" s="440"/>
      <c r="D168" s="440"/>
      <c r="E168" s="440"/>
      <c r="F168" s="440"/>
      <c r="G168" s="440"/>
      <c r="H168" s="440"/>
      <c r="I168" s="440"/>
      <c r="J168" s="440"/>
      <c r="K168" s="440"/>
      <c r="L168" s="440"/>
      <c r="M168" s="440"/>
      <c r="N168" s="440"/>
      <c r="O168" s="379"/>
      <c r="P168" s="379"/>
      <c r="Q168" s="379"/>
      <c r="R168" s="545">
        <v>3</v>
      </c>
      <c r="S168" s="546">
        <v>38</v>
      </c>
      <c r="T168" s="441"/>
      <c r="U168" s="466"/>
      <c r="V168" s="467"/>
      <c r="W168" s="6"/>
    </row>
    <row r="169" spans="1:23" ht="15.6">
      <c r="A169" s="465"/>
      <c r="B169" s="379" t="s">
        <v>224</v>
      </c>
      <c r="C169" s="440"/>
      <c r="D169" s="440"/>
      <c r="E169" s="440"/>
      <c r="F169" s="440"/>
      <c r="G169" s="440"/>
      <c r="H169" s="440"/>
      <c r="I169" s="440"/>
      <c r="J169" s="440"/>
      <c r="K169" s="440"/>
      <c r="L169" s="440"/>
      <c r="M169" s="440"/>
      <c r="N169" s="440"/>
      <c r="O169" s="379"/>
      <c r="P169" s="379"/>
      <c r="Q169" s="379"/>
      <c r="R169" s="545">
        <v>2</v>
      </c>
      <c r="S169" s="546">
        <v>77</v>
      </c>
      <c r="T169" s="441"/>
      <c r="U169" s="466"/>
      <c r="V169" s="467"/>
      <c r="W169" s="6"/>
    </row>
    <row r="170" spans="1:23" ht="15.6">
      <c r="A170" s="465"/>
      <c r="B170" s="468" t="s">
        <v>69</v>
      </c>
      <c r="C170" s="469"/>
      <c r="D170" s="469"/>
      <c r="E170" s="469"/>
      <c r="F170" s="469"/>
      <c r="G170" s="469"/>
      <c r="H170" s="469"/>
      <c r="I170" s="469"/>
      <c r="J170" s="469"/>
      <c r="K170" s="469"/>
      <c r="L170" s="469"/>
      <c r="M170" s="469"/>
      <c r="N170" s="469"/>
      <c r="O170" s="454"/>
      <c r="P170" s="454"/>
      <c r="Q170" s="454"/>
      <c r="R170" s="539"/>
      <c r="S170" s="540">
        <v>0</v>
      </c>
      <c r="T170" s="454"/>
      <c r="U170" s="470"/>
      <c r="V170" s="471"/>
      <c r="W170" s="6"/>
    </row>
    <row r="171" spans="1:23" ht="15.6">
      <c r="A171" s="465"/>
      <c r="B171" s="468" t="s">
        <v>70</v>
      </c>
      <c r="C171" s="469"/>
      <c r="D171" s="469"/>
      <c r="E171" s="469"/>
      <c r="F171" s="469"/>
      <c r="G171" s="469"/>
      <c r="H171" s="469"/>
      <c r="I171" s="469"/>
      <c r="J171" s="469"/>
      <c r="K171" s="469"/>
      <c r="L171" s="469"/>
      <c r="M171" s="469"/>
      <c r="N171" s="469"/>
      <c r="O171" s="454"/>
      <c r="P171" s="454"/>
      <c r="Q171" s="454"/>
      <c r="R171" s="539"/>
      <c r="S171" s="540">
        <f>Q75</f>
        <v>0</v>
      </c>
      <c r="T171" s="454"/>
      <c r="U171" s="470"/>
      <c r="V171" s="471"/>
      <c r="W171" s="6"/>
    </row>
    <row r="172" spans="1:23" ht="15.6">
      <c r="A172" s="472"/>
      <c r="B172" s="468" t="s">
        <v>71</v>
      </c>
      <c r="C172" s="469"/>
      <c r="D172" s="469"/>
      <c r="E172" s="469"/>
      <c r="F172" s="469"/>
      <c r="G172" s="469"/>
      <c r="H172" s="469"/>
      <c r="I172" s="469"/>
      <c r="J172" s="469"/>
      <c r="K172" s="469"/>
      <c r="L172" s="469"/>
      <c r="M172" s="473"/>
      <c r="N172" s="473"/>
      <c r="O172" s="473"/>
      <c r="P172" s="454"/>
      <c r="Q172" s="454"/>
      <c r="R172" s="379"/>
      <c r="S172" s="500"/>
      <c r="T172" s="454"/>
      <c r="U172" s="470"/>
      <c r="V172" s="474"/>
      <c r="W172" s="6"/>
    </row>
    <row r="173" spans="1:23" ht="15.6">
      <c r="A173" s="465"/>
      <c r="B173" s="379" t="s">
        <v>72</v>
      </c>
      <c r="C173" s="469"/>
      <c r="D173" s="469"/>
      <c r="E173" s="469"/>
      <c r="F173" s="469"/>
      <c r="G173" s="469"/>
      <c r="H173" s="469"/>
      <c r="I173" s="469"/>
      <c r="J173" s="469"/>
      <c r="K173" s="469"/>
      <c r="L173" s="469"/>
      <c r="M173" s="469"/>
      <c r="N173" s="469"/>
      <c r="O173" s="469"/>
      <c r="P173" s="454"/>
      <c r="Q173" s="454"/>
      <c r="R173" s="379"/>
      <c r="S173" s="546">
        <f>U128</f>
        <v>1116</v>
      </c>
      <c r="T173" s="454"/>
      <c r="U173" s="470"/>
      <c r="V173" s="474"/>
      <c r="W173" s="6"/>
    </row>
    <row r="174" spans="1:23" ht="15.6">
      <c r="A174" s="465"/>
      <c r="B174" s="379" t="s">
        <v>73</v>
      </c>
      <c r="C174" s="469"/>
      <c r="D174" s="469"/>
      <c r="E174" s="469"/>
      <c r="F174" s="469"/>
      <c r="G174" s="469"/>
      <c r="H174" s="469"/>
      <c r="I174" s="469"/>
      <c r="J174" s="469"/>
      <c r="K174" s="469"/>
      <c r="L174" s="469"/>
      <c r="M174" s="469"/>
      <c r="N174" s="469"/>
      <c r="O174" s="469"/>
      <c r="P174" s="454"/>
      <c r="Q174" s="454"/>
      <c r="R174" s="379"/>
      <c r="S174" s="546">
        <f>'June 12'!S174+S173</f>
        <v>82122</v>
      </c>
      <c r="T174" s="454"/>
      <c r="U174" s="470"/>
      <c r="V174" s="474"/>
      <c r="W174" s="6"/>
    </row>
    <row r="175" spans="1:23" ht="15.6">
      <c r="A175" s="465"/>
      <c r="B175" s="379" t="s">
        <v>74</v>
      </c>
      <c r="C175" s="469"/>
      <c r="D175" s="469"/>
      <c r="E175" s="469"/>
      <c r="F175" s="469"/>
      <c r="G175" s="469"/>
      <c r="H175" s="469"/>
      <c r="I175" s="469"/>
      <c r="J175" s="469"/>
      <c r="K175" s="469"/>
      <c r="L175" s="469"/>
      <c r="M175" s="469"/>
      <c r="N175" s="469"/>
      <c r="O175" s="469"/>
      <c r="P175" s="454"/>
      <c r="Q175" s="454"/>
      <c r="R175" s="379"/>
      <c r="S175" s="546">
        <f>'June 12'!S175+716</f>
        <v>19252</v>
      </c>
      <c r="T175" s="454"/>
      <c r="U175" s="470"/>
      <c r="V175" s="474"/>
      <c r="W175" s="6"/>
    </row>
    <row r="176" spans="1:23" ht="15.6">
      <c r="A176" s="465"/>
      <c r="B176" s="473"/>
      <c r="C176" s="469"/>
      <c r="D176" s="469"/>
      <c r="E176" s="469"/>
      <c r="F176" s="469"/>
      <c r="G176" s="469"/>
      <c r="H176" s="469"/>
      <c r="I176" s="469"/>
      <c r="J176" s="469"/>
      <c r="K176" s="469"/>
      <c r="L176" s="469"/>
      <c r="M176" s="469"/>
      <c r="N176" s="469"/>
      <c r="O176" s="469"/>
      <c r="P176" s="454"/>
      <c r="Q176" s="454"/>
      <c r="R176" s="379"/>
      <c r="S176" s="546"/>
      <c r="T176" s="454"/>
      <c r="U176" s="470"/>
      <c r="V176" s="474"/>
      <c r="W176" s="6"/>
    </row>
    <row r="177" spans="1:23" ht="15.6">
      <c r="A177" s="472"/>
      <c r="B177" s="468" t="s">
        <v>259</v>
      </c>
      <c r="C177" s="469"/>
      <c r="D177" s="469"/>
      <c r="E177" s="469"/>
      <c r="F177" s="469"/>
      <c r="G177" s="469"/>
      <c r="H177" s="469"/>
      <c r="I177" s="469"/>
      <c r="J177" s="469"/>
      <c r="K177" s="469"/>
      <c r="L177" s="469"/>
      <c r="M177" s="473"/>
      <c r="N177" s="473"/>
      <c r="O177" s="473"/>
      <c r="P177" s="454"/>
      <c r="Q177" s="454"/>
      <c r="R177" s="379"/>
      <c r="S177" s="548"/>
      <c r="T177" s="454"/>
      <c r="U177" s="470"/>
      <c r="V177" s="474"/>
      <c r="W177" s="6"/>
    </row>
    <row r="178" spans="1:23" ht="15.6">
      <c r="A178" s="472"/>
      <c r="B178" s="379" t="s">
        <v>254</v>
      </c>
      <c r="C178" s="469"/>
      <c r="D178" s="469"/>
      <c r="E178" s="469"/>
      <c r="F178" s="469"/>
      <c r="G178" s="469"/>
      <c r="H178" s="469"/>
      <c r="I178" s="469"/>
      <c r="J178" s="469"/>
      <c r="K178" s="469"/>
      <c r="L178" s="469"/>
      <c r="M178" s="473"/>
      <c r="N178" s="473"/>
      <c r="O178" s="473"/>
      <c r="P178" s="454"/>
      <c r="Q178" s="454"/>
      <c r="R178" s="379"/>
      <c r="S178" s="548">
        <v>0</v>
      </c>
      <c r="T178" s="454"/>
      <c r="U178" s="470"/>
      <c r="V178" s="474"/>
      <c r="W178" s="6"/>
    </row>
    <row r="179" spans="1:23" ht="15.6">
      <c r="A179" s="465"/>
      <c r="B179" s="379" t="s">
        <v>75</v>
      </c>
      <c r="C179" s="469"/>
      <c r="D179" s="469"/>
      <c r="E179" s="469"/>
      <c r="F179" s="469"/>
      <c r="G179" s="469"/>
      <c r="H179" s="469"/>
      <c r="I179" s="469"/>
      <c r="J179" s="469"/>
      <c r="K179" s="469"/>
      <c r="L179" s="469"/>
      <c r="M179" s="475"/>
      <c r="N179" s="475"/>
      <c r="O179" s="476"/>
      <c r="P179" s="454"/>
      <c r="Q179" s="454"/>
      <c r="R179" s="379"/>
      <c r="S179" s="549">
        <v>0</v>
      </c>
      <c r="T179" s="454"/>
      <c r="U179" s="470"/>
      <c r="V179" s="474"/>
      <c r="W179" s="6"/>
    </row>
    <row r="180" spans="1:23" ht="15.6">
      <c r="A180" s="465"/>
      <c r="B180" s="379" t="s">
        <v>76</v>
      </c>
      <c r="C180" s="469"/>
      <c r="D180" s="469"/>
      <c r="E180" s="469"/>
      <c r="F180" s="469"/>
      <c r="G180" s="469"/>
      <c r="H180" s="469"/>
      <c r="I180" s="469"/>
      <c r="J180" s="469"/>
      <c r="K180" s="469"/>
      <c r="L180" s="469"/>
      <c r="M180" s="475"/>
      <c r="N180" s="475"/>
      <c r="O180" s="476"/>
      <c r="P180" s="454"/>
      <c r="Q180" s="454"/>
      <c r="R180" s="379"/>
      <c r="S180" s="548">
        <v>0</v>
      </c>
      <c r="T180" s="454"/>
      <c r="U180" s="470"/>
      <c r="V180" s="474"/>
      <c r="W180" s="6"/>
    </row>
    <row r="181" spans="1:23" ht="15.6">
      <c r="A181" s="465"/>
      <c r="B181" s="473"/>
      <c r="C181" s="469"/>
      <c r="D181" s="469"/>
      <c r="E181" s="469"/>
      <c r="F181" s="469"/>
      <c r="G181" s="469"/>
      <c r="H181" s="469"/>
      <c r="I181" s="469"/>
      <c r="J181" s="469"/>
      <c r="K181" s="469"/>
      <c r="L181" s="469"/>
      <c r="M181" s="477"/>
      <c r="N181" s="475"/>
      <c r="O181" s="476"/>
      <c r="P181" s="454"/>
      <c r="Q181" s="454"/>
      <c r="R181" s="379"/>
      <c r="S181" s="537"/>
      <c r="T181" s="454"/>
      <c r="U181" s="470"/>
      <c r="V181" s="474"/>
      <c r="W181" s="6"/>
    </row>
    <row r="182" spans="1:23" ht="15.6">
      <c r="A182" s="465"/>
      <c r="B182" s="468" t="s">
        <v>77</v>
      </c>
      <c r="C182" s="469"/>
      <c r="D182" s="469"/>
      <c r="E182" s="469"/>
      <c r="F182" s="469"/>
      <c r="G182" s="469"/>
      <c r="H182" s="469"/>
      <c r="I182" s="469"/>
      <c r="J182" s="469"/>
      <c r="K182" s="469"/>
      <c r="L182" s="469"/>
      <c r="M182" s="469"/>
      <c r="N182" s="477"/>
      <c r="O182" s="475"/>
      <c r="P182" s="476"/>
      <c r="Q182" s="454"/>
      <c r="R182" s="380"/>
      <c r="S182" s="538"/>
      <c r="T182" s="478"/>
      <c r="U182" s="390"/>
      <c r="V182" s="479"/>
      <c r="W182" s="6"/>
    </row>
    <row r="183" spans="1:23" ht="15.6">
      <c r="A183" s="465"/>
      <c r="B183" s="379" t="s">
        <v>78</v>
      </c>
      <c r="C183" s="469"/>
      <c r="D183" s="469"/>
      <c r="E183" s="469"/>
      <c r="F183" s="469"/>
      <c r="G183" s="469"/>
      <c r="H183" s="469"/>
      <c r="I183" s="469"/>
      <c r="J183" s="469"/>
      <c r="K183" s="469"/>
      <c r="L183" s="469"/>
      <c r="M183" s="469"/>
      <c r="N183" s="477"/>
      <c r="O183" s="475"/>
      <c r="P183" s="476"/>
      <c r="Q183" s="454"/>
      <c r="R183" s="380"/>
      <c r="S183" s="550">
        <v>13</v>
      </c>
      <c r="T183" s="480"/>
      <c r="U183" s="390"/>
      <c r="V183" s="479"/>
      <c r="W183" s="6"/>
    </row>
    <row r="184" spans="1:23" ht="15.6">
      <c r="A184" s="465"/>
      <c r="B184" s="379" t="s">
        <v>75</v>
      </c>
      <c r="C184" s="469"/>
      <c r="D184" s="469"/>
      <c r="E184" s="469"/>
      <c r="F184" s="469"/>
      <c r="G184" s="469"/>
      <c r="H184" s="469"/>
      <c r="I184" s="469"/>
      <c r="J184" s="469"/>
      <c r="K184" s="469"/>
      <c r="L184" s="469"/>
      <c r="M184" s="469"/>
      <c r="N184" s="477"/>
      <c r="O184" s="475"/>
      <c r="P184" s="476"/>
      <c r="Q184" s="454"/>
      <c r="R184" s="380"/>
      <c r="S184" s="550">
        <v>4.7300000000000004</v>
      </c>
      <c r="T184" s="480"/>
      <c r="U184" s="390"/>
      <c r="V184" s="479"/>
      <c r="W184" s="6"/>
    </row>
    <row r="185" spans="1:23" ht="15.6">
      <c r="A185" s="465"/>
      <c r="B185" s="379" t="s">
        <v>79</v>
      </c>
      <c r="C185" s="469"/>
      <c r="D185" s="469"/>
      <c r="E185" s="469"/>
      <c r="F185" s="469"/>
      <c r="G185" s="469"/>
      <c r="H185" s="469"/>
      <c r="I185" s="469"/>
      <c r="J185" s="469"/>
      <c r="K185" s="469"/>
      <c r="L185" s="469"/>
      <c r="M185" s="469"/>
      <c r="N185" s="477"/>
      <c r="O185" s="475"/>
      <c r="P185" s="476"/>
      <c r="Q185" s="454"/>
      <c r="R185" s="380"/>
      <c r="S185" s="550">
        <v>94</v>
      </c>
      <c r="T185" s="480"/>
      <c r="U185" s="390"/>
      <c r="V185" s="479"/>
      <c r="W185" s="6"/>
    </row>
    <row r="186" spans="1:23" ht="15.6">
      <c r="A186" s="465"/>
      <c r="B186" s="473"/>
      <c r="C186" s="469"/>
      <c r="D186" s="469"/>
      <c r="E186" s="469"/>
      <c r="F186" s="469"/>
      <c r="G186" s="469"/>
      <c r="H186" s="469"/>
      <c r="I186" s="469"/>
      <c r="J186" s="469"/>
      <c r="K186" s="469"/>
      <c r="L186" s="469"/>
      <c r="M186" s="477"/>
      <c r="N186" s="475"/>
      <c r="O186" s="476"/>
      <c r="P186" s="454"/>
      <c r="Q186" s="454"/>
      <c r="R186" s="454"/>
      <c r="S186" s="537"/>
      <c r="T186" s="454"/>
      <c r="U186" s="470"/>
      <c r="V186" s="474"/>
      <c r="W186" s="6"/>
    </row>
    <row r="187" spans="1:23" ht="17.399999999999999">
      <c r="A187" s="465"/>
      <c r="B187" s="482" t="s">
        <v>196</v>
      </c>
      <c r="C187" s="469"/>
      <c r="D187" s="469"/>
      <c r="E187" s="469"/>
      <c r="F187" s="469"/>
      <c r="G187" s="469"/>
      <c r="H187" s="469"/>
      <c r="I187" s="469"/>
      <c r="J187" s="469"/>
      <c r="K187" s="483" t="s">
        <v>195</v>
      </c>
      <c r="L187" s="469"/>
      <c r="M187" s="477"/>
      <c r="N187" s="475"/>
      <c r="O187" s="476"/>
      <c r="P187" s="454"/>
      <c r="Q187" s="454"/>
      <c r="R187" s="454"/>
      <c r="S187" s="481"/>
      <c r="T187" s="454"/>
      <c r="U187" s="470"/>
      <c r="V187" s="474"/>
      <c r="W187" s="6"/>
    </row>
    <row r="188" spans="1:23" ht="15.6">
      <c r="A188" s="242"/>
      <c r="B188" s="460"/>
      <c r="C188" s="461"/>
      <c r="D188" s="461"/>
      <c r="E188" s="461"/>
      <c r="F188" s="461"/>
      <c r="G188" s="461"/>
      <c r="H188" s="461"/>
      <c r="I188" s="461"/>
      <c r="J188" s="461"/>
      <c r="K188" s="461"/>
      <c r="L188" s="461"/>
      <c r="M188" s="462"/>
      <c r="N188" s="461"/>
      <c r="O188" s="462"/>
      <c r="P188" s="461"/>
      <c r="Q188" s="462"/>
      <c r="R188" s="461"/>
      <c r="S188" s="462"/>
      <c r="T188" s="461"/>
      <c r="U188" s="463"/>
      <c r="V188" s="464"/>
      <c r="W188" s="6"/>
    </row>
    <row r="189" spans="1:23" ht="15.6">
      <c r="A189" s="348"/>
      <c r="B189" s="525" t="s">
        <v>80</v>
      </c>
      <c r="C189" s="343"/>
      <c r="D189" s="343"/>
      <c r="E189" s="343"/>
      <c r="F189" s="343"/>
      <c r="G189" s="343"/>
      <c r="H189" s="343"/>
      <c r="I189" s="343"/>
      <c r="J189" s="343"/>
      <c r="K189" s="343"/>
      <c r="L189" s="343"/>
      <c r="M189" s="525" t="s">
        <v>100</v>
      </c>
      <c r="N189" s="526"/>
      <c r="O189" s="527"/>
      <c r="P189" s="526"/>
      <c r="Q189" s="525" t="s">
        <v>26</v>
      </c>
      <c r="R189" s="526"/>
      <c r="S189" s="527"/>
      <c r="T189" s="526"/>
      <c r="U189" s="346"/>
      <c r="V189" s="528"/>
      <c r="W189" s="6"/>
    </row>
    <row r="190" spans="1:23" ht="15.6">
      <c r="A190" s="365"/>
      <c r="B190" s="366"/>
      <c r="C190" s="529"/>
      <c r="D190" s="529"/>
      <c r="E190" s="529"/>
      <c r="F190" s="529"/>
      <c r="G190" s="529"/>
      <c r="H190" s="529"/>
      <c r="I190" s="529"/>
      <c r="J190" s="529"/>
      <c r="K190" s="529"/>
      <c r="L190" s="529" t="s">
        <v>94</v>
      </c>
      <c r="M190" s="530" t="s">
        <v>101</v>
      </c>
      <c r="N190" s="529" t="s">
        <v>103</v>
      </c>
      <c r="O190" s="530" t="s">
        <v>101</v>
      </c>
      <c r="P190" s="530"/>
      <c r="Q190" s="529" t="s">
        <v>94</v>
      </c>
      <c r="R190" s="530" t="s">
        <v>101</v>
      </c>
      <c r="S190" s="529" t="s">
        <v>103</v>
      </c>
      <c r="T190" s="530" t="s">
        <v>101</v>
      </c>
      <c r="U190" s="369"/>
      <c r="V190" s="531"/>
      <c r="W190" s="6"/>
    </row>
    <row r="191" spans="1:23" ht="15.6">
      <c r="A191" s="316"/>
      <c r="B191" s="360" t="s">
        <v>81</v>
      </c>
      <c r="C191" s="361"/>
      <c r="D191" s="361"/>
      <c r="E191" s="361"/>
      <c r="F191" s="361"/>
      <c r="G191" s="361"/>
      <c r="H191" s="361"/>
      <c r="I191" s="361"/>
      <c r="J191" s="361"/>
      <c r="K191" s="361"/>
      <c r="L191" s="361">
        <v>495</v>
      </c>
      <c r="M191" s="362">
        <f t="shared" ref="M191:M197" si="0">+L191/$L$198</f>
        <v>0.72580645161290325</v>
      </c>
      <c r="N191" s="361">
        <v>1947</v>
      </c>
      <c r="O191" s="362">
        <f t="shared" ref="O191:O197" si="1">N191/$N$198</f>
        <v>0.82048040455120097</v>
      </c>
      <c r="P191" s="363"/>
      <c r="Q191" s="361">
        <v>285</v>
      </c>
      <c r="R191" s="362">
        <f t="shared" ref="R191:R197" si="2">+Q191/$Q$198</f>
        <v>0.56886227544910184</v>
      </c>
      <c r="S191" s="361">
        <v>318</v>
      </c>
      <c r="T191" s="362">
        <f t="shared" ref="T191:T197" si="3">+S191/$S$198</f>
        <v>0.6347305389221557</v>
      </c>
      <c r="U191" s="364"/>
      <c r="V191" s="312"/>
      <c r="W191" s="6"/>
    </row>
    <row r="192" spans="1:23" ht="15.6">
      <c r="A192" s="444"/>
      <c r="B192" s="440" t="s">
        <v>82</v>
      </c>
      <c r="C192" s="489"/>
      <c r="D192" s="489"/>
      <c r="E192" s="489"/>
      <c r="F192" s="489"/>
      <c r="G192" s="489"/>
      <c r="H192" s="489"/>
      <c r="I192" s="489"/>
      <c r="J192" s="489"/>
      <c r="K192" s="489"/>
      <c r="L192" s="489">
        <v>10</v>
      </c>
      <c r="M192" s="427">
        <f t="shared" si="0"/>
        <v>1.466275659824047E-2</v>
      </c>
      <c r="N192" s="489">
        <v>19</v>
      </c>
      <c r="O192" s="427">
        <f t="shared" si="1"/>
        <v>8.0067425200168567E-3</v>
      </c>
      <c r="P192" s="381"/>
      <c r="Q192" s="489">
        <v>13</v>
      </c>
      <c r="R192" s="427">
        <f t="shared" si="2"/>
        <v>2.5948103792415168E-2</v>
      </c>
      <c r="S192" s="489">
        <v>4</v>
      </c>
      <c r="T192" s="427">
        <f t="shared" si="3"/>
        <v>7.9840319361277438E-3</v>
      </c>
      <c r="U192" s="379"/>
      <c r="V192" s="435"/>
      <c r="W192" s="6"/>
    </row>
    <row r="193" spans="1:24" ht="15.6">
      <c r="A193" s="444"/>
      <c r="B193" s="440" t="s">
        <v>83</v>
      </c>
      <c r="C193" s="489"/>
      <c r="D193" s="489"/>
      <c r="E193" s="489"/>
      <c r="F193" s="489"/>
      <c r="G193" s="489"/>
      <c r="H193" s="489"/>
      <c r="I193" s="489"/>
      <c r="J193" s="489"/>
      <c r="K193" s="489"/>
      <c r="L193" s="489">
        <v>17</v>
      </c>
      <c r="M193" s="427">
        <f t="shared" si="0"/>
        <v>2.4926686217008796E-2</v>
      </c>
      <c r="N193" s="489">
        <v>54</v>
      </c>
      <c r="O193" s="427">
        <f t="shared" si="1"/>
        <v>2.2756005056890013E-2</v>
      </c>
      <c r="P193" s="381"/>
      <c r="Q193" s="489">
        <v>11</v>
      </c>
      <c r="R193" s="427">
        <f t="shared" si="2"/>
        <v>2.1956087824351298E-2</v>
      </c>
      <c r="S193" s="489">
        <v>3</v>
      </c>
      <c r="T193" s="427">
        <f t="shared" si="3"/>
        <v>5.9880239520958087E-3</v>
      </c>
      <c r="U193" s="379"/>
      <c r="V193" s="435"/>
      <c r="W193" s="6"/>
    </row>
    <row r="194" spans="1:24" ht="15.6">
      <c r="A194" s="444"/>
      <c r="B194" s="440" t="s">
        <v>186</v>
      </c>
      <c r="C194" s="489"/>
      <c r="D194" s="489"/>
      <c r="E194" s="489"/>
      <c r="F194" s="489"/>
      <c r="G194" s="489"/>
      <c r="H194" s="489"/>
      <c r="I194" s="489"/>
      <c r="J194" s="489"/>
      <c r="K194" s="489"/>
      <c r="L194" s="489">
        <v>17</v>
      </c>
      <c r="M194" s="427">
        <f t="shared" si="0"/>
        <v>2.4926686217008796E-2</v>
      </c>
      <c r="N194" s="489">
        <v>41</v>
      </c>
      <c r="O194" s="427">
        <f t="shared" si="1"/>
        <v>1.7277707543194267E-2</v>
      </c>
      <c r="P194" s="381"/>
      <c r="Q194" s="489">
        <v>19</v>
      </c>
      <c r="R194" s="427">
        <f t="shared" si="2"/>
        <v>3.7924151696606789E-2</v>
      </c>
      <c r="S194" s="489">
        <v>13</v>
      </c>
      <c r="T194" s="427">
        <f t="shared" si="3"/>
        <v>2.5948103792415168E-2</v>
      </c>
      <c r="U194" s="379"/>
      <c r="V194" s="435"/>
      <c r="W194" s="6"/>
    </row>
    <row r="195" spans="1:24" ht="15.6">
      <c r="A195" s="444"/>
      <c r="B195" s="440" t="s">
        <v>187</v>
      </c>
      <c r="C195" s="489"/>
      <c r="D195" s="489"/>
      <c r="E195" s="489"/>
      <c r="F195" s="489"/>
      <c r="G195" s="489"/>
      <c r="H195" s="489"/>
      <c r="I195" s="489"/>
      <c r="J195" s="489"/>
      <c r="K195" s="489"/>
      <c r="L195" s="489">
        <v>16</v>
      </c>
      <c r="M195" s="427">
        <f t="shared" si="0"/>
        <v>2.3460410557184751E-2</v>
      </c>
      <c r="N195" s="489">
        <v>39</v>
      </c>
      <c r="O195" s="427">
        <f t="shared" si="1"/>
        <v>1.643489254108723E-2</v>
      </c>
      <c r="P195" s="381"/>
      <c r="Q195" s="489">
        <v>18</v>
      </c>
      <c r="R195" s="427">
        <f t="shared" si="2"/>
        <v>3.5928143712574849E-2</v>
      </c>
      <c r="S195" s="489">
        <v>14</v>
      </c>
      <c r="T195" s="427">
        <f t="shared" si="3"/>
        <v>2.7944111776447105E-2</v>
      </c>
      <c r="U195" s="379"/>
      <c r="V195" s="435"/>
      <c r="W195" s="6"/>
    </row>
    <row r="196" spans="1:24" ht="15.6">
      <c r="A196" s="444"/>
      <c r="B196" s="440" t="s">
        <v>188</v>
      </c>
      <c r="C196" s="489"/>
      <c r="D196" s="489"/>
      <c r="E196" s="489"/>
      <c r="F196" s="489"/>
      <c r="G196" s="489"/>
      <c r="H196" s="489"/>
      <c r="I196" s="489"/>
      <c r="J196" s="489"/>
      <c r="K196" s="489"/>
      <c r="L196" s="489">
        <v>26</v>
      </c>
      <c r="M196" s="427">
        <f t="shared" si="0"/>
        <v>3.8123167155425221E-2</v>
      </c>
      <c r="N196" s="489">
        <v>25</v>
      </c>
      <c r="O196" s="427">
        <f t="shared" si="1"/>
        <v>1.0535187526337969E-2</v>
      </c>
      <c r="P196" s="381"/>
      <c r="Q196" s="489">
        <v>20</v>
      </c>
      <c r="R196" s="427">
        <f t="shared" si="2"/>
        <v>3.9920159680638723E-2</v>
      </c>
      <c r="S196" s="489">
        <v>16</v>
      </c>
      <c r="T196" s="427">
        <f t="shared" si="3"/>
        <v>3.1936127744510975E-2</v>
      </c>
      <c r="U196" s="379"/>
      <c r="V196" s="435"/>
      <c r="W196" s="6"/>
    </row>
    <row r="197" spans="1:24" ht="15.6">
      <c r="A197" s="444"/>
      <c r="B197" s="440" t="s">
        <v>189</v>
      </c>
      <c r="C197" s="489"/>
      <c r="D197" s="489"/>
      <c r="E197" s="489"/>
      <c r="F197" s="489"/>
      <c r="G197" s="489"/>
      <c r="H197" s="489"/>
      <c r="I197" s="489"/>
      <c r="J197" s="489"/>
      <c r="K197" s="489"/>
      <c r="L197" s="489">
        <v>101</v>
      </c>
      <c r="M197" s="427">
        <f t="shared" si="0"/>
        <v>0.14809384164222875</v>
      </c>
      <c r="N197" s="489">
        <v>248</v>
      </c>
      <c r="O197" s="427">
        <f t="shared" si="1"/>
        <v>0.10450906026127266</v>
      </c>
      <c r="P197" s="381"/>
      <c r="Q197" s="489">
        <v>135</v>
      </c>
      <c r="R197" s="427">
        <f t="shared" si="2"/>
        <v>0.26946107784431139</v>
      </c>
      <c r="S197" s="489">
        <v>133</v>
      </c>
      <c r="T197" s="427">
        <f t="shared" si="3"/>
        <v>0.26546906187624753</v>
      </c>
      <c r="U197" s="379"/>
      <c r="V197" s="435"/>
      <c r="W197" s="6"/>
    </row>
    <row r="198" spans="1:24" ht="15.6">
      <c r="A198" s="444"/>
      <c r="B198" s="440" t="s">
        <v>84</v>
      </c>
      <c r="C198" s="489"/>
      <c r="D198" s="489"/>
      <c r="E198" s="489"/>
      <c r="F198" s="489"/>
      <c r="G198" s="489"/>
      <c r="H198" s="489"/>
      <c r="I198" s="489"/>
      <c r="J198" s="489"/>
      <c r="K198" s="489"/>
      <c r="L198" s="489">
        <f>SUM(L191:L197)</f>
        <v>682</v>
      </c>
      <c r="M198" s="427">
        <f>SUM(M191:M197)</f>
        <v>0.99999999999999989</v>
      </c>
      <c r="N198" s="489">
        <f>SUM(N191:N197)</f>
        <v>2373</v>
      </c>
      <c r="O198" s="427">
        <f>SUM(O191:O197)</f>
        <v>1</v>
      </c>
      <c r="P198" s="381"/>
      <c r="Q198" s="489">
        <f>SUM(Q191:Q197)</f>
        <v>501</v>
      </c>
      <c r="R198" s="427">
        <f>SUM(R191:R197)</f>
        <v>1</v>
      </c>
      <c r="S198" s="489">
        <f>SUM(S191:S197)</f>
        <v>501</v>
      </c>
      <c r="T198" s="427">
        <f>SUM(T191:T197)</f>
        <v>1</v>
      </c>
      <c r="U198" s="379"/>
      <c r="V198" s="435"/>
      <c r="W198" s="6"/>
      <c r="X198" s="64"/>
    </row>
    <row r="199" spans="1:24" ht="15.6">
      <c r="A199" s="444"/>
      <c r="B199" s="440" t="s">
        <v>85</v>
      </c>
      <c r="C199" s="489"/>
      <c r="D199" s="489"/>
      <c r="E199" s="489"/>
      <c r="F199" s="489"/>
      <c r="G199" s="489"/>
      <c r="H199" s="489"/>
      <c r="I199" s="489"/>
      <c r="J199" s="489"/>
      <c r="K199" s="489"/>
      <c r="L199" s="489">
        <v>900</v>
      </c>
      <c r="M199" s="380"/>
      <c r="N199" s="489">
        <v>5429</v>
      </c>
      <c r="O199" s="380"/>
      <c r="P199" s="381"/>
      <c r="Q199" s="489">
        <v>579</v>
      </c>
      <c r="R199" s="380"/>
      <c r="S199" s="489">
        <v>1289</v>
      </c>
      <c r="T199" s="380"/>
      <c r="U199" s="379"/>
      <c r="V199" s="435"/>
      <c r="W199" s="6"/>
      <c r="X199" s="64"/>
    </row>
    <row r="200" spans="1:24" ht="15.6">
      <c r="A200" s="444"/>
      <c r="B200" s="440" t="s">
        <v>86</v>
      </c>
      <c r="C200" s="489"/>
      <c r="D200" s="489"/>
      <c r="E200" s="489"/>
      <c r="F200" s="489"/>
      <c r="G200" s="489"/>
      <c r="H200" s="489"/>
      <c r="I200" s="489"/>
      <c r="J200" s="489"/>
      <c r="K200" s="489"/>
      <c r="L200" s="489">
        <f>SUM(L198:L199)</f>
        <v>1582</v>
      </c>
      <c r="M200" s="450"/>
      <c r="N200" s="489">
        <f>SUM(N198:N199)</f>
        <v>7802</v>
      </c>
      <c r="O200" s="490"/>
      <c r="P200" s="450"/>
      <c r="Q200" s="489">
        <f>SUM(Q198:Q199)</f>
        <v>1080</v>
      </c>
      <c r="R200" s="450"/>
      <c r="S200" s="489">
        <f>SUM(S198:S199)</f>
        <v>1790</v>
      </c>
      <c r="T200" s="450"/>
      <c r="U200" s="450"/>
      <c r="V200" s="435"/>
      <c r="W200" s="6"/>
      <c r="X200" s="64"/>
    </row>
    <row r="201" spans="1:24" ht="15.6">
      <c r="A201" s="242"/>
      <c r="B201" s="484"/>
      <c r="C201" s="485"/>
      <c r="D201" s="485"/>
      <c r="E201" s="485"/>
      <c r="F201" s="485"/>
      <c r="G201" s="485"/>
      <c r="H201" s="485"/>
      <c r="I201" s="485"/>
      <c r="J201" s="485"/>
      <c r="K201" s="485"/>
      <c r="L201" s="532"/>
      <c r="M201" s="533"/>
      <c r="N201" s="532"/>
      <c r="O201" s="533"/>
      <c r="P201" s="488"/>
      <c r="Q201" s="532"/>
      <c r="R201" s="533"/>
      <c r="S201" s="532"/>
      <c r="T201" s="533"/>
      <c r="U201" s="463"/>
      <c r="V201" s="464"/>
      <c r="W201" s="6"/>
    </row>
    <row r="202" spans="1:24" ht="15.6">
      <c r="A202" s="349"/>
      <c r="B202" s="525" t="s">
        <v>80</v>
      </c>
      <c r="C202" s="526"/>
      <c r="D202" s="526"/>
      <c r="E202" s="526"/>
      <c r="F202" s="526"/>
      <c r="G202" s="526"/>
      <c r="H202" s="526"/>
      <c r="I202" s="526"/>
      <c r="J202" s="526"/>
      <c r="K202" s="526"/>
      <c r="L202" s="526"/>
      <c r="M202" s="525" t="s">
        <v>27</v>
      </c>
      <c r="N202" s="526"/>
      <c r="O202" s="527"/>
      <c r="P202" s="526"/>
      <c r="Q202" s="525" t="s">
        <v>28</v>
      </c>
      <c r="R202" s="526"/>
      <c r="S202" s="527"/>
      <c r="T202" s="526"/>
      <c r="U202" s="346"/>
      <c r="V202" s="528"/>
      <c r="W202" s="6"/>
    </row>
    <row r="203" spans="1:24" ht="15.6">
      <c r="A203" s="371"/>
      <c r="B203" s="372"/>
      <c r="C203" s="534"/>
      <c r="D203" s="534"/>
      <c r="E203" s="534"/>
      <c r="F203" s="534"/>
      <c r="G203" s="534"/>
      <c r="H203" s="534"/>
      <c r="I203" s="534"/>
      <c r="J203" s="534"/>
      <c r="K203" s="534"/>
      <c r="L203" s="534" t="s">
        <v>94</v>
      </c>
      <c r="M203" s="535" t="s">
        <v>101</v>
      </c>
      <c r="N203" s="534" t="s">
        <v>103</v>
      </c>
      <c r="O203" s="535" t="s">
        <v>101</v>
      </c>
      <c r="P203" s="535"/>
      <c r="Q203" s="534" t="s">
        <v>94</v>
      </c>
      <c r="R203" s="535" t="s">
        <v>101</v>
      </c>
      <c r="S203" s="534" t="s">
        <v>103</v>
      </c>
      <c r="T203" s="535" t="s">
        <v>101</v>
      </c>
      <c r="U203" s="375"/>
      <c r="V203" s="536"/>
      <c r="W203" s="6"/>
    </row>
    <row r="204" spans="1:24" ht="15.6">
      <c r="A204" s="315"/>
      <c r="B204" s="310" t="s">
        <v>81</v>
      </c>
      <c r="C204" s="351"/>
      <c r="D204" s="351"/>
      <c r="E204" s="351"/>
      <c r="F204" s="351"/>
      <c r="G204" s="351"/>
      <c r="H204" s="351"/>
      <c r="I204" s="351"/>
      <c r="J204" s="351"/>
      <c r="K204" s="351"/>
      <c r="L204" s="351">
        <v>5722</v>
      </c>
      <c r="M204" s="299">
        <f t="shared" ref="M204:M210" si="4">+L204/$L$211</f>
        <v>0.87841571998771872</v>
      </c>
      <c r="N204" s="351">
        <v>130607</v>
      </c>
      <c r="O204" s="299">
        <f t="shared" ref="O204:O210" si="5">+N204/$N$211</f>
        <v>0.86304945418021306</v>
      </c>
      <c r="P204" s="296"/>
      <c r="Q204" s="351">
        <v>168</v>
      </c>
      <c r="R204" s="299">
        <f t="shared" ref="R204:R210" si="6">Q204/$Q$211</f>
        <v>0.84</v>
      </c>
      <c r="S204" s="351">
        <v>1640</v>
      </c>
      <c r="T204" s="299">
        <f t="shared" ref="T204:T210" si="7">+S204/$S$211</f>
        <v>0.85550339071465831</v>
      </c>
      <c r="U204" s="294"/>
      <c r="V204" s="301"/>
      <c r="W204" s="6"/>
    </row>
    <row r="205" spans="1:24" ht="15.6">
      <c r="A205" s="444"/>
      <c r="B205" s="440" t="s">
        <v>82</v>
      </c>
      <c r="C205" s="489"/>
      <c r="D205" s="489"/>
      <c r="E205" s="489"/>
      <c r="F205" s="489"/>
      <c r="G205" s="489"/>
      <c r="H205" s="489"/>
      <c r="I205" s="489"/>
      <c r="J205" s="489"/>
      <c r="K205" s="489"/>
      <c r="L205" s="489">
        <v>207</v>
      </c>
      <c r="M205" s="427">
        <f t="shared" si="4"/>
        <v>3.1777709548664414E-2</v>
      </c>
      <c r="N205" s="489">
        <v>5290</v>
      </c>
      <c r="O205" s="427">
        <f t="shared" si="5"/>
        <v>3.4956255121190494E-2</v>
      </c>
      <c r="P205" s="381"/>
      <c r="Q205" s="489">
        <v>16</v>
      </c>
      <c r="R205" s="427">
        <f t="shared" si="6"/>
        <v>0.08</v>
      </c>
      <c r="S205" s="489">
        <v>145</v>
      </c>
      <c r="T205" s="427">
        <f t="shared" si="7"/>
        <v>7.5639019300991137E-2</v>
      </c>
      <c r="U205" s="379"/>
      <c r="V205" s="435"/>
      <c r="W205" s="6"/>
    </row>
    <row r="206" spans="1:24" ht="15.6">
      <c r="A206" s="444"/>
      <c r="B206" s="440" t="s">
        <v>83</v>
      </c>
      <c r="C206" s="489"/>
      <c r="D206" s="489"/>
      <c r="E206" s="489"/>
      <c r="F206" s="489"/>
      <c r="G206" s="489"/>
      <c r="H206" s="489"/>
      <c r="I206" s="489"/>
      <c r="J206" s="489"/>
      <c r="K206" s="489"/>
      <c r="L206" s="489">
        <v>117</v>
      </c>
      <c r="M206" s="427">
        <f t="shared" si="4"/>
        <v>1.7961314092723366E-2</v>
      </c>
      <c r="N206" s="489">
        <v>3228</v>
      </c>
      <c r="O206" s="427">
        <f t="shared" si="5"/>
        <v>2.1330584410435335E-2</v>
      </c>
      <c r="P206" s="381"/>
      <c r="Q206" s="489">
        <v>2</v>
      </c>
      <c r="R206" s="427">
        <f t="shared" si="6"/>
        <v>0.01</v>
      </c>
      <c r="S206" s="489">
        <v>22</v>
      </c>
      <c r="T206" s="427">
        <f t="shared" si="7"/>
        <v>1.1476264997391758E-2</v>
      </c>
      <c r="U206" s="379"/>
      <c r="V206" s="435"/>
      <c r="W206" s="6"/>
      <c r="X206" s="182"/>
    </row>
    <row r="207" spans="1:24" ht="15.6">
      <c r="A207" s="444"/>
      <c r="B207" s="440" t="s">
        <v>186</v>
      </c>
      <c r="C207" s="489"/>
      <c r="D207" s="489"/>
      <c r="E207" s="489"/>
      <c r="F207" s="489"/>
      <c r="G207" s="489"/>
      <c r="H207" s="489"/>
      <c r="I207" s="489"/>
      <c r="J207" s="489"/>
      <c r="K207" s="489"/>
      <c r="L207" s="489">
        <v>89</v>
      </c>
      <c r="M207" s="427">
        <f t="shared" si="4"/>
        <v>1.3662879950875038E-2</v>
      </c>
      <c r="N207" s="489">
        <v>2314</v>
      </c>
      <c r="O207" s="427">
        <f t="shared" si="5"/>
        <v>1.529088362012E-2</v>
      </c>
      <c r="P207" s="381"/>
      <c r="Q207" s="489">
        <v>3</v>
      </c>
      <c r="R207" s="427">
        <f t="shared" si="6"/>
        <v>1.4999999999999999E-2</v>
      </c>
      <c r="S207" s="489">
        <v>13</v>
      </c>
      <c r="T207" s="427">
        <f t="shared" si="7"/>
        <v>6.7814293166405838E-3</v>
      </c>
      <c r="U207" s="379"/>
      <c r="V207" s="435"/>
      <c r="W207" s="6"/>
    </row>
    <row r="208" spans="1:24" ht="15.6">
      <c r="A208" s="444"/>
      <c r="B208" s="440" t="s">
        <v>187</v>
      </c>
      <c r="C208" s="489"/>
      <c r="D208" s="489"/>
      <c r="E208" s="489"/>
      <c r="F208" s="489"/>
      <c r="G208" s="489"/>
      <c r="H208" s="489"/>
      <c r="I208" s="489"/>
      <c r="J208" s="489"/>
      <c r="K208" s="489"/>
      <c r="L208" s="489">
        <v>69</v>
      </c>
      <c r="M208" s="427">
        <f t="shared" si="4"/>
        <v>1.0592569849554805E-2</v>
      </c>
      <c r="N208" s="489">
        <v>1654</v>
      </c>
      <c r="O208" s="427">
        <f t="shared" si="5"/>
        <v>1.0929611714640658E-2</v>
      </c>
      <c r="P208" s="381"/>
      <c r="Q208" s="489">
        <v>2</v>
      </c>
      <c r="R208" s="427">
        <f t="shared" si="6"/>
        <v>0.01</v>
      </c>
      <c r="S208" s="489">
        <v>11</v>
      </c>
      <c r="T208" s="427">
        <f t="shared" si="7"/>
        <v>5.7381324986958788E-3</v>
      </c>
      <c r="U208" s="379"/>
      <c r="V208" s="435"/>
      <c r="W208" s="6"/>
    </row>
    <row r="209" spans="1:24" ht="15.6">
      <c r="A209" s="444"/>
      <c r="B209" s="440" t="s">
        <v>188</v>
      </c>
      <c r="C209" s="489"/>
      <c r="D209" s="489"/>
      <c r="E209" s="489"/>
      <c r="F209" s="489"/>
      <c r="G209" s="489"/>
      <c r="H209" s="489"/>
      <c r="I209" s="489"/>
      <c r="J209" s="489"/>
      <c r="K209" s="489"/>
      <c r="L209" s="489">
        <v>84</v>
      </c>
      <c r="M209" s="427">
        <f t="shared" si="4"/>
        <v>1.289530242554498E-2</v>
      </c>
      <c r="N209" s="489">
        <v>2274</v>
      </c>
      <c r="O209" s="427">
        <f t="shared" si="5"/>
        <v>1.502656411069701E-2</v>
      </c>
      <c r="P209" s="381"/>
      <c r="Q209" s="489">
        <v>2</v>
      </c>
      <c r="R209" s="427">
        <f t="shared" si="6"/>
        <v>0.01</v>
      </c>
      <c r="S209" s="489">
        <v>8</v>
      </c>
      <c r="T209" s="427">
        <f t="shared" si="7"/>
        <v>4.1731872717788209E-3</v>
      </c>
      <c r="U209" s="379"/>
      <c r="V209" s="435"/>
      <c r="W209" s="6"/>
    </row>
    <row r="210" spans="1:24" ht="15.6">
      <c r="A210" s="444"/>
      <c r="B210" s="440" t="s">
        <v>189</v>
      </c>
      <c r="C210" s="489"/>
      <c r="D210" s="489"/>
      <c r="E210" s="489"/>
      <c r="F210" s="489"/>
      <c r="G210" s="489"/>
      <c r="H210" s="489"/>
      <c r="I210" s="489"/>
      <c r="J210" s="489"/>
      <c r="K210" s="489"/>
      <c r="L210" s="489">
        <v>226</v>
      </c>
      <c r="M210" s="427">
        <f t="shared" si="4"/>
        <v>3.4694504144918634E-2</v>
      </c>
      <c r="N210" s="489">
        <v>5965</v>
      </c>
      <c r="O210" s="427">
        <f t="shared" si="5"/>
        <v>3.9416646842703462E-2</v>
      </c>
      <c r="P210" s="381"/>
      <c r="Q210" s="489">
        <v>7</v>
      </c>
      <c r="R210" s="427">
        <f t="shared" si="6"/>
        <v>3.5000000000000003E-2</v>
      </c>
      <c r="S210" s="489">
        <v>78</v>
      </c>
      <c r="T210" s="427">
        <f t="shared" si="7"/>
        <v>4.0688575899843503E-2</v>
      </c>
      <c r="U210" s="379"/>
      <c r="V210" s="435"/>
      <c r="W210" s="6"/>
    </row>
    <row r="211" spans="1:24" ht="15.6">
      <c r="A211" s="444"/>
      <c r="B211" s="440" t="str">
        <f>B198</f>
        <v>Total Performing  Assets</v>
      </c>
      <c r="C211" s="489"/>
      <c r="D211" s="489"/>
      <c r="E211" s="489"/>
      <c r="F211" s="489"/>
      <c r="G211" s="489"/>
      <c r="H211" s="489"/>
      <c r="I211" s="489"/>
      <c r="J211" s="489"/>
      <c r="K211" s="489"/>
      <c r="L211" s="489">
        <f>SUM(L204:L210)</f>
        <v>6514</v>
      </c>
      <c r="M211" s="427">
        <f>SUM(M204:M210)</f>
        <v>0.99999999999999989</v>
      </c>
      <c r="N211" s="489">
        <f>SUM(N204:N210)</f>
        <v>151332</v>
      </c>
      <c r="O211" s="427">
        <f>SUM(O204:O210)</f>
        <v>1</v>
      </c>
      <c r="P211" s="381"/>
      <c r="Q211" s="489">
        <f>SUM(Q204:Q210)</f>
        <v>200</v>
      </c>
      <c r="R211" s="427">
        <f>SUM(R204:R210)</f>
        <v>1</v>
      </c>
      <c r="S211" s="489">
        <f>SUM(S204:S210)</f>
        <v>1917</v>
      </c>
      <c r="T211" s="427">
        <f>SUM(T204:T210)</f>
        <v>1</v>
      </c>
      <c r="U211" s="379"/>
      <c r="V211" s="435"/>
      <c r="W211" s="6"/>
    </row>
    <row r="212" spans="1:24" ht="15.6">
      <c r="A212" s="444"/>
      <c r="B212" s="440" t="s">
        <v>85</v>
      </c>
      <c r="C212" s="489"/>
      <c r="D212" s="489"/>
      <c r="E212" s="489"/>
      <c r="F212" s="489"/>
      <c r="G212" s="489"/>
      <c r="H212" s="489"/>
      <c r="I212" s="489"/>
      <c r="J212" s="489"/>
      <c r="K212" s="489"/>
      <c r="L212" s="489">
        <v>219</v>
      </c>
      <c r="M212" s="381"/>
      <c r="N212" s="489">
        <v>6132</v>
      </c>
      <c r="O212" s="380"/>
      <c r="P212" s="381"/>
      <c r="Q212" s="489">
        <v>27</v>
      </c>
      <c r="R212" s="381"/>
      <c r="S212" s="489">
        <v>485</v>
      </c>
      <c r="T212" s="381"/>
      <c r="U212" s="379"/>
      <c r="V212" s="435"/>
      <c r="W212" s="6"/>
    </row>
    <row r="213" spans="1:24" ht="15.6">
      <c r="A213" s="444"/>
      <c r="B213" s="440" t="s">
        <v>86</v>
      </c>
      <c r="C213" s="489"/>
      <c r="D213" s="489"/>
      <c r="E213" s="489"/>
      <c r="F213" s="489"/>
      <c r="G213" s="489"/>
      <c r="H213" s="489"/>
      <c r="I213" s="489"/>
      <c r="J213" s="489"/>
      <c r="K213" s="489"/>
      <c r="L213" s="489">
        <f>SUM(L211:L212)</f>
        <v>6733</v>
      </c>
      <c r="M213" s="450"/>
      <c r="N213" s="489">
        <f>SUM(N211:N212)</f>
        <v>157464</v>
      </c>
      <c r="O213" s="427"/>
      <c r="P213" s="450"/>
      <c r="Q213" s="489">
        <f>SUM(Q211:Q212)</f>
        <v>227</v>
      </c>
      <c r="R213" s="450"/>
      <c r="S213" s="489">
        <f>SUM(S211:S212)</f>
        <v>2402</v>
      </c>
      <c r="T213" s="450"/>
      <c r="U213" s="450"/>
      <c r="V213" s="492"/>
    </row>
    <row r="214" spans="1:24" ht="15.6">
      <c r="A214" s="444"/>
      <c r="B214" s="440"/>
      <c r="C214" s="381"/>
      <c r="D214" s="381"/>
      <c r="E214" s="381"/>
      <c r="F214" s="381"/>
      <c r="G214" s="381"/>
      <c r="H214" s="381"/>
      <c r="I214" s="381"/>
      <c r="J214" s="381"/>
      <c r="K214" s="381"/>
      <c r="L214" s="381"/>
      <c r="M214" s="493"/>
      <c r="N214" s="381"/>
      <c r="O214" s="493"/>
      <c r="P214" s="381"/>
      <c r="Q214" s="493"/>
      <c r="R214" s="381"/>
      <c r="S214" s="489"/>
      <c r="T214" s="381"/>
      <c r="U214" s="379"/>
      <c r="V214" s="435"/>
      <c r="W214" s="6"/>
    </row>
    <row r="215" spans="1:24" ht="15.6">
      <c r="A215" s="444"/>
      <c r="B215" s="440" t="s">
        <v>86</v>
      </c>
      <c r="C215" s="381"/>
      <c r="D215" s="381"/>
      <c r="E215" s="381"/>
      <c r="F215" s="381"/>
      <c r="G215" s="381"/>
      <c r="H215" s="381"/>
      <c r="I215" s="381"/>
      <c r="J215" s="381"/>
      <c r="K215" s="381"/>
      <c r="L215" s="493"/>
      <c r="M215" s="493"/>
      <c r="N215" s="493"/>
      <c r="O215" s="493"/>
      <c r="P215" s="381"/>
      <c r="Q215" s="493"/>
      <c r="R215" s="381"/>
      <c r="S215" s="489">
        <f>+N200+S200+N213+S213</f>
        <v>169458</v>
      </c>
      <c r="T215" s="490"/>
      <c r="U215" s="379"/>
      <c r="V215" s="435"/>
      <c r="W215" s="6"/>
      <c r="X215" s="182"/>
    </row>
    <row r="216" spans="1:24" ht="15.6">
      <c r="A216" s="316"/>
      <c r="B216" s="360"/>
      <c r="C216" s="363"/>
      <c r="D216" s="363"/>
      <c r="E216" s="363"/>
      <c r="F216" s="363"/>
      <c r="G216" s="363"/>
      <c r="H216" s="363"/>
      <c r="I216" s="363"/>
      <c r="J216" s="363"/>
      <c r="K216" s="363"/>
      <c r="L216" s="491"/>
      <c r="M216" s="491"/>
      <c r="N216" s="491"/>
      <c r="O216" s="491"/>
      <c r="P216" s="363"/>
      <c r="Q216" s="491"/>
      <c r="R216" s="363"/>
      <c r="S216" s="361"/>
      <c r="T216" s="363"/>
      <c r="U216" s="364"/>
      <c r="V216" s="312"/>
      <c r="W216" s="6"/>
    </row>
    <row r="217" spans="1:24" ht="15.6">
      <c r="A217" s="349"/>
      <c r="B217" s="357" t="s">
        <v>87</v>
      </c>
      <c r="C217" s="526"/>
      <c r="D217" s="526"/>
      <c r="E217" s="526"/>
      <c r="F217" s="526"/>
      <c r="G217" s="526"/>
      <c r="H217" s="526"/>
      <c r="I217" s="526"/>
      <c r="J217" s="526"/>
      <c r="K217" s="526"/>
      <c r="L217" s="526"/>
      <c r="M217" s="527"/>
      <c r="N217" s="526"/>
      <c r="O217" s="527"/>
      <c r="P217" s="526"/>
      <c r="Q217" s="527"/>
      <c r="R217" s="526"/>
      <c r="S217" s="358"/>
      <c r="T217" s="526"/>
      <c r="U217" s="350"/>
      <c r="V217" s="528"/>
      <c r="W217" s="6"/>
    </row>
    <row r="218" spans="1:24" ht="15.6">
      <c r="A218" s="315"/>
      <c r="B218" s="310"/>
      <c r="C218" s="296"/>
      <c r="D218" s="296"/>
      <c r="E218" s="296"/>
      <c r="F218" s="296"/>
      <c r="G218" s="296"/>
      <c r="H218" s="296"/>
      <c r="I218" s="296"/>
      <c r="J218" s="296"/>
      <c r="K218" s="296"/>
      <c r="L218" s="296"/>
      <c r="M218" s="352"/>
      <c r="N218" s="296"/>
      <c r="O218" s="352"/>
      <c r="P218" s="296"/>
      <c r="Q218" s="352"/>
      <c r="R218" s="296"/>
      <c r="S218" s="351"/>
      <c r="T218" s="296"/>
      <c r="U218" s="294"/>
      <c r="V218" s="301"/>
      <c r="W218" s="6"/>
    </row>
    <row r="219" spans="1:24" ht="15.6">
      <c r="A219" s="444"/>
      <c r="B219" s="440" t="s">
        <v>88</v>
      </c>
      <c r="C219" s="381"/>
      <c r="D219" s="381"/>
      <c r="E219" s="381"/>
      <c r="F219" s="381"/>
      <c r="G219" s="381"/>
      <c r="H219" s="381"/>
      <c r="I219" s="381"/>
      <c r="J219" s="381"/>
      <c r="K219" s="381"/>
      <c r="L219" s="381"/>
      <c r="M219" s="493"/>
      <c r="N219" s="381"/>
      <c r="O219" s="493"/>
      <c r="P219" s="381"/>
      <c r="Q219" s="493"/>
      <c r="R219" s="381"/>
      <c r="S219" s="489">
        <f>+N198+S198+N211+S211</f>
        <v>156123</v>
      </c>
      <c r="T219" s="381"/>
      <c r="U219" s="379"/>
      <c r="V219" s="435"/>
      <c r="W219" s="6"/>
      <c r="X219" s="182"/>
    </row>
    <row r="220" spans="1:24" ht="15.6">
      <c r="A220" s="444"/>
      <c r="B220" s="440" t="s">
        <v>89</v>
      </c>
      <c r="C220" s="381"/>
      <c r="D220" s="381"/>
      <c r="E220" s="381"/>
      <c r="F220" s="381"/>
      <c r="G220" s="381"/>
      <c r="H220" s="381"/>
      <c r="I220" s="381"/>
      <c r="J220" s="381"/>
      <c r="K220" s="381"/>
      <c r="L220" s="381"/>
      <c r="M220" s="493"/>
      <c r="N220" s="381"/>
      <c r="O220" s="493"/>
      <c r="P220" s="381"/>
      <c r="Q220" s="493"/>
      <c r="R220" s="381"/>
      <c r="S220" s="489">
        <f>+U78</f>
        <v>0</v>
      </c>
      <c r="T220" s="381"/>
      <c r="U220" s="379"/>
      <c r="V220" s="435"/>
      <c r="W220" s="119"/>
    </row>
    <row r="221" spans="1:24" ht="15.6">
      <c r="A221" s="444"/>
      <c r="B221" s="440" t="s">
        <v>90</v>
      </c>
      <c r="C221" s="381"/>
      <c r="D221" s="381"/>
      <c r="E221" s="381"/>
      <c r="F221" s="381"/>
      <c r="G221" s="381"/>
      <c r="H221" s="381"/>
      <c r="I221" s="381"/>
      <c r="J221" s="381"/>
      <c r="K221" s="381"/>
      <c r="L221" s="381"/>
      <c r="M221" s="493"/>
      <c r="N221" s="381"/>
      <c r="O221" s="493"/>
      <c r="P221" s="381"/>
      <c r="Q221" s="493"/>
      <c r="R221" s="381"/>
      <c r="S221" s="489">
        <f>S219+S220</f>
        <v>156123</v>
      </c>
      <c r="T221" s="381"/>
      <c r="U221" s="379"/>
      <c r="V221" s="435"/>
      <c r="W221" s="6"/>
    </row>
    <row r="222" spans="1:24" ht="15.6">
      <c r="A222" s="444"/>
      <c r="B222" s="440"/>
      <c r="C222" s="381"/>
      <c r="D222" s="381"/>
      <c r="E222" s="381"/>
      <c r="F222" s="381"/>
      <c r="G222" s="381"/>
      <c r="H222" s="381"/>
      <c r="I222" s="381"/>
      <c r="J222" s="381"/>
      <c r="K222" s="381"/>
      <c r="L222" s="381"/>
      <c r="M222" s="493"/>
      <c r="N222" s="381"/>
      <c r="O222" s="493"/>
      <c r="P222" s="381"/>
      <c r="Q222" s="493"/>
      <c r="R222" s="381"/>
      <c r="S222" s="489"/>
      <c r="T222" s="381"/>
      <c r="U222" s="379"/>
      <c r="V222" s="435"/>
      <c r="W222" s="6"/>
    </row>
    <row r="223" spans="1:24" ht="15.6">
      <c r="A223" s="444"/>
      <c r="B223" s="440" t="s">
        <v>91</v>
      </c>
      <c r="C223" s="381"/>
      <c r="D223" s="381"/>
      <c r="E223" s="381"/>
      <c r="F223" s="381"/>
      <c r="G223" s="381"/>
      <c r="H223" s="381"/>
      <c r="I223" s="381"/>
      <c r="J223" s="381"/>
      <c r="K223" s="381"/>
      <c r="L223" s="381"/>
      <c r="M223" s="493"/>
      <c r="N223" s="381"/>
      <c r="O223" s="493"/>
      <c r="P223" s="381"/>
      <c r="Q223" s="493"/>
      <c r="R223" s="381"/>
      <c r="S223" s="489">
        <f>U33</f>
        <v>156123.26999999999</v>
      </c>
      <c r="T223" s="381"/>
      <c r="U223" s="379"/>
      <c r="V223" s="435"/>
      <c r="W223" s="6"/>
    </row>
    <row r="224" spans="1:24" ht="15.6">
      <c r="A224" s="444"/>
      <c r="B224" s="440"/>
      <c r="C224" s="381"/>
      <c r="D224" s="381"/>
      <c r="E224" s="381"/>
      <c r="F224" s="381"/>
      <c r="G224" s="381"/>
      <c r="H224" s="381"/>
      <c r="I224" s="381"/>
      <c r="J224" s="381"/>
      <c r="K224" s="381"/>
      <c r="L224" s="381"/>
      <c r="M224" s="493"/>
      <c r="N224" s="381"/>
      <c r="O224" s="493"/>
      <c r="P224" s="381"/>
      <c r="Q224" s="493"/>
      <c r="R224" s="381"/>
      <c r="S224" s="489"/>
      <c r="T224" s="381"/>
      <c r="U224" s="379"/>
      <c r="V224" s="435"/>
      <c r="W224" s="6"/>
    </row>
    <row r="225" spans="1:23" ht="15.6">
      <c r="A225" s="444"/>
      <c r="B225" s="440" t="s">
        <v>92</v>
      </c>
      <c r="C225" s="381"/>
      <c r="D225" s="381"/>
      <c r="E225" s="381"/>
      <c r="F225" s="381"/>
      <c r="G225" s="381"/>
      <c r="H225" s="381"/>
      <c r="I225" s="381"/>
      <c r="J225" s="381"/>
      <c r="K225" s="381"/>
      <c r="L225" s="381"/>
      <c r="M225" s="493"/>
      <c r="N225" s="381"/>
      <c r="O225" s="493"/>
      <c r="P225" s="381"/>
      <c r="Q225" s="493"/>
      <c r="R225" s="381"/>
      <c r="S225" s="489">
        <f>S221/S223</f>
        <v>0.99999827059732993</v>
      </c>
      <c r="T225" s="381"/>
      <c r="U225" s="379"/>
      <c r="V225" s="435"/>
      <c r="W225" s="6"/>
    </row>
    <row r="226" spans="1:23" ht="15.6">
      <c r="A226" s="444"/>
      <c r="B226" s="379"/>
      <c r="C226" s="379"/>
      <c r="D226" s="379"/>
      <c r="E226" s="379"/>
      <c r="F226" s="379"/>
      <c r="G226" s="379"/>
      <c r="H226" s="379"/>
      <c r="I226" s="379"/>
      <c r="J226" s="379"/>
      <c r="K226" s="379"/>
      <c r="L226" s="379"/>
      <c r="M226" s="380"/>
      <c r="N226" s="379"/>
      <c r="O226" s="379"/>
      <c r="P226" s="379"/>
      <c r="Q226" s="440"/>
      <c r="R226" s="497"/>
      <c r="S226" s="441"/>
      <c r="T226" s="497"/>
      <c r="U226" s="466"/>
      <c r="V226" s="410"/>
      <c r="W226" s="6"/>
    </row>
    <row r="227" spans="1:23" ht="15.6">
      <c r="A227" s="353"/>
      <c r="B227" s="494" t="s">
        <v>127</v>
      </c>
      <c r="C227" s="495"/>
      <c r="D227" s="495"/>
      <c r="E227" s="495"/>
      <c r="F227" s="495"/>
      <c r="G227" s="495"/>
      <c r="H227" s="495"/>
      <c r="I227" s="495"/>
      <c r="J227" s="495"/>
      <c r="K227" s="495"/>
      <c r="L227" s="495"/>
      <c r="M227" s="363"/>
      <c r="N227" s="364"/>
      <c r="O227" s="494"/>
      <c r="P227" s="443"/>
      <c r="Q227" s="443"/>
      <c r="R227" s="443"/>
      <c r="S227" s="496"/>
      <c r="T227" s="443"/>
      <c r="U227" s="443"/>
      <c r="V227" s="355"/>
      <c r="W227" s="6"/>
    </row>
    <row r="228" spans="1:23" ht="15.6">
      <c r="A228" s="353"/>
      <c r="B228" s="287" t="s">
        <v>128</v>
      </c>
      <c r="C228" s="354"/>
      <c r="D228" s="354"/>
      <c r="E228" s="354"/>
      <c r="F228" s="354"/>
      <c r="G228" s="354"/>
      <c r="H228" s="354"/>
      <c r="I228" s="354"/>
      <c r="J228" s="354"/>
      <c r="K228" s="354"/>
      <c r="L228" s="354"/>
      <c r="M228" s="290"/>
      <c r="N228" s="287"/>
      <c r="O228" s="287"/>
      <c r="P228" s="354"/>
      <c r="Q228" s="354"/>
      <c r="R228" s="317"/>
      <c r="S228" s="317"/>
      <c r="T228" s="317"/>
      <c r="U228" s="317"/>
      <c r="V228" s="355"/>
      <c r="W228" s="6"/>
    </row>
    <row r="229" spans="1:23" ht="15.6">
      <c r="A229" s="353"/>
      <c r="B229" s="287" t="s">
        <v>246</v>
      </c>
      <c r="C229" s="287"/>
      <c r="D229" s="287"/>
      <c r="E229" s="287"/>
      <c r="F229" s="287"/>
      <c r="G229" s="287"/>
      <c r="H229" s="287"/>
      <c r="I229" s="287"/>
      <c r="J229" s="287"/>
      <c r="K229" s="287"/>
      <c r="L229" s="287"/>
      <c r="M229" s="287"/>
      <c r="N229" s="287"/>
      <c r="O229" s="287"/>
      <c r="P229" s="287"/>
      <c r="Q229" s="287"/>
      <c r="R229" s="287"/>
      <c r="S229" s="287"/>
      <c r="T229" s="287"/>
      <c r="U229" s="287"/>
      <c r="V229" s="355"/>
      <c r="W229" s="6"/>
    </row>
    <row r="230" spans="1:23" ht="15.6">
      <c r="A230" s="353"/>
      <c r="B230" s="287" t="s">
        <v>129</v>
      </c>
      <c r="C230" s="354"/>
      <c r="D230" s="354"/>
      <c r="E230" s="354"/>
      <c r="F230" s="354"/>
      <c r="G230" s="354"/>
      <c r="H230" s="354"/>
      <c r="I230" s="354"/>
      <c r="J230" s="354"/>
      <c r="K230" s="354"/>
      <c r="L230" s="354"/>
      <c r="M230" s="290"/>
      <c r="N230" s="287"/>
      <c r="O230" s="287"/>
      <c r="P230" s="354"/>
      <c r="Q230" s="354"/>
      <c r="R230" s="317"/>
      <c r="S230" s="317"/>
      <c r="T230" s="317"/>
      <c r="U230" s="317"/>
      <c r="V230" s="355"/>
      <c r="W230" s="6"/>
    </row>
    <row r="231" spans="1:23" ht="15.6">
      <c r="A231" s="353"/>
      <c r="B231" s="287"/>
      <c r="C231" s="354"/>
      <c r="D231" s="354"/>
      <c r="E231" s="354"/>
      <c r="F231" s="354"/>
      <c r="G231" s="354"/>
      <c r="H231" s="354"/>
      <c r="I231" s="354"/>
      <c r="J231" s="354"/>
      <c r="K231" s="354"/>
      <c r="L231" s="354"/>
      <c r="M231" s="290"/>
      <c r="N231" s="287"/>
      <c r="O231" s="287"/>
      <c r="P231" s="354"/>
      <c r="Q231" s="354"/>
      <c r="R231" s="317"/>
      <c r="S231" s="317"/>
      <c r="T231" s="317"/>
      <c r="U231" s="317"/>
      <c r="V231" s="355"/>
      <c r="W231" s="6"/>
    </row>
    <row r="232" spans="1:23" ht="15.6">
      <c r="A232" s="353"/>
      <c r="B232" s="287"/>
      <c r="C232" s="354"/>
      <c r="D232" s="354"/>
      <c r="E232" s="354"/>
      <c r="F232" s="354"/>
      <c r="G232" s="354"/>
      <c r="H232" s="354"/>
      <c r="I232" s="354"/>
      <c r="J232" s="354"/>
      <c r="K232" s="354"/>
      <c r="L232" s="354"/>
      <c r="M232" s="290"/>
      <c r="N232" s="287"/>
      <c r="O232" s="287"/>
      <c r="P232" s="354"/>
      <c r="Q232" s="354"/>
      <c r="R232" s="317"/>
      <c r="S232" s="317"/>
      <c r="T232" s="317"/>
      <c r="U232" s="317"/>
      <c r="V232" s="355"/>
      <c r="W232" s="6"/>
    </row>
    <row r="233" spans="1:23" ht="16.2" thickBot="1">
      <c r="A233" s="353"/>
      <c r="B233" s="287" t="str">
        <f>+B160</f>
        <v>PPAF3 INVESTOR REPORT QUARTER ENDING SEPTEMBER 2012</v>
      </c>
      <c r="C233" s="354"/>
      <c r="D233" s="354"/>
      <c r="E233" s="354"/>
      <c r="F233" s="354"/>
      <c r="G233" s="354"/>
      <c r="H233" s="354"/>
      <c r="I233" s="354"/>
      <c r="J233" s="354"/>
      <c r="K233" s="354"/>
      <c r="L233" s="354"/>
      <c r="M233" s="290"/>
      <c r="N233" s="287"/>
      <c r="O233" s="287"/>
      <c r="P233" s="354"/>
      <c r="Q233" s="354"/>
      <c r="R233" s="317"/>
      <c r="S233" s="317"/>
      <c r="T233" s="317"/>
      <c r="U233" s="317"/>
      <c r="V233" s="356"/>
      <c r="W233" s="6"/>
    </row>
    <row r="234" spans="1:2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row>
  </sheetData>
  <hyperlinks>
    <hyperlink ref="I9" r:id="rId1"/>
    <hyperlink ref="K187"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21" man="1"/>
    <brk id="109" max="16383" man="1"/>
    <brk id="160" max="21" man="1"/>
    <brk id="239" man="1"/>
  </rowBreaks>
  <colBreaks count="1" manualBreakCount="1">
    <brk id="23" max="1048575" man="1"/>
  </col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23"/>
  </sheetPr>
  <dimension ref="A1:Y234"/>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11.81640625" style="1" customWidth="1"/>
    <col min="23" max="16384" width="9.6328125" style="1"/>
  </cols>
  <sheetData>
    <row r="1" spans="1:23" ht="20.399999999999999">
      <c r="A1" s="2" t="s">
        <v>223</v>
      </c>
      <c r="B1" s="3" t="s">
        <v>123</v>
      </c>
      <c r="C1" s="4"/>
      <c r="D1" s="4"/>
      <c r="E1" s="4"/>
      <c r="F1" s="4"/>
      <c r="G1" s="4"/>
      <c r="H1" s="4"/>
      <c r="I1" s="4"/>
      <c r="J1" s="4"/>
      <c r="K1" s="4"/>
      <c r="L1" s="4"/>
      <c r="M1" s="5"/>
      <c r="N1" s="5"/>
      <c r="O1" s="5"/>
      <c r="P1" s="5"/>
      <c r="Q1" s="5"/>
      <c r="R1" s="5"/>
      <c r="S1" s="5"/>
      <c r="T1" s="5"/>
      <c r="U1" s="5"/>
      <c r="V1" s="5"/>
      <c r="W1" s="6"/>
    </row>
    <row r="2" spans="1:23" ht="15.6">
      <c r="A2" s="7"/>
      <c r="B2" s="8"/>
      <c r="C2" s="8"/>
      <c r="D2" s="8"/>
      <c r="E2" s="8"/>
      <c r="F2" s="8"/>
      <c r="G2" s="8"/>
      <c r="H2" s="8"/>
      <c r="I2" s="8"/>
      <c r="J2" s="8"/>
      <c r="K2" s="8"/>
      <c r="L2" s="8"/>
      <c r="M2" s="9"/>
      <c r="N2" s="9"/>
      <c r="O2" s="9"/>
      <c r="P2" s="9"/>
      <c r="Q2" s="9"/>
      <c r="R2" s="9"/>
      <c r="S2" s="9"/>
      <c r="T2" s="9"/>
      <c r="U2" s="9"/>
      <c r="V2" s="9"/>
      <c r="W2" s="6"/>
    </row>
    <row r="3" spans="1:23" ht="15.6">
      <c r="A3" s="10"/>
      <c r="B3" s="141" t="s">
        <v>125</v>
      </c>
      <c r="C3" s="9"/>
      <c r="D3" s="9"/>
      <c r="E3" s="9"/>
      <c r="F3" s="9"/>
      <c r="G3" s="9"/>
      <c r="H3" s="9"/>
      <c r="I3" s="9"/>
      <c r="J3" s="9"/>
      <c r="K3" s="9"/>
      <c r="L3" s="9"/>
      <c r="M3" s="9"/>
      <c r="N3" s="9"/>
      <c r="O3" s="9"/>
      <c r="P3" s="9"/>
      <c r="Q3" s="9"/>
      <c r="R3" s="9"/>
      <c r="S3" s="9"/>
      <c r="T3" s="9"/>
      <c r="U3" s="9"/>
      <c r="V3" s="9"/>
      <c r="W3" s="6"/>
    </row>
    <row r="4" spans="1:23" ht="15.6">
      <c r="A4" s="7"/>
      <c r="B4" s="8"/>
      <c r="C4" s="8"/>
      <c r="D4" s="8"/>
      <c r="E4" s="8"/>
      <c r="F4" s="8"/>
      <c r="G4" s="8"/>
      <c r="H4" s="8"/>
      <c r="I4" s="8"/>
      <c r="J4" s="8"/>
      <c r="K4" s="8"/>
      <c r="L4" s="8"/>
      <c r="M4" s="9"/>
      <c r="N4" s="9"/>
      <c r="O4" s="9"/>
      <c r="P4" s="9"/>
      <c r="Q4" s="9"/>
      <c r="R4" s="9"/>
      <c r="S4" s="9"/>
      <c r="T4" s="9"/>
      <c r="U4" s="9"/>
      <c r="V4" s="9"/>
      <c r="W4" s="6"/>
    </row>
    <row r="5" spans="1:23" ht="16.2">
      <c r="A5" s="7"/>
      <c r="B5" s="192" t="s">
        <v>0</v>
      </c>
      <c r="C5" s="11"/>
      <c r="D5" s="11"/>
      <c r="E5" s="11"/>
      <c r="F5" s="11"/>
      <c r="G5" s="11"/>
      <c r="H5" s="11"/>
      <c r="I5" s="11"/>
      <c r="J5" s="11"/>
      <c r="K5" s="11"/>
      <c r="L5" s="11"/>
      <c r="M5" s="9"/>
      <c r="N5" s="9"/>
      <c r="O5" s="9"/>
      <c r="P5" s="9"/>
      <c r="Q5" s="9"/>
      <c r="R5" s="9"/>
      <c r="S5" s="9"/>
      <c r="T5" s="9"/>
      <c r="U5" s="9"/>
      <c r="V5" s="9"/>
      <c r="W5" s="6"/>
    </row>
    <row r="6" spans="1:23" ht="16.2">
      <c r="A6" s="7"/>
      <c r="B6" s="192" t="s">
        <v>1</v>
      </c>
      <c r="C6" s="11"/>
      <c r="D6" s="11"/>
      <c r="E6" s="11"/>
      <c r="F6" s="11"/>
      <c r="G6" s="11"/>
      <c r="H6" s="11"/>
      <c r="I6" s="11"/>
      <c r="J6" s="11"/>
      <c r="K6" s="11"/>
      <c r="L6" s="11"/>
      <c r="M6" s="9"/>
      <c r="N6" s="9"/>
      <c r="O6" s="9"/>
      <c r="P6" s="9"/>
      <c r="Q6" s="9"/>
      <c r="R6" s="9"/>
      <c r="S6" s="9"/>
      <c r="T6" s="9"/>
      <c r="U6" s="9"/>
      <c r="V6" s="9"/>
      <c r="W6" s="6"/>
    </row>
    <row r="7" spans="1:23" ht="16.2">
      <c r="A7" s="7"/>
      <c r="B7" s="192" t="s">
        <v>2</v>
      </c>
      <c r="C7" s="11"/>
      <c r="D7" s="11"/>
      <c r="E7" s="11"/>
      <c r="F7" s="11"/>
      <c r="G7" s="11"/>
      <c r="H7" s="11"/>
      <c r="I7" s="11"/>
      <c r="J7" s="11"/>
      <c r="K7" s="11"/>
      <c r="L7" s="11"/>
      <c r="M7" s="9"/>
      <c r="N7" s="9"/>
      <c r="O7" s="9"/>
      <c r="P7" s="9"/>
      <c r="Q7" s="9"/>
      <c r="R7" s="9"/>
      <c r="S7" s="9"/>
      <c r="T7" s="9"/>
      <c r="U7" s="9"/>
      <c r="V7" s="9"/>
      <c r="W7" s="6"/>
    </row>
    <row r="8" spans="1:23" ht="16.2">
      <c r="A8" s="7"/>
      <c r="B8" s="12"/>
      <c r="C8" s="11"/>
      <c r="D8" s="11"/>
      <c r="E8" s="11"/>
      <c r="F8" s="11"/>
      <c r="G8" s="11"/>
      <c r="H8" s="11"/>
      <c r="I8" s="11"/>
      <c r="J8" s="11"/>
      <c r="K8" s="11"/>
      <c r="L8" s="11"/>
      <c r="M8" s="9"/>
      <c r="N8" s="9"/>
      <c r="O8" s="9"/>
      <c r="P8" s="9"/>
      <c r="Q8" s="9"/>
      <c r="R8" s="9"/>
      <c r="S8" s="9"/>
      <c r="T8" s="9"/>
      <c r="U8" s="9"/>
      <c r="V8" s="9"/>
      <c r="W8" s="6"/>
    </row>
    <row r="9" spans="1:23" ht="18">
      <c r="A9" s="7"/>
      <c r="B9" s="178" t="s">
        <v>194</v>
      </c>
      <c r="C9" s="11"/>
      <c r="D9" s="11"/>
      <c r="E9" s="11"/>
      <c r="F9" s="11"/>
      <c r="G9" s="11"/>
      <c r="H9" s="11"/>
      <c r="I9" s="179" t="s">
        <v>195</v>
      </c>
      <c r="J9" s="11"/>
      <c r="K9" s="11"/>
      <c r="L9" s="11"/>
      <c r="M9" s="9"/>
      <c r="N9" s="9"/>
      <c r="O9" s="9"/>
      <c r="P9" s="9"/>
      <c r="Q9" s="9"/>
      <c r="R9" s="9"/>
      <c r="S9" s="9"/>
      <c r="T9" s="9"/>
      <c r="U9" s="9"/>
      <c r="V9" s="9"/>
      <c r="W9" s="6"/>
    </row>
    <row r="10" spans="1:23" ht="16.2">
      <c r="A10" s="7"/>
      <c r="B10" s="11"/>
      <c r="C10" s="11"/>
      <c r="D10" s="11"/>
      <c r="E10" s="11"/>
      <c r="F10" s="11"/>
      <c r="G10" s="11"/>
      <c r="H10" s="11"/>
      <c r="I10" s="11"/>
      <c r="J10" s="11"/>
      <c r="K10" s="11"/>
      <c r="L10" s="11"/>
      <c r="M10" s="13"/>
      <c r="N10" s="13"/>
      <c r="O10" s="9"/>
      <c r="P10" s="9"/>
      <c r="Q10" s="9"/>
      <c r="R10" s="9"/>
      <c r="S10" s="9"/>
      <c r="T10" s="9"/>
      <c r="U10" s="9"/>
      <c r="V10" s="9"/>
      <c r="W10" s="6"/>
    </row>
    <row r="11" spans="1:23" ht="15.6">
      <c r="A11" s="7"/>
      <c r="B11" s="13" t="s">
        <v>3</v>
      </c>
      <c r="C11" s="13"/>
      <c r="D11" s="13"/>
      <c r="E11" s="13"/>
      <c r="F11" s="13"/>
      <c r="G11" s="13"/>
      <c r="H11" s="13"/>
      <c r="I11" s="13"/>
      <c r="J11" s="13"/>
      <c r="K11" s="13"/>
      <c r="L11" s="13"/>
      <c r="M11" s="9"/>
      <c r="N11" s="9"/>
      <c r="O11" s="9"/>
      <c r="P11" s="9"/>
      <c r="Q11" s="9"/>
      <c r="R11" s="9"/>
      <c r="S11" s="9"/>
      <c r="T11" s="9"/>
      <c r="U11" s="9"/>
      <c r="V11" s="9"/>
      <c r="W11" s="6"/>
    </row>
    <row r="12" spans="1:23" ht="16.2" thickBot="1">
      <c r="A12" s="7"/>
      <c r="B12" s="13"/>
      <c r="C12" s="13"/>
      <c r="D12" s="13"/>
      <c r="E12" s="13"/>
      <c r="F12" s="13"/>
      <c r="G12" s="13"/>
      <c r="H12" s="13"/>
      <c r="I12" s="13"/>
      <c r="J12" s="13"/>
      <c r="K12" s="13"/>
      <c r="L12" s="13"/>
      <c r="M12" s="9"/>
      <c r="N12" s="9"/>
      <c r="O12" s="9"/>
      <c r="P12" s="9"/>
      <c r="Q12" s="9"/>
      <c r="R12" s="9"/>
      <c r="S12" s="9"/>
      <c r="T12" s="9"/>
      <c r="U12" s="9"/>
      <c r="V12" s="9"/>
      <c r="W12" s="6"/>
    </row>
    <row r="13" spans="1:23" ht="15.6">
      <c r="A13" s="2"/>
      <c r="B13" s="5"/>
      <c r="C13" s="5"/>
      <c r="D13" s="5"/>
      <c r="E13" s="5"/>
      <c r="F13" s="5"/>
      <c r="G13" s="5"/>
      <c r="H13" s="5"/>
      <c r="I13" s="5"/>
      <c r="J13" s="5"/>
      <c r="K13" s="5"/>
      <c r="L13" s="5"/>
      <c r="M13" s="5"/>
      <c r="N13" s="5"/>
      <c r="O13" s="5"/>
      <c r="P13" s="5"/>
      <c r="Q13" s="5"/>
      <c r="R13" s="5"/>
      <c r="S13" s="5"/>
      <c r="T13" s="5"/>
      <c r="U13" s="5"/>
      <c r="V13" s="5"/>
      <c r="W13" s="6"/>
    </row>
    <row r="14" spans="1:23" ht="15.6">
      <c r="A14" s="7"/>
      <c r="B14" s="14" t="s">
        <v>4</v>
      </c>
      <c r="C14" s="14"/>
      <c r="D14" s="14"/>
      <c r="E14" s="14"/>
      <c r="F14" s="14"/>
      <c r="G14" s="14"/>
      <c r="H14" s="14"/>
      <c r="I14" s="14"/>
      <c r="J14" s="14"/>
      <c r="K14" s="14"/>
      <c r="L14" s="14"/>
      <c r="M14" s="15"/>
      <c r="N14" s="15"/>
      <c r="O14" s="15"/>
      <c r="P14" s="15"/>
      <c r="Q14" s="15"/>
      <c r="R14" s="15"/>
      <c r="S14" s="15"/>
      <c r="T14" s="15"/>
      <c r="U14" s="16" t="s">
        <v>126</v>
      </c>
      <c r="V14" s="9"/>
      <c r="W14" s="6"/>
    </row>
    <row r="15" spans="1:23" ht="15.6">
      <c r="A15" s="7"/>
      <c r="B15" s="14" t="s">
        <v>5</v>
      </c>
      <c r="C15" s="14"/>
      <c r="D15" s="14"/>
      <c r="E15" s="14"/>
      <c r="F15" s="14"/>
      <c r="G15" s="14"/>
      <c r="H15" s="14"/>
      <c r="I15" s="14"/>
      <c r="J15" s="14"/>
      <c r="K15" s="14"/>
      <c r="L15" s="14"/>
      <c r="M15" s="17" t="s">
        <v>93</v>
      </c>
      <c r="N15" s="18">
        <v>0.1492</v>
      </c>
      <c r="O15" s="17" t="s">
        <v>99</v>
      </c>
      <c r="P15" s="18">
        <v>5.4399999999999997E-2</v>
      </c>
      <c r="Q15" s="17" t="s">
        <v>102</v>
      </c>
      <c r="R15" s="18">
        <v>0.48899999999999999</v>
      </c>
      <c r="S15" s="17" t="s">
        <v>108</v>
      </c>
      <c r="T15" s="18">
        <v>0.30740000000000001</v>
      </c>
      <c r="U15" s="16"/>
      <c r="V15" s="15"/>
      <c r="W15" s="6"/>
    </row>
    <row r="16" spans="1:23" ht="15.6">
      <c r="A16" s="7"/>
      <c r="B16" s="14" t="s">
        <v>6</v>
      </c>
      <c r="C16" s="14"/>
      <c r="D16" s="14"/>
      <c r="E16" s="14"/>
      <c r="F16" s="14"/>
      <c r="G16" s="14"/>
      <c r="H16" s="14"/>
      <c r="I16" s="14"/>
      <c r="J16" s="14"/>
      <c r="K16" s="14"/>
      <c r="L16" s="14"/>
      <c r="M16" s="17" t="s">
        <v>93</v>
      </c>
      <c r="N16" s="18">
        <f>+N198/S221</f>
        <v>0.10059999999999999</v>
      </c>
      <c r="O16" s="17" t="s">
        <v>99</v>
      </c>
      <c r="P16" s="18">
        <f>+S198/S221</f>
        <v>6.7622222222222222E-2</v>
      </c>
      <c r="Q16" s="17" t="s">
        <v>102</v>
      </c>
      <c r="R16" s="18">
        <f>+N211/S221</f>
        <v>0.44312000000000001</v>
      </c>
      <c r="S16" s="17" t="s">
        <v>108</v>
      </c>
      <c r="T16" s="18">
        <f>+S211/S221</f>
        <v>0.27787555555555554</v>
      </c>
      <c r="U16" s="16"/>
      <c r="V16" s="15"/>
      <c r="W16" s="6"/>
    </row>
    <row r="17" spans="1:23" ht="15.6">
      <c r="A17" s="7"/>
      <c r="B17" s="14" t="s">
        <v>7</v>
      </c>
      <c r="C17" s="14"/>
      <c r="D17" s="14"/>
      <c r="E17" s="14"/>
      <c r="F17" s="14"/>
      <c r="G17" s="14"/>
      <c r="H17" s="14"/>
      <c r="I17" s="14"/>
      <c r="J17" s="14"/>
      <c r="K17" s="14"/>
      <c r="L17" s="14"/>
      <c r="M17" s="15"/>
      <c r="N17" s="15"/>
      <c r="O17" s="15"/>
      <c r="P17" s="15"/>
      <c r="Q17" s="15"/>
      <c r="R17" s="15"/>
      <c r="S17" s="15"/>
      <c r="T17" s="15"/>
      <c r="U17" s="19">
        <v>38491</v>
      </c>
      <c r="V17" s="9"/>
      <c r="W17" s="6"/>
    </row>
    <row r="18" spans="1:23" ht="15.6">
      <c r="A18" s="7"/>
      <c r="B18" s="14" t="s">
        <v>8</v>
      </c>
      <c r="C18" s="14"/>
      <c r="D18" s="14"/>
      <c r="E18" s="14"/>
      <c r="F18" s="14"/>
      <c r="G18" s="14"/>
      <c r="H18" s="14"/>
      <c r="I18" s="14"/>
      <c r="J18" s="14"/>
      <c r="K18" s="14"/>
      <c r="L18" s="14"/>
      <c r="M18" s="15"/>
      <c r="N18" s="15"/>
      <c r="O18" s="15"/>
      <c r="P18" s="15"/>
      <c r="Q18" s="15"/>
      <c r="R18" s="15"/>
      <c r="S18" s="15"/>
      <c r="T18" s="15"/>
      <c r="U18" s="19">
        <v>38832</v>
      </c>
      <c r="V18" s="9"/>
      <c r="W18" s="6"/>
    </row>
    <row r="19" spans="1:23" ht="15.6">
      <c r="A19" s="7"/>
      <c r="B19" s="9"/>
      <c r="C19" s="9"/>
      <c r="D19" s="9"/>
      <c r="E19" s="9"/>
      <c r="F19" s="9"/>
      <c r="G19" s="9"/>
      <c r="H19" s="9"/>
      <c r="I19" s="9"/>
      <c r="J19" s="9"/>
      <c r="K19" s="9"/>
      <c r="L19" s="9"/>
      <c r="M19" s="9"/>
      <c r="N19" s="9"/>
      <c r="O19" s="9"/>
      <c r="P19" s="9"/>
      <c r="Q19" s="9"/>
      <c r="R19" s="9"/>
      <c r="S19" s="9"/>
      <c r="T19" s="9"/>
      <c r="U19" s="20"/>
      <c r="V19" s="9"/>
      <c r="W19" s="6"/>
    </row>
    <row r="20" spans="1:23" ht="15.6">
      <c r="A20" s="7"/>
      <c r="B20" s="21" t="s">
        <v>9</v>
      </c>
      <c r="C20" s="9"/>
      <c r="D20" s="9"/>
      <c r="E20" s="9"/>
      <c r="F20" s="9"/>
      <c r="G20" s="9"/>
      <c r="H20" s="9"/>
      <c r="I20" s="9"/>
      <c r="J20" s="9"/>
      <c r="K20" s="9"/>
      <c r="L20" s="9"/>
      <c r="M20" s="9"/>
      <c r="N20" s="9"/>
      <c r="O20" s="9"/>
      <c r="P20" s="9"/>
      <c r="Q20" s="9"/>
      <c r="R20" s="9"/>
      <c r="S20" s="20"/>
      <c r="T20" s="9"/>
      <c r="U20" s="12"/>
      <c r="V20" s="9"/>
      <c r="W20" s="6"/>
    </row>
    <row r="21" spans="1:23" ht="15.6">
      <c r="A21" s="7"/>
      <c r="B21" s="9"/>
      <c r="C21" s="9"/>
      <c r="D21" s="9"/>
      <c r="E21" s="9"/>
      <c r="F21" s="9"/>
      <c r="G21" s="9"/>
      <c r="H21" s="9"/>
      <c r="I21" s="9"/>
      <c r="J21" s="9"/>
      <c r="K21" s="9"/>
      <c r="L21" s="9"/>
      <c r="M21" s="9"/>
      <c r="N21" s="9"/>
      <c r="O21" s="9"/>
      <c r="P21" s="9"/>
      <c r="Q21" s="9"/>
      <c r="R21" s="9"/>
      <c r="S21" s="9"/>
      <c r="T21" s="9"/>
      <c r="U21" s="22"/>
      <c r="V21" s="9"/>
      <c r="W21" s="6"/>
    </row>
    <row r="22" spans="1:23" ht="15.6">
      <c r="A22" s="7"/>
      <c r="B22" s="9"/>
      <c r="C22" s="142" t="s">
        <v>130</v>
      </c>
      <c r="D22" s="142"/>
      <c r="E22" s="142" t="s">
        <v>131</v>
      </c>
      <c r="F22" s="142"/>
      <c r="G22" s="142" t="s">
        <v>132</v>
      </c>
      <c r="H22" s="142"/>
      <c r="I22" s="142" t="s">
        <v>133</v>
      </c>
      <c r="J22" s="142"/>
      <c r="K22" s="142" t="s">
        <v>134</v>
      </c>
      <c r="L22" s="142"/>
      <c r="M22" s="144" t="s">
        <v>135</v>
      </c>
      <c r="N22" s="144"/>
      <c r="O22" s="144" t="s">
        <v>136</v>
      </c>
      <c r="P22" s="144"/>
      <c r="Q22" s="144" t="s">
        <v>137</v>
      </c>
      <c r="R22" s="23"/>
      <c r="S22" s="24"/>
      <c r="T22" s="12"/>
      <c r="U22" s="12"/>
      <c r="V22" s="9"/>
      <c r="W22" s="6"/>
    </row>
    <row r="23" spans="1:23" ht="15.6">
      <c r="A23" s="25"/>
      <c r="B23" s="26" t="s">
        <v>10</v>
      </c>
      <c r="C23" s="157" t="s">
        <v>96</v>
      </c>
      <c r="D23" s="157"/>
      <c r="E23" s="157" t="s">
        <v>96</v>
      </c>
      <c r="F23" s="157"/>
      <c r="G23" s="157" t="s">
        <v>138</v>
      </c>
      <c r="H23" s="157"/>
      <c r="I23" s="157" t="s">
        <v>138</v>
      </c>
      <c r="J23" s="157"/>
      <c r="K23" s="157" t="s">
        <v>104</v>
      </c>
      <c r="L23" s="143"/>
      <c r="M23" s="28" t="s">
        <v>104</v>
      </c>
      <c r="N23" s="28"/>
      <c r="O23" s="28" t="s">
        <v>109</v>
      </c>
      <c r="P23" s="28"/>
      <c r="Q23" s="28" t="s">
        <v>109</v>
      </c>
      <c r="R23" s="28"/>
      <c r="S23" s="28"/>
      <c r="T23" s="29"/>
      <c r="U23" s="29"/>
      <c r="V23" s="26"/>
      <c r="W23" s="6"/>
    </row>
    <row r="24" spans="1:23" ht="15.6">
      <c r="A24" s="25"/>
      <c r="B24" s="26" t="s">
        <v>11</v>
      </c>
      <c r="C24" s="157" t="s">
        <v>97</v>
      </c>
      <c r="D24" s="157"/>
      <c r="E24" s="157" t="s">
        <v>97</v>
      </c>
      <c r="F24" s="157"/>
      <c r="G24" s="157" t="s">
        <v>139</v>
      </c>
      <c r="H24" s="157"/>
      <c r="I24" s="157" t="s">
        <v>139</v>
      </c>
      <c r="J24" s="157"/>
      <c r="K24" s="157" t="s">
        <v>105</v>
      </c>
      <c r="L24" s="27"/>
      <c r="M24" s="28" t="s">
        <v>105</v>
      </c>
      <c r="N24" s="28"/>
      <c r="O24" s="28" t="s">
        <v>110</v>
      </c>
      <c r="P24" s="28"/>
      <c r="Q24" s="28" t="s">
        <v>110</v>
      </c>
      <c r="R24" s="28"/>
      <c r="S24" s="28"/>
      <c r="T24" s="29"/>
      <c r="U24" s="29"/>
      <c r="V24" s="26"/>
      <c r="W24" s="6"/>
    </row>
    <row r="25" spans="1:23" ht="15.6">
      <c r="A25" s="25"/>
      <c r="B25" s="30" t="s">
        <v>12</v>
      </c>
      <c r="C25" s="110" t="s">
        <v>96</v>
      </c>
      <c r="D25" s="110"/>
      <c r="E25" s="110" t="s">
        <v>96</v>
      </c>
      <c r="F25" s="110"/>
      <c r="G25" s="110" t="s">
        <v>138</v>
      </c>
      <c r="H25" s="110"/>
      <c r="I25" s="110" t="s">
        <v>138</v>
      </c>
      <c r="J25" s="30"/>
      <c r="K25" s="110" t="s">
        <v>104</v>
      </c>
      <c r="L25" s="30"/>
      <c r="M25" s="31" t="s">
        <v>104</v>
      </c>
      <c r="N25" s="28"/>
      <c r="O25" s="31" t="s">
        <v>109</v>
      </c>
      <c r="P25" s="28"/>
      <c r="Q25" s="31" t="s">
        <v>109</v>
      </c>
      <c r="R25" s="31"/>
      <c r="S25" s="31"/>
      <c r="T25" s="32"/>
      <c r="U25" s="29"/>
      <c r="V25" s="26"/>
      <c r="W25" s="6"/>
    </row>
    <row r="26" spans="1:23" ht="15.6">
      <c r="A26" s="25"/>
      <c r="B26" s="30" t="s">
        <v>13</v>
      </c>
      <c r="C26" s="110" t="s">
        <v>97</v>
      </c>
      <c r="D26" s="110"/>
      <c r="E26" s="110" t="s">
        <v>97</v>
      </c>
      <c r="F26" s="110"/>
      <c r="G26" s="110" t="s">
        <v>139</v>
      </c>
      <c r="H26" s="110"/>
      <c r="I26" s="110" t="s">
        <v>139</v>
      </c>
      <c r="J26" s="30"/>
      <c r="K26" s="110" t="s">
        <v>105</v>
      </c>
      <c r="L26" s="30"/>
      <c r="M26" s="31" t="s">
        <v>105</v>
      </c>
      <c r="N26" s="28"/>
      <c r="O26" s="31" t="s">
        <v>110</v>
      </c>
      <c r="P26" s="28"/>
      <c r="Q26" s="31" t="s">
        <v>110</v>
      </c>
      <c r="R26" s="31"/>
      <c r="S26" s="31"/>
      <c r="T26" s="32"/>
      <c r="U26" s="29"/>
      <c r="V26" s="26"/>
      <c r="W26" s="6"/>
    </row>
    <row r="27" spans="1:23" ht="15.6">
      <c r="A27" s="25"/>
      <c r="B27" s="26" t="s">
        <v>14</v>
      </c>
      <c r="C27" s="33" t="s">
        <v>140</v>
      </c>
      <c r="D27" s="26"/>
      <c r="E27" s="33" t="s">
        <v>141</v>
      </c>
      <c r="F27" s="26"/>
      <c r="G27" s="33" t="s">
        <v>142</v>
      </c>
      <c r="H27" s="26"/>
      <c r="I27" s="33" t="s">
        <v>258</v>
      </c>
      <c r="J27" s="26"/>
      <c r="K27" s="33" t="s">
        <v>143</v>
      </c>
      <c r="L27" s="26"/>
      <c r="M27" s="26" t="s">
        <v>144</v>
      </c>
      <c r="N27" s="28"/>
      <c r="O27" s="26" t="s">
        <v>145</v>
      </c>
      <c r="P27" s="28"/>
      <c r="Q27" s="26" t="s">
        <v>146</v>
      </c>
      <c r="R27" s="28"/>
      <c r="S27" s="33"/>
      <c r="T27" s="29"/>
      <c r="U27" s="29"/>
      <c r="V27" s="26"/>
      <c r="W27" s="6"/>
    </row>
    <row r="28" spans="1:23" ht="15.6">
      <c r="A28" s="25"/>
      <c r="B28" s="26" t="s">
        <v>147</v>
      </c>
      <c r="C28" s="168">
        <v>146000</v>
      </c>
      <c r="D28" s="33"/>
      <c r="E28" s="165">
        <v>259500</v>
      </c>
      <c r="F28" s="33"/>
      <c r="G28" s="168">
        <v>16000</v>
      </c>
      <c r="H28" s="33"/>
      <c r="I28" s="165">
        <v>35500</v>
      </c>
      <c r="J28" s="26"/>
      <c r="K28" s="168">
        <v>18000</v>
      </c>
      <c r="L28" s="26"/>
      <c r="M28" s="165">
        <v>33000</v>
      </c>
      <c r="N28" s="35"/>
      <c r="O28" s="34">
        <v>24500</v>
      </c>
      <c r="P28" s="34"/>
      <c r="Q28" s="165">
        <v>30000</v>
      </c>
      <c r="R28" s="34"/>
      <c r="S28" s="34"/>
      <c r="T28" s="36"/>
      <c r="U28" s="34"/>
      <c r="V28" s="37"/>
      <c r="W28" s="6"/>
    </row>
    <row r="29" spans="1:23" ht="15.6">
      <c r="A29" s="25"/>
      <c r="B29" s="26" t="s">
        <v>15</v>
      </c>
      <c r="C29" s="168">
        <v>146000</v>
      </c>
      <c r="D29" s="169"/>
      <c r="E29" s="165">
        <v>259500</v>
      </c>
      <c r="F29" s="169"/>
      <c r="G29" s="168">
        <v>16000</v>
      </c>
      <c r="H29" s="169"/>
      <c r="I29" s="165">
        <v>35500</v>
      </c>
      <c r="J29" s="38"/>
      <c r="K29" s="168">
        <v>18000</v>
      </c>
      <c r="L29" s="38"/>
      <c r="M29" s="165">
        <v>33000</v>
      </c>
      <c r="N29" s="35"/>
      <c r="O29" s="34">
        <v>24500</v>
      </c>
      <c r="P29" s="34"/>
      <c r="Q29" s="165">
        <v>30000</v>
      </c>
      <c r="R29" s="39"/>
      <c r="S29" s="34"/>
      <c r="T29" s="36"/>
      <c r="U29" s="34"/>
      <c r="V29" s="37"/>
      <c r="W29" s="6"/>
    </row>
    <row r="30" spans="1:23" ht="15.6">
      <c r="A30" s="40"/>
      <c r="B30" s="30" t="s">
        <v>148</v>
      </c>
      <c r="C30" s="162">
        <v>146000</v>
      </c>
      <c r="D30" s="170"/>
      <c r="E30" s="171">
        <v>259500</v>
      </c>
      <c r="F30" s="170"/>
      <c r="G30" s="162">
        <v>16000</v>
      </c>
      <c r="H30" s="170"/>
      <c r="I30" s="171">
        <v>35500</v>
      </c>
      <c r="J30" s="159"/>
      <c r="K30" s="162">
        <v>18000</v>
      </c>
      <c r="L30" s="41"/>
      <c r="M30" s="166">
        <v>33000</v>
      </c>
      <c r="N30" s="43"/>
      <c r="O30" s="42">
        <v>24500</v>
      </c>
      <c r="P30" s="42"/>
      <c r="Q30" s="166">
        <v>30000</v>
      </c>
      <c r="R30" s="42"/>
      <c r="S30" s="42"/>
      <c r="T30" s="44"/>
      <c r="U30" s="42"/>
      <c r="V30" s="26"/>
      <c r="W30" s="6"/>
    </row>
    <row r="31" spans="1:23" ht="15.6">
      <c r="A31" s="40"/>
      <c r="B31" s="158" t="s">
        <v>260</v>
      </c>
      <c r="C31" s="172">
        <v>146000</v>
      </c>
      <c r="D31" s="173"/>
      <c r="E31" s="172">
        <v>178000</v>
      </c>
      <c r="F31" s="172"/>
      <c r="G31" s="172">
        <v>16000</v>
      </c>
      <c r="H31" s="172"/>
      <c r="I31" s="172">
        <v>24500</v>
      </c>
      <c r="J31" s="161"/>
      <c r="K31" s="172">
        <v>18000</v>
      </c>
      <c r="L31" s="161"/>
      <c r="M31" s="167">
        <v>22500</v>
      </c>
      <c r="N31" s="164"/>
      <c r="O31" s="167">
        <v>24500</v>
      </c>
      <c r="P31" s="163"/>
      <c r="Q31" s="167">
        <v>20500</v>
      </c>
      <c r="R31" s="42"/>
      <c r="S31" s="42"/>
      <c r="T31" s="44"/>
      <c r="U31" s="34">
        <f>+Q31+O31+M31+K31+I31+G31+E31+C31</f>
        <v>450000</v>
      </c>
      <c r="V31" s="26"/>
      <c r="W31" s="6"/>
    </row>
    <row r="32" spans="1:23" ht="15.6">
      <c r="A32" s="40"/>
      <c r="B32" s="158" t="s">
        <v>261</v>
      </c>
      <c r="C32" s="172">
        <v>146000</v>
      </c>
      <c r="D32" s="173"/>
      <c r="E32" s="172">
        <v>178000</v>
      </c>
      <c r="F32" s="172"/>
      <c r="G32" s="172">
        <v>16000</v>
      </c>
      <c r="H32" s="172"/>
      <c r="I32" s="172">
        <v>24500</v>
      </c>
      <c r="J32" s="161"/>
      <c r="K32" s="172">
        <v>18000</v>
      </c>
      <c r="L32" s="161"/>
      <c r="M32" s="167">
        <v>22500</v>
      </c>
      <c r="N32" s="164"/>
      <c r="O32" s="167">
        <v>24500</v>
      </c>
      <c r="P32" s="163"/>
      <c r="Q32" s="167">
        <v>20500</v>
      </c>
      <c r="R32" s="42"/>
      <c r="S32" s="42"/>
      <c r="T32" s="44"/>
      <c r="U32" s="34">
        <f>+Q32+O32+M32+K32+I32+G32+E32+C32</f>
        <v>450000</v>
      </c>
      <c r="V32" s="26"/>
      <c r="W32" s="6"/>
    </row>
    <row r="33" spans="1:23" ht="15.6">
      <c r="A33" s="40"/>
      <c r="B33" s="30" t="s">
        <v>262</v>
      </c>
      <c r="C33" s="162">
        <v>146000</v>
      </c>
      <c r="D33" s="162"/>
      <c r="E33" s="162">
        <v>178000</v>
      </c>
      <c r="F33" s="162"/>
      <c r="G33" s="162">
        <v>16000</v>
      </c>
      <c r="H33" s="162"/>
      <c r="I33" s="162">
        <v>24500</v>
      </c>
      <c r="J33" s="160"/>
      <c r="K33" s="162">
        <v>18000</v>
      </c>
      <c r="L33" s="160"/>
      <c r="M33" s="162">
        <v>22500</v>
      </c>
      <c r="N33" s="160"/>
      <c r="O33" s="162">
        <v>24500</v>
      </c>
      <c r="P33" s="162"/>
      <c r="Q33" s="162">
        <v>20500</v>
      </c>
      <c r="R33" s="42"/>
      <c r="S33" s="42"/>
      <c r="T33" s="44"/>
      <c r="U33" s="42">
        <f>+Q33+O33+M33+K33+I33+G33+E33+C33</f>
        <v>450000</v>
      </c>
      <c r="V33" s="26"/>
      <c r="W33" s="6"/>
    </row>
    <row r="34" spans="1:23" ht="15.6">
      <c r="A34" s="40"/>
      <c r="B34" s="174" t="s">
        <v>149</v>
      </c>
      <c r="C34" s="175">
        <v>1</v>
      </c>
      <c r="D34" s="175"/>
      <c r="E34" s="175">
        <v>1</v>
      </c>
      <c r="F34" s="175"/>
      <c r="G34" s="175">
        <v>1</v>
      </c>
      <c r="H34" s="175"/>
      <c r="I34" s="175">
        <v>1</v>
      </c>
      <c r="J34" s="175"/>
      <c r="K34" s="175">
        <v>1</v>
      </c>
      <c r="L34" s="175"/>
      <c r="M34" s="175">
        <v>1</v>
      </c>
      <c r="N34" s="175"/>
      <c r="O34" s="175">
        <v>1</v>
      </c>
      <c r="P34" s="175"/>
      <c r="Q34" s="175">
        <v>1</v>
      </c>
      <c r="R34" s="176"/>
      <c r="S34" s="42"/>
      <c r="T34" s="44"/>
      <c r="U34" s="42"/>
      <c r="V34" s="26"/>
      <c r="W34" s="6"/>
    </row>
    <row r="35" spans="1:23" ht="15.6">
      <c r="A35" s="40"/>
      <c r="B35" s="174" t="s">
        <v>150</v>
      </c>
      <c r="C35" s="175">
        <v>1</v>
      </c>
      <c r="D35" s="175"/>
      <c r="E35" s="175">
        <v>1</v>
      </c>
      <c r="F35" s="175"/>
      <c r="G35" s="175">
        <v>1</v>
      </c>
      <c r="H35" s="175"/>
      <c r="I35" s="175">
        <v>1</v>
      </c>
      <c r="J35" s="175"/>
      <c r="K35" s="175">
        <v>1</v>
      </c>
      <c r="L35" s="175"/>
      <c r="M35" s="175">
        <v>1</v>
      </c>
      <c r="N35" s="175"/>
      <c r="O35" s="175">
        <v>1</v>
      </c>
      <c r="P35" s="175"/>
      <c r="Q35" s="175">
        <v>1</v>
      </c>
      <c r="R35" s="176"/>
      <c r="S35" s="42"/>
      <c r="T35" s="44"/>
      <c r="U35" s="42"/>
      <c r="V35" s="26"/>
      <c r="W35" s="6"/>
    </row>
    <row r="36" spans="1:23" ht="15.6">
      <c r="A36" s="25"/>
      <c r="B36" s="26" t="s">
        <v>153</v>
      </c>
      <c r="C36" s="157" t="s">
        <v>157</v>
      </c>
      <c r="D36" s="157"/>
      <c r="E36" s="157" t="s">
        <v>157</v>
      </c>
      <c r="F36" s="157"/>
      <c r="G36" s="157" t="s">
        <v>158</v>
      </c>
      <c r="H36" s="157"/>
      <c r="I36" s="157" t="s">
        <v>158</v>
      </c>
      <c r="J36" s="157"/>
      <c r="K36" s="157" t="s">
        <v>159</v>
      </c>
      <c r="L36" s="184"/>
      <c r="M36" s="157" t="s">
        <v>160</v>
      </c>
      <c r="N36" s="158"/>
      <c r="O36" s="157" t="s">
        <v>161</v>
      </c>
      <c r="P36" s="157"/>
      <c r="Q36" s="157" t="s">
        <v>162</v>
      </c>
      <c r="R36" s="157"/>
      <c r="S36" s="157"/>
      <c r="T36" s="158"/>
      <c r="U36" s="29"/>
      <c r="V36" s="26"/>
      <c r="W36" s="6"/>
    </row>
    <row r="37" spans="1:23" ht="15.6">
      <c r="A37" s="25"/>
      <c r="B37" s="26" t="s">
        <v>151</v>
      </c>
      <c r="C37" s="185">
        <v>4.8206300000000001E-2</v>
      </c>
      <c r="D37" s="185"/>
      <c r="E37" s="185">
        <v>2.734E-2</v>
      </c>
      <c r="F37" s="185"/>
      <c r="G37" s="185">
        <v>4.9306299999999997E-2</v>
      </c>
      <c r="H37" s="185"/>
      <c r="I37" s="185">
        <v>2.844E-2</v>
      </c>
      <c r="J37" s="185"/>
      <c r="K37" s="185">
        <v>5.2006299999999998E-2</v>
      </c>
      <c r="L37" s="185"/>
      <c r="M37" s="185">
        <v>3.0839999999999999E-2</v>
      </c>
      <c r="N37" s="185"/>
      <c r="O37" s="185">
        <v>5.5506300000000001E-2</v>
      </c>
      <c r="P37" s="185"/>
      <c r="Q37" s="185">
        <v>3.4139999999999997E-2</v>
      </c>
      <c r="R37" s="186"/>
      <c r="S37" s="185"/>
      <c r="T37" s="158"/>
      <c r="U37" s="33"/>
      <c r="V37" s="26"/>
      <c r="W37" s="6"/>
    </row>
    <row r="38" spans="1:23" ht="15.6">
      <c r="A38" s="25"/>
      <c r="B38" s="26" t="s">
        <v>152</v>
      </c>
      <c r="C38" s="185">
        <v>4.8000000000000001E-2</v>
      </c>
      <c r="D38" s="185"/>
      <c r="E38" s="185">
        <v>2.4049999999999998E-2</v>
      </c>
      <c r="F38" s="185"/>
      <c r="G38" s="185">
        <v>4.9099999999999998E-2</v>
      </c>
      <c r="H38" s="185"/>
      <c r="I38" s="185">
        <v>2.5149999999999999E-2</v>
      </c>
      <c r="J38" s="185"/>
      <c r="K38" s="185">
        <v>5.1799999999999999E-2</v>
      </c>
      <c r="L38" s="185"/>
      <c r="M38" s="185">
        <v>2.7550000000000002E-2</v>
      </c>
      <c r="N38" s="185"/>
      <c r="O38" s="185">
        <v>5.5300000000000002E-2</v>
      </c>
      <c r="P38" s="185"/>
      <c r="Q38" s="185">
        <v>3.0849999999999999E-2</v>
      </c>
      <c r="R38" s="186"/>
      <c r="S38" s="185"/>
      <c r="T38" s="158"/>
      <c r="U38" s="29"/>
      <c r="V38" s="26"/>
      <c r="W38" s="6"/>
    </row>
    <row r="39" spans="1:23" ht="15.6">
      <c r="A39" s="25"/>
      <c r="B39" s="26" t="s">
        <v>263</v>
      </c>
      <c r="C39" s="157" t="s">
        <v>157</v>
      </c>
      <c r="D39" s="185"/>
      <c r="E39" s="185" t="s">
        <v>198</v>
      </c>
      <c r="F39" s="185"/>
      <c r="G39" s="157" t="s">
        <v>158</v>
      </c>
      <c r="H39" s="185"/>
      <c r="I39" s="185" t="s">
        <v>225</v>
      </c>
      <c r="J39" s="185"/>
      <c r="K39" s="157" t="s">
        <v>159</v>
      </c>
      <c r="L39" s="185"/>
      <c r="M39" s="185" t="s">
        <v>199</v>
      </c>
      <c r="N39" s="185"/>
      <c r="O39" s="157" t="s">
        <v>161</v>
      </c>
      <c r="P39" s="185"/>
      <c r="Q39" s="185" t="s">
        <v>200</v>
      </c>
      <c r="R39" s="186"/>
      <c r="S39" s="185"/>
      <c r="T39" s="158"/>
      <c r="U39" s="29"/>
      <c r="V39" s="26"/>
      <c r="W39" s="6"/>
    </row>
    <row r="40" spans="1:23" ht="15.6">
      <c r="A40" s="25"/>
      <c r="B40" s="26" t="s">
        <v>264</v>
      </c>
      <c r="C40" s="185">
        <f>+C37</f>
        <v>4.8206300000000001E-2</v>
      </c>
      <c r="D40" s="185"/>
      <c r="E40" s="185">
        <v>4.8494299999999997E-2</v>
      </c>
      <c r="F40" s="185"/>
      <c r="G40" s="185">
        <f>+G37</f>
        <v>4.9306299999999997E-2</v>
      </c>
      <c r="H40" s="185"/>
      <c r="I40" s="185">
        <v>4.9672800000000003E-2</v>
      </c>
      <c r="J40" s="185"/>
      <c r="K40" s="185">
        <f>+K37</f>
        <v>5.2006299999999998E-2</v>
      </c>
      <c r="L40" s="184"/>
      <c r="M40" s="185">
        <v>5.22865E-2</v>
      </c>
      <c r="N40" s="184"/>
      <c r="O40" s="185">
        <f>+O37</f>
        <v>5.5506300000000001E-2</v>
      </c>
      <c r="P40" s="185"/>
      <c r="Q40" s="185">
        <v>5.5919499999999997E-2</v>
      </c>
      <c r="R40" s="186"/>
      <c r="S40" s="185"/>
      <c r="T40" s="158"/>
      <c r="U40" s="45">
        <f>SUMPRODUCT(C40:Q40,C31:Q31)/U31</f>
        <v>4.9544007444444448E-2</v>
      </c>
      <c r="V40" s="26"/>
      <c r="W40" s="6"/>
    </row>
    <row r="41" spans="1:23" ht="15.6">
      <c r="A41" s="25"/>
      <c r="B41" s="26" t="s">
        <v>265</v>
      </c>
      <c r="C41" s="185">
        <f>+C38</f>
        <v>4.8000000000000001E-2</v>
      </c>
      <c r="D41" s="185"/>
      <c r="E41" s="185">
        <v>4.8287999999999998E-2</v>
      </c>
      <c r="F41" s="185"/>
      <c r="G41" s="185">
        <f>+G38</f>
        <v>4.9099999999999998E-2</v>
      </c>
      <c r="H41" s="185"/>
      <c r="I41" s="185">
        <v>4.9466499999999997E-2</v>
      </c>
      <c r="J41" s="185"/>
      <c r="K41" s="185">
        <f>+K38</f>
        <v>5.1799999999999999E-2</v>
      </c>
      <c r="L41" s="184"/>
      <c r="M41" s="185">
        <v>5.20802E-2</v>
      </c>
      <c r="N41" s="184"/>
      <c r="O41" s="185">
        <f>+O38</f>
        <v>5.5300000000000002E-2</v>
      </c>
      <c r="P41" s="185"/>
      <c r="Q41" s="185">
        <v>5.5713199999999997E-2</v>
      </c>
      <c r="R41" s="186"/>
      <c r="S41" s="185"/>
      <c r="T41" s="158"/>
      <c r="U41" s="29"/>
      <c r="V41" s="26"/>
      <c r="W41" s="6"/>
    </row>
    <row r="42" spans="1:23" ht="15.6">
      <c r="A42" s="25"/>
      <c r="B42" s="26" t="s">
        <v>17</v>
      </c>
      <c r="C42" s="187">
        <v>39918</v>
      </c>
      <c r="D42" s="187"/>
      <c r="E42" s="187">
        <v>39918</v>
      </c>
      <c r="F42" s="187"/>
      <c r="G42" s="187">
        <v>39918</v>
      </c>
      <c r="H42" s="187"/>
      <c r="I42" s="187">
        <v>39918</v>
      </c>
      <c r="J42" s="187"/>
      <c r="K42" s="187">
        <v>39918</v>
      </c>
      <c r="L42" s="187"/>
      <c r="M42" s="187">
        <v>39918</v>
      </c>
      <c r="N42" s="187"/>
      <c r="O42" s="187">
        <v>39918</v>
      </c>
      <c r="P42" s="187"/>
      <c r="Q42" s="187">
        <v>39918</v>
      </c>
      <c r="R42" s="157"/>
      <c r="S42" s="157"/>
      <c r="T42" s="158"/>
      <c r="U42" s="29"/>
      <c r="V42" s="26"/>
      <c r="W42" s="6"/>
    </row>
    <row r="43" spans="1:23" ht="15.6">
      <c r="A43" s="25"/>
      <c r="B43" s="26" t="s">
        <v>18</v>
      </c>
      <c r="C43" s="46">
        <v>40283</v>
      </c>
      <c r="D43" s="51"/>
      <c r="E43" s="46">
        <v>40283</v>
      </c>
      <c r="F43" s="51"/>
      <c r="G43" s="46">
        <v>40283</v>
      </c>
      <c r="H43" s="51"/>
      <c r="I43" s="46">
        <v>40283</v>
      </c>
      <c r="J43" s="51"/>
      <c r="K43" s="46">
        <v>40283</v>
      </c>
      <c r="L43" s="51"/>
      <c r="M43" s="46">
        <v>40283</v>
      </c>
      <c r="N43" s="51"/>
      <c r="O43" s="46">
        <v>40283</v>
      </c>
      <c r="P43" s="46"/>
      <c r="Q43" s="46">
        <v>40283</v>
      </c>
      <c r="R43" s="33"/>
      <c r="S43" s="33"/>
      <c r="T43" s="29"/>
      <c r="U43" s="29"/>
      <c r="V43" s="26"/>
      <c r="W43" s="6"/>
    </row>
    <row r="44" spans="1:23" ht="15.6">
      <c r="A44" s="25"/>
      <c r="B44" s="26" t="s">
        <v>154</v>
      </c>
      <c r="C44" s="33" t="s">
        <v>163</v>
      </c>
      <c r="D44" s="33"/>
      <c r="E44" s="33" t="s">
        <v>163</v>
      </c>
      <c r="F44" s="33"/>
      <c r="G44" s="33" t="s">
        <v>164</v>
      </c>
      <c r="H44" s="33"/>
      <c r="I44" s="33" t="s">
        <v>164</v>
      </c>
      <c r="J44" s="33"/>
      <c r="K44" s="33" t="s">
        <v>106</v>
      </c>
      <c r="L44" s="33"/>
      <c r="M44" s="33" t="s">
        <v>165</v>
      </c>
      <c r="N44" s="33"/>
      <c r="O44" s="33" t="s">
        <v>166</v>
      </c>
      <c r="P44" s="33"/>
      <c r="Q44" s="33" t="s">
        <v>167</v>
      </c>
      <c r="R44" s="33"/>
      <c r="S44" s="33"/>
      <c r="T44" s="29"/>
      <c r="U44" s="29"/>
      <c r="V44" s="26"/>
      <c r="W44" s="6"/>
    </row>
    <row r="45" spans="1:23" ht="15.6">
      <c r="A45" s="25"/>
      <c r="B45" s="26" t="s">
        <v>266</v>
      </c>
      <c r="C45" s="33" t="s">
        <v>163</v>
      </c>
      <c r="D45" s="26"/>
      <c r="E45" s="33" t="s">
        <v>228</v>
      </c>
      <c r="F45" s="26"/>
      <c r="G45" s="33" t="s">
        <v>164</v>
      </c>
      <c r="H45" s="26"/>
      <c r="I45" s="33" t="s">
        <v>226</v>
      </c>
      <c r="J45" s="26"/>
      <c r="K45" s="33" t="s">
        <v>106</v>
      </c>
      <c r="L45" s="26"/>
      <c r="M45" s="33" t="s">
        <v>227</v>
      </c>
      <c r="N45" s="26"/>
      <c r="O45" s="33" t="s">
        <v>166</v>
      </c>
      <c r="P45" s="33"/>
      <c r="Q45" s="33" t="s">
        <v>229</v>
      </c>
      <c r="R45" s="33"/>
      <c r="S45" s="33"/>
      <c r="T45" s="29"/>
      <c r="U45" s="29"/>
      <c r="V45" s="26"/>
      <c r="W45" s="6"/>
    </row>
    <row r="46" spans="1:23" ht="15.6">
      <c r="A46" s="25"/>
      <c r="B46" s="26"/>
      <c r="C46" s="26"/>
      <c r="D46" s="26"/>
      <c r="E46" s="26"/>
      <c r="F46" s="26"/>
      <c r="G46" s="26"/>
      <c r="H46" s="26"/>
      <c r="I46" s="26"/>
      <c r="J46" s="26"/>
      <c r="K46" s="26"/>
      <c r="L46" s="26"/>
      <c r="M46" s="47"/>
      <c r="N46" s="47"/>
      <c r="O46" s="26"/>
      <c r="P46" s="47"/>
      <c r="Q46" s="47"/>
      <c r="R46" s="47"/>
      <c r="S46" s="47"/>
      <c r="T46" s="47"/>
      <c r="U46" s="47"/>
      <c r="V46" s="26"/>
      <c r="W46" s="6"/>
    </row>
    <row r="47" spans="1:23" ht="15.6">
      <c r="A47" s="25"/>
      <c r="B47" s="26" t="s">
        <v>201</v>
      </c>
      <c r="C47" s="26"/>
      <c r="D47" s="26"/>
      <c r="E47" s="26"/>
      <c r="F47" s="26"/>
      <c r="G47" s="26"/>
      <c r="H47" s="26"/>
      <c r="I47" s="26"/>
      <c r="J47" s="26"/>
      <c r="K47" s="26"/>
      <c r="L47" s="26"/>
      <c r="M47" s="26"/>
      <c r="N47" s="26"/>
      <c r="O47" s="26"/>
      <c r="P47" s="26"/>
      <c r="Q47" s="26"/>
      <c r="R47" s="26"/>
      <c r="S47" s="26"/>
      <c r="T47" s="26"/>
      <c r="U47" s="45">
        <f>SUM(G31:Q31)/(C31+E31)</f>
        <v>0.3888888888888889</v>
      </c>
      <c r="V47" s="26"/>
      <c r="W47" s="6"/>
    </row>
    <row r="48" spans="1:23" ht="15.6">
      <c r="A48" s="25"/>
      <c r="B48" s="26" t="s">
        <v>202</v>
      </c>
      <c r="C48" s="26"/>
      <c r="D48" s="26"/>
      <c r="E48" s="26"/>
      <c r="F48" s="26"/>
      <c r="G48" s="26"/>
      <c r="H48" s="26"/>
      <c r="I48" s="26"/>
      <c r="J48" s="26"/>
      <c r="K48" s="26"/>
      <c r="L48" s="26"/>
      <c r="M48" s="26"/>
      <c r="N48" s="26"/>
      <c r="O48" s="26"/>
      <c r="P48" s="26"/>
      <c r="Q48" s="26"/>
      <c r="R48" s="26"/>
      <c r="S48" s="26"/>
      <c r="T48" s="26"/>
      <c r="U48" s="45">
        <f>SUM(F33:Q33)/(C33+E33)</f>
        <v>0.3888888888888889</v>
      </c>
      <c r="V48" s="26"/>
      <c r="W48" s="6"/>
    </row>
    <row r="49" spans="1:23" ht="15.6">
      <c r="A49" s="25"/>
      <c r="B49" s="26" t="s">
        <v>203</v>
      </c>
      <c r="C49" s="26"/>
      <c r="D49" s="26"/>
      <c r="E49" s="26"/>
      <c r="F49" s="26"/>
      <c r="G49" s="26"/>
      <c r="H49" s="26"/>
      <c r="I49" s="26"/>
      <c r="J49" s="26"/>
      <c r="K49" s="26"/>
      <c r="L49" s="26"/>
      <c r="M49" s="26"/>
      <c r="N49" s="26"/>
      <c r="O49" s="26"/>
      <c r="P49" s="26"/>
      <c r="Q49" s="26"/>
      <c r="R49" s="26"/>
      <c r="S49" s="33" t="s">
        <v>95</v>
      </c>
      <c r="T49" s="33" t="s">
        <v>117</v>
      </c>
      <c r="U49" s="34">
        <v>99000</v>
      </c>
      <c r="V49" s="26"/>
      <c r="W49" s="6"/>
    </row>
    <row r="50" spans="1:23" ht="15.6">
      <c r="A50" s="25"/>
      <c r="B50" s="26"/>
      <c r="C50" s="26"/>
      <c r="D50" s="26"/>
      <c r="E50" s="26"/>
      <c r="F50" s="26"/>
      <c r="G50" s="26"/>
      <c r="H50" s="26"/>
      <c r="I50" s="26"/>
      <c r="J50" s="26"/>
      <c r="K50" s="26"/>
      <c r="L50" s="26"/>
      <c r="M50" s="26"/>
      <c r="N50" s="26"/>
      <c r="O50" s="26"/>
      <c r="P50" s="26"/>
      <c r="Q50" s="26"/>
      <c r="R50" s="26"/>
      <c r="S50" s="26" t="s">
        <v>213</v>
      </c>
      <c r="T50" s="26"/>
      <c r="U50" s="48"/>
      <c r="V50" s="26"/>
      <c r="W50" s="6"/>
    </row>
    <row r="51" spans="1:23" ht="15.6">
      <c r="A51" s="25"/>
      <c r="B51" s="26" t="s">
        <v>19</v>
      </c>
      <c r="C51" s="26"/>
      <c r="D51" s="26"/>
      <c r="E51" s="26"/>
      <c r="F51" s="26"/>
      <c r="G51" s="26"/>
      <c r="H51" s="26"/>
      <c r="I51" s="26"/>
      <c r="J51" s="26"/>
      <c r="K51" s="26"/>
      <c r="L51" s="26"/>
      <c r="M51" s="26"/>
      <c r="N51" s="26"/>
      <c r="O51" s="26"/>
      <c r="P51" s="26"/>
      <c r="Q51" s="26"/>
      <c r="R51" s="26"/>
      <c r="S51" s="33"/>
      <c r="T51" s="33"/>
      <c r="U51" s="33" t="s">
        <v>118</v>
      </c>
      <c r="V51" s="26"/>
      <c r="W51" s="6"/>
    </row>
    <row r="52" spans="1:23" ht="15.6">
      <c r="A52" s="40"/>
      <c r="B52" s="30" t="s">
        <v>20</v>
      </c>
      <c r="C52" s="30"/>
      <c r="D52" s="30"/>
      <c r="E52" s="30"/>
      <c r="F52" s="30"/>
      <c r="G52" s="30"/>
      <c r="H52" s="30"/>
      <c r="I52" s="30"/>
      <c r="J52" s="30"/>
      <c r="K52" s="30"/>
      <c r="L52" s="30"/>
      <c r="M52" s="30"/>
      <c r="N52" s="30"/>
      <c r="O52" s="30"/>
      <c r="P52" s="30"/>
      <c r="Q52" s="30"/>
      <c r="R52" s="30"/>
      <c r="S52" s="49"/>
      <c r="T52" s="49"/>
      <c r="U52" s="50">
        <v>38825</v>
      </c>
      <c r="V52" s="30"/>
      <c r="W52" s="6"/>
    </row>
    <row r="53" spans="1:23" ht="15.6">
      <c r="A53" s="25"/>
      <c r="B53" s="26" t="s">
        <v>155</v>
      </c>
      <c r="C53" s="26"/>
      <c r="D53" s="26"/>
      <c r="E53" s="26"/>
      <c r="F53" s="26"/>
      <c r="G53" s="26"/>
      <c r="H53" s="26"/>
      <c r="I53" s="26"/>
      <c r="J53" s="26"/>
      <c r="K53" s="26"/>
      <c r="L53" s="26"/>
      <c r="M53" s="26"/>
      <c r="N53" s="26"/>
      <c r="O53" s="26"/>
      <c r="P53" s="26"/>
      <c r="Q53" s="29"/>
      <c r="R53" s="26">
        <f>U53-S53+1</f>
        <v>91</v>
      </c>
      <c r="S53" s="52">
        <v>38642</v>
      </c>
      <c r="T53" s="53"/>
      <c r="U53" s="52">
        <v>38732</v>
      </c>
      <c r="V53" s="26"/>
      <c r="W53" s="6"/>
    </row>
    <row r="54" spans="1:23" ht="15.6">
      <c r="A54" s="25"/>
      <c r="B54" s="26" t="s">
        <v>156</v>
      </c>
      <c r="C54" s="26"/>
      <c r="D54" s="26"/>
      <c r="E54" s="26"/>
      <c r="F54" s="26"/>
      <c r="G54" s="26"/>
      <c r="H54" s="26"/>
      <c r="I54" s="26"/>
      <c r="J54" s="26"/>
      <c r="K54" s="26"/>
      <c r="L54" s="26"/>
      <c r="M54" s="26"/>
      <c r="N54" s="26"/>
      <c r="O54" s="26"/>
      <c r="P54" s="26"/>
      <c r="Q54" s="29"/>
      <c r="R54" s="26">
        <f>U54-S54+1</f>
        <v>92</v>
      </c>
      <c r="S54" s="52">
        <v>38733</v>
      </c>
      <c r="T54" s="53"/>
      <c r="U54" s="52">
        <v>38824</v>
      </c>
      <c r="V54" s="26"/>
      <c r="W54" s="6"/>
    </row>
    <row r="55" spans="1:23" ht="15.6">
      <c r="A55" s="25"/>
      <c r="B55" s="26" t="s">
        <v>21</v>
      </c>
      <c r="C55" s="26"/>
      <c r="D55" s="26"/>
      <c r="E55" s="26"/>
      <c r="F55" s="26"/>
      <c r="G55" s="26"/>
      <c r="H55" s="26"/>
      <c r="I55" s="26"/>
      <c r="J55" s="26"/>
      <c r="K55" s="26"/>
      <c r="L55" s="26"/>
      <c r="M55" s="26"/>
      <c r="N55" s="26"/>
      <c r="O55" s="26"/>
      <c r="P55" s="26"/>
      <c r="Q55" s="26"/>
      <c r="R55" s="26"/>
      <c r="S55" s="52"/>
      <c r="T55" s="53"/>
      <c r="U55" s="52" t="s">
        <v>119</v>
      </c>
      <c r="V55" s="26"/>
      <c r="W55" s="6"/>
    </row>
    <row r="56" spans="1:23" ht="15.6">
      <c r="A56" s="25"/>
      <c r="B56" s="26" t="s">
        <v>22</v>
      </c>
      <c r="C56" s="26"/>
      <c r="D56" s="26"/>
      <c r="E56" s="26"/>
      <c r="F56" s="26"/>
      <c r="G56" s="26"/>
      <c r="H56" s="26"/>
      <c r="I56" s="26"/>
      <c r="J56" s="26"/>
      <c r="K56" s="26"/>
      <c r="L56" s="26"/>
      <c r="M56" s="26"/>
      <c r="N56" s="26"/>
      <c r="O56" s="26"/>
      <c r="P56" s="26"/>
      <c r="Q56" s="26"/>
      <c r="R56" s="26"/>
      <c r="S56" s="52"/>
      <c r="T56" s="53"/>
      <c r="U56" s="52">
        <v>38810</v>
      </c>
      <c r="V56" s="26"/>
      <c r="W56" s="6"/>
    </row>
    <row r="57" spans="1:23" ht="15.6">
      <c r="A57" s="25"/>
      <c r="B57" s="26"/>
      <c r="C57" s="26"/>
      <c r="D57" s="26"/>
      <c r="E57" s="26"/>
      <c r="F57" s="26"/>
      <c r="G57" s="26"/>
      <c r="H57" s="26"/>
      <c r="I57" s="26"/>
      <c r="J57" s="26"/>
      <c r="K57" s="26"/>
      <c r="L57" s="26"/>
      <c r="M57" s="26"/>
      <c r="N57" s="26"/>
      <c r="O57" s="26"/>
      <c r="P57" s="26"/>
      <c r="Q57" s="26"/>
      <c r="R57" s="26"/>
      <c r="S57" s="26"/>
      <c r="T57" s="26"/>
      <c r="U57" s="54"/>
      <c r="V57" s="26"/>
      <c r="W57" s="6"/>
    </row>
    <row r="58" spans="1:23" ht="15.6">
      <c r="A58" s="7"/>
      <c r="B58" s="9"/>
      <c r="C58" s="9"/>
      <c r="D58" s="9"/>
      <c r="E58" s="9"/>
      <c r="F58" s="9"/>
      <c r="G58" s="9"/>
      <c r="H58" s="9"/>
      <c r="I58" s="9"/>
      <c r="J58" s="9"/>
      <c r="K58" s="9"/>
      <c r="L58" s="9"/>
      <c r="M58" s="9"/>
      <c r="N58" s="9"/>
      <c r="O58" s="9"/>
      <c r="P58" s="9"/>
      <c r="Q58" s="9"/>
      <c r="R58" s="9"/>
      <c r="S58" s="9"/>
      <c r="T58" s="9"/>
      <c r="U58" s="55"/>
      <c r="V58" s="9"/>
      <c r="W58" s="6"/>
    </row>
    <row r="59" spans="1:23" ht="16.2" thickBot="1">
      <c r="A59" s="130"/>
      <c r="B59" s="131" t="s">
        <v>235</v>
      </c>
      <c r="C59" s="132"/>
      <c r="D59" s="132"/>
      <c r="E59" s="132"/>
      <c r="F59" s="132"/>
      <c r="G59" s="132"/>
      <c r="H59" s="132"/>
      <c r="I59" s="132"/>
      <c r="J59" s="132"/>
      <c r="K59" s="132"/>
      <c r="L59" s="132"/>
      <c r="M59" s="132"/>
      <c r="N59" s="132"/>
      <c r="O59" s="132"/>
      <c r="P59" s="132"/>
      <c r="Q59" s="132"/>
      <c r="R59" s="132"/>
      <c r="S59" s="132"/>
      <c r="T59" s="132"/>
      <c r="U59" s="133"/>
      <c r="V59" s="134"/>
      <c r="W59" s="6"/>
    </row>
    <row r="60" spans="1:23" ht="15.6">
      <c r="A60" s="2"/>
      <c r="B60" s="5"/>
      <c r="C60" s="5"/>
      <c r="D60" s="5"/>
      <c r="E60" s="5"/>
      <c r="F60" s="5"/>
      <c r="G60" s="5"/>
      <c r="H60" s="5"/>
      <c r="I60" s="5"/>
      <c r="J60" s="5"/>
      <c r="K60" s="5"/>
      <c r="L60" s="5"/>
      <c r="M60" s="5"/>
      <c r="N60" s="5"/>
      <c r="O60" s="5"/>
      <c r="P60" s="5"/>
      <c r="Q60" s="5"/>
      <c r="R60" s="5"/>
      <c r="S60" s="5"/>
      <c r="T60" s="5"/>
      <c r="U60" s="56"/>
      <c r="V60" s="5"/>
      <c r="W60" s="6"/>
    </row>
    <row r="61" spans="1:23" ht="15.6">
      <c r="A61" s="7"/>
      <c r="B61" s="57" t="s">
        <v>23</v>
      </c>
      <c r="C61" s="13"/>
      <c r="D61" s="13"/>
      <c r="E61" s="13"/>
      <c r="F61" s="13"/>
      <c r="G61" s="13"/>
      <c r="H61" s="13"/>
      <c r="I61" s="13"/>
      <c r="J61" s="13"/>
      <c r="K61" s="13"/>
      <c r="L61" s="13"/>
      <c r="M61" s="9"/>
      <c r="N61" s="9"/>
      <c r="O61" s="9"/>
      <c r="P61" s="9"/>
      <c r="Q61" s="9"/>
      <c r="R61" s="9"/>
      <c r="S61" s="9"/>
      <c r="T61" s="9"/>
      <c r="U61" s="58"/>
      <c r="V61" s="9"/>
      <c r="W61" s="6"/>
    </row>
    <row r="62" spans="1:23" ht="15.6">
      <c r="A62" s="7"/>
      <c r="B62" s="13"/>
      <c r="C62" s="13"/>
      <c r="D62" s="13"/>
      <c r="E62" s="13"/>
      <c r="F62" s="13"/>
      <c r="G62" s="13"/>
      <c r="H62" s="13"/>
      <c r="I62" s="13"/>
      <c r="J62" s="13"/>
      <c r="K62" s="13"/>
      <c r="L62" s="13"/>
      <c r="M62" s="9"/>
      <c r="N62" s="9"/>
      <c r="O62" s="9"/>
      <c r="P62" s="9"/>
      <c r="Q62" s="9"/>
      <c r="R62" s="9"/>
      <c r="S62" s="9"/>
      <c r="T62" s="9"/>
      <c r="U62" s="58"/>
      <c r="V62" s="9"/>
      <c r="W62" s="6"/>
    </row>
    <row r="63" spans="1:23" s="151" customFormat="1" ht="46.8">
      <c r="A63" s="145"/>
      <c r="B63" s="146"/>
      <c r="C63" s="147"/>
      <c r="D63" s="147"/>
      <c r="E63" s="147"/>
      <c r="F63" s="147"/>
      <c r="G63" s="147"/>
      <c r="H63" s="147"/>
      <c r="I63" s="147"/>
      <c r="J63" s="147"/>
      <c r="K63" s="147" t="s">
        <v>197</v>
      </c>
      <c r="L63" s="147"/>
      <c r="M63" s="147" t="s">
        <v>98</v>
      </c>
      <c r="N63" s="147"/>
      <c r="O63" s="147" t="s">
        <v>107</v>
      </c>
      <c r="P63" s="147"/>
      <c r="Q63" s="147" t="s">
        <v>111</v>
      </c>
      <c r="R63" s="147"/>
      <c r="S63" s="147" t="s">
        <v>113</v>
      </c>
      <c r="T63" s="147"/>
      <c r="U63" s="148" t="s">
        <v>120</v>
      </c>
      <c r="V63" s="149"/>
      <c r="W63" s="150"/>
    </row>
    <row r="64" spans="1:23" ht="15.6">
      <c r="A64" s="25"/>
      <c r="B64" s="26" t="s">
        <v>24</v>
      </c>
      <c r="C64" s="59"/>
      <c r="D64" s="59"/>
      <c r="E64" s="59"/>
      <c r="F64" s="59"/>
      <c r="G64" s="59"/>
      <c r="H64" s="59"/>
      <c r="I64" s="59"/>
      <c r="J64" s="59"/>
      <c r="K64" s="59">
        <f>265+63566+3306</f>
        <v>67137</v>
      </c>
      <c r="L64" s="59"/>
      <c r="M64" s="59">
        <v>54095</v>
      </c>
      <c r="N64" s="59"/>
      <c r="O64" s="59">
        <f>15+3394+400+630</f>
        <v>4439</v>
      </c>
      <c r="P64" s="59"/>
      <c r="Q64" s="59">
        <v>0</v>
      </c>
      <c r="R64" s="59"/>
      <c r="S64" s="59">
        <v>0</v>
      </c>
      <c r="T64" s="59"/>
      <c r="U64" s="60">
        <f>+M64-O64+Q64-S64</f>
        <v>49656</v>
      </c>
      <c r="V64" s="26"/>
      <c r="W64" s="6"/>
    </row>
    <row r="65" spans="1:24" ht="15.6">
      <c r="A65" s="25"/>
      <c r="B65" s="26" t="s">
        <v>25</v>
      </c>
      <c r="C65" s="59"/>
      <c r="D65" s="59"/>
      <c r="E65" s="59"/>
      <c r="F65" s="59"/>
      <c r="G65" s="59"/>
      <c r="H65" s="59"/>
      <c r="I65" s="59"/>
      <c r="J65" s="59"/>
      <c r="K65" s="59"/>
      <c r="L65" s="59"/>
      <c r="M65" s="59"/>
      <c r="N65" s="59"/>
      <c r="O65" s="59"/>
      <c r="P65" s="59"/>
      <c r="Q65" s="59">
        <v>0</v>
      </c>
      <c r="R65" s="59"/>
      <c r="S65" s="59">
        <v>0</v>
      </c>
      <c r="T65" s="59"/>
      <c r="U65" s="60">
        <f>M65-O65</f>
        <v>0</v>
      </c>
      <c r="V65" s="26"/>
      <c r="W65" s="6"/>
    </row>
    <row r="66" spans="1:24" ht="15.6">
      <c r="A66" s="25"/>
      <c r="B66" s="26"/>
      <c r="C66" s="59"/>
      <c r="D66" s="59"/>
      <c r="E66" s="59"/>
      <c r="F66" s="59"/>
      <c r="G66" s="59"/>
      <c r="H66" s="59"/>
      <c r="I66" s="59"/>
      <c r="J66" s="59"/>
      <c r="K66" s="59"/>
      <c r="L66" s="59"/>
      <c r="M66" s="59"/>
      <c r="N66" s="59"/>
      <c r="O66" s="59"/>
      <c r="P66" s="59"/>
      <c r="Q66" s="59"/>
      <c r="R66" s="59"/>
      <c r="S66" s="59"/>
      <c r="T66" s="59"/>
      <c r="U66" s="60"/>
      <c r="V66" s="26"/>
      <c r="W66" s="6"/>
    </row>
    <row r="67" spans="1:24" ht="15.6">
      <c r="A67" s="25"/>
      <c r="B67" s="26" t="s">
        <v>26</v>
      </c>
      <c r="C67" s="59"/>
      <c r="D67" s="59"/>
      <c r="E67" s="59"/>
      <c r="F67" s="59"/>
      <c r="G67" s="59"/>
      <c r="H67" s="59"/>
      <c r="I67" s="59"/>
      <c r="J67" s="59"/>
      <c r="K67" s="59">
        <v>24470</v>
      </c>
      <c r="L67" s="59"/>
      <c r="M67" s="59">
        <v>27944</v>
      </c>
      <c r="N67" s="59"/>
      <c r="O67" s="59">
        <f>10572-201</f>
        <v>10371</v>
      </c>
      <c r="P67" s="59"/>
      <c r="Q67" s="59">
        <v>13027</v>
      </c>
      <c r="R67" s="59"/>
      <c r="S67" s="59">
        <f>SUM(S64:S66)</f>
        <v>0</v>
      </c>
      <c r="T67" s="59"/>
      <c r="U67" s="60">
        <f>+M67-O67+Q67-S67</f>
        <v>30600</v>
      </c>
      <c r="V67" s="26"/>
      <c r="W67" s="6"/>
    </row>
    <row r="68" spans="1:24" ht="15.6">
      <c r="A68" s="25"/>
      <c r="B68" s="26" t="s">
        <v>25</v>
      </c>
      <c r="C68" s="59"/>
      <c r="D68" s="59"/>
      <c r="E68" s="59"/>
      <c r="F68" s="59"/>
      <c r="G68" s="59"/>
      <c r="H68" s="59"/>
      <c r="I68" s="59"/>
      <c r="J68" s="59"/>
      <c r="K68" s="59"/>
      <c r="L68" s="59"/>
      <c r="M68" s="59"/>
      <c r="N68" s="59"/>
      <c r="O68" s="59"/>
      <c r="P68" s="59"/>
      <c r="Q68" s="59">
        <v>0</v>
      </c>
      <c r="R68" s="59"/>
      <c r="S68" s="59">
        <v>0</v>
      </c>
      <c r="T68" s="59"/>
      <c r="U68" s="61"/>
      <c r="V68" s="26"/>
      <c r="W68" s="6"/>
    </row>
    <row r="69" spans="1:24" ht="15.6">
      <c r="A69" s="25"/>
      <c r="B69" s="62"/>
      <c r="C69" s="59"/>
      <c r="D69" s="59"/>
      <c r="E69" s="59"/>
      <c r="F69" s="59"/>
      <c r="G69" s="59"/>
      <c r="H69" s="59"/>
      <c r="I69" s="59"/>
      <c r="J69" s="59"/>
      <c r="K69" s="59"/>
      <c r="L69" s="59"/>
      <c r="M69" s="59"/>
      <c r="N69" s="59"/>
      <c r="O69" s="63"/>
      <c r="P69" s="59"/>
      <c r="Q69" s="59"/>
      <c r="R69" s="59"/>
      <c r="S69" s="59"/>
      <c r="T69" s="59"/>
      <c r="U69" s="61"/>
      <c r="V69" s="26"/>
      <c r="W69" s="6"/>
    </row>
    <row r="70" spans="1:24" ht="15.6">
      <c r="A70" s="25"/>
      <c r="B70" s="26" t="s">
        <v>27</v>
      </c>
      <c r="C70" s="59"/>
      <c r="D70" s="59"/>
      <c r="E70" s="59"/>
      <c r="F70" s="59"/>
      <c r="G70" s="59"/>
      <c r="H70" s="59"/>
      <c r="I70" s="59"/>
      <c r="J70" s="59"/>
      <c r="K70" s="59">
        <v>220072</v>
      </c>
      <c r="L70" s="59"/>
      <c r="M70" s="59">
        <v>207384</v>
      </c>
      <c r="N70" s="59"/>
      <c r="O70" s="59">
        <f>21503+126+330</f>
        <v>21959</v>
      </c>
      <c r="P70" s="59"/>
      <c r="Q70" s="59">
        <f>14496+252</f>
        <v>14748</v>
      </c>
      <c r="R70" s="59"/>
      <c r="S70" s="59">
        <v>0</v>
      </c>
      <c r="T70" s="59"/>
      <c r="U70" s="60">
        <f>+M70-O70+Q70-S70</f>
        <v>200173</v>
      </c>
      <c r="V70" s="26"/>
      <c r="W70" s="6"/>
    </row>
    <row r="71" spans="1:24" ht="15.6">
      <c r="A71" s="25"/>
      <c r="B71" s="26" t="s">
        <v>25</v>
      </c>
      <c r="C71" s="59"/>
      <c r="D71" s="59"/>
      <c r="E71" s="59"/>
      <c r="F71" s="59"/>
      <c r="G71" s="59"/>
      <c r="H71" s="59"/>
      <c r="I71" s="59"/>
      <c r="J71" s="59"/>
      <c r="K71" s="59"/>
      <c r="L71" s="59"/>
      <c r="M71" s="59"/>
      <c r="N71" s="59"/>
      <c r="O71" s="59"/>
      <c r="P71" s="59"/>
      <c r="Q71" s="59">
        <v>0</v>
      </c>
      <c r="R71" s="59"/>
      <c r="S71" s="59">
        <v>0</v>
      </c>
      <c r="T71" s="59"/>
      <c r="U71" s="60">
        <f>M71-O71+Q71-S71</f>
        <v>0</v>
      </c>
      <c r="V71" s="26"/>
      <c r="W71" s="6"/>
    </row>
    <row r="72" spans="1:24" ht="15.6">
      <c r="A72" s="25"/>
      <c r="B72" s="26"/>
      <c r="C72" s="59"/>
      <c r="D72" s="59"/>
      <c r="E72" s="59"/>
      <c r="F72" s="59"/>
      <c r="G72" s="59"/>
      <c r="H72" s="59"/>
      <c r="I72" s="59"/>
      <c r="J72" s="59"/>
      <c r="K72" s="59"/>
      <c r="L72" s="59"/>
      <c r="M72" s="59"/>
      <c r="N72" s="59"/>
      <c r="O72" s="59"/>
      <c r="P72" s="59"/>
      <c r="Q72" s="59"/>
      <c r="R72" s="59"/>
      <c r="S72" s="59"/>
      <c r="T72" s="59"/>
      <c r="U72" s="60"/>
      <c r="V72" s="26"/>
      <c r="W72" s="6"/>
    </row>
    <row r="73" spans="1:24" ht="15.6">
      <c r="A73" s="25"/>
      <c r="B73" s="26" t="s">
        <v>28</v>
      </c>
      <c r="C73" s="59"/>
      <c r="D73" s="59"/>
      <c r="E73" s="59"/>
      <c r="F73" s="59"/>
      <c r="G73" s="59"/>
      <c r="H73" s="59"/>
      <c r="I73" s="59"/>
      <c r="J73" s="59"/>
      <c r="K73" s="59">
        <v>138321</v>
      </c>
      <c r="L73" s="59"/>
      <c r="M73" s="59">
        <v>129283</v>
      </c>
      <c r="N73" s="59"/>
      <c r="O73" s="59">
        <f>18246+1884+30</f>
        <v>20160</v>
      </c>
      <c r="P73" s="59"/>
      <c r="Q73" s="59">
        <v>16300</v>
      </c>
      <c r="R73" s="59"/>
      <c r="S73" s="59">
        <v>0</v>
      </c>
      <c r="T73" s="59"/>
      <c r="U73" s="60">
        <f>+M73-O73+Q73-S73</f>
        <v>125423</v>
      </c>
      <c r="V73" s="26"/>
      <c r="W73" s="6"/>
    </row>
    <row r="74" spans="1:24" ht="15.6">
      <c r="A74" s="25"/>
      <c r="B74" s="26" t="s">
        <v>25</v>
      </c>
      <c r="C74" s="59"/>
      <c r="D74" s="59"/>
      <c r="E74" s="59"/>
      <c r="F74" s="59"/>
      <c r="G74" s="59"/>
      <c r="H74" s="59"/>
      <c r="I74" s="59"/>
      <c r="J74" s="59"/>
      <c r="K74" s="59"/>
      <c r="L74" s="59"/>
      <c r="M74" s="59"/>
      <c r="N74" s="59"/>
      <c r="O74" s="59"/>
      <c r="P74" s="59"/>
      <c r="Q74" s="59">
        <v>0</v>
      </c>
      <c r="R74" s="59"/>
      <c r="S74" s="59">
        <v>0</v>
      </c>
      <c r="T74" s="59"/>
      <c r="U74" s="60"/>
      <c r="V74" s="26"/>
      <c r="W74" s="6"/>
    </row>
    <row r="75" spans="1:24" ht="15.6">
      <c r="A75" s="25"/>
      <c r="B75" s="59"/>
      <c r="C75" s="59"/>
      <c r="D75" s="59"/>
      <c r="E75" s="59"/>
      <c r="F75" s="59"/>
      <c r="G75" s="59"/>
      <c r="H75" s="59"/>
      <c r="I75" s="59"/>
      <c r="J75" s="59"/>
      <c r="K75" s="59"/>
      <c r="L75" s="59"/>
      <c r="M75" s="59"/>
      <c r="N75" s="59"/>
      <c r="O75" s="59"/>
      <c r="P75" s="59"/>
      <c r="Q75" s="59"/>
      <c r="R75" s="59"/>
      <c r="S75" s="59"/>
      <c r="T75" s="59"/>
      <c r="U75" s="60"/>
      <c r="V75" s="26"/>
      <c r="W75" s="6"/>
    </row>
    <row r="76" spans="1:24" ht="15.6">
      <c r="A76" s="25"/>
      <c r="B76" s="26" t="s">
        <v>29</v>
      </c>
      <c r="C76" s="59"/>
      <c r="D76" s="59"/>
      <c r="E76" s="59"/>
      <c r="F76" s="59"/>
      <c r="G76" s="59"/>
      <c r="H76" s="59"/>
      <c r="I76" s="59"/>
      <c r="J76" s="59"/>
      <c r="K76" s="59">
        <f>SUM(K64:K73)</f>
        <v>450000</v>
      </c>
      <c r="L76" s="59"/>
      <c r="M76" s="59">
        <f>SUM(M64:M73)</f>
        <v>418706</v>
      </c>
      <c r="N76" s="59"/>
      <c r="O76" s="59">
        <f>SUM(O64:O74)</f>
        <v>56929</v>
      </c>
      <c r="P76" s="59"/>
      <c r="Q76" s="59">
        <f>SUM(Q64:Q74)</f>
        <v>44075</v>
      </c>
      <c r="R76" s="59"/>
      <c r="S76" s="59">
        <f>SUM(S71:S75)</f>
        <v>0</v>
      </c>
      <c r="T76" s="59"/>
      <c r="U76" s="59">
        <f>SUM(U64:U74)</f>
        <v>405852</v>
      </c>
      <c r="V76" s="26"/>
      <c r="W76" s="6"/>
      <c r="X76" s="182"/>
    </row>
    <row r="77" spans="1:24" ht="15.6">
      <c r="A77" s="25"/>
      <c r="B77" s="26"/>
      <c r="C77" s="59"/>
      <c r="D77" s="59"/>
      <c r="E77" s="59"/>
      <c r="F77" s="59"/>
      <c r="G77" s="59"/>
      <c r="H77" s="59"/>
      <c r="I77" s="59"/>
      <c r="J77" s="59"/>
      <c r="K77" s="59"/>
      <c r="L77" s="59"/>
      <c r="M77" s="59"/>
      <c r="N77" s="59"/>
      <c r="O77" s="59"/>
      <c r="P77" s="59"/>
      <c r="Q77" s="59"/>
      <c r="R77" s="59"/>
      <c r="S77" s="59"/>
      <c r="T77" s="59"/>
      <c r="U77" s="61"/>
      <c r="V77" s="26"/>
      <c r="W77" s="6"/>
    </row>
    <row r="78" spans="1:24" ht="15.6">
      <c r="A78" s="25"/>
      <c r="B78" s="26" t="s">
        <v>214</v>
      </c>
      <c r="C78" s="59"/>
      <c r="D78" s="59"/>
      <c r="E78" s="59"/>
      <c r="F78" s="59"/>
      <c r="G78" s="59"/>
      <c r="H78" s="59"/>
      <c r="I78" s="59"/>
      <c r="J78" s="59"/>
      <c r="K78" s="59">
        <v>0</v>
      </c>
      <c r="L78" s="59"/>
      <c r="M78" s="59">
        <v>-4136</v>
      </c>
      <c r="N78" s="59"/>
      <c r="O78" s="59">
        <v>1567</v>
      </c>
      <c r="P78" s="59"/>
      <c r="Q78" s="59"/>
      <c r="R78" s="59"/>
      <c r="S78" s="59"/>
      <c r="T78" s="59"/>
      <c r="U78" s="60">
        <f>+M78-O78</f>
        <v>-5703</v>
      </c>
      <c r="V78" s="26"/>
      <c r="W78" s="6"/>
    </row>
    <row r="79" spans="1:24" ht="15.6">
      <c r="A79" s="25"/>
      <c r="B79" s="26" t="s">
        <v>30</v>
      </c>
      <c r="C79" s="59"/>
      <c r="D79" s="59"/>
      <c r="E79" s="59"/>
      <c r="F79" s="59"/>
      <c r="G79" s="59"/>
      <c r="H79" s="59"/>
      <c r="I79" s="59"/>
      <c r="J79" s="59"/>
      <c r="K79" s="59">
        <v>0</v>
      </c>
      <c r="L79" s="59"/>
      <c r="M79" s="59">
        <v>35430</v>
      </c>
      <c r="N79" s="59"/>
      <c r="O79" s="59">
        <f>SUM(O76:O78)</f>
        <v>58496</v>
      </c>
      <c r="P79" s="59"/>
      <c r="Q79" s="59">
        <f>-Q76</f>
        <v>-44075</v>
      </c>
      <c r="R79" s="59"/>
      <c r="S79" s="59"/>
      <c r="T79" s="59"/>
      <c r="U79" s="61">
        <f>+M79+O79+Q79</f>
        <v>49851</v>
      </c>
      <c r="V79" s="26"/>
      <c r="W79" s="6"/>
      <c r="X79" s="182"/>
    </row>
    <row r="80" spans="1:24" ht="15.6">
      <c r="A80" s="25"/>
      <c r="B80" s="26" t="s">
        <v>31</v>
      </c>
      <c r="C80" s="59"/>
      <c r="D80" s="59"/>
      <c r="E80" s="59"/>
      <c r="F80" s="59"/>
      <c r="G80" s="59"/>
      <c r="H80" s="59"/>
      <c r="I80" s="59"/>
      <c r="J80" s="59"/>
      <c r="K80" s="59">
        <v>0</v>
      </c>
      <c r="L80" s="59"/>
      <c r="M80" s="59">
        <v>0</v>
      </c>
      <c r="N80" s="59"/>
      <c r="O80" s="59"/>
      <c r="P80" s="59"/>
      <c r="Q80" s="59">
        <v>0</v>
      </c>
      <c r="R80" s="59"/>
      <c r="S80" s="59"/>
      <c r="T80" s="59"/>
      <c r="U80" s="61">
        <f>Q80+M80</f>
        <v>0</v>
      </c>
      <c r="V80" s="26"/>
      <c r="W80" s="6"/>
    </row>
    <row r="81" spans="1:24" ht="15.6">
      <c r="A81" s="25"/>
      <c r="B81" s="26" t="s">
        <v>16</v>
      </c>
      <c r="C81" s="61"/>
      <c r="D81" s="61"/>
      <c r="E81" s="61"/>
      <c r="F81" s="61"/>
      <c r="G81" s="61"/>
      <c r="H81" s="61"/>
      <c r="I81" s="61"/>
      <c r="J81" s="61"/>
      <c r="K81" s="61">
        <f>SUM(K76:K80)</f>
        <v>450000</v>
      </c>
      <c r="L81" s="61"/>
      <c r="M81" s="61">
        <f>SUM(M76:M80)</f>
        <v>450000</v>
      </c>
      <c r="N81" s="59"/>
      <c r="O81" s="59">
        <f>O79-O80</f>
        <v>58496</v>
      </c>
      <c r="P81" s="59"/>
      <c r="Q81" s="59"/>
      <c r="R81" s="59"/>
      <c r="S81" s="59"/>
      <c r="T81" s="59"/>
      <c r="U81" s="61">
        <f>SUM(U76:U80)</f>
        <v>450000</v>
      </c>
      <c r="V81" s="26"/>
      <c r="W81" s="6"/>
    </row>
    <row r="82" spans="1:24" ht="15.6">
      <c r="A82" s="25"/>
      <c r="B82" s="59"/>
      <c r="C82" s="26"/>
      <c r="D82" s="26"/>
      <c r="E82" s="26"/>
      <c r="F82" s="26"/>
      <c r="G82" s="26"/>
      <c r="H82" s="26"/>
      <c r="I82" s="26"/>
      <c r="J82" s="26"/>
      <c r="K82" s="26"/>
      <c r="L82" s="26"/>
      <c r="M82" s="26"/>
      <c r="N82" s="26"/>
      <c r="O82" s="26"/>
      <c r="P82" s="26"/>
      <c r="Q82" s="26"/>
      <c r="R82" s="26"/>
      <c r="S82" s="33"/>
      <c r="T82" s="26"/>
      <c r="U82" s="33"/>
      <c r="V82" s="26"/>
      <c r="W82" s="6"/>
    </row>
    <row r="83" spans="1:24" ht="15.6">
      <c r="A83" s="7"/>
      <c r="B83" s="57" t="s">
        <v>32</v>
      </c>
      <c r="C83" s="14"/>
      <c r="D83" s="14"/>
      <c r="E83" s="14"/>
      <c r="F83" s="14"/>
      <c r="G83" s="14"/>
      <c r="H83" s="14"/>
      <c r="I83" s="14"/>
      <c r="J83" s="14"/>
      <c r="K83" s="14"/>
      <c r="L83" s="14"/>
      <c r="M83" s="14"/>
      <c r="N83" s="14"/>
      <c r="O83" s="14"/>
      <c r="P83" s="14"/>
      <c r="Q83" s="14"/>
      <c r="R83" s="17"/>
      <c r="S83" s="17"/>
      <c r="T83" s="17"/>
      <c r="U83" s="17" t="s">
        <v>121</v>
      </c>
      <c r="V83" s="14"/>
      <c r="W83" s="6"/>
    </row>
    <row r="84" spans="1:24" ht="15.6">
      <c r="A84" s="25"/>
      <c r="B84" s="26" t="s">
        <v>33</v>
      </c>
      <c r="C84" s="26"/>
      <c r="D84" s="26"/>
      <c r="E84" s="26"/>
      <c r="F84" s="26"/>
      <c r="G84" s="26"/>
      <c r="H84" s="26"/>
      <c r="I84" s="26"/>
      <c r="J84" s="26"/>
      <c r="K84" s="26"/>
      <c r="L84" s="26"/>
      <c r="M84" s="26"/>
      <c r="N84" s="26"/>
      <c r="O84" s="59"/>
      <c r="P84" s="26"/>
      <c r="Q84" s="26"/>
      <c r="R84" s="26"/>
      <c r="S84" s="59"/>
      <c r="T84" s="26"/>
      <c r="U84" s="60">
        <v>99066</v>
      </c>
      <c r="V84" s="26"/>
      <c r="W84" s="6"/>
    </row>
    <row r="85" spans="1:24" ht="15.6">
      <c r="A85" s="25"/>
      <c r="B85" s="26" t="s">
        <v>34</v>
      </c>
      <c r="C85" s="47"/>
      <c r="D85" s="47"/>
      <c r="E85" s="47"/>
      <c r="F85" s="47"/>
      <c r="G85" s="47"/>
      <c r="H85" s="47"/>
      <c r="I85" s="47"/>
      <c r="J85" s="47"/>
      <c r="K85" s="47"/>
      <c r="L85" s="47"/>
      <c r="M85" s="51"/>
      <c r="N85" s="26"/>
      <c r="O85" s="26"/>
      <c r="P85" s="26"/>
      <c r="Q85" s="26"/>
      <c r="R85" s="26"/>
      <c r="S85" s="59"/>
      <c r="T85" s="26"/>
      <c r="U85" s="60">
        <f>1184+315+78-26-77</f>
        <v>1474</v>
      </c>
      <c r="V85" s="26"/>
      <c r="W85" s="6"/>
    </row>
    <row r="86" spans="1:24" ht="15.6">
      <c r="A86" s="25"/>
      <c r="B86" s="26" t="s">
        <v>230</v>
      </c>
      <c r="C86" s="26"/>
      <c r="D86" s="26"/>
      <c r="E86" s="26"/>
      <c r="F86" s="26"/>
      <c r="G86" s="26"/>
      <c r="H86" s="26"/>
      <c r="I86" s="26"/>
      <c r="J86" s="26"/>
      <c r="K86" s="26"/>
      <c r="L86" s="26"/>
      <c r="M86" s="26"/>
      <c r="N86" s="26"/>
      <c r="O86" s="26"/>
      <c r="P86" s="26"/>
      <c r="Q86" s="26"/>
      <c r="R86" s="26"/>
      <c r="S86" s="59"/>
      <c r="T86" s="26"/>
      <c r="U86" s="60">
        <v>0</v>
      </c>
      <c r="V86" s="26"/>
      <c r="W86" s="6"/>
      <c r="X86" s="64"/>
    </row>
    <row r="87" spans="1:24" ht="15.6">
      <c r="A87" s="25"/>
      <c r="B87" s="26" t="s">
        <v>231</v>
      </c>
      <c r="C87" s="26"/>
      <c r="D87" s="26"/>
      <c r="E87" s="26"/>
      <c r="F87" s="26"/>
      <c r="G87" s="26"/>
      <c r="H87" s="26"/>
      <c r="I87" s="26"/>
      <c r="J87" s="26"/>
      <c r="K87" s="26"/>
      <c r="L87" s="26"/>
      <c r="M87" s="26"/>
      <c r="N87" s="26"/>
      <c r="O87" s="26"/>
      <c r="P87" s="26"/>
      <c r="Q87" s="26"/>
      <c r="R87" s="26"/>
      <c r="S87" s="59"/>
      <c r="T87" s="26"/>
      <c r="U87" s="60">
        <v>0</v>
      </c>
      <c r="V87" s="26"/>
      <c r="W87" s="6"/>
      <c r="X87" s="64"/>
    </row>
    <row r="88" spans="1:24" ht="15.6">
      <c r="A88" s="25"/>
      <c r="B88" s="26" t="s">
        <v>35</v>
      </c>
      <c r="C88" s="26"/>
      <c r="D88" s="26"/>
      <c r="E88" s="26"/>
      <c r="F88" s="26"/>
      <c r="G88" s="26"/>
      <c r="H88" s="26"/>
      <c r="I88" s="26"/>
      <c r="J88" s="26"/>
      <c r="K88" s="26"/>
      <c r="L88" s="26"/>
      <c r="M88" s="26"/>
      <c r="N88" s="26"/>
      <c r="O88" s="26"/>
      <c r="P88" s="26"/>
      <c r="Q88" s="26"/>
      <c r="R88" s="26"/>
      <c r="S88" s="59"/>
      <c r="T88" s="26"/>
      <c r="U88" s="60">
        <f>SUM(U84:U87)</f>
        <v>100540</v>
      </c>
      <c r="V88" s="26"/>
      <c r="W88" s="6"/>
      <c r="X88" s="64"/>
    </row>
    <row r="89" spans="1:24" ht="15.6">
      <c r="A89" s="25"/>
      <c r="B89" s="26"/>
      <c r="C89" s="26"/>
      <c r="D89" s="26"/>
      <c r="E89" s="26"/>
      <c r="F89" s="26"/>
      <c r="G89" s="26"/>
      <c r="H89" s="26"/>
      <c r="I89" s="26"/>
      <c r="J89" s="26"/>
      <c r="K89" s="26"/>
      <c r="L89" s="26"/>
      <c r="M89" s="26"/>
      <c r="N89" s="26"/>
      <c r="O89" s="26"/>
      <c r="P89" s="26"/>
      <c r="Q89" s="26"/>
      <c r="R89" s="26"/>
      <c r="S89" s="59"/>
      <c r="T89" s="26"/>
      <c r="U89" s="61"/>
      <c r="V89" s="26"/>
      <c r="W89" s="6"/>
    </row>
    <row r="90" spans="1:24" ht="15.6">
      <c r="A90" s="25"/>
      <c r="B90" s="152" t="s">
        <v>36</v>
      </c>
      <c r="C90" s="65"/>
      <c r="D90" s="65"/>
      <c r="E90" s="65"/>
      <c r="F90" s="65"/>
      <c r="G90" s="65"/>
      <c r="H90" s="65"/>
      <c r="I90" s="65"/>
      <c r="J90" s="65"/>
      <c r="K90" s="65"/>
      <c r="L90" s="65"/>
      <c r="M90" s="26"/>
      <c r="N90" s="26"/>
      <c r="O90" s="26"/>
      <c r="P90" s="26"/>
      <c r="Q90" s="26"/>
      <c r="R90" s="26"/>
      <c r="S90" s="59"/>
      <c r="T90" s="26"/>
      <c r="U90" s="60"/>
      <c r="V90" s="26"/>
      <c r="W90" s="6"/>
      <c r="X90" s="64"/>
    </row>
    <row r="91" spans="1:24" ht="15.6">
      <c r="A91" s="25">
        <v>1</v>
      </c>
      <c r="B91" s="26" t="s">
        <v>37</v>
      </c>
      <c r="C91" s="26"/>
      <c r="D91" s="26"/>
      <c r="E91" s="26"/>
      <c r="F91" s="26"/>
      <c r="G91" s="26"/>
      <c r="H91" s="26"/>
      <c r="I91" s="26"/>
      <c r="J91" s="26"/>
      <c r="K91" s="26"/>
      <c r="L91" s="26"/>
      <c r="M91" s="26"/>
      <c r="N91" s="26"/>
      <c r="O91" s="26"/>
      <c r="P91" s="26"/>
      <c r="Q91" s="26"/>
      <c r="R91" s="26"/>
      <c r="S91" s="26"/>
      <c r="T91" s="26"/>
      <c r="U91" s="60">
        <v>-3</v>
      </c>
      <c r="V91" s="26"/>
      <c r="W91" s="6"/>
    </row>
    <row r="92" spans="1:24" ht="15.6">
      <c r="A92" s="25">
        <f>A91+1</f>
        <v>2</v>
      </c>
      <c r="B92" s="26" t="s">
        <v>168</v>
      </c>
      <c r="C92" s="26"/>
      <c r="D92" s="26"/>
      <c r="E92" s="26"/>
      <c r="F92" s="26"/>
      <c r="G92" s="26"/>
      <c r="H92" s="26"/>
      <c r="I92" s="26"/>
      <c r="J92" s="26"/>
      <c r="K92" s="26"/>
      <c r="L92" s="26"/>
      <c r="M92" s="26"/>
      <c r="N92" s="26"/>
      <c r="O92" s="26"/>
      <c r="P92" s="26"/>
      <c r="Q92" s="26"/>
      <c r="R92" s="26"/>
      <c r="S92" s="26"/>
      <c r="T92" s="26"/>
      <c r="U92" s="60">
        <f>-409-166</f>
        <v>-575</v>
      </c>
      <c r="V92" s="26"/>
      <c r="W92" s="6"/>
      <c r="X92" s="64"/>
    </row>
    <row r="93" spans="1:24" ht="15.6">
      <c r="A93" s="25">
        <v>3</v>
      </c>
      <c r="B93" s="26" t="s">
        <v>38</v>
      </c>
      <c r="C93" s="26"/>
      <c r="D93" s="26"/>
      <c r="E93" s="26"/>
      <c r="F93" s="26"/>
      <c r="G93" s="26"/>
      <c r="H93" s="26"/>
      <c r="I93" s="26"/>
      <c r="J93" s="26"/>
      <c r="K93" s="26"/>
      <c r="L93" s="26"/>
      <c r="M93" s="26"/>
      <c r="N93" s="26"/>
      <c r="O93" s="26"/>
      <c r="P93" s="26"/>
      <c r="Q93" s="26"/>
      <c r="R93" s="26"/>
      <c r="S93" s="26"/>
      <c r="T93" s="26"/>
      <c r="U93" s="60">
        <v>-511</v>
      </c>
      <c r="V93" s="26"/>
      <c r="W93" s="6"/>
      <c r="X93" s="64"/>
    </row>
    <row r="94" spans="1:24" ht="15.6">
      <c r="A94" s="177" t="s">
        <v>190</v>
      </c>
      <c r="B94" s="26" t="s">
        <v>169</v>
      </c>
      <c r="C94" s="26"/>
      <c r="D94" s="26"/>
      <c r="E94" s="26"/>
      <c r="F94" s="26"/>
      <c r="G94" s="26"/>
      <c r="H94" s="26"/>
      <c r="I94" s="26"/>
      <c r="J94" s="26"/>
      <c r="K94" s="26"/>
      <c r="L94" s="26"/>
      <c r="M94" s="26"/>
      <c r="N94" s="26"/>
      <c r="O94" s="26"/>
      <c r="P94" s="26"/>
      <c r="Q94" s="26"/>
      <c r="R94" s="26"/>
      <c r="S94" s="26"/>
      <c r="T94" s="26"/>
      <c r="U94" s="60">
        <v>-1774</v>
      </c>
      <c r="V94" s="26"/>
      <c r="W94" s="6"/>
      <c r="X94" s="64"/>
    </row>
    <row r="95" spans="1:24" ht="15.6">
      <c r="A95" s="177" t="s">
        <v>191</v>
      </c>
      <c r="B95" s="26" t="s">
        <v>170</v>
      </c>
      <c r="C95" s="26"/>
      <c r="D95" s="26"/>
      <c r="E95" s="26"/>
      <c r="F95" s="26"/>
      <c r="G95" s="26"/>
      <c r="H95" s="26"/>
      <c r="I95" s="26"/>
      <c r="J95" s="26"/>
      <c r="K95" s="26"/>
      <c r="L95" s="26"/>
      <c r="M95" s="26"/>
      <c r="N95" s="26"/>
      <c r="O95" s="26"/>
      <c r="P95" s="26"/>
      <c r="Q95" s="26"/>
      <c r="R95" s="26"/>
      <c r="S95" s="26"/>
      <c r="T95" s="26"/>
      <c r="U95" s="60">
        <v>-2176</v>
      </c>
      <c r="V95" s="26"/>
      <c r="W95" s="6"/>
    </row>
    <row r="96" spans="1:24" ht="15.6">
      <c r="A96" s="25">
        <v>5</v>
      </c>
      <c r="B96" s="26" t="s">
        <v>171</v>
      </c>
      <c r="C96" s="26"/>
      <c r="D96" s="26"/>
      <c r="E96" s="26"/>
      <c r="F96" s="26"/>
      <c r="G96" s="26"/>
      <c r="H96" s="26"/>
      <c r="I96" s="26"/>
      <c r="J96" s="26"/>
      <c r="K96" s="26"/>
      <c r="L96" s="26"/>
      <c r="M96" s="26"/>
      <c r="N96" s="26"/>
      <c r="O96" s="26"/>
      <c r="P96" s="26"/>
      <c r="Q96" s="26"/>
      <c r="R96" s="26"/>
      <c r="S96" s="26"/>
      <c r="T96" s="26"/>
      <c r="U96" s="60">
        <v>-21</v>
      </c>
      <c r="V96" s="26"/>
      <c r="W96" s="6"/>
    </row>
    <row r="97" spans="1:24" ht="15.6">
      <c r="A97" s="177" t="s">
        <v>174</v>
      </c>
      <c r="B97" s="26" t="s">
        <v>172</v>
      </c>
      <c r="C97" s="26"/>
      <c r="D97" s="26"/>
      <c r="E97" s="26"/>
      <c r="F97" s="26"/>
      <c r="G97" s="26"/>
      <c r="H97" s="26"/>
      <c r="I97" s="26"/>
      <c r="J97" s="26"/>
      <c r="K97" s="26"/>
      <c r="L97" s="26"/>
      <c r="M97" s="26"/>
      <c r="N97" s="26"/>
      <c r="O97" s="26"/>
      <c r="P97" s="26"/>
      <c r="Q97" s="26"/>
      <c r="R97" s="26"/>
      <c r="S97" s="26"/>
      <c r="T97" s="26"/>
      <c r="U97" s="60">
        <v>-199</v>
      </c>
      <c r="V97" s="26"/>
      <c r="W97" s="6"/>
    </row>
    <row r="98" spans="1:24" ht="15.6">
      <c r="A98" s="177" t="s">
        <v>176</v>
      </c>
      <c r="B98" s="26" t="s">
        <v>173</v>
      </c>
      <c r="C98" s="26"/>
      <c r="D98" s="26"/>
      <c r="E98" s="26"/>
      <c r="F98" s="26"/>
      <c r="G98" s="26"/>
      <c r="H98" s="26"/>
      <c r="I98" s="26"/>
      <c r="J98" s="26"/>
      <c r="K98" s="26"/>
      <c r="L98" s="26"/>
      <c r="M98" s="26"/>
      <c r="N98" s="26"/>
      <c r="O98" s="26"/>
      <c r="P98" s="26"/>
      <c r="Q98" s="26"/>
      <c r="R98" s="26"/>
      <c r="S98" s="26"/>
      <c r="T98" s="26"/>
      <c r="U98" s="60">
        <v>-307</v>
      </c>
      <c r="V98" s="26"/>
      <c r="W98" s="6"/>
    </row>
    <row r="99" spans="1:24" ht="15.6">
      <c r="A99" s="177" t="s">
        <v>178</v>
      </c>
      <c r="B99" s="26" t="s">
        <v>175</v>
      </c>
      <c r="C99" s="26"/>
      <c r="D99" s="26"/>
      <c r="E99" s="26"/>
      <c r="F99" s="26"/>
      <c r="G99" s="26"/>
      <c r="H99" s="26"/>
      <c r="I99" s="26"/>
      <c r="J99" s="26"/>
      <c r="K99" s="26"/>
      <c r="L99" s="26"/>
      <c r="M99" s="26"/>
      <c r="N99" s="26"/>
      <c r="O99" s="26"/>
      <c r="P99" s="26"/>
      <c r="Q99" s="26"/>
      <c r="R99" s="26"/>
      <c r="S99" s="26"/>
      <c r="T99" s="26"/>
      <c r="U99" s="60">
        <v>-235</v>
      </c>
      <c r="V99" s="26"/>
      <c r="W99" s="6"/>
    </row>
    <row r="100" spans="1:24" ht="15.6">
      <c r="A100" s="177" t="s">
        <v>180</v>
      </c>
      <c r="B100" s="26" t="s">
        <v>177</v>
      </c>
      <c r="C100" s="26"/>
      <c r="D100" s="26"/>
      <c r="E100" s="26"/>
      <c r="F100" s="26"/>
      <c r="G100" s="26"/>
      <c r="H100" s="26"/>
      <c r="I100" s="26"/>
      <c r="J100" s="26"/>
      <c r="K100" s="26"/>
      <c r="L100" s="26"/>
      <c r="M100" s="26"/>
      <c r="N100" s="26"/>
      <c r="O100" s="26"/>
      <c r="P100" s="26"/>
      <c r="Q100" s="26"/>
      <c r="R100" s="26"/>
      <c r="S100" s="26"/>
      <c r="T100" s="26"/>
      <c r="U100" s="60">
        <v>-296</v>
      </c>
      <c r="V100" s="26"/>
      <c r="W100" s="6"/>
    </row>
    <row r="101" spans="1:24" ht="15.6">
      <c r="A101" s="177" t="s">
        <v>192</v>
      </c>
      <c r="B101" s="26" t="s">
        <v>179</v>
      </c>
      <c r="C101" s="26"/>
      <c r="D101" s="26"/>
      <c r="E101" s="26"/>
      <c r="F101" s="26"/>
      <c r="G101" s="26"/>
      <c r="H101" s="26"/>
      <c r="I101" s="26"/>
      <c r="J101" s="26"/>
      <c r="K101" s="26"/>
      <c r="L101" s="26"/>
      <c r="M101" s="26"/>
      <c r="N101" s="26"/>
      <c r="O101" s="26"/>
      <c r="P101" s="26"/>
      <c r="Q101" s="26"/>
      <c r="R101" s="26"/>
      <c r="S101" s="26"/>
      <c r="T101" s="26"/>
      <c r="U101" s="60">
        <v>-343</v>
      </c>
      <c r="V101" s="26"/>
      <c r="W101" s="6"/>
    </row>
    <row r="102" spans="1:24" ht="15.6">
      <c r="A102" s="177" t="s">
        <v>193</v>
      </c>
      <c r="B102" s="26" t="s">
        <v>181</v>
      </c>
      <c r="C102" s="26"/>
      <c r="D102" s="26"/>
      <c r="E102" s="26"/>
      <c r="F102" s="26"/>
      <c r="G102" s="26"/>
      <c r="H102" s="26"/>
      <c r="I102" s="26"/>
      <c r="J102" s="26"/>
      <c r="K102" s="26"/>
      <c r="L102" s="26"/>
      <c r="M102" s="26"/>
      <c r="N102" s="26"/>
      <c r="O102" s="26"/>
      <c r="P102" s="26"/>
      <c r="Q102" s="26"/>
      <c r="R102" s="26"/>
      <c r="S102" s="26"/>
      <c r="T102" s="26"/>
      <c r="U102" s="60">
        <v>-289</v>
      </c>
      <c r="V102" s="26"/>
      <c r="W102" s="6"/>
    </row>
    <row r="103" spans="1:24" ht="15.6">
      <c r="A103" s="25">
        <v>9</v>
      </c>
      <c r="B103" s="26" t="s">
        <v>182</v>
      </c>
      <c r="C103" s="26"/>
      <c r="D103" s="26"/>
      <c r="E103" s="26"/>
      <c r="F103" s="26"/>
      <c r="G103" s="26"/>
      <c r="H103" s="26"/>
      <c r="I103" s="26"/>
      <c r="J103" s="26"/>
      <c r="K103" s="26"/>
      <c r="L103" s="26"/>
      <c r="M103" s="26"/>
      <c r="N103" s="26"/>
      <c r="O103" s="26"/>
      <c r="P103" s="26"/>
      <c r="Q103" s="26"/>
      <c r="R103" s="26"/>
      <c r="S103" s="26"/>
      <c r="T103" s="26"/>
      <c r="U103" s="60">
        <f>+S219-U32</f>
        <v>-49852</v>
      </c>
      <c r="V103" s="26"/>
      <c r="W103" s="6"/>
      <c r="X103" s="182"/>
    </row>
    <row r="104" spans="1:24" ht="15.6">
      <c r="A104" s="25">
        <v>10</v>
      </c>
      <c r="B104" s="26" t="s">
        <v>234</v>
      </c>
      <c r="C104" s="26"/>
      <c r="D104" s="26"/>
      <c r="E104" s="26"/>
      <c r="F104" s="26"/>
      <c r="G104" s="26"/>
      <c r="H104" s="26"/>
      <c r="I104" s="26"/>
      <c r="J104" s="26"/>
      <c r="K104" s="26"/>
      <c r="L104" s="26"/>
      <c r="M104" s="26"/>
      <c r="N104" s="26"/>
      <c r="O104" s="26"/>
      <c r="P104" s="26"/>
      <c r="Q104" s="26"/>
      <c r="R104" s="26"/>
      <c r="S104" s="26"/>
      <c r="T104" s="26"/>
      <c r="U104" s="60">
        <v>-40500</v>
      </c>
      <c r="V104" s="26"/>
      <c r="W104" s="6"/>
      <c r="X104" s="64"/>
    </row>
    <row r="105" spans="1:24" ht="15.6">
      <c r="A105" s="25">
        <v>11</v>
      </c>
      <c r="B105" s="26" t="s">
        <v>183</v>
      </c>
      <c r="C105" s="26"/>
      <c r="D105" s="26"/>
      <c r="E105" s="26"/>
      <c r="F105" s="26"/>
      <c r="G105" s="26"/>
      <c r="H105" s="26"/>
      <c r="I105" s="26"/>
      <c r="J105" s="26"/>
      <c r="K105" s="26"/>
      <c r="L105" s="26"/>
      <c r="M105" s="26"/>
      <c r="N105" s="26"/>
      <c r="O105" s="26"/>
      <c r="P105" s="26"/>
      <c r="Q105" s="26"/>
      <c r="R105" s="26"/>
      <c r="S105" s="26"/>
      <c r="T105" s="26"/>
      <c r="U105" s="60">
        <v>0</v>
      </c>
      <c r="V105" s="26"/>
      <c r="W105" s="6"/>
      <c r="X105" s="64"/>
    </row>
    <row r="106" spans="1:24" ht="15.6">
      <c r="A106" s="25">
        <v>12</v>
      </c>
      <c r="B106" s="26" t="s">
        <v>184</v>
      </c>
      <c r="C106" s="26"/>
      <c r="D106" s="26"/>
      <c r="E106" s="26"/>
      <c r="F106" s="26"/>
      <c r="G106" s="26"/>
      <c r="H106" s="26"/>
      <c r="I106" s="26"/>
      <c r="J106" s="26"/>
      <c r="K106" s="26"/>
      <c r="L106" s="26"/>
      <c r="M106" s="26"/>
      <c r="N106" s="26"/>
      <c r="O106" s="26"/>
      <c r="P106" s="26"/>
      <c r="Q106" s="26"/>
      <c r="R106" s="26"/>
      <c r="S106" s="26"/>
      <c r="T106" s="26"/>
      <c r="U106" s="60">
        <v>-460</v>
      </c>
      <c r="V106" s="26"/>
      <c r="W106" s="6"/>
      <c r="X106" s="182"/>
    </row>
    <row r="107" spans="1:24" ht="15.6">
      <c r="A107" s="25">
        <v>13</v>
      </c>
      <c r="B107" s="26" t="s">
        <v>40</v>
      </c>
      <c r="C107" s="26"/>
      <c r="D107" s="26"/>
      <c r="E107" s="26"/>
      <c r="F107" s="26"/>
      <c r="G107" s="26"/>
      <c r="H107" s="26"/>
      <c r="I107" s="26"/>
      <c r="J107" s="26"/>
      <c r="K107" s="26"/>
      <c r="L107" s="26"/>
      <c r="M107" s="26"/>
      <c r="N107" s="26"/>
      <c r="O107" s="26"/>
      <c r="P107" s="26"/>
      <c r="Q107" s="26"/>
      <c r="R107" s="26"/>
      <c r="S107" s="26"/>
      <c r="T107" s="26"/>
      <c r="U107" s="60">
        <f>-SUM(U88:U106)</f>
        <v>-2999</v>
      </c>
      <c r="V107" s="26"/>
      <c r="W107" s="6"/>
      <c r="X107" s="182"/>
    </row>
    <row r="108" spans="1:24" ht="15.6">
      <c r="A108" s="25"/>
      <c r="B108" s="29"/>
      <c r="C108" s="26"/>
      <c r="D108" s="26"/>
      <c r="E108" s="26"/>
      <c r="F108" s="26"/>
      <c r="G108" s="26"/>
      <c r="H108" s="26"/>
      <c r="I108" s="26"/>
      <c r="J108" s="26"/>
      <c r="K108" s="26"/>
      <c r="L108" s="26"/>
      <c r="M108" s="26"/>
      <c r="N108" s="26"/>
      <c r="O108" s="26"/>
      <c r="P108" s="26"/>
      <c r="Q108" s="26"/>
      <c r="R108" s="26"/>
      <c r="S108" s="59"/>
      <c r="T108" s="59"/>
      <c r="U108" s="59"/>
      <c r="V108" s="26"/>
      <c r="W108" s="6"/>
    </row>
    <row r="109" spans="1:24" ht="15.6">
      <c r="A109" s="7"/>
      <c r="B109" s="12"/>
      <c r="C109" s="9"/>
      <c r="D109" s="9"/>
      <c r="E109" s="9"/>
      <c r="F109" s="9"/>
      <c r="G109" s="9"/>
      <c r="H109" s="9"/>
      <c r="I109" s="9"/>
      <c r="J109" s="9"/>
      <c r="K109" s="9"/>
      <c r="L109" s="9"/>
      <c r="M109" s="9"/>
      <c r="N109" s="9"/>
      <c r="O109" s="9"/>
      <c r="P109" s="9"/>
      <c r="Q109" s="9"/>
      <c r="R109" s="9"/>
      <c r="S109" s="66"/>
      <c r="T109" s="66"/>
      <c r="U109" s="66"/>
      <c r="V109" s="9"/>
      <c r="W109" s="6"/>
    </row>
    <row r="110" spans="1:24" ht="16.2" thickBot="1">
      <c r="A110" s="130"/>
      <c r="B110" s="131" t="str">
        <f>+B59</f>
        <v>PPAF3 INVESTOR REPORT QUARTER ENDING MARCH 2006</v>
      </c>
      <c r="C110" s="132"/>
      <c r="D110" s="132"/>
      <c r="E110" s="132"/>
      <c r="F110" s="132"/>
      <c r="G110" s="132"/>
      <c r="H110" s="132"/>
      <c r="I110" s="132"/>
      <c r="J110" s="132"/>
      <c r="K110" s="132"/>
      <c r="L110" s="132"/>
      <c r="M110" s="132"/>
      <c r="N110" s="132"/>
      <c r="O110" s="132"/>
      <c r="P110" s="132"/>
      <c r="Q110" s="132"/>
      <c r="R110" s="132"/>
      <c r="S110" s="135"/>
      <c r="T110" s="135"/>
      <c r="U110" s="135"/>
      <c r="V110" s="134"/>
      <c r="W110" s="6"/>
    </row>
    <row r="111" spans="1:24" ht="15.6">
      <c r="A111" s="2"/>
      <c r="B111" s="5"/>
      <c r="C111" s="5"/>
      <c r="D111" s="5"/>
      <c r="E111" s="5"/>
      <c r="F111" s="5"/>
      <c r="G111" s="5"/>
      <c r="H111" s="5"/>
      <c r="I111" s="5"/>
      <c r="J111" s="5"/>
      <c r="K111" s="5"/>
      <c r="L111" s="5"/>
      <c r="M111" s="5"/>
      <c r="N111" s="5"/>
      <c r="O111" s="5"/>
      <c r="P111" s="5"/>
      <c r="Q111" s="5"/>
      <c r="R111" s="5"/>
      <c r="S111" s="67"/>
      <c r="T111" s="67"/>
      <c r="U111" s="67"/>
      <c r="V111" s="5"/>
      <c r="W111" s="6"/>
    </row>
    <row r="112" spans="1:24" ht="15.6">
      <c r="A112" s="68"/>
      <c r="B112" s="69" t="s">
        <v>41</v>
      </c>
      <c r="C112" s="70"/>
      <c r="D112" s="70"/>
      <c r="E112" s="70"/>
      <c r="F112" s="70"/>
      <c r="G112" s="70"/>
      <c r="H112" s="70"/>
      <c r="I112" s="70"/>
      <c r="J112" s="70"/>
      <c r="K112" s="70"/>
      <c r="L112" s="70"/>
      <c r="M112" s="70"/>
      <c r="N112" s="70"/>
      <c r="O112" s="70"/>
      <c r="P112" s="70"/>
      <c r="Q112" s="70"/>
      <c r="R112" s="70"/>
      <c r="S112" s="70"/>
      <c r="T112" s="70"/>
      <c r="U112" s="71"/>
      <c r="V112" s="72"/>
      <c r="W112" s="6"/>
    </row>
    <row r="113" spans="1:23" ht="15.6">
      <c r="A113" s="68"/>
      <c r="B113" s="70"/>
      <c r="C113" s="70"/>
      <c r="D113" s="70"/>
      <c r="E113" s="70"/>
      <c r="F113" s="70"/>
      <c r="G113" s="70"/>
      <c r="H113" s="70"/>
      <c r="I113" s="70"/>
      <c r="J113" s="70"/>
      <c r="K113" s="70"/>
      <c r="L113" s="70"/>
      <c r="M113" s="70"/>
      <c r="N113" s="70"/>
      <c r="O113" s="70"/>
      <c r="P113" s="70"/>
      <c r="Q113" s="70"/>
      <c r="R113" s="70"/>
      <c r="S113" s="70"/>
      <c r="T113" s="70"/>
      <c r="U113" s="71"/>
      <c r="V113" s="70"/>
      <c r="W113" s="6"/>
    </row>
    <row r="114" spans="1:23" ht="15.6">
      <c r="A114" s="7"/>
      <c r="B114" s="153" t="s">
        <v>42</v>
      </c>
      <c r="C114" s="13"/>
      <c r="D114" s="13"/>
      <c r="E114" s="13"/>
      <c r="F114" s="13"/>
      <c r="G114" s="13"/>
      <c r="H114" s="13"/>
      <c r="I114" s="13"/>
      <c r="J114" s="13"/>
      <c r="K114" s="13"/>
      <c r="L114" s="13"/>
      <c r="M114" s="9"/>
      <c r="N114" s="9"/>
      <c r="O114" s="9"/>
      <c r="P114" s="9"/>
      <c r="Q114" s="9"/>
      <c r="R114" s="9"/>
      <c r="S114" s="9"/>
      <c r="T114" s="9"/>
      <c r="U114" s="58"/>
      <c r="V114" s="9"/>
      <c r="W114" s="6"/>
    </row>
    <row r="115" spans="1:23" ht="15.6">
      <c r="A115" s="25"/>
      <c r="B115" s="26" t="s">
        <v>43</v>
      </c>
      <c r="C115" s="26"/>
      <c r="D115" s="26"/>
      <c r="E115" s="26"/>
      <c r="F115" s="26"/>
      <c r="G115" s="26"/>
      <c r="H115" s="26"/>
      <c r="I115" s="26"/>
      <c r="J115" s="26"/>
      <c r="K115" s="26"/>
      <c r="L115" s="26"/>
      <c r="M115" s="26"/>
      <c r="N115" s="26"/>
      <c r="O115" s="26"/>
      <c r="P115" s="26"/>
      <c r="Q115" s="26"/>
      <c r="R115" s="26"/>
      <c r="S115" s="26"/>
      <c r="T115" s="26"/>
      <c r="U115" s="60">
        <v>40500</v>
      </c>
      <c r="V115" s="26"/>
      <c r="W115" s="6"/>
    </row>
    <row r="116" spans="1:23" ht="15.6">
      <c r="A116" s="25"/>
      <c r="B116" s="26" t="s">
        <v>208</v>
      </c>
      <c r="C116" s="26"/>
      <c r="D116" s="26"/>
      <c r="E116" s="26"/>
      <c r="F116" s="26"/>
      <c r="G116" s="26"/>
      <c r="H116" s="26"/>
      <c r="I116" s="26"/>
      <c r="J116" s="26"/>
      <c r="K116" s="26"/>
      <c r="L116" s="26"/>
      <c r="M116" s="26"/>
      <c r="N116" s="26"/>
      <c r="O116" s="26"/>
      <c r="P116" s="26"/>
      <c r="Q116" s="26"/>
      <c r="R116" s="26"/>
      <c r="S116" s="26"/>
      <c r="T116" s="26"/>
      <c r="U116" s="60">
        <v>0</v>
      </c>
      <c r="V116" s="26"/>
      <c r="W116" s="6"/>
    </row>
    <row r="117" spans="1:23" ht="15.6">
      <c r="A117" s="25"/>
      <c r="B117" s="26" t="s">
        <v>44</v>
      </c>
      <c r="C117" s="26"/>
      <c r="D117" s="26"/>
      <c r="E117" s="26"/>
      <c r="F117" s="26"/>
      <c r="G117" s="26"/>
      <c r="H117" s="26"/>
      <c r="I117" s="26"/>
      <c r="J117" s="26"/>
      <c r="K117" s="26"/>
      <c r="L117" s="26"/>
      <c r="M117" s="26"/>
      <c r="N117" s="26"/>
      <c r="O117" s="26"/>
      <c r="P117" s="26"/>
      <c r="Q117" s="26"/>
      <c r="R117" s="26"/>
      <c r="S117" s="26"/>
      <c r="T117" s="26"/>
      <c r="U117" s="60">
        <v>0</v>
      </c>
      <c r="V117" s="26"/>
      <c r="W117" s="6"/>
    </row>
    <row r="118" spans="1:23" ht="15.6">
      <c r="A118" s="25"/>
      <c r="B118" s="26" t="s">
        <v>209</v>
      </c>
      <c r="C118" s="26"/>
      <c r="D118" s="26"/>
      <c r="E118" s="26"/>
      <c r="F118" s="26"/>
      <c r="G118" s="26"/>
      <c r="H118" s="26"/>
      <c r="I118" s="26"/>
      <c r="J118" s="26"/>
      <c r="K118" s="26"/>
      <c r="L118" s="26"/>
      <c r="M118" s="26"/>
      <c r="N118" s="26"/>
      <c r="O118" s="26"/>
      <c r="P118" s="26"/>
      <c r="Q118" s="26"/>
      <c r="R118" s="26"/>
      <c r="S118" s="26"/>
      <c r="T118" s="26"/>
      <c r="U118" s="60">
        <v>0</v>
      </c>
      <c r="V118" s="26"/>
      <c r="W118" s="6"/>
    </row>
    <row r="119" spans="1:23" ht="15.6">
      <c r="A119" s="25"/>
      <c r="B119" s="26" t="s">
        <v>210</v>
      </c>
      <c r="C119" s="26"/>
      <c r="D119" s="26"/>
      <c r="E119" s="26"/>
      <c r="F119" s="26"/>
      <c r="G119" s="26"/>
      <c r="H119" s="26"/>
      <c r="I119" s="26"/>
      <c r="J119" s="26"/>
      <c r="K119" s="26"/>
      <c r="L119" s="26"/>
      <c r="M119" s="26"/>
      <c r="N119" s="26"/>
      <c r="O119" s="26"/>
      <c r="P119" s="26"/>
      <c r="Q119" s="26"/>
      <c r="R119" s="26"/>
      <c r="S119" s="26"/>
      <c r="T119" s="26"/>
      <c r="U119" s="60">
        <v>0</v>
      </c>
      <c r="V119" s="26"/>
      <c r="W119" s="6"/>
    </row>
    <row r="120" spans="1:23" ht="15.6">
      <c r="A120" s="25"/>
      <c r="B120" s="26" t="s">
        <v>211</v>
      </c>
      <c r="C120" s="26"/>
      <c r="D120" s="26"/>
      <c r="E120" s="26"/>
      <c r="F120" s="26"/>
      <c r="G120" s="26"/>
      <c r="H120" s="26"/>
      <c r="I120" s="26"/>
      <c r="J120" s="26"/>
      <c r="K120" s="26"/>
      <c r="L120" s="26"/>
      <c r="M120" s="26"/>
      <c r="N120" s="26"/>
      <c r="O120" s="26"/>
      <c r="P120" s="26"/>
      <c r="Q120" s="26"/>
      <c r="R120" s="26"/>
      <c r="S120" s="26"/>
      <c r="T120" s="26"/>
      <c r="U120" s="60">
        <v>0</v>
      </c>
      <c r="V120" s="26"/>
      <c r="W120" s="6"/>
    </row>
    <row r="121" spans="1:23" ht="15.6">
      <c r="A121" s="25"/>
      <c r="B121" s="26" t="s">
        <v>212</v>
      </c>
      <c r="C121" s="26"/>
      <c r="D121" s="26"/>
      <c r="E121" s="26"/>
      <c r="F121" s="26"/>
      <c r="G121" s="26"/>
      <c r="H121" s="26"/>
      <c r="I121" s="26"/>
      <c r="J121" s="26"/>
      <c r="K121" s="26"/>
      <c r="L121" s="26"/>
      <c r="M121" s="26"/>
      <c r="N121" s="26"/>
      <c r="O121" s="26"/>
      <c r="P121" s="26"/>
      <c r="Q121" s="26"/>
      <c r="R121" s="26"/>
      <c r="S121" s="26"/>
      <c r="T121" s="26"/>
      <c r="U121" s="60">
        <v>0</v>
      </c>
      <c r="V121" s="26"/>
      <c r="W121" s="6"/>
    </row>
    <row r="122" spans="1:23" ht="15.6">
      <c r="A122" s="25"/>
      <c r="B122" s="26" t="s">
        <v>45</v>
      </c>
      <c r="C122" s="26"/>
      <c r="D122" s="26"/>
      <c r="E122" s="26"/>
      <c r="F122" s="26"/>
      <c r="G122" s="26"/>
      <c r="H122" s="26"/>
      <c r="I122" s="26"/>
      <c r="J122" s="26"/>
      <c r="K122" s="26"/>
      <c r="L122" s="26"/>
      <c r="M122" s="26"/>
      <c r="N122" s="26"/>
      <c r="O122" s="26"/>
      <c r="P122" s="26"/>
      <c r="Q122" s="26"/>
      <c r="R122" s="26"/>
      <c r="S122" s="26"/>
      <c r="T122" s="26"/>
      <c r="U122" s="60">
        <f>+U115-U116-U117-U118-U119-U120-U121</f>
        <v>40500</v>
      </c>
      <c r="V122" s="26"/>
      <c r="W122" s="6"/>
    </row>
    <row r="123" spans="1:23" ht="15.6">
      <c r="A123" s="25"/>
      <c r="B123" s="26"/>
      <c r="C123" s="26"/>
      <c r="D123" s="26"/>
      <c r="E123" s="26"/>
      <c r="F123" s="26"/>
      <c r="G123" s="26"/>
      <c r="H123" s="26"/>
      <c r="I123" s="26"/>
      <c r="J123" s="26"/>
      <c r="K123" s="26"/>
      <c r="L123" s="26"/>
      <c r="M123" s="26"/>
      <c r="N123" s="26"/>
      <c r="O123" s="26"/>
      <c r="P123" s="26"/>
      <c r="Q123" s="26"/>
      <c r="R123" s="26"/>
      <c r="S123" s="26"/>
      <c r="T123" s="26"/>
      <c r="U123" s="73"/>
      <c r="V123" s="26"/>
      <c r="W123" s="6"/>
    </row>
    <row r="124" spans="1:23" ht="15.6">
      <c r="A124" s="7"/>
      <c r="B124" s="153" t="s">
        <v>46</v>
      </c>
      <c r="C124" s="13"/>
      <c r="D124" s="13"/>
      <c r="E124" s="13"/>
      <c r="F124" s="13"/>
      <c r="G124" s="13"/>
      <c r="H124" s="13"/>
      <c r="I124" s="13"/>
      <c r="J124" s="13"/>
      <c r="K124" s="13"/>
      <c r="L124" s="13"/>
      <c r="M124" s="9"/>
      <c r="N124" s="9"/>
      <c r="O124" s="9"/>
      <c r="P124" s="188"/>
      <c r="Q124" s="9"/>
      <c r="R124" s="9"/>
      <c r="S124" s="9"/>
      <c r="T124" s="9"/>
      <c r="U124" s="75"/>
      <c r="V124" s="9"/>
      <c r="W124" s="6"/>
    </row>
    <row r="125" spans="1:23" ht="15.6">
      <c r="A125" s="7"/>
      <c r="B125" s="13"/>
      <c r="C125" s="17" t="s">
        <v>185</v>
      </c>
      <c r="D125" s="17"/>
      <c r="E125" s="17" t="s">
        <v>99</v>
      </c>
      <c r="F125" s="17"/>
      <c r="G125" s="17" t="s">
        <v>102</v>
      </c>
      <c r="H125" s="17"/>
      <c r="I125" s="17" t="s">
        <v>108</v>
      </c>
      <c r="J125" s="17"/>
      <c r="K125" s="17"/>
      <c r="L125" s="17"/>
      <c r="M125" s="17"/>
      <c r="N125" s="17"/>
      <c r="O125" s="17"/>
      <c r="P125" s="188"/>
      <c r="Q125" s="188"/>
      <c r="R125" s="9"/>
      <c r="S125" s="9"/>
      <c r="T125" s="9"/>
      <c r="U125" s="75"/>
      <c r="V125" s="9"/>
      <c r="W125" s="6"/>
    </row>
    <row r="126" spans="1:23" ht="15.6">
      <c r="A126" s="25"/>
      <c r="B126" s="26" t="s">
        <v>122</v>
      </c>
      <c r="C126" s="59">
        <f>+N199-'Dec 05'!N199</f>
        <v>941</v>
      </c>
      <c r="D126" s="26"/>
      <c r="E126" s="59">
        <f>+S199-'Dec 05'!S199</f>
        <v>82</v>
      </c>
      <c r="F126" s="26"/>
      <c r="G126" s="59">
        <f>+N212-'Dec 05'!N212</f>
        <v>427</v>
      </c>
      <c r="H126" s="26"/>
      <c r="I126" s="59">
        <f>+S212-'Dec 05'!S212</f>
        <v>119</v>
      </c>
      <c r="J126" s="26"/>
      <c r="K126" s="26"/>
      <c r="L126" s="26"/>
      <c r="M126" s="26"/>
      <c r="N126" s="26"/>
      <c r="O126" s="26"/>
      <c r="P126" s="189"/>
      <c r="Q126" s="189"/>
      <c r="R126" s="26"/>
      <c r="S126" s="26"/>
      <c r="T126" s="26"/>
      <c r="U126" s="60">
        <f>SUM(C126:I126)</f>
        <v>1569</v>
      </c>
      <c r="V126" s="26"/>
      <c r="W126" s="6"/>
    </row>
    <row r="127" spans="1:23" ht="15.6">
      <c r="A127" s="25"/>
      <c r="B127" s="26" t="s">
        <v>47</v>
      </c>
      <c r="C127" s="26">
        <v>630</v>
      </c>
      <c r="D127" s="26"/>
      <c r="E127" s="26">
        <v>0</v>
      </c>
      <c r="F127" s="26"/>
      <c r="G127" s="26">
        <v>457</v>
      </c>
      <c r="H127" s="26"/>
      <c r="I127" s="59">
        <v>1914</v>
      </c>
      <c r="J127" s="26"/>
      <c r="K127" s="26"/>
      <c r="L127" s="26"/>
      <c r="M127" s="26"/>
      <c r="N127" s="26"/>
      <c r="O127" s="26"/>
      <c r="P127" s="189"/>
      <c r="Q127" s="189"/>
      <c r="R127" s="26"/>
      <c r="S127" s="26"/>
      <c r="T127" s="26"/>
      <c r="U127" s="60">
        <f>SUM(C127:I127)</f>
        <v>3001</v>
      </c>
      <c r="V127" s="26"/>
      <c r="W127" s="6"/>
    </row>
    <row r="128" spans="1:23" ht="15.6">
      <c r="A128" s="25"/>
      <c r="B128" s="26" t="s">
        <v>48</v>
      </c>
      <c r="C128" s="26"/>
      <c r="D128" s="26"/>
      <c r="E128" s="26"/>
      <c r="F128" s="26"/>
      <c r="G128" s="26"/>
      <c r="H128" s="26"/>
      <c r="I128" s="26"/>
      <c r="J128" s="26"/>
      <c r="K128" s="26"/>
      <c r="L128" s="26"/>
      <c r="M128" s="26"/>
      <c r="N128" s="26"/>
      <c r="O128" s="26"/>
      <c r="P128" s="26"/>
      <c r="Q128" s="26"/>
      <c r="R128" s="26"/>
      <c r="S128" s="26"/>
      <c r="T128" s="26"/>
      <c r="U128" s="60">
        <f>SUM(U126:U127)</f>
        <v>4570</v>
      </c>
      <c r="V128" s="26"/>
      <c r="W128" s="6"/>
    </row>
    <row r="129" spans="1:25" ht="15.6">
      <c r="A129" s="7"/>
      <c r="B129" s="153" t="s">
        <v>49</v>
      </c>
      <c r="C129" s="13"/>
      <c r="D129" s="13"/>
      <c r="E129" s="13"/>
      <c r="F129" s="13"/>
      <c r="G129" s="13"/>
      <c r="H129" s="13"/>
      <c r="I129" s="13"/>
      <c r="J129" s="13"/>
      <c r="K129" s="13"/>
      <c r="L129" s="13"/>
      <c r="M129" s="9"/>
      <c r="N129" s="9"/>
      <c r="O129" s="9"/>
      <c r="P129" s="9"/>
      <c r="Q129" s="9"/>
      <c r="R129" s="9"/>
      <c r="S129" s="9"/>
      <c r="T129" s="9"/>
      <c r="U129" s="58"/>
      <c r="V129" s="9"/>
      <c r="W129" s="6"/>
    </row>
    <row r="130" spans="1:25" ht="15.6">
      <c r="A130" s="25"/>
      <c r="B130" s="26" t="s">
        <v>50</v>
      </c>
      <c r="C130" s="77"/>
      <c r="D130" s="77"/>
      <c r="E130" s="77"/>
      <c r="F130" s="77"/>
      <c r="G130" s="77"/>
      <c r="H130" s="77"/>
      <c r="I130" s="77"/>
      <c r="J130" s="77"/>
      <c r="K130" s="77"/>
      <c r="L130" s="77"/>
      <c r="M130" s="26"/>
      <c r="N130" s="26"/>
      <c r="O130" s="26"/>
      <c r="P130" s="26"/>
      <c r="Q130" s="26"/>
      <c r="R130" s="26"/>
      <c r="S130" s="26"/>
      <c r="T130" s="26"/>
      <c r="U130" s="60">
        <f>U76+U78</f>
        <v>400149</v>
      </c>
      <c r="V130" s="26"/>
      <c r="W130" s="6"/>
      <c r="X130" s="182"/>
    </row>
    <row r="131" spans="1:25" ht="15.6">
      <c r="A131" s="25"/>
      <c r="B131" s="26" t="s">
        <v>51</v>
      </c>
      <c r="C131" s="77"/>
      <c r="D131" s="77"/>
      <c r="E131" s="77"/>
      <c r="F131" s="77"/>
      <c r="G131" s="77"/>
      <c r="H131" s="77"/>
      <c r="I131" s="77"/>
      <c r="J131" s="77"/>
      <c r="K131" s="77"/>
      <c r="L131" s="77"/>
      <c r="M131" s="26"/>
      <c r="N131" s="26"/>
      <c r="O131" s="26"/>
      <c r="P131" s="26"/>
      <c r="Q131" s="26"/>
      <c r="R131" s="26"/>
      <c r="S131" s="26"/>
      <c r="T131" s="26"/>
      <c r="U131" s="60">
        <f>U79</f>
        <v>49851</v>
      </c>
      <c r="V131" s="26"/>
      <c r="W131" s="6"/>
      <c r="Y131" s="182"/>
    </row>
    <row r="132" spans="1:25" ht="15.6">
      <c r="A132" s="25"/>
      <c r="B132" s="26" t="s">
        <v>52</v>
      </c>
      <c r="C132" s="77"/>
      <c r="D132" s="77"/>
      <c r="E132" s="77"/>
      <c r="F132" s="77"/>
      <c r="G132" s="77"/>
      <c r="H132" s="77"/>
      <c r="I132" s="77"/>
      <c r="J132" s="77"/>
      <c r="K132" s="77"/>
      <c r="L132" s="77"/>
      <c r="M132" s="26"/>
      <c r="N132" s="26"/>
      <c r="O132" s="26"/>
      <c r="P132" s="26"/>
      <c r="Q132" s="26"/>
      <c r="R132" s="26"/>
      <c r="S132" s="26"/>
      <c r="T132" s="26"/>
      <c r="U132" s="60">
        <f>+U130+U131</f>
        <v>450000</v>
      </c>
      <c r="V132" s="26"/>
      <c r="W132" s="6"/>
    </row>
    <row r="133" spans="1:25" ht="15.6">
      <c r="A133" s="25"/>
      <c r="B133" s="26" t="s">
        <v>53</v>
      </c>
      <c r="C133" s="77"/>
      <c r="D133" s="77"/>
      <c r="E133" s="77"/>
      <c r="F133" s="77"/>
      <c r="G133" s="77"/>
      <c r="H133" s="77"/>
      <c r="I133" s="77"/>
      <c r="J133" s="77"/>
      <c r="K133" s="77"/>
      <c r="L133" s="77"/>
      <c r="M133" s="26"/>
      <c r="N133" s="26"/>
      <c r="O133" s="26"/>
      <c r="P133" s="26"/>
      <c r="Q133" s="26"/>
      <c r="R133" s="26"/>
      <c r="S133" s="26"/>
      <c r="T133" s="26"/>
      <c r="U133" s="60">
        <f>U81</f>
        <v>450000</v>
      </c>
      <c r="V133" s="26"/>
      <c r="W133" s="6"/>
      <c r="X133" s="64"/>
    </row>
    <row r="134" spans="1:25" ht="15.6">
      <c r="A134" s="25"/>
      <c r="B134" s="26"/>
      <c r="C134" s="26"/>
      <c r="D134" s="26"/>
      <c r="E134" s="26"/>
      <c r="F134" s="26"/>
      <c r="G134" s="26"/>
      <c r="H134" s="26"/>
      <c r="I134" s="26"/>
      <c r="J134" s="26"/>
      <c r="K134" s="26"/>
      <c r="L134" s="26"/>
      <c r="M134" s="26"/>
      <c r="N134" s="26"/>
      <c r="O134" s="26"/>
      <c r="P134" s="26"/>
      <c r="Q134" s="26"/>
      <c r="R134" s="26"/>
      <c r="S134" s="26"/>
      <c r="T134" s="26"/>
      <c r="U134" s="78"/>
      <c r="V134" s="26"/>
      <c r="W134" s="6"/>
    </row>
    <row r="135" spans="1:25" ht="15.6">
      <c r="A135" s="7"/>
      <c r="B135" s="153" t="s">
        <v>54</v>
      </c>
      <c r="C135" s="141"/>
      <c r="D135" s="141"/>
      <c r="E135" s="141"/>
      <c r="F135" s="141"/>
      <c r="G135" s="141"/>
      <c r="H135" s="141"/>
      <c r="I135" s="141"/>
      <c r="J135" s="141"/>
      <c r="K135" s="141"/>
      <c r="L135" s="141"/>
      <c r="M135" s="141"/>
      <c r="N135" s="141"/>
      <c r="O135" s="141"/>
      <c r="P135" s="141"/>
      <c r="Q135" s="142" t="s">
        <v>112</v>
      </c>
      <c r="R135" s="154"/>
      <c r="S135" s="142" t="s">
        <v>114</v>
      </c>
      <c r="T135" s="141"/>
      <c r="U135" s="155" t="s">
        <v>90</v>
      </c>
      <c r="V135" s="9"/>
      <c r="W135" s="6"/>
    </row>
    <row r="136" spans="1:25" ht="15.6">
      <c r="A136" s="25"/>
      <c r="B136" s="26" t="s">
        <v>55</v>
      </c>
      <c r="C136" s="26"/>
      <c r="D136" s="26"/>
      <c r="E136" s="26"/>
      <c r="F136" s="26"/>
      <c r="G136" s="26"/>
      <c r="H136" s="26"/>
      <c r="I136" s="26"/>
      <c r="J136" s="26"/>
      <c r="K136" s="26"/>
      <c r="L136" s="26"/>
      <c r="M136" s="26"/>
      <c r="N136" s="26"/>
      <c r="O136" s="26"/>
      <c r="P136" s="26"/>
      <c r="Q136" s="60">
        <v>0</v>
      </c>
      <c r="R136" s="26"/>
      <c r="S136" s="79" t="s">
        <v>115</v>
      </c>
      <c r="T136" s="26"/>
      <c r="U136" s="60">
        <f>Q136</f>
        <v>0</v>
      </c>
      <c r="V136" s="26"/>
      <c r="W136" s="6"/>
    </row>
    <row r="137" spans="1:25" ht="15.6">
      <c r="A137" s="25"/>
      <c r="B137" s="26" t="s">
        <v>56</v>
      </c>
      <c r="C137" s="26"/>
      <c r="D137" s="26"/>
      <c r="E137" s="26"/>
      <c r="F137" s="26"/>
      <c r="G137" s="26"/>
      <c r="H137" s="26"/>
      <c r="I137" s="26"/>
      <c r="J137" s="26"/>
      <c r="K137" s="26"/>
      <c r="L137" s="26"/>
      <c r="M137" s="26"/>
      <c r="N137" s="26"/>
      <c r="O137" s="26"/>
      <c r="P137" s="26"/>
      <c r="Q137" s="60">
        <f>+'Dec 05'!Q139</f>
        <v>603</v>
      </c>
      <c r="R137" s="26"/>
      <c r="S137" s="79" t="s">
        <v>115</v>
      </c>
      <c r="T137" s="26"/>
      <c r="U137" s="60">
        <f>Q137</f>
        <v>603</v>
      </c>
      <c r="V137" s="26"/>
      <c r="W137" s="6"/>
    </row>
    <row r="138" spans="1:25" ht="15.6">
      <c r="A138" s="25"/>
      <c r="B138" s="26" t="s">
        <v>57</v>
      </c>
      <c r="C138" s="26"/>
      <c r="D138" s="26"/>
      <c r="E138" s="26"/>
      <c r="F138" s="26"/>
      <c r="G138" s="26"/>
      <c r="H138" s="26"/>
      <c r="I138" s="26"/>
      <c r="J138" s="26"/>
      <c r="K138" s="26"/>
      <c r="L138" s="26"/>
      <c r="M138" s="26"/>
      <c r="N138" s="26"/>
      <c r="O138" s="26"/>
      <c r="P138" s="26"/>
      <c r="Q138" s="60">
        <v>252</v>
      </c>
      <c r="R138" s="26"/>
      <c r="S138" s="79" t="s">
        <v>115</v>
      </c>
      <c r="T138" s="26"/>
      <c r="U138" s="60">
        <f>Q138</f>
        <v>252</v>
      </c>
      <c r="V138" s="26"/>
      <c r="W138" s="6"/>
    </row>
    <row r="139" spans="1:25" ht="15.6">
      <c r="A139" s="25"/>
      <c r="B139" s="26" t="s">
        <v>58</v>
      </c>
      <c r="C139" s="26"/>
      <c r="D139" s="26"/>
      <c r="E139" s="26"/>
      <c r="F139" s="26"/>
      <c r="G139" s="26"/>
      <c r="H139" s="26"/>
      <c r="I139" s="26"/>
      <c r="J139" s="26"/>
      <c r="K139" s="26"/>
      <c r="L139" s="26"/>
      <c r="M139" s="26"/>
      <c r="N139" s="26"/>
      <c r="O139" s="26"/>
      <c r="P139" s="26"/>
      <c r="Q139" s="60">
        <f>SUM(Q137:Q138)</f>
        <v>855</v>
      </c>
      <c r="R139" s="26"/>
      <c r="S139" s="79" t="s">
        <v>115</v>
      </c>
      <c r="T139" s="26"/>
      <c r="U139" s="60">
        <f>Q139</f>
        <v>855</v>
      </c>
      <c r="V139" s="26"/>
      <c r="W139" s="6"/>
    </row>
    <row r="140" spans="1:25" ht="15.6">
      <c r="A140" s="25"/>
      <c r="B140" s="26" t="s">
        <v>215</v>
      </c>
      <c r="C140" s="26"/>
      <c r="D140" s="26"/>
      <c r="E140" s="26"/>
      <c r="F140" s="26"/>
      <c r="G140" s="26"/>
      <c r="H140" s="26"/>
      <c r="I140" s="26"/>
      <c r="J140" s="26"/>
      <c r="K140" s="26"/>
      <c r="L140" s="26"/>
      <c r="M140" s="26"/>
      <c r="N140" s="26"/>
      <c r="O140" s="26"/>
      <c r="P140" s="26"/>
      <c r="Q140" s="60"/>
      <c r="R140" s="26"/>
      <c r="S140" s="79"/>
      <c r="T140" s="26"/>
      <c r="U140" s="60"/>
      <c r="V140" s="26"/>
      <c r="W140" s="6"/>
    </row>
    <row r="141" spans="1:25" ht="15.6">
      <c r="A141" s="25"/>
      <c r="B141" s="26"/>
      <c r="C141" s="26"/>
      <c r="D141" s="26"/>
      <c r="E141" s="26"/>
      <c r="F141" s="26"/>
      <c r="G141" s="26"/>
      <c r="H141" s="26"/>
      <c r="I141" s="26"/>
      <c r="J141" s="26"/>
      <c r="K141" s="26"/>
      <c r="L141" s="26"/>
      <c r="M141" s="26"/>
      <c r="N141" s="26"/>
      <c r="O141" s="26"/>
      <c r="P141" s="26"/>
      <c r="Q141" s="26"/>
      <c r="R141" s="26"/>
      <c r="S141" s="26"/>
      <c r="T141" s="26"/>
      <c r="U141" s="26"/>
      <c r="V141" s="26"/>
      <c r="W141" s="6"/>
    </row>
    <row r="142" spans="1:25" ht="15.6">
      <c r="A142" s="25"/>
      <c r="B142" s="29"/>
      <c r="C142" s="29"/>
      <c r="D142" s="29"/>
      <c r="E142" s="29"/>
      <c r="F142" s="29"/>
      <c r="G142" s="29"/>
      <c r="H142" s="29"/>
      <c r="I142" s="29"/>
      <c r="J142" s="29"/>
      <c r="K142" s="29"/>
      <c r="L142" s="29"/>
      <c r="M142" s="29"/>
      <c r="N142" s="29"/>
      <c r="O142" s="29"/>
      <c r="P142" s="29"/>
      <c r="Q142" s="29"/>
      <c r="R142" s="29"/>
      <c r="S142" s="29"/>
      <c r="T142" s="29"/>
      <c r="U142" s="29"/>
      <c r="V142" s="29"/>
      <c r="W142" s="6"/>
    </row>
    <row r="143" spans="1:25" ht="15.6">
      <c r="A143" s="80"/>
      <c r="B143" s="57" t="s">
        <v>59</v>
      </c>
      <c r="C143" s="81"/>
      <c r="D143" s="81"/>
      <c r="E143" s="81"/>
      <c r="F143" s="81"/>
      <c r="G143" s="81"/>
      <c r="H143" s="81"/>
      <c r="I143" s="81"/>
      <c r="J143" s="81"/>
      <c r="K143" s="81"/>
      <c r="L143" s="81"/>
      <c r="M143" s="81"/>
      <c r="N143" s="81"/>
      <c r="O143" s="81"/>
      <c r="P143" s="19"/>
      <c r="Q143" s="19"/>
      <c r="R143" s="19"/>
      <c r="S143" s="19">
        <v>38807</v>
      </c>
      <c r="T143" s="15"/>
      <c r="U143" s="15"/>
      <c r="V143" s="9"/>
      <c r="W143" s="6"/>
    </row>
    <row r="144" spans="1:25" ht="15.6">
      <c r="A144" s="82"/>
      <c r="B144" s="83" t="s">
        <v>60</v>
      </c>
      <c r="C144" s="84"/>
      <c r="D144" s="84"/>
      <c r="E144" s="84"/>
      <c r="F144" s="84"/>
      <c r="G144" s="84"/>
      <c r="H144" s="84"/>
      <c r="I144" s="84"/>
      <c r="J144" s="84"/>
      <c r="K144" s="84"/>
      <c r="L144" s="84"/>
      <c r="M144" s="84"/>
      <c r="N144" s="84"/>
      <c r="O144" s="84"/>
      <c r="P144" s="85"/>
      <c r="Q144" s="85"/>
      <c r="R144" s="85"/>
      <c r="S144" s="86">
        <v>0.10630000000000001</v>
      </c>
      <c r="T144" s="26"/>
      <c r="U144" s="26"/>
      <c r="V144" s="26"/>
      <c r="W144" s="6"/>
    </row>
    <row r="145" spans="1:23" ht="15.6">
      <c r="A145" s="82"/>
      <c r="B145" s="83" t="s">
        <v>61</v>
      </c>
      <c r="C145" s="84"/>
      <c r="D145" s="84"/>
      <c r="E145" s="84"/>
      <c r="F145" s="84"/>
      <c r="G145" s="84"/>
      <c r="H145" s="84"/>
      <c r="I145" s="84"/>
      <c r="J145" s="84"/>
      <c r="K145" s="84"/>
      <c r="L145" s="84"/>
      <c r="M145" s="84"/>
      <c r="N145" s="84"/>
      <c r="O145" s="84"/>
      <c r="P145" s="85"/>
      <c r="Q145" s="85"/>
      <c r="R145" s="85"/>
      <c r="S145" s="86">
        <v>5.2200000000000003E-2</v>
      </c>
      <c r="T145" s="86"/>
      <c r="U145" s="26"/>
      <c r="V145" s="26"/>
      <c r="W145" s="6"/>
    </row>
    <row r="146" spans="1:23" ht="15.6">
      <c r="A146" s="82"/>
      <c r="B146" s="83" t="s">
        <v>62</v>
      </c>
      <c r="C146" s="84"/>
      <c r="D146" s="84"/>
      <c r="E146" s="84"/>
      <c r="F146" s="84"/>
      <c r="G146" s="84"/>
      <c r="H146" s="84"/>
      <c r="I146" s="84"/>
      <c r="J146" s="84"/>
      <c r="K146" s="84"/>
      <c r="L146" s="84"/>
      <c r="M146" s="84"/>
      <c r="N146" s="84"/>
      <c r="O146" s="84"/>
      <c r="P146" s="85"/>
      <c r="Q146" s="85"/>
      <c r="R146" s="85"/>
      <c r="S146" s="86">
        <f>S144-S145</f>
        <v>5.4100000000000002E-2</v>
      </c>
      <c r="T146" s="26"/>
      <c r="U146" s="26"/>
      <c r="V146" s="26"/>
      <c r="W146" s="6"/>
    </row>
    <row r="147" spans="1:23" ht="15.6">
      <c r="A147" s="82"/>
      <c r="B147" s="83" t="s">
        <v>63</v>
      </c>
      <c r="C147" s="84"/>
      <c r="D147" s="84"/>
      <c r="E147" s="84"/>
      <c r="F147" s="84"/>
      <c r="G147" s="84"/>
      <c r="H147" s="84"/>
      <c r="I147" s="84"/>
      <c r="J147" s="84"/>
      <c r="K147" s="84"/>
      <c r="L147" s="84"/>
      <c r="M147" s="84"/>
      <c r="N147" s="84"/>
      <c r="O147" s="84"/>
      <c r="P147" s="85"/>
      <c r="Q147" s="85"/>
      <c r="R147" s="85"/>
      <c r="S147" s="86">
        <v>0.10051</v>
      </c>
      <c r="T147" s="26"/>
      <c r="U147" s="26"/>
      <c r="V147" s="26"/>
      <c r="W147" s="6"/>
    </row>
    <row r="148" spans="1:23" ht="15.6">
      <c r="A148" s="82"/>
      <c r="B148" s="83" t="s">
        <v>64</v>
      </c>
      <c r="C148" s="84"/>
      <c r="D148" s="84"/>
      <c r="E148" s="84"/>
      <c r="F148" s="84"/>
      <c r="G148" s="84"/>
      <c r="H148" s="84"/>
      <c r="I148" s="84"/>
      <c r="J148" s="84"/>
      <c r="K148" s="84"/>
      <c r="L148" s="84"/>
      <c r="M148" s="84"/>
      <c r="N148" s="84"/>
      <c r="O148" s="84"/>
      <c r="P148" s="85"/>
      <c r="Q148" s="85"/>
      <c r="R148" s="85"/>
      <c r="S148" s="86">
        <f>+U40</f>
        <v>4.9544007444444448E-2</v>
      </c>
      <c r="T148" s="26"/>
      <c r="U148" s="26"/>
      <c r="V148" s="26"/>
      <c r="W148" s="6"/>
    </row>
    <row r="149" spans="1:23" ht="15.6">
      <c r="A149" s="82"/>
      <c r="B149" s="83" t="s">
        <v>65</v>
      </c>
      <c r="C149" s="84"/>
      <c r="D149" s="84"/>
      <c r="E149" s="84"/>
      <c r="F149" s="84"/>
      <c r="G149" s="84"/>
      <c r="H149" s="84"/>
      <c r="I149" s="84"/>
      <c r="J149" s="84"/>
      <c r="K149" s="84"/>
      <c r="L149" s="84"/>
      <c r="M149" s="84"/>
      <c r="N149" s="84"/>
      <c r="O149" s="84"/>
      <c r="P149" s="85"/>
      <c r="Q149" s="85"/>
      <c r="R149" s="85"/>
      <c r="S149" s="86">
        <f>S147-S148</f>
        <v>5.0965992555555555E-2</v>
      </c>
      <c r="T149" s="26"/>
      <c r="U149" s="26"/>
      <c r="V149" s="26"/>
      <c r="W149" s="6"/>
    </row>
    <row r="150" spans="1:23" ht="15.6">
      <c r="A150" s="82"/>
      <c r="B150" s="83" t="s">
        <v>204</v>
      </c>
      <c r="C150" s="84"/>
      <c r="D150" s="84"/>
      <c r="E150" s="84"/>
      <c r="F150" s="84"/>
      <c r="G150" s="84"/>
      <c r="H150" s="84"/>
      <c r="I150" s="84"/>
      <c r="J150" s="84"/>
      <c r="K150" s="84"/>
      <c r="L150" s="84"/>
      <c r="M150" s="84"/>
      <c r="N150" s="84"/>
      <c r="O150" s="84"/>
      <c r="P150" s="85"/>
      <c r="Q150" s="85"/>
      <c r="R150" s="85"/>
      <c r="S150" s="183">
        <v>49780</v>
      </c>
      <c r="T150" s="26"/>
      <c r="U150" s="26"/>
      <c r="V150" s="26"/>
      <c r="W150" s="6"/>
    </row>
    <row r="151" spans="1:23" ht="15.6">
      <c r="A151" s="82"/>
      <c r="B151" s="83" t="s">
        <v>205</v>
      </c>
      <c r="C151" s="84"/>
      <c r="D151" s="84"/>
      <c r="E151" s="84"/>
      <c r="F151" s="84"/>
      <c r="G151" s="84"/>
      <c r="H151" s="84"/>
      <c r="I151" s="84"/>
      <c r="J151" s="84"/>
      <c r="K151" s="84"/>
      <c r="L151" s="84"/>
      <c r="M151" s="84"/>
      <c r="N151" s="84"/>
      <c r="O151" s="84"/>
      <c r="P151" s="85"/>
      <c r="Q151" s="85"/>
      <c r="R151" s="85"/>
      <c r="S151" s="183">
        <v>49780</v>
      </c>
      <c r="T151" s="26"/>
      <c r="U151" s="26"/>
      <c r="V151" s="26"/>
      <c r="W151" s="6"/>
    </row>
    <row r="152" spans="1:23" ht="15.6">
      <c r="A152" s="82"/>
      <c r="B152" s="83" t="s">
        <v>206</v>
      </c>
      <c r="C152" s="84"/>
      <c r="D152" s="84"/>
      <c r="E152" s="84"/>
      <c r="F152" s="84"/>
      <c r="G152" s="84"/>
      <c r="H152" s="84"/>
      <c r="I152" s="84"/>
      <c r="J152" s="84"/>
      <c r="K152" s="84"/>
      <c r="L152" s="84"/>
      <c r="M152" s="84"/>
      <c r="N152" s="84"/>
      <c r="O152" s="84"/>
      <c r="P152" s="85"/>
      <c r="Q152" s="85"/>
      <c r="R152" s="85"/>
      <c r="S152" s="183">
        <v>49780</v>
      </c>
      <c r="T152" s="26"/>
      <c r="U152" s="26"/>
      <c r="V152" s="26"/>
      <c r="W152" s="6"/>
    </row>
    <row r="153" spans="1:23" ht="15.6">
      <c r="A153" s="82"/>
      <c r="B153" s="83" t="s">
        <v>207</v>
      </c>
      <c r="C153" s="84"/>
      <c r="D153" s="84"/>
      <c r="E153" s="84"/>
      <c r="F153" s="84"/>
      <c r="G153" s="84"/>
      <c r="H153" s="84"/>
      <c r="I153" s="84"/>
      <c r="J153" s="84"/>
      <c r="K153" s="84"/>
      <c r="L153" s="84"/>
      <c r="M153" s="84"/>
      <c r="N153" s="84"/>
      <c r="O153" s="84"/>
      <c r="P153" s="85"/>
      <c r="Q153" s="85"/>
      <c r="R153" s="85"/>
      <c r="S153" s="183">
        <v>49780</v>
      </c>
      <c r="T153" s="26"/>
      <c r="U153" s="26"/>
      <c r="V153" s="26"/>
      <c r="W153" s="6"/>
    </row>
    <row r="154" spans="1:23" ht="15.6">
      <c r="A154" s="82"/>
      <c r="B154" s="83" t="s">
        <v>221</v>
      </c>
      <c r="C154" s="84"/>
      <c r="D154" s="84"/>
      <c r="E154" s="84"/>
      <c r="F154" s="84"/>
      <c r="G154" s="84"/>
      <c r="H154" s="84"/>
      <c r="I154" s="84"/>
      <c r="J154" s="84"/>
      <c r="K154" s="84"/>
      <c r="L154" s="84"/>
      <c r="M154" s="84"/>
      <c r="N154" s="84"/>
      <c r="O154" s="84"/>
      <c r="P154" s="85"/>
      <c r="Q154" s="85"/>
      <c r="R154" s="85"/>
      <c r="S154" s="87">
        <v>111.34</v>
      </c>
      <c r="T154" s="26"/>
      <c r="U154" s="26"/>
      <c r="V154" s="26"/>
      <c r="W154" s="6"/>
    </row>
    <row r="155" spans="1:23" ht="15.6">
      <c r="A155" s="82"/>
      <c r="B155" s="83" t="s">
        <v>222</v>
      </c>
      <c r="C155" s="84"/>
      <c r="D155" s="84"/>
      <c r="E155" s="84"/>
      <c r="F155" s="84"/>
      <c r="G155" s="84"/>
      <c r="H155" s="84"/>
      <c r="I155" s="84"/>
      <c r="J155" s="84"/>
      <c r="K155" s="84"/>
      <c r="L155" s="84"/>
      <c r="M155" s="84"/>
      <c r="N155" s="84"/>
      <c r="O155" s="84"/>
      <c r="P155" s="85"/>
      <c r="Q155" s="85"/>
      <c r="R155" s="85"/>
      <c r="S155" s="87">
        <v>112.83</v>
      </c>
      <c r="T155" s="26"/>
      <c r="U155" s="26"/>
      <c r="V155" s="26"/>
      <c r="W155" s="6"/>
    </row>
    <row r="156" spans="1:23" ht="15.6">
      <c r="A156" s="82" t="s">
        <v>223</v>
      </c>
      <c r="B156" s="83" t="s">
        <v>66</v>
      </c>
      <c r="C156" s="84"/>
      <c r="D156" s="84"/>
      <c r="E156" s="84"/>
      <c r="F156" s="84"/>
      <c r="G156" s="84"/>
      <c r="H156" s="84"/>
      <c r="I156" s="84"/>
      <c r="J156" s="84"/>
      <c r="K156" s="84"/>
      <c r="L156" s="84"/>
      <c r="M156" s="84"/>
      <c r="N156" s="84"/>
      <c r="O156" s="84"/>
      <c r="P156" s="85"/>
      <c r="Q156" s="85"/>
      <c r="R156" s="85"/>
      <c r="S156" s="86">
        <v>0.11700000000000001</v>
      </c>
      <c r="T156" s="26"/>
      <c r="U156" s="26"/>
      <c r="V156" s="26"/>
      <c r="W156" s="6"/>
    </row>
    <row r="157" spans="1:23" ht="15.6">
      <c r="A157" s="82"/>
      <c r="B157" s="83" t="s">
        <v>67</v>
      </c>
      <c r="C157" s="84"/>
      <c r="D157" s="84"/>
      <c r="E157" s="84"/>
      <c r="F157" s="84"/>
      <c r="G157" s="84"/>
      <c r="H157" s="84"/>
      <c r="I157" s="84"/>
      <c r="J157" s="84"/>
      <c r="K157" s="84"/>
      <c r="L157" s="84"/>
      <c r="M157" s="84"/>
      <c r="N157" s="84"/>
      <c r="O157" s="84"/>
      <c r="P157" s="85"/>
      <c r="Q157" s="85"/>
      <c r="R157" s="85"/>
      <c r="S157" s="86">
        <v>0.41</v>
      </c>
      <c r="T157" s="26"/>
      <c r="U157" s="26"/>
      <c r="V157" s="26"/>
      <c r="W157" s="6"/>
    </row>
    <row r="158" spans="1:23" ht="15.6">
      <c r="A158" s="82"/>
      <c r="B158" s="83"/>
      <c r="C158" s="83"/>
      <c r="D158" s="83"/>
      <c r="E158" s="83"/>
      <c r="F158" s="83"/>
      <c r="G158" s="83"/>
      <c r="H158" s="83"/>
      <c r="I158" s="83"/>
      <c r="J158" s="83"/>
      <c r="K158" s="83"/>
      <c r="L158" s="83"/>
      <c r="M158" s="83"/>
      <c r="N158" s="83"/>
      <c r="O158" s="83"/>
      <c r="P158" s="26"/>
      <c r="Q158" s="26"/>
      <c r="R158" s="33"/>
      <c r="S158" s="88"/>
      <c r="T158" s="26"/>
      <c r="U158" s="89"/>
      <c r="V158" s="26"/>
      <c r="W158" s="6"/>
    </row>
    <row r="159" spans="1:23" ht="15.6">
      <c r="A159" s="80"/>
      <c r="B159" s="90"/>
      <c r="C159" s="90"/>
      <c r="D159" s="90"/>
      <c r="E159" s="90"/>
      <c r="F159" s="90"/>
      <c r="G159" s="90"/>
      <c r="H159" s="90"/>
      <c r="I159" s="90"/>
      <c r="J159" s="90"/>
      <c r="K159" s="90"/>
      <c r="L159" s="90"/>
      <c r="M159" s="90"/>
      <c r="N159" s="90"/>
      <c r="O159" s="90"/>
      <c r="P159" s="9"/>
      <c r="Q159" s="9"/>
      <c r="R159" s="20"/>
      <c r="S159" s="91"/>
      <c r="T159" s="9"/>
      <c r="U159" s="92"/>
      <c r="V159" s="9"/>
      <c r="W159" s="6"/>
    </row>
    <row r="160" spans="1:23" ht="16.2" thickBot="1">
      <c r="A160" s="136"/>
      <c r="B160" s="131" t="str">
        <f>+B110</f>
        <v>PPAF3 INVESTOR REPORT QUARTER ENDING MARCH 2006</v>
      </c>
      <c r="C160" s="137"/>
      <c r="D160" s="137"/>
      <c r="E160" s="137"/>
      <c r="F160" s="137"/>
      <c r="G160" s="137"/>
      <c r="H160" s="137"/>
      <c r="I160" s="137"/>
      <c r="J160" s="137"/>
      <c r="K160" s="137"/>
      <c r="L160" s="137"/>
      <c r="M160" s="137"/>
      <c r="N160" s="137"/>
      <c r="O160" s="137"/>
      <c r="P160" s="132"/>
      <c r="Q160" s="132"/>
      <c r="R160" s="138"/>
      <c r="S160" s="139"/>
      <c r="T160" s="132"/>
      <c r="U160" s="140"/>
      <c r="V160" s="134"/>
      <c r="W160" s="6"/>
    </row>
    <row r="161" spans="1:23" ht="15.6">
      <c r="A161" s="93"/>
      <c r="B161" s="94" t="s">
        <v>68</v>
      </c>
      <c r="C161" s="95"/>
      <c r="D161" s="95"/>
      <c r="E161" s="95"/>
      <c r="F161" s="95"/>
      <c r="G161" s="95"/>
      <c r="H161" s="95"/>
      <c r="I161" s="95"/>
      <c r="J161" s="95"/>
      <c r="K161" s="95"/>
      <c r="L161" s="95"/>
      <c r="M161" s="96"/>
      <c r="N161" s="95"/>
      <c r="O161" s="96"/>
      <c r="P161" s="95"/>
      <c r="Q161" s="96"/>
      <c r="R161" s="95" t="s">
        <v>94</v>
      </c>
      <c r="S161" s="96" t="s">
        <v>116</v>
      </c>
      <c r="T161" s="97"/>
      <c r="U161" s="97"/>
      <c r="V161" s="5"/>
      <c r="W161" s="6"/>
    </row>
    <row r="162" spans="1:23" ht="15.6">
      <c r="A162" s="98"/>
      <c r="B162" s="83" t="s">
        <v>216</v>
      </c>
      <c r="C162" s="61"/>
      <c r="D162" s="61"/>
      <c r="E162" s="61"/>
      <c r="F162" s="61"/>
      <c r="G162" s="61"/>
      <c r="H162" s="61"/>
      <c r="I162" s="61"/>
      <c r="J162" s="61"/>
      <c r="K162" s="61"/>
      <c r="L162" s="61"/>
      <c r="M162" s="61"/>
      <c r="N162" s="61"/>
      <c r="O162" s="26"/>
      <c r="P162" s="26"/>
      <c r="Q162" s="26"/>
      <c r="R162" s="59">
        <v>504</v>
      </c>
      <c r="S162" s="60">
        <v>15010</v>
      </c>
      <c r="T162" s="60"/>
      <c r="U162" s="89"/>
      <c r="V162" s="99"/>
      <c r="W162" s="6"/>
    </row>
    <row r="163" spans="1:23" ht="15.6">
      <c r="A163" s="98"/>
      <c r="B163" s="83" t="s">
        <v>217</v>
      </c>
      <c r="C163" s="61"/>
      <c r="D163" s="61"/>
      <c r="E163" s="61"/>
      <c r="F163" s="61"/>
      <c r="G163" s="61"/>
      <c r="H163" s="61"/>
      <c r="I163" s="61"/>
      <c r="J163" s="61"/>
      <c r="K163" s="61"/>
      <c r="L163" s="61"/>
      <c r="M163" s="61"/>
      <c r="N163" s="61"/>
      <c r="O163" s="26"/>
      <c r="P163" s="26"/>
      <c r="Q163" s="26"/>
      <c r="R163" s="26">
        <v>95</v>
      </c>
      <c r="S163" s="60">
        <v>771</v>
      </c>
      <c r="T163" s="60"/>
      <c r="U163" s="89"/>
      <c r="V163" s="99"/>
      <c r="W163" s="6"/>
    </row>
    <row r="164" spans="1:23" ht="15.6">
      <c r="A164" s="98"/>
      <c r="B164" s="83" t="s">
        <v>218</v>
      </c>
      <c r="C164" s="61"/>
      <c r="D164" s="61"/>
      <c r="E164" s="61"/>
      <c r="F164" s="61"/>
      <c r="G164" s="61"/>
      <c r="H164" s="61"/>
      <c r="I164" s="61"/>
      <c r="J164" s="61"/>
      <c r="K164" s="61"/>
      <c r="L164" s="61"/>
      <c r="M164" s="61"/>
      <c r="N164" s="61"/>
      <c r="O164" s="26"/>
      <c r="P164" s="26"/>
      <c r="Q164" s="26"/>
      <c r="R164" s="26">
        <v>373</v>
      </c>
      <c r="S164" s="60">
        <v>362</v>
      </c>
      <c r="T164" s="60"/>
      <c r="U164" s="89"/>
      <c r="V164" s="99"/>
      <c r="W164" s="6"/>
    </row>
    <row r="165" spans="1:23" ht="15.6">
      <c r="A165" s="98"/>
      <c r="B165" s="83" t="s">
        <v>219</v>
      </c>
      <c r="C165" s="61"/>
      <c r="D165" s="61"/>
      <c r="E165" s="61"/>
      <c r="F165" s="61"/>
      <c r="G165" s="61"/>
      <c r="H165" s="61"/>
      <c r="I165" s="61"/>
      <c r="J165" s="61"/>
      <c r="K165" s="61"/>
      <c r="L165" s="61"/>
      <c r="M165" s="61"/>
      <c r="N165" s="61"/>
      <c r="O165" s="26"/>
      <c r="P165" s="26"/>
      <c r="Q165" s="26"/>
      <c r="R165" s="26">
        <v>764</v>
      </c>
      <c r="S165" s="60">
        <v>4345</v>
      </c>
      <c r="T165" s="60"/>
      <c r="U165" s="89"/>
      <c r="V165" s="99"/>
      <c r="W165" s="6"/>
    </row>
    <row r="166" spans="1:23" ht="15.6">
      <c r="A166" s="98"/>
      <c r="B166" s="83" t="s">
        <v>90</v>
      </c>
      <c r="C166" s="61"/>
      <c r="D166" s="61"/>
      <c r="E166" s="61"/>
      <c r="F166" s="61"/>
      <c r="G166" s="61"/>
      <c r="H166" s="61"/>
      <c r="I166" s="61"/>
      <c r="J166" s="61"/>
      <c r="K166" s="61"/>
      <c r="L166" s="61"/>
      <c r="M166" s="61"/>
      <c r="N166" s="61"/>
      <c r="O166" s="26"/>
      <c r="P166" s="26"/>
      <c r="Q166" s="26"/>
      <c r="R166" s="59">
        <f>SUM(R162:R165)</f>
        <v>1736</v>
      </c>
      <c r="S166" s="60">
        <f>SUM(S162:S165)</f>
        <v>20488</v>
      </c>
      <c r="T166" s="60"/>
      <c r="U166" s="89"/>
      <c r="V166" s="99"/>
      <c r="W166" s="6"/>
    </row>
    <row r="167" spans="1:23" ht="15.6">
      <c r="A167" s="98"/>
      <c r="B167" s="83"/>
      <c r="C167" s="61"/>
      <c r="D167" s="61"/>
      <c r="E167" s="61"/>
      <c r="F167" s="61"/>
      <c r="G167" s="61"/>
      <c r="H167" s="61"/>
      <c r="I167" s="61"/>
      <c r="J167" s="61"/>
      <c r="K167" s="61"/>
      <c r="L167" s="61"/>
      <c r="M167" s="61"/>
      <c r="N167" s="61"/>
      <c r="O167" s="26"/>
      <c r="P167" s="26"/>
      <c r="Q167" s="26"/>
      <c r="R167" s="26"/>
      <c r="S167" s="60"/>
      <c r="T167" s="60"/>
      <c r="U167" s="89"/>
      <c r="V167" s="99"/>
      <c r="W167" s="6"/>
    </row>
    <row r="168" spans="1:23" ht="15.6">
      <c r="A168" s="98"/>
      <c r="B168" s="83" t="s">
        <v>220</v>
      </c>
      <c r="C168" s="61"/>
      <c r="D168" s="61"/>
      <c r="E168" s="61"/>
      <c r="F168" s="61"/>
      <c r="G168" s="61"/>
      <c r="H168" s="61"/>
      <c r="I168" s="61"/>
      <c r="J168" s="61"/>
      <c r="K168" s="61"/>
      <c r="L168" s="61"/>
      <c r="M168" s="61"/>
      <c r="N168" s="61"/>
      <c r="O168" s="26"/>
      <c r="P168" s="26"/>
      <c r="Q168" s="26"/>
      <c r="R168" s="26">
        <v>21</v>
      </c>
      <c r="S168" s="60">
        <v>201</v>
      </c>
      <c r="T168" s="60"/>
      <c r="U168" s="89"/>
      <c r="V168" s="99"/>
      <c r="W168" s="6"/>
    </row>
    <row r="169" spans="1:23" ht="15.6">
      <c r="A169" s="98"/>
      <c r="B169" s="83" t="s">
        <v>224</v>
      </c>
      <c r="C169" s="61"/>
      <c r="D169" s="61"/>
      <c r="E169" s="61"/>
      <c r="F169" s="61"/>
      <c r="G169" s="61"/>
      <c r="H169" s="61"/>
      <c r="I169" s="61"/>
      <c r="J169" s="61"/>
      <c r="K169" s="61"/>
      <c r="L169" s="61"/>
      <c r="M169" s="61"/>
      <c r="N169" s="61"/>
      <c r="O169" s="26"/>
      <c r="P169" s="26"/>
      <c r="Q169" s="26"/>
      <c r="R169" s="26">
        <v>18</v>
      </c>
      <c r="S169" s="60">
        <v>506</v>
      </c>
      <c r="T169" s="60"/>
      <c r="U169" s="89"/>
      <c r="V169" s="99"/>
      <c r="W169" s="6"/>
    </row>
    <row r="170" spans="1:23" ht="15.6">
      <c r="A170" s="98"/>
      <c r="B170" s="156" t="s">
        <v>69</v>
      </c>
      <c r="C170" s="61"/>
      <c r="D170" s="61"/>
      <c r="E170" s="61"/>
      <c r="F170" s="61"/>
      <c r="G170" s="61"/>
      <c r="H170" s="61"/>
      <c r="I170" s="61"/>
      <c r="J170" s="61"/>
      <c r="K170" s="61"/>
      <c r="L170" s="61"/>
      <c r="M170" s="61"/>
      <c r="N170" s="61"/>
      <c r="O170" s="26"/>
      <c r="P170" s="26"/>
      <c r="Q170" s="26"/>
      <c r="R170" s="26"/>
      <c r="S170" s="60">
        <v>0</v>
      </c>
      <c r="T170" s="26"/>
      <c r="U170" s="89"/>
      <c r="V170" s="99"/>
      <c r="W170" s="6"/>
    </row>
    <row r="171" spans="1:23" ht="15.6">
      <c r="A171" s="98"/>
      <c r="B171" s="156" t="s">
        <v>70</v>
      </c>
      <c r="C171" s="61"/>
      <c r="D171" s="61"/>
      <c r="E171" s="61"/>
      <c r="F171" s="61"/>
      <c r="G171" s="61"/>
      <c r="H171" s="61"/>
      <c r="I171" s="61"/>
      <c r="J171" s="61"/>
      <c r="K171" s="61"/>
      <c r="L171" s="61"/>
      <c r="M171" s="61"/>
      <c r="N171" s="61"/>
      <c r="O171" s="26"/>
      <c r="P171" s="26"/>
      <c r="Q171" s="26"/>
      <c r="R171" s="26"/>
      <c r="S171" s="60">
        <f>Q76</f>
        <v>44075</v>
      </c>
      <c r="T171" s="26"/>
      <c r="U171" s="89"/>
      <c r="V171" s="99"/>
      <c r="W171" s="6"/>
    </row>
    <row r="172" spans="1:23" ht="15.6">
      <c r="A172" s="101"/>
      <c r="B172" s="156" t="s">
        <v>71</v>
      </c>
      <c r="C172" s="61"/>
      <c r="D172" s="61"/>
      <c r="E172" s="61"/>
      <c r="F172" s="61"/>
      <c r="G172" s="61"/>
      <c r="H172" s="61"/>
      <c r="I172" s="61"/>
      <c r="J172" s="61"/>
      <c r="K172" s="61"/>
      <c r="L172" s="61"/>
      <c r="M172" s="83"/>
      <c r="N172" s="83"/>
      <c r="O172" s="83"/>
      <c r="P172" s="26"/>
      <c r="Q172" s="26"/>
      <c r="R172" s="26"/>
      <c r="S172" s="102"/>
      <c r="T172" s="26"/>
      <c r="U172" s="89"/>
      <c r="V172" s="103"/>
      <c r="W172" s="6"/>
    </row>
    <row r="173" spans="1:23" ht="15.6">
      <c r="A173" s="98"/>
      <c r="B173" s="83" t="s">
        <v>72</v>
      </c>
      <c r="C173" s="61"/>
      <c r="D173" s="61"/>
      <c r="E173" s="61"/>
      <c r="F173" s="61"/>
      <c r="G173" s="61"/>
      <c r="H173" s="61"/>
      <c r="I173" s="61"/>
      <c r="J173" s="61"/>
      <c r="K173" s="61"/>
      <c r="L173" s="61"/>
      <c r="M173" s="61"/>
      <c r="N173" s="61"/>
      <c r="O173" s="61"/>
      <c r="P173" s="26"/>
      <c r="Q173" s="26"/>
      <c r="R173" s="26"/>
      <c r="S173" s="60">
        <f>U128</f>
        <v>4570</v>
      </c>
      <c r="T173" s="26"/>
      <c r="U173" s="89"/>
      <c r="V173" s="103"/>
      <c r="W173" s="6"/>
    </row>
    <row r="174" spans="1:23" ht="15.6">
      <c r="A174" s="98"/>
      <c r="B174" s="83" t="s">
        <v>73</v>
      </c>
      <c r="C174" s="61"/>
      <c r="D174" s="61"/>
      <c r="E174" s="61"/>
      <c r="F174" s="61"/>
      <c r="G174" s="61"/>
      <c r="H174" s="61"/>
      <c r="I174" s="61"/>
      <c r="J174" s="61"/>
      <c r="K174" s="61"/>
      <c r="L174" s="61"/>
      <c r="M174" s="61"/>
      <c r="N174" s="61"/>
      <c r="O174" s="61"/>
      <c r="P174" s="26"/>
      <c r="Q174" s="26"/>
      <c r="R174" s="26"/>
      <c r="S174" s="60">
        <f>+'Dec 05'!S174+S173</f>
        <v>14410</v>
      </c>
      <c r="T174" s="26"/>
      <c r="U174" s="89"/>
      <c r="V174" s="103"/>
      <c r="W174" s="6"/>
    </row>
    <row r="175" spans="1:23" ht="15.6">
      <c r="A175" s="98"/>
      <c r="B175" s="83" t="s">
        <v>74</v>
      </c>
      <c r="C175" s="61"/>
      <c r="D175" s="61"/>
      <c r="E175" s="61"/>
      <c r="F175" s="61"/>
      <c r="G175" s="61"/>
      <c r="H175" s="61"/>
      <c r="I175" s="61"/>
      <c r="J175" s="61"/>
      <c r="K175" s="61"/>
      <c r="L175" s="61"/>
      <c r="M175" s="61"/>
      <c r="N175" s="61"/>
      <c r="O175" s="61"/>
      <c r="P175" s="26"/>
      <c r="Q175" s="26"/>
      <c r="R175" s="26"/>
      <c r="S175" s="60">
        <f>'Dec 05'!S175+530</f>
        <v>1133</v>
      </c>
      <c r="T175" s="26"/>
      <c r="U175" s="89"/>
      <c r="V175" s="103"/>
      <c r="W175" s="6"/>
    </row>
    <row r="176" spans="1:23" ht="15.6">
      <c r="A176" s="98"/>
      <c r="B176" s="83"/>
      <c r="C176" s="61"/>
      <c r="D176" s="61"/>
      <c r="E176" s="61"/>
      <c r="F176" s="61"/>
      <c r="G176" s="61"/>
      <c r="H176" s="61"/>
      <c r="I176" s="61"/>
      <c r="J176" s="61"/>
      <c r="K176" s="61"/>
      <c r="L176" s="61"/>
      <c r="M176" s="61"/>
      <c r="N176" s="61"/>
      <c r="O176" s="61"/>
      <c r="P176" s="26"/>
      <c r="Q176" s="26"/>
      <c r="R176" s="26"/>
      <c r="S176" s="60"/>
      <c r="T176" s="26"/>
      <c r="U176" s="89"/>
      <c r="V176" s="103"/>
      <c r="W176" s="6"/>
    </row>
    <row r="177" spans="1:23" ht="15.6">
      <c r="A177" s="101"/>
      <c r="B177" s="156" t="s">
        <v>259</v>
      </c>
      <c r="C177" s="61"/>
      <c r="D177" s="61"/>
      <c r="E177" s="61"/>
      <c r="F177" s="61"/>
      <c r="G177" s="61"/>
      <c r="H177" s="61"/>
      <c r="I177" s="61"/>
      <c r="J177" s="61"/>
      <c r="K177" s="61"/>
      <c r="L177" s="61"/>
      <c r="M177" s="83"/>
      <c r="N177" s="83"/>
      <c r="O177" s="83"/>
      <c r="P177" s="26"/>
      <c r="Q177" s="26"/>
      <c r="R177" s="26"/>
      <c r="S177" s="79"/>
      <c r="T177" s="26"/>
      <c r="U177" s="89"/>
      <c r="V177" s="103"/>
      <c r="W177" s="6"/>
    </row>
    <row r="178" spans="1:23" ht="15.6">
      <c r="A178" s="101"/>
      <c r="B178" s="83" t="s">
        <v>254</v>
      </c>
      <c r="C178" s="61"/>
      <c r="D178" s="61"/>
      <c r="E178" s="61"/>
      <c r="F178" s="61"/>
      <c r="G178" s="61"/>
      <c r="H178" s="61"/>
      <c r="I178" s="61"/>
      <c r="J178" s="61"/>
      <c r="K178" s="61"/>
      <c r="L178" s="61"/>
      <c r="M178" s="83"/>
      <c r="N178" s="83"/>
      <c r="O178" s="83"/>
      <c r="P178" s="26"/>
      <c r="Q178" s="26"/>
      <c r="R178" s="26"/>
      <c r="S178" s="79">
        <v>16</v>
      </c>
      <c r="T178" s="26"/>
      <c r="U178" s="89"/>
      <c r="V178" s="103"/>
      <c r="W178" s="6"/>
    </row>
    <row r="179" spans="1:23" ht="15.6">
      <c r="A179" s="98"/>
      <c r="B179" s="83" t="s">
        <v>75</v>
      </c>
      <c r="C179" s="61"/>
      <c r="D179" s="61"/>
      <c r="E179" s="61"/>
      <c r="F179" s="61"/>
      <c r="G179" s="61"/>
      <c r="H179" s="61"/>
      <c r="I179" s="61"/>
      <c r="J179" s="61"/>
      <c r="K179" s="61"/>
      <c r="L179" s="61"/>
      <c r="M179" s="104"/>
      <c r="N179" s="104"/>
      <c r="O179" s="105"/>
      <c r="P179" s="26"/>
      <c r="Q179" s="26"/>
      <c r="R179" s="26"/>
      <c r="S179" s="191">
        <v>11.14</v>
      </c>
      <c r="T179" s="26"/>
      <c r="U179" s="89"/>
      <c r="V179" s="103"/>
      <c r="W179" s="6"/>
    </row>
    <row r="180" spans="1:23" ht="15.6">
      <c r="A180" s="98"/>
      <c r="B180" s="83" t="s">
        <v>76</v>
      </c>
      <c r="C180" s="61"/>
      <c r="D180" s="61"/>
      <c r="E180" s="61"/>
      <c r="F180" s="61"/>
      <c r="G180" s="61"/>
      <c r="H180" s="61"/>
      <c r="I180" s="61"/>
      <c r="J180" s="61"/>
      <c r="K180" s="61"/>
      <c r="L180" s="61"/>
      <c r="M180" s="104"/>
      <c r="N180" s="104"/>
      <c r="O180" s="105"/>
      <c r="P180" s="26"/>
      <c r="Q180" s="26"/>
      <c r="R180" s="26"/>
      <c r="S180" s="191">
        <v>148.44</v>
      </c>
      <c r="T180" s="26"/>
      <c r="U180" s="89"/>
      <c r="V180" s="103"/>
      <c r="W180" s="6"/>
    </row>
    <row r="181" spans="1:23" ht="15.6">
      <c r="A181" s="98"/>
      <c r="B181" s="83"/>
      <c r="C181" s="61"/>
      <c r="D181" s="61"/>
      <c r="E181" s="61"/>
      <c r="F181" s="61"/>
      <c r="G181" s="61"/>
      <c r="H181" s="61"/>
      <c r="I181" s="61"/>
      <c r="J181" s="61"/>
      <c r="K181" s="61"/>
      <c r="L181" s="61"/>
      <c r="M181" s="106"/>
      <c r="N181" s="104"/>
      <c r="O181" s="105"/>
      <c r="P181" s="26"/>
      <c r="Q181" s="26"/>
      <c r="R181" s="26"/>
      <c r="S181" s="79"/>
      <c r="T181" s="26"/>
      <c r="U181" s="89"/>
      <c r="V181" s="103"/>
      <c r="W181" s="6"/>
    </row>
    <row r="182" spans="1:23" ht="15.6">
      <c r="A182" s="98"/>
      <c r="B182" s="156" t="s">
        <v>77</v>
      </c>
      <c r="C182" s="61"/>
      <c r="D182" s="61"/>
      <c r="E182" s="61"/>
      <c r="F182" s="61"/>
      <c r="G182" s="61"/>
      <c r="H182" s="61"/>
      <c r="I182" s="61"/>
      <c r="J182" s="61"/>
      <c r="K182" s="61"/>
      <c r="L182" s="61"/>
      <c r="M182" s="61"/>
      <c r="N182" s="106"/>
      <c r="O182" s="104"/>
      <c r="P182" s="105"/>
      <c r="Q182" s="26"/>
      <c r="R182" s="33"/>
      <c r="S182" s="33"/>
      <c r="T182" s="107"/>
      <c r="U182" s="33"/>
      <c r="V182" s="89"/>
      <c r="W182" s="6"/>
    </row>
    <row r="183" spans="1:23" ht="15.6">
      <c r="A183" s="98"/>
      <c r="B183" s="83" t="s">
        <v>78</v>
      </c>
      <c r="C183" s="61"/>
      <c r="D183" s="61"/>
      <c r="E183" s="61"/>
      <c r="F183" s="61"/>
      <c r="G183" s="61"/>
      <c r="H183" s="61"/>
      <c r="I183" s="61"/>
      <c r="J183" s="61"/>
      <c r="K183" s="61"/>
      <c r="L183" s="61"/>
      <c r="M183" s="61"/>
      <c r="N183" s="106"/>
      <c r="O183" s="104"/>
      <c r="P183" s="105"/>
      <c r="Q183" s="26"/>
      <c r="R183" s="33"/>
      <c r="S183" s="108">
        <v>139</v>
      </c>
      <c r="T183" s="108"/>
      <c r="U183" s="33"/>
      <c r="V183" s="89"/>
      <c r="W183" s="6"/>
    </row>
    <row r="184" spans="1:23" ht="15.6">
      <c r="A184" s="98"/>
      <c r="B184" s="83" t="s">
        <v>75</v>
      </c>
      <c r="C184" s="61"/>
      <c r="D184" s="61"/>
      <c r="E184" s="61"/>
      <c r="F184" s="61"/>
      <c r="G184" s="61"/>
      <c r="H184" s="61"/>
      <c r="I184" s="61"/>
      <c r="J184" s="61"/>
      <c r="K184" s="61"/>
      <c r="L184" s="61"/>
      <c r="M184" s="61"/>
      <c r="N184" s="106"/>
      <c r="O184" s="104"/>
      <c r="P184" s="105"/>
      <c r="Q184" s="26"/>
      <c r="R184" s="33"/>
      <c r="S184" s="108">
        <v>3.47</v>
      </c>
      <c r="T184" s="108"/>
      <c r="U184" s="33"/>
      <c r="V184" s="89"/>
      <c r="W184" s="6"/>
    </row>
    <row r="185" spans="1:23" ht="15.6">
      <c r="A185" s="98"/>
      <c r="B185" s="83" t="s">
        <v>79</v>
      </c>
      <c r="C185" s="61"/>
      <c r="D185" s="61"/>
      <c r="E185" s="61"/>
      <c r="F185" s="61"/>
      <c r="G185" s="61"/>
      <c r="H185" s="61"/>
      <c r="I185" s="61"/>
      <c r="J185" s="61"/>
      <c r="K185" s="61"/>
      <c r="L185" s="61"/>
      <c r="M185" s="61"/>
      <c r="N185" s="106"/>
      <c r="O185" s="104"/>
      <c r="P185" s="105"/>
      <c r="Q185" s="26"/>
      <c r="R185" s="33"/>
      <c r="S185" s="108">
        <v>47.69</v>
      </c>
      <c r="T185" s="108"/>
      <c r="U185" s="33"/>
      <c r="V185" s="89"/>
      <c r="W185" s="6"/>
    </row>
    <row r="186" spans="1:23" ht="15.6">
      <c r="A186" s="98"/>
      <c r="B186" s="83"/>
      <c r="C186" s="61"/>
      <c r="D186" s="61"/>
      <c r="E186" s="61"/>
      <c r="F186" s="61"/>
      <c r="G186" s="61"/>
      <c r="H186" s="61"/>
      <c r="I186" s="61"/>
      <c r="J186" s="61"/>
      <c r="K186" s="61"/>
      <c r="L186" s="61"/>
      <c r="M186" s="106"/>
      <c r="N186" s="104"/>
      <c r="O186" s="105"/>
      <c r="P186" s="26"/>
      <c r="Q186" s="26"/>
      <c r="R186" s="26"/>
      <c r="S186" s="79"/>
      <c r="T186" s="26"/>
      <c r="U186" s="89"/>
      <c r="V186" s="103"/>
      <c r="W186" s="6"/>
    </row>
    <row r="187" spans="1:23" ht="17.399999999999999">
      <c r="A187" s="98"/>
      <c r="B187" s="180" t="s">
        <v>196</v>
      </c>
      <c r="C187" s="61"/>
      <c r="D187" s="61"/>
      <c r="E187" s="61"/>
      <c r="F187" s="61"/>
      <c r="G187" s="61"/>
      <c r="H187" s="61"/>
      <c r="I187" s="61"/>
      <c r="J187" s="61"/>
      <c r="K187" s="181" t="s">
        <v>195</v>
      </c>
      <c r="L187" s="61"/>
      <c r="M187" s="106"/>
      <c r="N187" s="104"/>
      <c r="O187" s="105"/>
      <c r="P187" s="26"/>
      <c r="Q187" s="26"/>
      <c r="R187" s="26"/>
      <c r="S187" s="79"/>
      <c r="T187" s="26"/>
      <c r="U187" s="89"/>
      <c r="V187" s="103"/>
      <c r="W187" s="6"/>
    </row>
    <row r="188" spans="1:23" ht="15.6">
      <c r="A188" s="25"/>
      <c r="B188" s="109" t="s">
        <v>80</v>
      </c>
      <c r="C188" s="110"/>
      <c r="D188" s="110"/>
      <c r="E188" s="110"/>
      <c r="F188" s="110"/>
      <c r="G188" s="110"/>
      <c r="H188" s="110"/>
      <c r="I188" s="110"/>
      <c r="J188" s="110"/>
      <c r="K188" s="110"/>
      <c r="L188" s="110"/>
      <c r="M188" s="111"/>
      <c r="N188" s="110"/>
      <c r="O188" s="111"/>
      <c r="P188" s="110"/>
      <c r="Q188" s="111"/>
      <c r="R188" s="110"/>
      <c r="S188" s="111"/>
      <c r="T188" s="110"/>
      <c r="U188" s="112"/>
      <c r="V188" s="103"/>
      <c r="W188" s="6"/>
    </row>
    <row r="189" spans="1:23" ht="15.6">
      <c r="A189" s="25"/>
      <c r="B189" s="30"/>
      <c r="C189" s="189"/>
      <c r="D189" s="189"/>
      <c r="E189" s="189"/>
      <c r="F189" s="189"/>
      <c r="G189" s="189"/>
      <c r="H189" s="189"/>
      <c r="I189" s="189"/>
      <c r="J189" s="189"/>
      <c r="K189" s="189"/>
      <c r="L189" s="189"/>
      <c r="M189" s="109" t="s">
        <v>100</v>
      </c>
      <c r="N189" s="110"/>
      <c r="O189" s="111"/>
      <c r="P189" s="110"/>
      <c r="Q189" s="109" t="s">
        <v>26</v>
      </c>
      <c r="R189" s="110"/>
      <c r="S189" s="111"/>
      <c r="T189" s="110"/>
      <c r="U189" s="112"/>
      <c r="V189" s="103"/>
      <c r="W189" s="6"/>
    </row>
    <row r="190" spans="1:23" ht="15.6">
      <c r="A190" s="25"/>
      <c r="B190" s="189"/>
      <c r="C190" s="111"/>
      <c r="D190" s="111"/>
      <c r="E190" s="111"/>
      <c r="F190" s="111"/>
      <c r="G190" s="111"/>
      <c r="H190" s="111"/>
      <c r="I190" s="111"/>
      <c r="J190" s="111"/>
      <c r="K190" s="111"/>
      <c r="L190" s="111" t="s">
        <v>94</v>
      </c>
      <c r="M190" s="110" t="s">
        <v>101</v>
      </c>
      <c r="N190" s="111" t="s">
        <v>103</v>
      </c>
      <c r="O190" s="110" t="s">
        <v>101</v>
      </c>
      <c r="P190" s="110"/>
      <c r="Q190" s="111" t="s">
        <v>94</v>
      </c>
      <c r="R190" s="110" t="s">
        <v>101</v>
      </c>
      <c r="S190" s="111" t="s">
        <v>103</v>
      </c>
      <c r="T190" s="110" t="s">
        <v>101</v>
      </c>
      <c r="U190" s="112"/>
      <c r="V190" s="103"/>
      <c r="W190" s="6"/>
    </row>
    <row r="191" spans="1:23" ht="15.6">
      <c r="A191" s="25"/>
      <c r="B191" s="61" t="s">
        <v>81</v>
      </c>
      <c r="C191" s="113"/>
      <c r="D191" s="113"/>
      <c r="E191" s="113"/>
      <c r="F191" s="113"/>
      <c r="G191" s="113"/>
      <c r="H191" s="113"/>
      <c r="I191" s="113"/>
      <c r="J191" s="113"/>
      <c r="K191" s="113"/>
      <c r="L191" s="113">
        <v>8235</v>
      </c>
      <c r="M191" s="86">
        <f t="shared" ref="M191:M197" si="0">+L191/$L$198</f>
        <v>0.84940691077875197</v>
      </c>
      <c r="N191" s="113">
        <v>36379</v>
      </c>
      <c r="O191" s="86">
        <f t="shared" ref="O191:O197" si="1">N191/$N$198</f>
        <v>0.80360061851115527</v>
      </c>
      <c r="P191" s="110"/>
      <c r="Q191" s="113">
        <v>29826</v>
      </c>
      <c r="R191" s="86">
        <f t="shared" ref="R191:R197" si="2">+Q191/$Q$198</f>
        <v>0.9544014591533071</v>
      </c>
      <c r="S191" s="113">
        <v>29299</v>
      </c>
      <c r="T191" s="86">
        <f t="shared" ref="T191:T197" si="3">+S191/$S$198</f>
        <v>0.96283273085770626</v>
      </c>
      <c r="U191" s="112"/>
      <c r="V191" s="103"/>
      <c r="W191" s="6"/>
    </row>
    <row r="192" spans="1:23" ht="15.6">
      <c r="A192" s="25"/>
      <c r="B192" s="61" t="s">
        <v>82</v>
      </c>
      <c r="C192" s="113"/>
      <c r="D192" s="113"/>
      <c r="E192" s="113"/>
      <c r="F192" s="113"/>
      <c r="G192" s="113"/>
      <c r="H192" s="113"/>
      <c r="I192" s="113"/>
      <c r="J192" s="113"/>
      <c r="K192" s="113"/>
      <c r="L192" s="113">
        <v>182</v>
      </c>
      <c r="M192" s="86">
        <f t="shared" si="0"/>
        <v>1.8772563176895306E-2</v>
      </c>
      <c r="N192" s="113">
        <v>1133</v>
      </c>
      <c r="O192" s="86">
        <f t="shared" si="1"/>
        <v>2.5027612105146896E-2</v>
      </c>
      <c r="P192" s="110"/>
      <c r="Q192" s="113">
        <v>173</v>
      </c>
      <c r="R192" s="86">
        <f t="shared" si="2"/>
        <v>5.5358228536686828E-3</v>
      </c>
      <c r="S192" s="113">
        <v>133</v>
      </c>
      <c r="T192" s="86">
        <f t="shared" si="3"/>
        <v>4.3706868222149198E-3</v>
      </c>
      <c r="U192" s="112"/>
      <c r="V192" s="103"/>
      <c r="W192" s="6"/>
    </row>
    <row r="193" spans="1:24" ht="15.6">
      <c r="A193" s="25"/>
      <c r="B193" s="61" t="s">
        <v>83</v>
      </c>
      <c r="C193" s="113"/>
      <c r="D193" s="113"/>
      <c r="E193" s="113"/>
      <c r="F193" s="113"/>
      <c r="G193" s="113"/>
      <c r="H193" s="113"/>
      <c r="I193" s="113"/>
      <c r="J193" s="113"/>
      <c r="K193" s="113"/>
      <c r="L193" s="113">
        <v>139</v>
      </c>
      <c r="M193" s="86">
        <f t="shared" si="0"/>
        <v>1.4337287261474986E-2</v>
      </c>
      <c r="N193" s="113">
        <v>717</v>
      </c>
      <c r="O193" s="86">
        <f t="shared" si="1"/>
        <v>1.5838303512259774E-2</v>
      </c>
      <c r="P193" s="110"/>
      <c r="Q193" s="113">
        <v>169</v>
      </c>
      <c r="R193" s="86">
        <f t="shared" si="2"/>
        <v>5.4078269495376145E-3</v>
      </c>
      <c r="S193" s="113">
        <v>106</v>
      </c>
      <c r="T193" s="86">
        <f t="shared" si="3"/>
        <v>3.4834045349983571E-3</v>
      </c>
      <c r="U193" s="112"/>
      <c r="V193" s="103"/>
      <c r="W193" s="6"/>
    </row>
    <row r="194" spans="1:24" ht="15.6">
      <c r="A194" s="25"/>
      <c r="B194" s="61" t="s">
        <v>186</v>
      </c>
      <c r="C194" s="113"/>
      <c r="D194" s="113"/>
      <c r="E194" s="113"/>
      <c r="F194" s="113"/>
      <c r="G194" s="113"/>
      <c r="H194" s="113"/>
      <c r="I194" s="113"/>
      <c r="J194" s="113"/>
      <c r="K194" s="113"/>
      <c r="L194" s="113">
        <v>158</v>
      </c>
      <c r="M194" s="86">
        <f t="shared" si="0"/>
        <v>1.6297060340381642E-2</v>
      </c>
      <c r="N194" s="113">
        <v>833</v>
      </c>
      <c r="O194" s="86">
        <f t="shared" si="1"/>
        <v>1.8400706869891762E-2</v>
      </c>
      <c r="P194" s="110"/>
      <c r="Q194" s="113">
        <v>165</v>
      </c>
      <c r="R194" s="86">
        <f t="shared" si="2"/>
        <v>5.279831045406547E-3</v>
      </c>
      <c r="S194" s="113">
        <v>97</v>
      </c>
      <c r="T194" s="86">
        <f t="shared" si="3"/>
        <v>3.187643772592836E-3</v>
      </c>
      <c r="U194" s="112"/>
      <c r="V194" s="103"/>
      <c r="W194" s="6"/>
    </row>
    <row r="195" spans="1:24" ht="15.6">
      <c r="A195" s="25"/>
      <c r="B195" s="61" t="s">
        <v>187</v>
      </c>
      <c r="C195" s="113"/>
      <c r="D195" s="113"/>
      <c r="E195" s="113"/>
      <c r="F195" s="113"/>
      <c r="G195" s="113"/>
      <c r="H195" s="113"/>
      <c r="I195" s="113"/>
      <c r="J195" s="113"/>
      <c r="K195" s="113"/>
      <c r="L195" s="113">
        <v>126</v>
      </c>
      <c r="M195" s="86">
        <f t="shared" si="0"/>
        <v>1.2996389891696752E-2</v>
      </c>
      <c r="N195" s="113">
        <v>766</v>
      </c>
      <c r="O195" s="86">
        <f t="shared" si="1"/>
        <v>1.6920698034018113E-2</v>
      </c>
      <c r="P195" s="110"/>
      <c r="Q195" s="113">
        <v>190</v>
      </c>
      <c r="R195" s="86">
        <f t="shared" si="2"/>
        <v>6.0798054462257211E-3</v>
      </c>
      <c r="S195" s="113">
        <v>124</v>
      </c>
      <c r="T195" s="86">
        <f t="shared" si="3"/>
        <v>4.0749260598093983E-3</v>
      </c>
      <c r="U195" s="112"/>
      <c r="V195" s="103"/>
      <c r="W195" s="6"/>
    </row>
    <row r="196" spans="1:24" ht="15.6">
      <c r="A196" s="25"/>
      <c r="B196" s="61" t="s">
        <v>188</v>
      </c>
      <c r="C196" s="113"/>
      <c r="D196" s="113"/>
      <c r="E196" s="113"/>
      <c r="F196" s="113"/>
      <c r="G196" s="113"/>
      <c r="H196" s="113"/>
      <c r="I196" s="113"/>
      <c r="J196" s="113"/>
      <c r="K196" s="113"/>
      <c r="L196" s="113">
        <v>117</v>
      </c>
      <c r="M196" s="86">
        <f t="shared" si="0"/>
        <v>1.2068076328004126E-2</v>
      </c>
      <c r="N196" s="113">
        <v>712</v>
      </c>
      <c r="O196" s="86">
        <f t="shared" si="1"/>
        <v>1.572785509167219E-2</v>
      </c>
      <c r="P196" s="110"/>
      <c r="Q196" s="113">
        <v>227</v>
      </c>
      <c r="R196" s="86">
        <f t="shared" si="2"/>
        <v>7.2637675594380982E-3</v>
      </c>
      <c r="S196" s="113">
        <v>210</v>
      </c>
      <c r="T196" s="86">
        <f t="shared" si="3"/>
        <v>6.9010844561288205E-3</v>
      </c>
      <c r="U196" s="112"/>
      <c r="V196" s="103"/>
      <c r="W196" s="6"/>
    </row>
    <row r="197" spans="1:24" ht="15.6">
      <c r="A197" s="25"/>
      <c r="B197" s="61" t="s">
        <v>189</v>
      </c>
      <c r="C197" s="113"/>
      <c r="D197" s="113"/>
      <c r="E197" s="113"/>
      <c r="F197" s="113"/>
      <c r="G197" s="113"/>
      <c r="H197" s="113"/>
      <c r="I197" s="113"/>
      <c r="J197" s="113"/>
      <c r="K197" s="113"/>
      <c r="L197" s="113">
        <f>130+133+129+119+116+111</f>
        <v>738</v>
      </c>
      <c r="M197" s="86">
        <f t="shared" si="0"/>
        <v>7.6121712222795249E-2</v>
      </c>
      <c r="N197" s="113">
        <v>4730</v>
      </c>
      <c r="O197" s="86">
        <f t="shared" si="1"/>
        <v>0.10448420587585598</v>
      </c>
      <c r="P197" s="110"/>
      <c r="Q197" s="113">
        <f>144+138+104+55+30+30</f>
        <v>501</v>
      </c>
      <c r="R197" s="86">
        <f t="shared" si="2"/>
        <v>1.6031486992416244E-2</v>
      </c>
      <c r="S197" s="113">
        <v>461</v>
      </c>
      <c r="T197" s="86">
        <f t="shared" si="3"/>
        <v>1.5149523496549458E-2</v>
      </c>
      <c r="U197" s="112"/>
      <c r="V197" s="103"/>
      <c r="W197" s="6"/>
    </row>
    <row r="198" spans="1:24" ht="15.6">
      <c r="A198" s="25"/>
      <c r="B198" s="61" t="s">
        <v>84</v>
      </c>
      <c r="C198" s="113"/>
      <c r="D198" s="113"/>
      <c r="E198" s="113"/>
      <c r="F198" s="113"/>
      <c r="G198" s="113"/>
      <c r="H198" s="113"/>
      <c r="I198" s="113"/>
      <c r="J198" s="113"/>
      <c r="K198" s="113"/>
      <c r="L198" s="113">
        <f>SUM(L191:L197)</f>
        <v>9695</v>
      </c>
      <c r="M198" s="86">
        <f>SUM(M191:M197)</f>
        <v>1</v>
      </c>
      <c r="N198" s="113">
        <f>SUM(N191:N197)</f>
        <v>45270</v>
      </c>
      <c r="O198" s="86">
        <f>SUM(O191:O197)</f>
        <v>1</v>
      </c>
      <c r="P198" s="110"/>
      <c r="Q198" s="113">
        <f>SUM(Q191:Q197)</f>
        <v>31251</v>
      </c>
      <c r="R198" s="86">
        <f>SUM(R191:R197)</f>
        <v>1</v>
      </c>
      <c r="S198" s="113">
        <f>SUM(S191:S197)</f>
        <v>30430</v>
      </c>
      <c r="T198" s="86">
        <f>SUM(T191:T197)</f>
        <v>1</v>
      </c>
      <c r="U198" s="112"/>
      <c r="V198" s="103"/>
      <c r="W198" s="6"/>
      <c r="X198" s="64"/>
    </row>
    <row r="199" spans="1:24" ht="15.6">
      <c r="A199" s="25"/>
      <c r="B199" s="61" t="s">
        <v>85</v>
      </c>
      <c r="C199" s="113"/>
      <c r="D199" s="113"/>
      <c r="E199" s="113"/>
      <c r="F199" s="113"/>
      <c r="G199" s="113"/>
      <c r="H199" s="113"/>
      <c r="I199" s="113"/>
      <c r="J199" s="113"/>
      <c r="K199" s="113"/>
      <c r="L199" s="113">
        <v>630</v>
      </c>
      <c r="M199" s="114"/>
      <c r="N199" s="113">
        <v>4385</v>
      </c>
      <c r="O199" s="114"/>
      <c r="P199" s="110"/>
      <c r="Q199" s="113">
        <v>105</v>
      </c>
      <c r="R199" s="114"/>
      <c r="S199" s="113">
        <v>171</v>
      </c>
      <c r="T199" s="114"/>
      <c r="U199" s="112"/>
      <c r="V199" s="103"/>
      <c r="W199" s="6"/>
      <c r="X199" s="64"/>
    </row>
    <row r="200" spans="1:24" ht="15.6">
      <c r="A200" s="25"/>
      <c r="B200" s="61" t="s">
        <v>86</v>
      </c>
      <c r="C200" s="113"/>
      <c r="D200" s="113"/>
      <c r="E200" s="113"/>
      <c r="F200" s="113"/>
      <c r="G200" s="113"/>
      <c r="H200" s="113"/>
      <c r="I200" s="113"/>
      <c r="J200" s="113"/>
      <c r="K200" s="113"/>
      <c r="L200" s="113">
        <f>SUM(L198:L199)</f>
        <v>10325</v>
      </c>
      <c r="M200" s="189"/>
      <c r="N200" s="113">
        <f>SUM(N198:N199)</f>
        <v>49655</v>
      </c>
      <c r="O200" s="115"/>
      <c r="P200" s="189"/>
      <c r="Q200" s="113">
        <f>SUM(Q198:Q199)</f>
        <v>31356</v>
      </c>
      <c r="R200" s="189"/>
      <c r="S200" s="113">
        <f>SUM(S198:S199)</f>
        <v>30601</v>
      </c>
      <c r="T200" s="189"/>
      <c r="U200" s="189"/>
      <c r="V200" s="103"/>
      <c r="W200" s="6"/>
      <c r="X200" s="64"/>
    </row>
    <row r="201" spans="1:24" ht="15.6">
      <c r="A201" s="25"/>
      <c r="B201" s="61"/>
      <c r="C201" s="113"/>
      <c r="D201" s="113"/>
      <c r="E201" s="113"/>
      <c r="F201" s="113"/>
      <c r="G201" s="113"/>
      <c r="H201" s="113"/>
      <c r="I201" s="113"/>
      <c r="J201" s="113"/>
      <c r="K201" s="113"/>
      <c r="L201" s="113"/>
      <c r="M201" s="115"/>
      <c r="N201" s="113"/>
      <c r="O201" s="115"/>
      <c r="P201" s="110"/>
      <c r="Q201" s="113"/>
      <c r="R201" s="115"/>
      <c r="S201" s="113"/>
      <c r="T201" s="115"/>
      <c r="U201" s="112"/>
      <c r="V201" s="103"/>
      <c r="W201" s="6"/>
    </row>
    <row r="202" spans="1:24" ht="15.6">
      <c r="A202" s="25"/>
      <c r="B202" s="61"/>
      <c r="C202" s="110"/>
      <c r="D202" s="110"/>
      <c r="E202" s="110"/>
      <c r="F202" s="110"/>
      <c r="G202" s="110"/>
      <c r="H202" s="110"/>
      <c r="I202" s="110"/>
      <c r="J202" s="110"/>
      <c r="K202" s="110"/>
      <c r="L202" s="110"/>
      <c r="M202" s="109" t="s">
        <v>27</v>
      </c>
      <c r="N202" s="110"/>
      <c r="O202" s="111"/>
      <c r="P202" s="110"/>
      <c r="Q202" s="109" t="s">
        <v>28</v>
      </c>
      <c r="R202" s="110"/>
      <c r="S202" s="111"/>
      <c r="T202" s="110"/>
      <c r="U202" s="112"/>
      <c r="V202" s="103"/>
      <c r="W202" s="6"/>
    </row>
    <row r="203" spans="1:24" ht="15.6">
      <c r="A203" s="25"/>
      <c r="B203" s="189"/>
      <c r="C203" s="111"/>
      <c r="D203" s="111"/>
      <c r="E203" s="111"/>
      <c r="F203" s="111"/>
      <c r="G203" s="111"/>
      <c r="H203" s="111"/>
      <c r="I203" s="111"/>
      <c r="J203" s="111"/>
      <c r="K203" s="111"/>
      <c r="L203" s="111" t="s">
        <v>94</v>
      </c>
      <c r="M203" s="110" t="s">
        <v>101</v>
      </c>
      <c r="N203" s="111" t="s">
        <v>103</v>
      </c>
      <c r="O203" s="110" t="s">
        <v>101</v>
      </c>
      <c r="P203" s="110"/>
      <c r="Q203" s="111" t="s">
        <v>94</v>
      </c>
      <c r="R203" s="110" t="s">
        <v>101</v>
      </c>
      <c r="S203" s="111" t="s">
        <v>103</v>
      </c>
      <c r="T203" s="110" t="s">
        <v>101</v>
      </c>
      <c r="U203" s="112"/>
      <c r="V203" s="103"/>
      <c r="W203" s="6"/>
    </row>
    <row r="204" spans="1:24" ht="15.6">
      <c r="A204" s="25"/>
      <c r="B204" s="61" t="s">
        <v>81</v>
      </c>
      <c r="C204" s="113"/>
      <c r="D204" s="113"/>
      <c r="E204" s="113"/>
      <c r="F204" s="113"/>
      <c r="G204" s="113"/>
      <c r="H204" s="113"/>
      <c r="I204" s="113"/>
      <c r="J204" s="113"/>
      <c r="K204" s="113"/>
      <c r="L204" s="113">
        <v>7255</v>
      </c>
      <c r="M204" s="86">
        <f t="shared" ref="M204:M210" si="4">+L204/$L$211</f>
        <v>0.93504317566696737</v>
      </c>
      <c r="N204" s="113">
        <v>184394</v>
      </c>
      <c r="O204" s="86">
        <f t="shared" ref="O204:O210" si="5">+N204/$N$211</f>
        <v>0.92472568253395115</v>
      </c>
      <c r="P204" s="110"/>
      <c r="Q204" s="113">
        <v>16013</v>
      </c>
      <c r="R204" s="86">
        <f t="shared" ref="R204:R210" si="6">Q204/$Q$211</f>
        <v>0.98082812691412469</v>
      </c>
      <c r="S204" s="113">
        <v>122188</v>
      </c>
      <c r="T204" s="86">
        <f t="shared" ref="T204:T210" si="7">+S204/$S$211</f>
        <v>0.97716003966603759</v>
      </c>
      <c r="U204" s="112"/>
      <c r="V204" s="103"/>
      <c r="W204" s="6"/>
    </row>
    <row r="205" spans="1:24" ht="15.6">
      <c r="A205" s="25"/>
      <c r="B205" s="61" t="s">
        <v>82</v>
      </c>
      <c r="C205" s="113"/>
      <c r="D205" s="113"/>
      <c r="E205" s="113"/>
      <c r="F205" s="113"/>
      <c r="G205" s="113"/>
      <c r="H205" s="113"/>
      <c r="I205" s="113"/>
      <c r="J205" s="113"/>
      <c r="K205" s="113"/>
      <c r="L205" s="113">
        <v>165</v>
      </c>
      <c r="M205" s="86">
        <f t="shared" si="4"/>
        <v>2.1265627013790436E-2</v>
      </c>
      <c r="N205" s="113">
        <v>4844</v>
      </c>
      <c r="O205" s="86">
        <f t="shared" si="5"/>
        <v>2.4292391326151932E-2</v>
      </c>
      <c r="P205" s="110"/>
      <c r="Q205" s="113">
        <v>121</v>
      </c>
      <c r="R205" s="86">
        <f t="shared" si="6"/>
        <v>7.4114908734533875E-3</v>
      </c>
      <c r="S205" s="113">
        <v>995</v>
      </c>
      <c r="T205" s="86">
        <f t="shared" si="7"/>
        <v>7.9571990659287935E-3</v>
      </c>
      <c r="U205" s="112"/>
      <c r="V205" s="103"/>
      <c r="W205" s="6"/>
    </row>
    <row r="206" spans="1:24" ht="15.6">
      <c r="A206" s="25"/>
      <c r="B206" s="61" t="s">
        <v>83</v>
      </c>
      <c r="C206" s="113"/>
      <c r="D206" s="113"/>
      <c r="E206" s="113"/>
      <c r="F206" s="113"/>
      <c r="G206" s="113"/>
      <c r="H206" s="113"/>
      <c r="I206" s="113"/>
      <c r="J206" s="113"/>
      <c r="K206" s="113"/>
      <c r="L206" s="113">
        <v>106</v>
      </c>
      <c r="M206" s="86">
        <f t="shared" si="4"/>
        <v>1.3661554324010826E-2</v>
      </c>
      <c r="N206" s="113">
        <v>3254</v>
      </c>
      <c r="O206" s="86">
        <f t="shared" si="5"/>
        <v>1.6318629515957552E-2</v>
      </c>
      <c r="P206" s="110"/>
      <c r="Q206" s="113">
        <v>67</v>
      </c>
      <c r="R206" s="86">
        <f t="shared" si="6"/>
        <v>4.1038833762097266E-3</v>
      </c>
      <c r="S206" s="113">
        <v>635</v>
      </c>
      <c r="T206" s="86">
        <f t="shared" si="7"/>
        <v>5.0782124692108381E-3</v>
      </c>
      <c r="U206" s="112"/>
      <c r="V206" s="103"/>
      <c r="W206" s="6"/>
    </row>
    <row r="207" spans="1:24" ht="15.6">
      <c r="A207" s="25"/>
      <c r="B207" s="61" t="s">
        <v>186</v>
      </c>
      <c r="C207" s="113"/>
      <c r="D207" s="113"/>
      <c r="E207" s="113"/>
      <c r="F207" s="113"/>
      <c r="G207" s="113"/>
      <c r="H207" s="113"/>
      <c r="I207" s="113"/>
      <c r="J207" s="113"/>
      <c r="K207" s="113"/>
      <c r="L207" s="113">
        <v>63</v>
      </c>
      <c r="M207" s="86">
        <f t="shared" si="4"/>
        <v>8.1196030416290765E-3</v>
      </c>
      <c r="N207" s="113">
        <v>1818</v>
      </c>
      <c r="O207" s="86">
        <f t="shared" si="5"/>
        <v>9.1171691641090454E-3</v>
      </c>
      <c r="P207" s="110"/>
      <c r="Q207" s="113">
        <v>42</v>
      </c>
      <c r="R207" s="86">
        <f t="shared" si="6"/>
        <v>2.5725836089672913E-3</v>
      </c>
      <c r="S207" s="113">
        <v>344</v>
      </c>
      <c r="T207" s="86">
        <f t="shared" si="7"/>
        <v>2.751031636863824E-3</v>
      </c>
      <c r="U207" s="112"/>
      <c r="V207" s="103"/>
      <c r="W207" s="6"/>
    </row>
    <row r="208" spans="1:24" ht="15.6">
      <c r="A208" s="25"/>
      <c r="B208" s="61" t="s">
        <v>187</v>
      </c>
      <c r="C208" s="113"/>
      <c r="D208" s="113"/>
      <c r="E208" s="113"/>
      <c r="F208" s="113"/>
      <c r="G208" s="113"/>
      <c r="H208" s="113"/>
      <c r="I208" s="113"/>
      <c r="J208" s="113"/>
      <c r="K208" s="113"/>
      <c r="L208" s="113">
        <v>38</v>
      </c>
      <c r="M208" s="86">
        <f t="shared" si="4"/>
        <v>4.8975383425699185E-3</v>
      </c>
      <c r="N208" s="113">
        <v>1168</v>
      </c>
      <c r="O208" s="86">
        <f t="shared" si="5"/>
        <v>5.8574552165453053E-3</v>
      </c>
      <c r="P208" s="110"/>
      <c r="Q208" s="113">
        <v>22</v>
      </c>
      <c r="R208" s="86">
        <f t="shared" si="6"/>
        <v>1.3475437951733431E-3</v>
      </c>
      <c r="S208" s="113">
        <v>287</v>
      </c>
      <c r="T208" s="86">
        <f t="shared" si="7"/>
        <v>2.2951920923834812E-3</v>
      </c>
      <c r="U208" s="112"/>
      <c r="V208" s="103"/>
      <c r="W208" s="6"/>
    </row>
    <row r="209" spans="1:24" ht="15.6">
      <c r="A209" s="25"/>
      <c r="B209" s="61" t="s">
        <v>188</v>
      </c>
      <c r="C209" s="113"/>
      <c r="D209" s="113"/>
      <c r="E209" s="113"/>
      <c r="F209" s="113"/>
      <c r="G209" s="113"/>
      <c r="H209" s="113"/>
      <c r="I209" s="113"/>
      <c r="J209" s="113"/>
      <c r="K209" s="113"/>
      <c r="L209" s="113">
        <v>32</v>
      </c>
      <c r="M209" s="86">
        <f t="shared" si="4"/>
        <v>4.1242428147957215E-3</v>
      </c>
      <c r="N209" s="113">
        <v>917</v>
      </c>
      <c r="O209" s="86">
        <f t="shared" si="5"/>
        <v>4.5987041383322297E-3</v>
      </c>
      <c r="P209" s="110"/>
      <c r="Q209" s="113">
        <v>15</v>
      </c>
      <c r="R209" s="86">
        <f t="shared" si="6"/>
        <v>9.1877986034546121E-4</v>
      </c>
      <c r="S209" s="113">
        <v>179</v>
      </c>
      <c r="T209" s="86">
        <f t="shared" si="7"/>
        <v>1.4314961133680944E-3</v>
      </c>
      <c r="U209" s="112"/>
      <c r="V209" s="103"/>
      <c r="W209" s="6"/>
    </row>
    <row r="210" spans="1:24" ht="15.6">
      <c r="A210" s="25"/>
      <c r="B210" s="61" t="s">
        <v>189</v>
      </c>
      <c r="C210" s="113"/>
      <c r="D210" s="113"/>
      <c r="E210" s="113"/>
      <c r="F210" s="113"/>
      <c r="G210" s="113"/>
      <c r="H210" s="113"/>
      <c r="I210" s="113"/>
      <c r="J210" s="113"/>
      <c r="K210" s="113"/>
      <c r="L210" s="113">
        <f>29+17+13+16+14+11</f>
        <v>100</v>
      </c>
      <c r="M210" s="86">
        <f t="shared" si="4"/>
        <v>1.2888258796236628E-2</v>
      </c>
      <c r="N210" s="113">
        <v>3009</v>
      </c>
      <c r="O210" s="86">
        <f t="shared" si="5"/>
        <v>1.5089968104952759E-2</v>
      </c>
      <c r="P210" s="110"/>
      <c r="Q210" s="113">
        <f>14+5+13+4+3+7</f>
        <v>46</v>
      </c>
      <c r="R210" s="86">
        <f t="shared" si="6"/>
        <v>2.8175915717260809E-3</v>
      </c>
      <c r="S210" s="113">
        <v>416</v>
      </c>
      <c r="T210" s="86">
        <f t="shared" si="7"/>
        <v>3.3268289562074149E-3</v>
      </c>
      <c r="U210" s="112"/>
      <c r="V210" s="103"/>
      <c r="W210" s="6"/>
    </row>
    <row r="211" spans="1:24" ht="15.6">
      <c r="A211" s="25"/>
      <c r="B211" s="61" t="str">
        <f>B198</f>
        <v>Total Performing  Assets</v>
      </c>
      <c r="C211" s="113"/>
      <c r="D211" s="113"/>
      <c r="E211" s="113"/>
      <c r="F211" s="113"/>
      <c r="G211" s="113"/>
      <c r="H211" s="113"/>
      <c r="I211" s="113"/>
      <c r="J211" s="113"/>
      <c r="K211" s="113"/>
      <c r="L211" s="113">
        <f>SUM(L204:L210)</f>
        <v>7759</v>
      </c>
      <c r="M211" s="86">
        <f>SUM(M204:M210)</f>
        <v>1</v>
      </c>
      <c r="N211" s="113">
        <f>SUM(N204:N210)</f>
        <v>199404</v>
      </c>
      <c r="O211" s="86">
        <f>SUM(O204:O210)</f>
        <v>1</v>
      </c>
      <c r="P211" s="110"/>
      <c r="Q211" s="113">
        <f>SUM(Q204:Q210)</f>
        <v>16326</v>
      </c>
      <c r="R211" s="86">
        <f>SUM(R204:R210)</f>
        <v>1</v>
      </c>
      <c r="S211" s="113">
        <f>SUM(S204:S210)</f>
        <v>125044</v>
      </c>
      <c r="T211" s="86">
        <f>SUM(T204:T210)</f>
        <v>1.0000000000000002</v>
      </c>
      <c r="U211" s="112"/>
      <c r="V211" s="103"/>
      <c r="W211" s="6"/>
    </row>
    <row r="212" spans="1:24" ht="15.6">
      <c r="A212" s="25"/>
      <c r="B212" s="61" t="s">
        <v>85</v>
      </c>
      <c r="C212" s="113"/>
      <c r="D212" s="113"/>
      <c r="E212" s="113"/>
      <c r="F212" s="113"/>
      <c r="G212" s="113"/>
      <c r="H212" s="113"/>
      <c r="I212" s="113"/>
      <c r="J212" s="113"/>
      <c r="K212" s="113"/>
      <c r="L212" s="113">
        <v>24</v>
      </c>
      <c r="M212" s="116"/>
      <c r="N212" s="113">
        <v>769</v>
      </c>
      <c r="O212" s="114"/>
      <c r="P212" s="110"/>
      <c r="Q212" s="113">
        <v>32</v>
      </c>
      <c r="R212" s="116"/>
      <c r="S212" s="113">
        <v>379</v>
      </c>
      <c r="T212" s="116"/>
      <c r="U212" s="112"/>
      <c r="V212" s="103"/>
      <c r="W212" s="6"/>
    </row>
    <row r="213" spans="1:24" ht="15.6">
      <c r="A213" s="25"/>
      <c r="B213" s="61" t="s">
        <v>86</v>
      </c>
      <c r="C213" s="113"/>
      <c r="D213" s="113"/>
      <c r="E213" s="113"/>
      <c r="F213" s="113"/>
      <c r="G213" s="113"/>
      <c r="H213" s="113"/>
      <c r="I213" s="113"/>
      <c r="J213" s="113"/>
      <c r="K213" s="113"/>
      <c r="L213" s="113">
        <f>SUM(L211:L212)</f>
        <v>7783</v>
      </c>
      <c r="M213" s="189"/>
      <c r="N213" s="113">
        <f>SUM(N211:N212)</f>
        <v>200173</v>
      </c>
      <c r="O213" s="86"/>
      <c r="P213" s="189"/>
      <c r="Q213" s="113">
        <f>SUM(Q211:Q212)</f>
        <v>16358</v>
      </c>
      <c r="R213" s="189"/>
      <c r="S213" s="113">
        <f>SUM(S211:S212)</f>
        <v>125423</v>
      </c>
      <c r="T213" s="189"/>
      <c r="U213" s="189"/>
      <c r="V213" s="190"/>
    </row>
    <row r="214" spans="1:24" ht="15.6">
      <c r="A214" s="25"/>
      <c r="B214" s="61"/>
      <c r="C214" s="110"/>
      <c r="D214" s="110"/>
      <c r="E214" s="110"/>
      <c r="F214" s="110"/>
      <c r="G214" s="110"/>
      <c r="H214" s="110"/>
      <c r="I214" s="110"/>
      <c r="J214" s="110"/>
      <c r="K214" s="110"/>
      <c r="L214" s="110"/>
      <c r="M214" s="111"/>
      <c r="N214" s="110"/>
      <c r="O214" s="111"/>
      <c r="P214" s="110"/>
      <c r="Q214" s="117"/>
      <c r="R214" s="110"/>
      <c r="S214" s="113"/>
      <c r="T214" s="110"/>
      <c r="U214" s="112"/>
      <c r="V214" s="103"/>
      <c r="W214" s="6"/>
    </row>
    <row r="215" spans="1:24" ht="15.6">
      <c r="A215" s="25"/>
      <c r="B215" s="61" t="s">
        <v>86</v>
      </c>
      <c r="C215" s="110"/>
      <c r="D215" s="110"/>
      <c r="E215" s="110"/>
      <c r="F215" s="110"/>
      <c r="G215" s="110"/>
      <c r="H215" s="110"/>
      <c r="I215" s="110"/>
      <c r="J215" s="110"/>
      <c r="K215" s="110"/>
      <c r="L215" s="110"/>
      <c r="M215" s="111"/>
      <c r="N215" s="110"/>
      <c r="O215" s="111"/>
      <c r="P215" s="110"/>
      <c r="Q215" s="117"/>
      <c r="R215" s="116"/>
      <c r="S215" s="113">
        <f>N200+S200+N213+S213</f>
        <v>405852</v>
      </c>
      <c r="T215" s="115"/>
      <c r="U215" s="112"/>
      <c r="V215" s="103"/>
      <c r="W215" s="6"/>
    </row>
    <row r="216" spans="1:24" ht="15.6">
      <c r="A216" s="25"/>
      <c r="B216" s="61"/>
      <c r="C216" s="110"/>
      <c r="D216" s="110"/>
      <c r="E216" s="110"/>
      <c r="F216" s="110"/>
      <c r="G216" s="110"/>
      <c r="H216" s="110"/>
      <c r="I216" s="110"/>
      <c r="J216" s="110"/>
      <c r="K216" s="110"/>
      <c r="L216" s="110"/>
      <c r="M216" s="111"/>
      <c r="N216" s="110"/>
      <c r="O216" s="111"/>
      <c r="P216" s="110"/>
      <c r="Q216" s="111"/>
      <c r="R216" s="110"/>
      <c r="S216" s="113"/>
      <c r="T216" s="116"/>
      <c r="U216" s="112"/>
      <c r="V216" s="103"/>
      <c r="W216" s="6"/>
    </row>
    <row r="217" spans="1:24" ht="15.6">
      <c r="A217" s="25"/>
      <c r="B217" s="118" t="s">
        <v>87</v>
      </c>
      <c r="C217" s="110"/>
      <c r="D217" s="110"/>
      <c r="E217" s="110"/>
      <c r="F217" s="110"/>
      <c r="G217" s="110"/>
      <c r="H217" s="110"/>
      <c r="I217" s="110"/>
      <c r="J217" s="110"/>
      <c r="K217" s="110"/>
      <c r="L217" s="110"/>
      <c r="M217" s="111"/>
      <c r="N217" s="110"/>
      <c r="O217" s="111"/>
      <c r="P217" s="110"/>
      <c r="Q217" s="111"/>
      <c r="R217" s="110"/>
      <c r="S217" s="113"/>
      <c r="T217" s="110"/>
      <c r="U217" s="112"/>
      <c r="V217" s="103"/>
      <c r="W217" s="6"/>
    </row>
    <row r="218" spans="1:24" ht="15.6">
      <c r="A218" s="25"/>
      <c r="B218" s="61"/>
      <c r="C218" s="110"/>
      <c r="D218" s="110"/>
      <c r="E218" s="110"/>
      <c r="F218" s="110"/>
      <c r="G218" s="110"/>
      <c r="H218" s="110"/>
      <c r="I218" s="110"/>
      <c r="J218" s="110"/>
      <c r="K218" s="110"/>
      <c r="L218" s="110"/>
      <c r="M218" s="111"/>
      <c r="N218" s="110"/>
      <c r="O218" s="111"/>
      <c r="P218" s="110"/>
      <c r="Q218" s="111"/>
      <c r="R218" s="110"/>
      <c r="S218" s="113"/>
      <c r="T218" s="110"/>
      <c r="U218" s="112"/>
      <c r="V218" s="103"/>
      <c r="W218" s="6"/>
    </row>
    <row r="219" spans="1:24" ht="15.6">
      <c r="A219" s="25"/>
      <c r="B219" s="61" t="s">
        <v>88</v>
      </c>
      <c r="C219" s="110"/>
      <c r="D219" s="110"/>
      <c r="E219" s="110"/>
      <c r="F219" s="110"/>
      <c r="G219" s="110"/>
      <c r="H219" s="110"/>
      <c r="I219" s="110"/>
      <c r="J219" s="110"/>
      <c r="K219" s="110"/>
      <c r="L219" s="110"/>
      <c r="M219" s="111"/>
      <c r="N219" s="110"/>
      <c r="O219" s="111"/>
      <c r="P219" s="110"/>
      <c r="Q219" s="111"/>
      <c r="R219" s="110"/>
      <c r="S219" s="113">
        <f>+N198+S198+N211+S211</f>
        <v>400148</v>
      </c>
      <c r="T219" s="110"/>
      <c r="U219" s="112"/>
      <c r="V219" s="103"/>
      <c r="W219" s="6"/>
      <c r="X219" s="182"/>
    </row>
    <row r="220" spans="1:24" ht="15.6">
      <c r="A220" s="25"/>
      <c r="B220" s="61" t="s">
        <v>89</v>
      </c>
      <c r="C220" s="110"/>
      <c r="D220" s="110"/>
      <c r="E220" s="110"/>
      <c r="F220" s="110"/>
      <c r="G220" s="110"/>
      <c r="H220" s="110"/>
      <c r="I220" s="110"/>
      <c r="J220" s="110"/>
      <c r="K220" s="110"/>
      <c r="L220" s="110"/>
      <c r="M220" s="111"/>
      <c r="N220" s="110"/>
      <c r="O220" s="111"/>
      <c r="P220" s="110"/>
      <c r="Q220" s="111"/>
      <c r="R220" s="110"/>
      <c r="S220" s="113">
        <f>-U103</f>
        <v>49852</v>
      </c>
      <c r="T220" s="110"/>
      <c r="U220" s="112"/>
      <c r="V220" s="103"/>
      <c r="W220" s="119"/>
    </row>
    <row r="221" spans="1:24" ht="15.6">
      <c r="A221" s="25"/>
      <c r="B221" s="61" t="s">
        <v>90</v>
      </c>
      <c r="C221" s="110"/>
      <c r="D221" s="110"/>
      <c r="E221" s="110"/>
      <c r="F221" s="110"/>
      <c r="G221" s="110"/>
      <c r="H221" s="110"/>
      <c r="I221" s="110"/>
      <c r="J221" s="110"/>
      <c r="K221" s="110"/>
      <c r="L221" s="110"/>
      <c r="M221" s="111"/>
      <c r="N221" s="110"/>
      <c r="O221" s="111"/>
      <c r="P221" s="110"/>
      <c r="Q221" s="111"/>
      <c r="R221" s="110"/>
      <c r="S221" s="113">
        <f>SUM(S219:S220)</f>
        <v>450000</v>
      </c>
      <c r="T221" s="110"/>
      <c r="U221" s="112"/>
      <c r="V221" s="103"/>
      <c r="W221" s="6"/>
    </row>
    <row r="222" spans="1:24" ht="15.6">
      <c r="A222" s="25"/>
      <c r="B222" s="61"/>
      <c r="C222" s="110"/>
      <c r="D222" s="110"/>
      <c r="E222" s="110"/>
      <c r="F222" s="110"/>
      <c r="G222" s="110"/>
      <c r="H222" s="110"/>
      <c r="I222" s="110"/>
      <c r="J222" s="110"/>
      <c r="K222" s="110"/>
      <c r="L222" s="110"/>
      <c r="M222" s="111"/>
      <c r="N222" s="110"/>
      <c r="O222" s="111"/>
      <c r="P222" s="110"/>
      <c r="Q222" s="111"/>
      <c r="R222" s="110"/>
      <c r="S222" s="113"/>
      <c r="T222" s="110"/>
      <c r="U222" s="112"/>
      <c r="V222" s="103"/>
      <c r="W222" s="6"/>
    </row>
    <row r="223" spans="1:24" ht="15.6">
      <c r="A223" s="25"/>
      <c r="B223" s="61" t="s">
        <v>91</v>
      </c>
      <c r="C223" s="110"/>
      <c r="D223" s="110"/>
      <c r="E223" s="110"/>
      <c r="F223" s="110"/>
      <c r="G223" s="110"/>
      <c r="H223" s="110"/>
      <c r="I223" s="110"/>
      <c r="J223" s="110"/>
      <c r="K223" s="110"/>
      <c r="L223" s="110"/>
      <c r="M223" s="111"/>
      <c r="N223" s="110"/>
      <c r="O223" s="111"/>
      <c r="P223" s="110"/>
      <c r="Q223" s="111"/>
      <c r="R223" s="110"/>
      <c r="S223" s="113">
        <f>U33</f>
        <v>450000</v>
      </c>
      <c r="T223" s="110"/>
      <c r="U223" s="112"/>
      <c r="V223" s="103"/>
      <c r="W223" s="6"/>
    </row>
    <row r="224" spans="1:24" ht="15.6">
      <c r="A224" s="25"/>
      <c r="B224" s="61"/>
      <c r="C224" s="110"/>
      <c r="D224" s="110"/>
      <c r="E224" s="110"/>
      <c r="F224" s="110"/>
      <c r="G224" s="110"/>
      <c r="H224" s="110"/>
      <c r="I224" s="110"/>
      <c r="J224" s="110"/>
      <c r="K224" s="110"/>
      <c r="L224" s="110"/>
      <c r="M224" s="111"/>
      <c r="N224" s="110"/>
      <c r="O224" s="111"/>
      <c r="P224" s="110"/>
      <c r="Q224" s="111"/>
      <c r="R224" s="110"/>
      <c r="S224" s="113"/>
      <c r="T224" s="110"/>
      <c r="U224" s="112"/>
      <c r="V224" s="103"/>
      <c r="W224" s="6"/>
    </row>
    <row r="225" spans="1:23" ht="15.6">
      <c r="A225" s="25"/>
      <c r="B225" s="61" t="s">
        <v>92</v>
      </c>
      <c r="C225" s="110"/>
      <c r="D225" s="110"/>
      <c r="E225" s="110"/>
      <c r="F225" s="110"/>
      <c r="G225" s="110"/>
      <c r="H225" s="110"/>
      <c r="I225" s="110"/>
      <c r="J225" s="110"/>
      <c r="K225" s="110"/>
      <c r="L225" s="110"/>
      <c r="M225" s="111"/>
      <c r="N225" s="110"/>
      <c r="O225" s="111"/>
      <c r="P225" s="110"/>
      <c r="Q225" s="111"/>
      <c r="R225" s="110"/>
      <c r="S225" s="113">
        <f>S221/S223</f>
        <v>1</v>
      </c>
      <c r="T225" s="110"/>
      <c r="U225" s="112"/>
      <c r="V225" s="103"/>
      <c r="W225" s="6"/>
    </row>
    <row r="226" spans="1:23" ht="15.6">
      <c r="A226" s="25"/>
      <c r="B226" s="26"/>
      <c r="C226" s="26"/>
      <c r="D226" s="26"/>
      <c r="E226" s="26"/>
      <c r="F226" s="26"/>
      <c r="G226" s="26"/>
      <c r="H226" s="26"/>
      <c r="I226" s="26"/>
      <c r="J226" s="26"/>
      <c r="K226" s="26"/>
      <c r="L226" s="26"/>
      <c r="M226" s="33"/>
      <c r="N226" s="26"/>
      <c r="O226" s="26"/>
      <c r="P226" s="26"/>
      <c r="Q226" s="59"/>
      <c r="R226" s="120"/>
      <c r="S226" s="60"/>
      <c r="T226" s="120"/>
      <c r="U226" s="89"/>
      <c r="V226" s="26"/>
      <c r="W226" s="6"/>
    </row>
    <row r="227" spans="1:23" ht="15.6">
      <c r="A227" s="121"/>
      <c r="B227" s="30" t="s">
        <v>127</v>
      </c>
      <c r="C227" s="122"/>
      <c r="D227" s="122"/>
      <c r="E227" s="122"/>
      <c r="F227" s="122"/>
      <c r="G227" s="122"/>
      <c r="H227" s="122"/>
      <c r="I227" s="122"/>
      <c r="J227" s="122"/>
      <c r="K227" s="122"/>
      <c r="L227" s="122"/>
      <c r="M227" s="110"/>
      <c r="N227" s="112"/>
      <c r="O227" s="30"/>
      <c r="P227" s="123"/>
      <c r="Q227" s="123"/>
      <c r="R227" s="123"/>
      <c r="S227" s="124"/>
      <c r="T227" s="29"/>
      <c r="U227" s="29"/>
      <c r="V227" s="29"/>
      <c r="W227" s="6"/>
    </row>
    <row r="228" spans="1:23" ht="15.6">
      <c r="A228" s="125"/>
      <c r="B228" s="13" t="s">
        <v>128</v>
      </c>
      <c r="C228" s="126"/>
      <c r="D228" s="126"/>
      <c r="E228" s="126"/>
      <c r="F228" s="126"/>
      <c r="G228" s="126"/>
      <c r="H228" s="126"/>
      <c r="I228" s="126"/>
      <c r="J228" s="126"/>
      <c r="K228" s="126"/>
      <c r="L228" s="126"/>
      <c r="M228" s="127"/>
      <c r="N228" s="13"/>
      <c r="O228" s="13"/>
      <c r="P228" s="126"/>
      <c r="Q228" s="126"/>
      <c r="R228" s="12"/>
      <c r="S228" s="12"/>
      <c r="T228" s="12"/>
      <c r="U228" s="12"/>
      <c r="V228" s="12"/>
      <c r="W228" s="6"/>
    </row>
    <row r="229" spans="1:23" ht="15.6">
      <c r="A229" s="125"/>
      <c r="B229" s="13" t="s">
        <v>246</v>
      </c>
      <c r="C229" s="126"/>
      <c r="D229" s="126"/>
      <c r="E229" s="126"/>
      <c r="F229" s="126"/>
      <c r="G229" s="126"/>
      <c r="H229" s="126"/>
      <c r="I229" s="126"/>
      <c r="J229" s="126"/>
      <c r="K229" s="126"/>
      <c r="L229" s="126"/>
      <c r="M229" s="127"/>
      <c r="N229" s="13"/>
      <c r="O229" s="13"/>
      <c r="P229" s="126"/>
      <c r="Q229" s="126"/>
      <c r="R229" s="12"/>
      <c r="S229" s="12"/>
      <c r="T229" s="12"/>
      <c r="U229" s="12"/>
      <c r="V229" s="12"/>
      <c r="W229" s="6"/>
    </row>
    <row r="230" spans="1:23" ht="15.6">
      <c r="A230" s="125"/>
      <c r="B230" s="13" t="s">
        <v>129</v>
      </c>
      <c r="C230" s="126"/>
      <c r="D230" s="126"/>
      <c r="E230" s="126"/>
      <c r="F230" s="126"/>
      <c r="G230" s="126"/>
      <c r="H230" s="126"/>
      <c r="I230" s="126"/>
      <c r="J230" s="126"/>
      <c r="K230" s="126"/>
      <c r="L230" s="126"/>
      <c r="M230" s="127"/>
      <c r="N230" s="13"/>
      <c r="O230" s="13"/>
      <c r="P230" s="126"/>
      <c r="Q230" s="126"/>
      <c r="R230" s="12"/>
      <c r="S230" s="12"/>
      <c r="T230" s="12"/>
      <c r="U230" s="12"/>
      <c r="V230" s="12"/>
      <c r="W230" s="6"/>
    </row>
    <row r="231" spans="1:23" ht="15.6">
      <c r="A231" s="125"/>
      <c r="B231" s="13"/>
      <c r="C231" s="126"/>
      <c r="D231" s="126"/>
      <c r="E231" s="126"/>
      <c r="F231" s="126"/>
      <c r="G231" s="126"/>
      <c r="H231" s="126"/>
      <c r="I231" s="126"/>
      <c r="J231" s="126"/>
      <c r="K231" s="126"/>
      <c r="L231" s="126"/>
      <c r="M231" s="127"/>
      <c r="N231" s="13"/>
      <c r="O231" s="13"/>
      <c r="P231" s="126"/>
      <c r="Q231" s="126"/>
      <c r="R231" s="12"/>
      <c r="S231" s="12"/>
      <c r="T231" s="12"/>
      <c r="U231" s="12"/>
      <c r="V231" s="12"/>
      <c r="W231" s="6"/>
    </row>
    <row r="232" spans="1:23" ht="15.6">
      <c r="A232" s="125"/>
      <c r="B232" s="13"/>
      <c r="C232" s="126"/>
      <c r="D232" s="126"/>
      <c r="E232" s="126"/>
      <c r="F232" s="126"/>
      <c r="G232" s="126"/>
      <c r="H232" s="126"/>
      <c r="I232" s="126"/>
      <c r="J232" s="126"/>
      <c r="K232" s="126"/>
      <c r="L232" s="126"/>
      <c r="M232" s="127"/>
      <c r="N232" s="13"/>
      <c r="O232" s="13"/>
      <c r="P232" s="126"/>
      <c r="Q232" s="126"/>
      <c r="R232" s="12"/>
      <c r="S232" s="12"/>
      <c r="T232" s="12"/>
      <c r="U232" s="12"/>
      <c r="V232" s="12"/>
      <c r="W232" s="6"/>
    </row>
    <row r="233" spans="1:23" ht="16.2" thickBot="1">
      <c r="A233" s="125"/>
      <c r="B233" s="13" t="str">
        <f>+B160</f>
        <v>PPAF3 INVESTOR REPORT QUARTER ENDING MARCH 2006</v>
      </c>
      <c r="C233" s="126"/>
      <c r="D233" s="126"/>
      <c r="E233" s="126"/>
      <c r="F233" s="126"/>
      <c r="G233" s="126"/>
      <c r="H233" s="126"/>
      <c r="I233" s="126"/>
      <c r="J233" s="126"/>
      <c r="K233" s="126"/>
      <c r="L233" s="126"/>
      <c r="M233" s="127"/>
      <c r="N233" s="13"/>
      <c r="O233" s="13"/>
      <c r="P233" s="126"/>
      <c r="Q233" s="126"/>
      <c r="R233" s="12"/>
      <c r="S233" s="12"/>
      <c r="T233" s="12"/>
      <c r="U233" s="12"/>
      <c r="V233" s="12"/>
      <c r="W233" s="6"/>
    </row>
    <row r="234" spans="1:2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row>
  </sheetData>
  <phoneticPr fontId="0" type="noConversion"/>
  <hyperlinks>
    <hyperlink ref="I9" r:id="rId1"/>
    <hyperlink ref="K187"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16383" man="1"/>
    <brk id="110" max="16383" man="1"/>
    <brk id="160" max="21" man="1"/>
    <brk id="239" man="1"/>
  </rowBreaks>
  <colBreaks count="1" manualBreakCount="1">
    <brk id="23" max="1048575" man="1"/>
  </colBreaks>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0099"/>
  </sheetPr>
  <dimension ref="A1:Y234"/>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38" t="s">
        <v>223</v>
      </c>
      <c r="B1" s="285" t="s">
        <v>123</v>
      </c>
      <c r="C1" s="239"/>
      <c r="D1" s="239"/>
      <c r="E1" s="239"/>
      <c r="F1" s="239"/>
      <c r="G1" s="239"/>
      <c r="H1" s="239"/>
      <c r="I1" s="239"/>
      <c r="J1" s="239"/>
      <c r="K1" s="239"/>
      <c r="L1" s="239"/>
      <c r="M1" s="240"/>
      <c r="N1" s="240"/>
      <c r="O1" s="240"/>
      <c r="P1" s="240"/>
      <c r="Q1" s="240"/>
      <c r="R1" s="240"/>
      <c r="S1" s="240"/>
      <c r="T1" s="240"/>
      <c r="U1" s="240"/>
      <c r="V1" s="241"/>
      <c r="W1" s="6"/>
    </row>
    <row r="2" spans="1:23" ht="15.6">
      <c r="A2" s="242"/>
      <c r="B2" s="243"/>
      <c r="C2" s="243"/>
      <c r="D2" s="243"/>
      <c r="E2" s="243"/>
      <c r="F2" s="243"/>
      <c r="G2" s="243"/>
      <c r="H2" s="243"/>
      <c r="I2" s="243"/>
      <c r="J2" s="243"/>
      <c r="K2" s="243"/>
      <c r="L2" s="243"/>
      <c r="M2" s="244"/>
      <c r="N2" s="244"/>
      <c r="O2" s="244"/>
      <c r="P2" s="244"/>
      <c r="Q2" s="244"/>
      <c r="R2" s="244"/>
      <c r="S2" s="244"/>
      <c r="T2" s="244"/>
      <c r="U2" s="244"/>
      <c r="V2" s="245"/>
      <c r="W2" s="6"/>
    </row>
    <row r="3" spans="1:23" ht="15.6">
      <c r="A3" s="246"/>
      <c r="B3" s="247" t="s">
        <v>125</v>
      </c>
      <c r="C3" s="244"/>
      <c r="D3" s="244"/>
      <c r="E3" s="244"/>
      <c r="F3" s="244"/>
      <c r="G3" s="244"/>
      <c r="H3" s="244"/>
      <c r="I3" s="244"/>
      <c r="J3" s="244"/>
      <c r="K3" s="244"/>
      <c r="L3" s="244"/>
      <c r="M3" s="244"/>
      <c r="N3" s="244"/>
      <c r="O3" s="244"/>
      <c r="P3" s="244"/>
      <c r="Q3" s="244"/>
      <c r="R3" s="244"/>
      <c r="S3" s="244"/>
      <c r="T3" s="244"/>
      <c r="U3" s="244"/>
      <c r="V3" s="245"/>
      <c r="W3" s="6"/>
    </row>
    <row r="4" spans="1:23" ht="15.6">
      <c r="A4" s="242"/>
      <c r="B4" s="243"/>
      <c r="C4" s="243"/>
      <c r="D4" s="243"/>
      <c r="E4" s="243"/>
      <c r="F4" s="243"/>
      <c r="G4" s="243"/>
      <c r="H4" s="243"/>
      <c r="I4" s="243"/>
      <c r="J4" s="243"/>
      <c r="K4" s="243"/>
      <c r="L4" s="243"/>
      <c r="M4" s="244"/>
      <c r="N4" s="244"/>
      <c r="O4" s="244"/>
      <c r="P4" s="244"/>
      <c r="Q4" s="244"/>
      <c r="R4" s="244"/>
      <c r="S4" s="244"/>
      <c r="T4" s="244"/>
      <c r="U4" s="244"/>
      <c r="V4" s="245"/>
      <c r="W4" s="6"/>
    </row>
    <row r="5" spans="1:23" ht="16.2">
      <c r="A5" s="242"/>
      <c r="B5" s="286" t="s">
        <v>0</v>
      </c>
      <c r="C5" s="248"/>
      <c r="D5" s="248"/>
      <c r="E5" s="248"/>
      <c r="F5" s="248"/>
      <c r="G5" s="248"/>
      <c r="H5" s="248"/>
      <c r="I5" s="248"/>
      <c r="J5" s="248"/>
      <c r="K5" s="248"/>
      <c r="L5" s="248"/>
      <c r="M5" s="244"/>
      <c r="N5" s="244"/>
      <c r="O5" s="244"/>
      <c r="P5" s="244"/>
      <c r="Q5" s="244"/>
      <c r="R5" s="244"/>
      <c r="S5" s="244"/>
      <c r="T5" s="244"/>
      <c r="U5" s="244"/>
      <c r="V5" s="245"/>
      <c r="W5" s="6"/>
    </row>
    <row r="6" spans="1:23" ht="16.2">
      <c r="A6" s="242"/>
      <c r="B6" s="286" t="s">
        <v>1</v>
      </c>
      <c r="C6" s="248"/>
      <c r="D6" s="248"/>
      <c r="E6" s="248"/>
      <c r="F6" s="248"/>
      <c r="G6" s="248"/>
      <c r="H6" s="248"/>
      <c r="I6" s="248"/>
      <c r="J6" s="248"/>
      <c r="K6" s="248"/>
      <c r="L6" s="248"/>
      <c r="M6" s="244"/>
      <c r="N6" s="244"/>
      <c r="O6" s="244"/>
      <c r="P6" s="244"/>
      <c r="Q6" s="244"/>
      <c r="R6" s="244"/>
      <c r="S6" s="244"/>
      <c r="T6" s="244"/>
      <c r="U6" s="244"/>
      <c r="V6" s="245"/>
      <c r="W6" s="6"/>
    </row>
    <row r="7" spans="1:23" ht="16.2">
      <c r="A7" s="242"/>
      <c r="B7" s="286" t="s">
        <v>2</v>
      </c>
      <c r="C7" s="248"/>
      <c r="D7" s="248"/>
      <c r="E7" s="248"/>
      <c r="F7" s="248"/>
      <c r="G7" s="248"/>
      <c r="H7" s="248"/>
      <c r="I7" s="248"/>
      <c r="J7" s="248"/>
      <c r="K7" s="248"/>
      <c r="L7" s="248"/>
      <c r="M7" s="244"/>
      <c r="N7" s="244"/>
      <c r="O7" s="244"/>
      <c r="P7" s="244"/>
      <c r="Q7" s="244"/>
      <c r="R7" s="244"/>
      <c r="S7" s="244"/>
      <c r="T7" s="244"/>
      <c r="U7" s="244"/>
      <c r="V7" s="245"/>
      <c r="W7" s="6"/>
    </row>
    <row r="8" spans="1:23" ht="16.2">
      <c r="A8" s="242"/>
      <c r="B8" s="249"/>
      <c r="C8" s="248"/>
      <c r="D8" s="248"/>
      <c r="E8" s="248"/>
      <c r="F8" s="248"/>
      <c r="G8" s="248"/>
      <c r="H8" s="248"/>
      <c r="I8" s="248"/>
      <c r="J8" s="248"/>
      <c r="K8" s="248"/>
      <c r="L8" s="248"/>
      <c r="M8" s="244"/>
      <c r="N8" s="244"/>
      <c r="O8" s="244"/>
      <c r="P8" s="244"/>
      <c r="Q8" s="244"/>
      <c r="R8" s="244"/>
      <c r="S8" s="244"/>
      <c r="T8" s="244"/>
      <c r="U8" s="244"/>
      <c r="V8" s="245"/>
      <c r="W8" s="6"/>
    </row>
    <row r="9" spans="1:23" ht="18">
      <c r="A9" s="242"/>
      <c r="B9" s="250" t="s">
        <v>194</v>
      </c>
      <c r="C9" s="248"/>
      <c r="D9" s="248"/>
      <c r="E9" s="248"/>
      <c r="F9" s="248"/>
      <c r="G9" s="248"/>
      <c r="H9" s="248"/>
      <c r="I9" s="251" t="s">
        <v>195</v>
      </c>
      <c r="J9" s="248"/>
      <c r="K9" s="248"/>
      <c r="L9" s="248"/>
      <c r="M9" s="244"/>
      <c r="N9" s="244"/>
      <c r="O9" s="244"/>
      <c r="P9" s="244"/>
      <c r="Q9" s="244"/>
      <c r="R9" s="244"/>
      <c r="S9" s="244"/>
      <c r="T9" s="244"/>
      <c r="U9" s="244"/>
      <c r="V9" s="245"/>
      <c r="W9" s="6"/>
    </row>
    <row r="10" spans="1:23" ht="16.2">
      <c r="A10" s="242"/>
      <c r="B10" s="248"/>
      <c r="C10" s="248"/>
      <c r="D10" s="248"/>
      <c r="E10" s="248"/>
      <c r="F10" s="248"/>
      <c r="G10" s="248"/>
      <c r="H10" s="248"/>
      <c r="I10" s="248"/>
      <c r="J10" s="248"/>
      <c r="K10" s="248"/>
      <c r="L10" s="248"/>
      <c r="M10" s="252"/>
      <c r="N10" s="252"/>
      <c r="O10" s="244"/>
      <c r="P10" s="244"/>
      <c r="Q10" s="244"/>
      <c r="R10" s="244"/>
      <c r="S10" s="244"/>
      <c r="T10" s="244"/>
      <c r="U10" s="244"/>
      <c r="V10" s="245"/>
      <c r="W10" s="6"/>
    </row>
    <row r="11" spans="1:23" ht="15.6">
      <c r="A11" s="242"/>
      <c r="B11" s="287" t="s">
        <v>3</v>
      </c>
      <c r="C11" s="252"/>
      <c r="D11" s="252"/>
      <c r="E11" s="252"/>
      <c r="F11" s="252"/>
      <c r="G11" s="252"/>
      <c r="H11" s="252"/>
      <c r="I11" s="252"/>
      <c r="J11" s="252"/>
      <c r="K11" s="252"/>
      <c r="L11" s="252"/>
      <c r="M11" s="244"/>
      <c r="N11" s="244"/>
      <c r="O11" s="244"/>
      <c r="P11" s="244"/>
      <c r="Q11" s="244"/>
      <c r="R11" s="244"/>
      <c r="S11" s="244"/>
      <c r="T11" s="244"/>
      <c r="U11" s="244"/>
      <c r="V11" s="245"/>
      <c r="W11" s="6"/>
    </row>
    <row r="12" spans="1:23" ht="16.2" thickBot="1">
      <c r="A12" s="242"/>
      <c r="B12" s="252"/>
      <c r="C12" s="252"/>
      <c r="D12" s="252"/>
      <c r="E12" s="252"/>
      <c r="F12" s="252"/>
      <c r="G12" s="252"/>
      <c r="H12" s="252"/>
      <c r="I12" s="252"/>
      <c r="J12" s="252"/>
      <c r="K12" s="252"/>
      <c r="L12" s="252"/>
      <c r="M12" s="244"/>
      <c r="N12" s="244"/>
      <c r="O12" s="244"/>
      <c r="P12" s="244"/>
      <c r="Q12" s="244"/>
      <c r="R12" s="244"/>
      <c r="S12" s="244"/>
      <c r="T12" s="244"/>
      <c r="U12" s="244"/>
      <c r="V12" s="245"/>
      <c r="W12" s="6"/>
    </row>
    <row r="13" spans="1:23" ht="15.6">
      <c r="A13" s="238"/>
      <c r="B13" s="240"/>
      <c r="C13" s="240"/>
      <c r="D13" s="240"/>
      <c r="E13" s="240"/>
      <c r="F13" s="240"/>
      <c r="G13" s="240"/>
      <c r="H13" s="240"/>
      <c r="I13" s="240"/>
      <c r="J13" s="240"/>
      <c r="K13" s="240"/>
      <c r="L13" s="240"/>
      <c r="M13" s="240"/>
      <c r="N13" s="240"/>
      <c r="O13" s="240"/>
      <c r="P13" s="240"/>
      <c r="Q13" s="240"/>
      <c r="R13" s="240"/>
      <c r="S13" s="240"/>
      <c r="T13" s="240"/>
      <c r="U13" s="240"/>
      <c r="V13" s="241"/>
      <c r="W13" s="6"/>
    </row>
    <row r="14" spans="1:23" ht="15.6">
      <c r="A14" s="242"/>
      <c r="B14" s="287" t="s">
        <v>4</v>
      </c>
      <c r="C14" s="253"/>
      <c r="D14" s="253"/>
      <c r="E14" s="253"/>
      <c r="F14" s="253"/>
      <c r="G14" s="253"/>
      <c r="H14" s="253"/>
      <c r="I14" s="253"/>
      <c r="J14" s="253"/>
      <c r="K14" s="253"/>
      <c r="L14" s="253"/>
      <c r="M14" s="288"/>
      <c r="N14" s="288"/>
      <c r="O14" s="288"/>
      <c r="P14" s="288"/>
      <c r="Q14" s="288"/>
      <c r="R14" s="288"/>
      <c r="S14" s="288"/>
      <c r="T14" s="288"/>
      <c r="U14" s="289" t="s">
        <v>126</v>
      </c>
      <c r="V14" s="245"/>
      <c r="W14" s="6"/>
    </row>
    <row r="15" spans="1:23" ht="15.6">
      <c r="A15" s="242"/>
      <c r="B15" s="287" t="s">
        <v>5</v>
      </c>
      <c r="C15" s="253"/>
      <c r="D15" s="253"/>
      <c r="E15" s="253"/>
      <c r="F15" s="253"/>
      <c r="G15" s="253"/>
      <c r="H15" s="253"/>
      <c r="I15" s="253"/>
      <c r="J15" s="253"/>
      <c r="K15" s="253"/>
      <c r="L15" s="253"/>
      <c r="M15" s="290" t="s">
        <v>93</v>
      </c>
      <c r="N15" s="291">
        <v>0.1492</v>
      </c>
      <c r="O15" s="290" t="s">
        <v>99</v>
      </c>
      <c r="P15" s="291">
        <v>5.4399999999999997E-2</v>
      </c>
      <c r="Q15" s="290" t="s">
        <v>102</v>
      </c>
      <c r="R15" s="291">
        <v>0.48899999999999999</v>
      </c>
      <c r="S15" s="290" t="s">
        <v>108</v>
      </c>
      <c r="T15" s="291">
        <v>0.30740000000000001</v>
      </c>
      <c r="U15" s="289"/>
      <c r="V15" s="254"/>
      <c r="W15" s="6"/>
    </row>
    <row r="16" spans="1:23" ht="15.6">
      <c r="A16" s="242"/>
      <c r="B16" s="287" t="s">
        <v>6</v>
      </c>
      <c r="C16" s="253"/>
      <c r="D16" s="253"/>
      <c r="E16" s="253"/>
      <c r="F16" s="253"/>
      <c r="G16" s="253"/>
      <c r="H16" s="253"/>
      <c r="I16" s="253"/>
      <c r="J16" s="253"/>
      <c r="K16" s="253"/>
      <c r="L16" s="253"/>
      <c r="M16" s="290" t="s">
        <v>93</v>
      </c>
      <c r="N16" s="291">
        <f>+N198/S221</f>
        <v>1.4667533668961541E-2</v>
      </c>
      <c r="O16" s="290" t="s">
        <v>99</v>
      </c>
      <c r="P16" s="291">
        <f>+S198/S221</f>
        <v>2.8758555502671397E-3</v>
      </c>
      <c r="Q16" s="290" t="s">
        <v>102</v>
      </c>
      <c r="R16" s="291">
        <f>+N211/S221</f>
        <v>0.97185817808852804</v>
      </c>
      <c r="S16" s="290" t="s">
        <v>108</v>
      </c>
      <c r="T16" s="291">
        <f>+S211/S221</f>
        <v>1.0598432692243235E-2</v>
      </c>
      <c r="U16" s="289"/>
      <c r="V16" s="254"/>
      <c r="W16" s="6"/>
    </row>
    <row r="17" spans="1:23" ht="15.6">
      <c r="A17" s="242"/>
      <c r="B17" s="287" t="s">
        <v>7</v>
      </c>
      <c r="C17" s="253"/>
      <c r="D17" s="253"/>
      <c r="E17" s="253"/>
      <c r="F17" s="253"/>
      <c r="G17" s="253"/>
      <c r="H17" s="253"/>
      <c r="I17" s="253"/>
      <c r="J17" s="253"/>
      <c r="K17" s="253"/>
      <c r="L17" s="253"/>
      <c r="M17" s="288"/>
      <c r="N17" s="288"/>
      <c r="O17" s="288"/>
      <c r="P17" s="288"/>
      <c r="Q17" s="288"/>
      <c r="R17" s="288"/>
      <c r="S17" s="288"/>
      <c r="T17" s="288"/>
      <c r="U17" s="292">
        <v>38491</v>
      </c>
      <c r="V17" s="245"/>
      <c r="W17" s="6"/>
    </row>
    <row r="18" spans="1:23" ht="15.6">
      <c r="A18" s="242"/>
      <c r="B18" s="287" t="s">
        <v>8</v>
      </c>
      <c r="C18" s="253"/>
      <c r="D18" s="253"/>
      <c r="E18" s="253"/>
      <c r="F18" s="253"/>
      <c r="G18" s="253"/>
      <c r="H18" s="253"/>
      <c r="I18" s="253"/>
      <c r="J18" s="253"/>
      <c r="K18" s="253"/>
      <c r="L18" s="253"/>
      <c r="M18" s="288"/>
      <c r="N18" s="288"/>
      <c r="O18" s="288"/>
      <c r="P18" s="288"/>
      <c r="Q18" s="288"/>
      <c r="R18" s="288"/>
      <c r="S18" s="288"/>
      <c r="T18" s="288"/>
      <c r="U18" s="292">
        <v>41296</v>
      </c>
      <c r="V18" s="245"/>
      <c r="W18" s="6"/>
    </row>
    <row r="19" spans="1:23" ht="15.6">
      <c r="A19" s="242"/>
      <c r="B19" s="288"/>
      <c r="C19" s="244"/>
      <c r="D19" s="244"/>
      <c r="E19" s="244"/>
      <c r="F19" s="244"/>
      <c r="G19" s="244"/>
      <c r="H19" s="244"/>
      <c r="I19" s="244"/>
      <c r="J19" s="244"/>
      <c r="K19" s="244"/>
      <c r="L19" s="244"/>
      <c r="M19" s="244"/>
      <c r="N19" s="244"/>
      <c r="O19" s="244"/>
      <c r="P19" s="244"/>
      <c r="Q19" s="244"/>
      <c r="R19" s="244"/>
      <c r="S19" s="244"/>
      <c r="T19" s="244"/>
      <c r="U19" s="255"/>
      <c r="V19" s="245"/>
      <c r="W19" s="6"/>
    </row>
    <row r="20" spans="1:23" ht="15.6">
      <c r="A20" s="242"/>
      <c r="B20" s="293" t="s">
        <v>9</v>
      </c>
      <c r="C20" s="244"/>
      <c r="D20" s="244"/>
      <c r="E20" s="244"/>
      <c r="F20" s="244"/>
      <c r="G20" s="244"/>
      <c r="H20" s="244"/>
      <c r="I20" s="244"/>
      <c r="J20" s="244"/>
      <c r="K20" s="244"/>
      <c r="L20" s="244"/>
      <c r="M20" s="244"/>
      <c r="N20" s="244"/>
      <c r="O20" s="244"/>
      <c r="P20" s="244"/>
      <c r="Q20" s="244"/>
      <c r="R20" s="244"/>
      <c r="S20" s="255"/>
      <c r="T20" s="244"/>
      <c r="U20" s="249"/>
      <c r="V20" s="245"/>
      <c r="W20" s="6"/>
    </row>
    <row r="21" spans="1:23" ht="15.6">
      <c r="A21" s="242"/>
      <c r="B21" s="244"/>
      <c r="C21" s="244"/>
      <c r="D21" s="244"/>
      <c r="E21" s="244"/>
      <c r="F21" s="244"/>
      <c r="G21" s="244"/>
      <c r="H21" s="244"/>
      <c r="I21" s="244"/>
      <c r="J21" s="244"/>
      <c r="K21" s="244"/>
      <c r="L21" s="244"/>
      <c r="M21" s="244"/>
      <c r="N21" s="244"/>
      <c r="O21" s="244"/>
      <c r="P21" s="244"/>
      <c r="Q21" s="244"/>
      <c r="R21" s="244"/>
      <c r="S21" s="244"/>
      <c r="T21" s="244"/>
      <c r="U21" s="256"/>
      <c r="V21" s="245"/>
      <c r="W21" s="6"/>
    </row>
    <row r="22" spans="1:23" ht="15.6">
      <c r="A22" s="230"/>
      <c r="B22" s="231"/>
      <c r="C22" s="232" t="s">
        <v>130</v>
      </c>
      <c r="D22" s="232"/>
      <c r="E22" s="232" t="s">
        <v>131</v>
      </c>
      <c r="F22" s="232"/>
      <c r="G22" s="232" t="s">
        <v>132</v>
      </c>
      <c r="H22" s="232"/>
      <c r="I22" s="232" t="s">
        <v>133</v>
      </c>
      <c r="J22" s="232"/>
      <c r="K22" s="232" t="s">
        <v>134</v>
      </c>
      <c r="L22" s="232"/>
      <c r="M22" s="233" t="s">
        <v>135</v>
      </c>
      <c r="N22" s="233"/>
      <c r="O22" s="233" t="s">
        <v>136</v>
      </c>
      <c r="P22" s="233"/>
      <c r="Q22" s="233" t="s">
        <v>137</v>
      </c>
      <c r="R22" s="233"/>
      <c r="S22" s="235"/>
      <c r="T22" s="236"/>
      <c r="U22" s="236"/>
      <c r="V22" s="237"/>
      <c r="W22" s="6"/>
    </row>
    <row r="23" spans="1:23" ht="15.6">
      <c r="A23" s="257"/>
      <c r="B23" s="294" t="s">
        <v>10</v>
      </c>
      <c r="C23" s="295" t="s">
        <v>96</v>
      </c>
      <c r="D23" s="295"/>
      <c r="E23" s="295" t="s">
        <v>96</v>
      </c>
      <c r="F23" s="295"/>
      <c r="G23" s="295" t="s">
        <v>138</v>
      </c>
      <c r="H23" s="295"/>
      <c r="I23" s="295" t="s">
        <v>138</v>
      </c>
      <c r="J23" s="295"/>
      <c r="K23" s="295" t="s">
        <v>104</v>
      </c>
      <c r="L23" s="296"/>
      <c r="M23" s="297" t="s">
        <v>104</v>
      </c>
      <c r="N23" s="297"/>
      <c r="O23" s="297" t="s">
        <v>109</v>
      </c>
      <c r="P23" s="297"/>
      <c r="Q23" s="297" t="s">
        <v>109</v>
      </c>
      <c r="R23" s="258"/>
      <c r="S23" s="258"/>
      <c r="T23" s="259"/>
      <c r="U23" s="259"/>
      <c r="V23" s="260"/>
      <c r="W23" s="6"/>
    </row>
    <row r="24" spans="1:23" ht="15.6">
      <c r="A24" s="378"/>
      <c r="B24" s="379" t="s">
        <v>11</v>
      </c>
      <c r="C24" s="380" t="s">
        <v>97</v>
      </c>
      <c r="D24" s="380"/>
      <c r="E24" s="380" t="s">
        <v>97</v>
      </c>
      <c r="F24" s="380"/>
      <c r="G24" s="380" t="s">
        <v>139</v>
      </c>
      <c r="H24" s="380"/>
      <c r="I24" s="380" t="s">
        <v>139</v>
      </c>
      <c r="J24" s="380"/>
      <c r="K24" s="380" t="s">
        <v>105</v>
      </c>
      <c r="L24" s="381"/>
      <c r="M24" s="382" t="s">
        <v>105</v>
      </c>
      <c r="N24" s="382"/>
      <c r="O24" s="382" t="s">
        <v>110</v>
      </c>
      <c r="P24" s="382"/>
      <c r="Q24" s="382" t="s">
        <v>110</v>
      </c>
      <c r="R24" s="383"/>
      <c r="S24" s="383"/>
      <c r="T24" s="384"/>
      <c r="U24" s="384"/>
      <c r="V24" s="385"/>
      <c r="W24" s="6"/>
    </row>
    <row r="25" spans="1:23" ht="15.6">
      <c r="A25" s="378"/>
      <c r="B25" s="386" t="s">
        <v>12</v>
      </c>
      <c r="C25" s="381" t="s">
        <v>96</v>
      </c>
      <c r="D25" s="381"/>
      <c r="E25" s="381" t="s">
        <v>96</v>
      </c>
      <c r="F25" s="381"/>
      <c r="G25" s="381" t="s">
        <v>138</v>
      </c>
      <c r="H25" s="381"/>
      <c r="I25" s="381" t="s">
        <v>138</v>
      </c>
      <c r="J25" s="386"/>
      <c r="K25" s="381" t="s">
        <v>104</v>
      </c>
      <c r="L25" s="386"/>
      <c r="M25" s="387" t="s">
        <v>104</v>
      </c>
      <c r="N25" s="382"/>
      <c r="O25" s="387" t="s">
        <v>109</v>
      </c>
      <c r="P25" s="382"/>
      <c r="Q25" s="387" t="s">
        <v>109</v>
      </c>
      <c r="R25" s="388"/>
      <c r="S25" s="388"/>
      <c r="T25" s="389"/>
      <c r="U25" s="384"/>
      <c r="V25" s="385"/>
      <c r="W25" s="6"/>
    </row>
    <row r="26" spans="1:23" ht="15.6">
      <c r="A26" s="378"/>
      <c r="B26" s="386" t="s">
        <v>13</v>
      </c>
      <c r="C26" s="381" t="s">
        <v>139</v>
      </c>
      <c r="D26" s="381"/>
      <c r="E26" s="381" t="s">
        <v>139</v>
      </c>
      <c r="F26" s="381"/>
      <c r="G26" s="381" t="s">
        <v>139</v>
      </c>
      <c r="H26" s="381"/>
      <c r="I26" s="381" t="s">
        <v>139</v>
      </c>
      <c r="J26" s="386"/>
      <c r="K26" s="381" t="s">
        <v>280</v>
      </c>
      <c r="L26" s="386"/>
      <c r="M26" s="387" t="s">
        <v>280</v>
      </c>
      <c r="N26" s="382"/>
      <c r="O26" s="387" t="s">
        <v>110</v>
      </c>
      <c r="P26" s="382"/>
      <c r="Q26" s="387" t="s">
        <v>110</v>
      </c>
      <c r="R26" s="388"/>
      <c r="S26" s="388"/>
      <c r="T26" s="389"/>
      <c r="U26" s="384"/>
      <c r="V26" s="385"/>
      <c r="W26" s="6"/>
    </row>
    <row r="27" spans="1:23" ht="15.6">
      <c r="A27" s="378"/>
      <c r="B27" s="379" t="s">
        <v>14</v>
      </c>
      <c r="C27" s="380" t="s">
        <v>140</v>
      </c>
      <c r="D27" s="379"/>
      <c r="E27" s="380" t="s">
        <v>141</v>
      </c>
      <c r="F27" s="379"/>
      <c r="G27" s="380" t="s">
        <v>142</v>
      </c>
      <c r="H27" s="379"/>
      <c r="I27" s="380" t="s">
        <v>258</v>
      </c>
      <c r="J27" s="379"/>
      <c r="K27" s="380" t="s">
        <v>143</v>
      </c>
      <c r="L27" s="379"/>
      <c r="M27" s="379" t="s">
        <v>144</v>
      </c>
      <c r="N27" s="382"/>
      <c r="O27" s="379" t="s">
        <v>145</v>
      </c>
      <c r="P27" s="382"/>
      <c r="Q27" s="379" t="s">
        <v>146</v>
      </c>
      <c r="R27" s="383"/>
      <c r="S27" s="390"/>
      <c r="T27" s="384"/>
      <c r="U27" s="384"/>
      <c r="V27" s="385"/>
      <c r="W27" s="6"/>
    </row>
    <row r="28" spans="1:23" ht="15.6">
      <c r="A28" s="378"/>
      <c r="B28" s="379" t="s">
        <v>147</v>
      </c>
      <c r="C28" s="391">
        <v>146000</v>
      </c>
      <c r="D28" s="380"/>
      <c r="E28" s="392">
        <v>259500</v>
      </c>
      <c r="F28" s="380"/>
      <c r="G28" s="391">
        <v>16000</v>
      </c>
      <c r="H28" s="380"/>
      <c r="I28" s="392">
        <v>35500</v>
      </c>
      <c r="J28" s="379"/>
      <c r="K28" s="391">
        <v>18000</v>
      </c>
      <c r="L28" s="379"/>
      <c r="M28" s="392">
        <v>33000</v>
      </c>
      <c r="N28" s="393"/>
      <c r="O28" s="394">
        <v>24500</v>
      </c>
      <c r="P28" s="394"/>
      <c r="Q28" s="392">
        <v>30000</v>
      </c>
      <c r="R28" s="395"/>
      <c r="S28" s="395"/>
      <c r="T28" s="396"/>
      <c r="U28" s="395"/>
      <c r="V28" s="397"/>
      <c r="W28" s="6"/>
    </row>
    <row r="29" spans="1:23" ht="15.6">
      <c r="A29" s="378"/>
      <c r="B29" s="379" t="s">
        <v>15</v>
      </c>
      <c r="C29" s="391">
        <f>C28*C35</f>
        <v>30938.3344</v>
      </c>
      <c r="D29" s="398"/>
      <c r="E29" s="392">
        <f>E28*E35</f>
        <v>54989.710800000001</v>
      </c>
      <c r="F29" s="398"/>
      <c r="G29" s="391">
        <f>G28*G35</f>
        <v>11106.742399999999</v>
      </c>
      <c r="H29" s="398"/>
      <c r="I29" s="392">
        <f>I28*I35</f>
        <v>24643.084699999999</v>
      </c>
      <c r="J29" s="399"/>
      <c r="K29" s="391">
        <f>K28*K35</f>
        <v>12495.0852</v>
      </c>
      <c r="L29" s="399"/>
      <c r="M29" s="392">
        <f>M28*M35</f>
        <v>22907.656200000001</v>
      </c>
      <c r="N29" s="393"/>
      <c r="O29" s="391">
        <f>O28*O35</f>
        <v>17007.1993</v>
      </c>
      <c r="P29" s="394"/>
      <c r="Q29" s="392">
        <f>Q28*Q35</f>
        <v>20825.142</v>
      </c>
      <c r="R29" s="400"/>
      <c r="S29" s="395"/>
      <c r="T29" s="396"/>
      <c r="U29" s="395"/>
      <c r="V29" s="397"/>
      <c r="W29" s="6"/>
    </row>
    <row r="30" spans="1:23" ht="15.6">
      <c r="A30" s="401"/>
      <c r="B30" s="386" t="s">
        <v>148</v>
      </c>
      <c r="C30" s="415">
        <f>C34*C28</f>
        <v>29560.970399999998</v>
      </c>
      <c r="D30" s="505"/>
      <c r="E30" s="406">
        <f>E34*E28</f>
        <v>52541.587800000001</v>
      </c>
      <c r="F30" s="505"/>
      <c r="G30" s="415">
        <f>G34*G28</f>
        <v>10612.339199999999</v>
      </c>
      <c r="H30" s="505"/>
      <c r="I30" s="406">
        <f>I34*I28</f>
        <v>23546.1276</v>
      </c>
      <c r="J30" s="506"/>
      <c r="K30" s="415">
        <f>K34*K28</f>
        <v>11938.881599999999</v>
      </c>
      <c r="L30" s="399"/>
      <c r="M30" s="406">
        <f>M34*M28</f>
        <v>21887.9496</v>
      </c>
      <c r="N30" s="407"/>
      <c r="O30" s="415">
        <f>O34*O28</f>
        <v>16250.144399999999</v>
      </c>
      <c r="P30" s="408"/>
      <c r="Q30" s="406">
        <f>Q34*Q28</f>
        <v>19898.135999999999</v>
      </c>
      <c r="R30" s="408"/>
      <c r="S30" s="408"/>
      <c r="T30" s="409"/>
      <c r="U30" s="408"/>
      <c r="V30" s="410"/>
      <c r="W30" s="6"/>
    </row>
    <row r="31" spans="1:23" ht="15.6">
      <c r="A31" s="401"/>
      <c r="B31" s="379" t="s">
        <v>260</v>
      </c>
      <c r="C31" s="391">
        <v>146000</v>
      </c>
      <c r="D31" s="398"/>
      <c r="E31" s="391">
        <v>178000</v>
      </c>
      <c r="F31" s="391"/>
      <c r="G31" s="391">
        <v>16000</v>
      </c>
      <c r="H31" s="391"/>
      <c r="I31" s="391">
        <v>24500</v>
      </c>
      <c r="J31" s="412"/>
      <c r="K31" s="391">
        <v>18000</v>
      </c>
      <c r="L31" s="412"/>
      <c r="M31" s="391">
        <v>22500</v>
      </c>
      <c r="N31" s="414"/>
      <c r="O31" s="391">
        <v>24500</v>
      </c>
      <c r="P31" s="415"/>
      <c r="Q31" s="391">
        <v>20500</v>
      </c>
      <c r="R31" s="408"/>
      <c r="S31" s="408"/>
      <c r="T31" s="409"/>
      <c r="U31" s="394">
        <f>+Q31+O31+M31+K31+I31+G31+E31+C31</f>
        <v>450000</v>
      </c>
      <c r="V31" s="410"/>
      <c r="W31" s="6"/>
    </row>
    <row r="32" spans="1:23" ht="15.6">
      <c r="A32" s="401"/>
      <c r="B32" s="379" t="s">
        <v>261</v>
      </c>
      <c r="C32" s="391">
        <f>C28*C35</f>
        <v>30938.3344</v>
      </c>
      <c r="D32" s="398"/>
      <c r="E32" s="391">
        <f>E31*E35</f>
        <v>37719.339200000002</v>
      </c>
      <c r="F32" s="391"/>
      <c r="G32" s="391">
        <f>G28*G35</f>
        <v>11106.742399999999</v>
      </c>
      <c r="H32" s="391"/>
      <c r="I32" s="391">
        <f>I31*I35</f>
        <v>17007.1993</v>
      </c>
      <c r="J32" s="412"/>
      <c r="K32" s="391">
        <f>K28*K35</f>
        <v>12495.0852</v>
      </c>
      <c r="L32" s="412"/>
      <c r="M32" s="391">
        <f>M31*M35</f>
        <v>15618.8565</v>
      </c>
      <c r="N32" s="414"/>
      <c r="O32" s="391">
        <f>O28*O35</f>
        <v>17007.1993</v>
      </c>
      <c r="P32" s="415"/>
      <c r="Q32" s="391">
        <f>Q31*Q35</f>
        <v>14230.5137</v>
      </c>
      <c r="R32" s="391"/>
      <c r="S32" s="408"/>
      <c r="T32" s="409"/>
      <c r="U32" s="394">
        <f>+Q32+O32+M32+K32+I32+G32+E32+C32</f>
        <v>156123.26999999999</v>
      </c>
      <c r="V32" s="410"/>
      <c r="W32" s="6"/>
    </row>
    <row r="33" spans="1:23" ht="15.6">
      <c r="A33" s="401"/>
      <c r="B33" s="386" t="s">
        <v>262</v>
      </c>
      <c r="C33" s="415">
        <f>C34*C28</f>
        <v>29560.970399999998</v>
      </c>
      <c r="D33" s="415"/>
      <c r="E33" s="415">
        <f>E34*E31</f>
        <v>36040.087200000002</v>
      </c>
      <c r="F33" s="415"/>
      <c r="G33" s="415">
        <f>G34*G28</f>
        <v>10612.339199999999</v>
      </c>
      <c r="H33" s="415"/>
      <c r="I33" s="415">
        <f>I34*I31</f>
        <v>16250.144399999999</v>
      </c>
      <c r="J33" s="414"/>
      <c r="K33" s="415">
        <f>K34*K28</f>
        <v>11938.881599999999</v>
      </c>
      <c r="L33" s="414"/>
      <c r="M33" s="415">
        <f>M34*M31</f>
        <v>14923.601999999999</v>
      </c>
      <c r="N33" s="414"/>
      <c r="O33" s="415">
        <f>O34*O28</f>
        <v>16250.144399999999</v>
      </c>
      <c r="P33" s="415"/>
      <c r="Q33" s="415">
        <f>Q34*Q31</f>
        <v>13597.059599999999</v>
      </c>
      <c r="R33" s="408"/>
      <c r="S33" s="408"/>
      <c r="T33" s="409"/>
      <c r="U33" s="408">
        <f>+Q33+O33+M33+K33+I33+G33+E33+C33</f>
        <v>149173.22879999998</v>
      </c>
      <c r="V33" s="410"/>
      <c r="W33" s="6"/>
    </row>
    <row r="34" spans="1:23" ht="15.6">
      <c r="A34" s="401"/>
      <c r="B34" s="468" t="s">
        <v>149</v>
      </c>
      <c r="C34" s="507">
        <v>0.2024724</v>
      </c>
      <c r="D34" s="507"/>
      <c r="E34" s="507">
        <v>0.2024724</v>
      </c>
      <c r="F34" s="507"/>
      <c r="G34" s="507">
        <v>0.66327119999999995</v>
      </c>
      <c r="H34" s="507"/>
      <c r="I34" s="507">
        <v>0.66327119999999995</v>
      </c>
      <c r="J34" s="507"/>
      <c r="K34" s="507">
        <v>0.66327119999999995</v>
      </c>
      <c r="L34" s="507"/>
      <c r="M34" s="507">
        <v>0.66327119999999995</v>
      </c>
      <c r="N34" s="507"/>
      <c r="O34" s="507">
        <v>0.66327119999999995</v>
      </c>
      <c r="P34" s="507"/>
      <c r="Q34" s="507">
        <v>0.66327119999999995</v>
      </c>
      <c r="R34" s="508"/>
      <c r="S34" s="420"/>
      <c r="T34" s="421"/>
      <c r="U34" s="420"/>
      <c r="V34" s="385"/>
      <c r="W34" s="6"/>
    </row>
    <row r="35" spans="1:23" ht="15.6">
      <c r="A35" s="401"/>
      <c r="B35" s="468" t="s">
        <v>150</v>
      </c>
      <c r="C35" s="507">
        <v>0.21190639999999999</v>
      </c>
      <c r="D35" s="507"/>
      <c r="E35" s="507">
        <v>0.21190639999999999</v>
      </c>
      <c r="F35" s="507"/>
      <c r="G35" s="507">
        <v>0.69417139999999999</v>
      </c>
      <c r="H35" s="507"/>
      <c r="I35" s="507">
        <v>0.69417139999999999</v>
      </c>
      <c r="J35" s="507"/>
      <c r="K35" s="507">
        <v>0.69417139999999999</v>
      </c>
      <c r="L35" s="507"/>
      <c r="M35" s="507">
        <v>0.69417139999999999</v>
      </c>
      <c r="N35" s="507"/>
      <c r="O35" s="507">
        <v>0.69417139999999999</v>
      </c>
      <c r="P35" s="507"/>
      <c r="Q35" s="507">
        <v>0.69417139999999999</v>
      </c>
      <c r="R35" s="508"/>
      <c r="S35" s="420"/>
      <c r="T35" s="421"/>
      <c r="U35" s="420"/>
      <c r="V35" s="385"/>
      <c r="W35" s="6"/>
    </row>
    <row r="36" spans="1:23" ht="15.6">
      <c r="A36" s="378"/>
      <c r="B36" s="379" t="s">
        <v>153</v>
      </c>
      <c r="C36" s="380" t="s">
        <v>163</v>
      </c>
      <c r="D36" s="380"/>
      <c r="E36" s="380" t="s">
        <v>163</v>
      </c>
      <c r="F36" s="380"/>
      <c r="G36" s="380" t="s">
        <v>164</v>
      </c>
      <c r="H36" s="380"/>
      <c r="I36" s="380" t="s">
        <v>164</v>
      </c>
      <c r="J36" s="380"/>
      <c r="K36" s="380" t="s">
        <v>106</v>
      </c>
      <c r="L36" s="380"/>
      <c r="M36" s="380" t="s">
        <v>165</v>
      </c>
      <c r="N36" s="380"/>
      <c r="O36" s="380" t="s">
        <v>166</v>
      </c>
      <c r="P36" s="380"/>
      <c r="Q36" s="380" t="s">
        <v>167</v>
      </c>
      <c r="R36" s="380"/>
      <c r="S36" s="380"/>
      <c r="T36" s="379"/>
      <c r="U36" s="424"/>
      <c r="V36" s="410"/>
      <c r="W36" s="6"/>
    </row>
    <row r="37" spans="1:23" ht="15.6">
      <c r="A37" s="378"/>
      <c r="B37" s="379" t="s">
        <v>151</v>
      </c>
      <c r="C37" s="509">
        <v>9.7874999999999993E-3</v>
      </c>
      <c r="D37" s="509"/>
      <c r="E37" s="509">
        <v>6.4999999999999997E-3</v>
      </c>
      <c r="F37" s="509"/>
      <c r="G37" s="509">
        <v>1.19875E-2</v>
      </c>
      <c r="H37" s="509"/>
      <c r="I37" s="509">
        <v>8.6999999999999994E-3</v>
      </c>
      <c r="J37" s="509"/>
      <c r="K37" s="509">
        <v>1.73875E-2</v>
      </c>
      <c r="L37" s="509"/>
      <c r="M37" s="509">
        <v>1.35E-2</v>
      </c>
      <c r="N37" s="509"/>
      <c r="O37" s="509">
        <v>2.4387499999999999E-2</v>
      </c>
      <c r="P37" s="509"/>
      <c r="Q37" s="509">
        <v>2.01E-2</v>
      </c>
      <c r="R37" s="427"/>
      <c r="S37" s="509"/>
      <c r="T37" s="379"/>
      <c r="U37" s="380"/>
      <c r="V37" s="410"/>
      <c r="W37" s="6"/>
    </row>
    <row r="38" spans="1:23" ht="15.6">
      <c r="A38" s="378"/>
      <c r="B38" s="379" t="s">
        <v>152</v>
      </c>
      <c r="C38" s="509">
        <v>1.26838E-2</v>
      </c>
      <c r="D38" s="509"/>
      <c r="E38" s="509">
        <v>9.3699999999999999E-3</v>
      </c>
      <c r="F38" s="509"/>
      <c r="G38" s="509">
        <v>1.4883800000000001E-2</v>
      </c>
      <c r="H38" s="509"/>
      <c r="I38" s="509">
        <v>1.157E-2</v>
      </c>
      <c r="J38" s="509"/>
      <c r="K38" s="509">
        <v>2.0283800000000001E-2</v>
      </c>
      <c r="L38" s="509"/>
      <c r="M38" s="509">
        <v>1.6369999999999999E-2</v>
      </c>
      <c r="N38" s="509"/>
      <c r="O38" s="509">
        <v>2.72838E-2</v>
      </c>
      <c r="P38" s="509"/>
      <c r="Q38" s="509">
        <v>2.2970000000000001E-2</v>
      </c>
      <c r="R38" s="427"/>
      <c r="S38" s="509"/>
      <c r="T38" s="379"/>
      <c r="U38" s="424"/>
      <c r="V38" s="410"/>
      <c r="W38" s="6"/>
    </row>
    <row r="39" spans="1:23" ht="15.6">
      <c r="A39" s="378"/>
      <c r="B39" s="379" t="s">
        <v>263</v>
      </c>
      <c r="C39" s="380" t="s">
        <v>163</v>
      </c>
      <c r="D39" s="379"/>
      <c r="E39" s="380" t="s">
        <v>228</v>
      </c>
      <c r="F39" s="379"/>
      <c r="G39" s="380" t="s">
        <v>164</v>
      </c>
      <c r="H39" s="379"/>
      <c r="I39" s="380" t="s">
        <v>226</v>
      </c>
      <c r="J39" s="379"/>
      <c r="K39" s="380" t="s">
        <v>106</v>
      </c>
      <c r="L39" s="379"/>
      <c r="M39" s="380" t="s">
        <v>227</v>
      </c>
      <c r="N39" s="379"/>
      <c r="O39" s="380" t="s">
        <v>166</v>
      </c>
      <c r="P39" s="380"/>
      <c r="Q39" s="380" t="s">
        <v>229</v>
      </c>
      <c r="R39" s="427"/>
      <c r="S39" s="509"/>
      <c r="T39" s="379"/>
      <c r="U39" s="424"/>
      <c r="V39" s="410"/>
      <c r="W39" s="6"/>
    </row>
    <row r="40" spans="1:23" ht="15.6">
      <c r="A40" s="378"/>
      <c r="B40" s="379" t="s">
        <v>264</v>
      </c>
      <c r="C40" s="509">
        <f>+C37</f>
        <v>9.7874999999999993E-3</v>
      </c>
      <c r="D40" s="509"/>
      <c r="E40" s="509">
        <v>1.0363499999999999E-2</v>
      </c>
      <c r="F40" s="509"/>
      <c r="G40" s="509">
        <f>+G37</f>
        <v>1.19875E-2</v>
      </c>
      <c r="H40" s="509"/>
      <c r="I40" s="509">
        <v>1.2720499999999999E-2</v>
      </c>
      <c r="J40" s="509"/>
      <c r="K40" s="509">
        <f>+K37</f>
        <v>1.73875E-2</v>
      </c>
      <c r="L40" s="510"/>
      <c r="M40" s="509">
        <v>1.7947899999999999E-2</v>
      </c>
      <c r="N40" s="510"/>
      <c r="O40" s="509">
        <f>+O37</f>
        <v>2.4387499999999999E-2</v>
      </c>
      <c r="P40" s="509"/>
      <c r="Q40" s="509">
        <v>2.5213900000000001E-2</v>
      </c>
      <c r="R40" s="427"/>
      <c r="S40" s="509"/>
      <c r="T40" s="379"/>
      <c r="U40" s="427">
        <f>SUMPRODUCT(C40:Q40,C32:Q32)/U32</f>
        <v>1.4823858504599476E-2</v>
      </c>
      <c r="V40" s="410"/>
      <c r="W40" s="6"/>
    </row>
    <row r="41" spans="1:23" ht="15.6">
      <c r="A41" s="378"/>
      <c r="B41" s="379" t="s">
        <v>265</v>
      </c>
      <c r="C41" s="509">
        <f>+C38</f>
        <v>1.26838E-2</v>
      </c>
      <c r="D41" s="509"/>
      <c r="E41" s="509">
        <v>1.32598E-2</v>
      </c>
      <c r="F41" s="509"/>
      <c r="G41" s="509">
        <f>+G38</f>
        <v>1.4883800000000001E-2</v>
      </c>
      <c r="H41" s="509"/>
      <c r="I41" s="509">
        <v>1.56168E-2</v>
      </c>
      <c r="J41" s="509"/>
      <c r="K41" s="509">
        <f>+K38</f>
        <v>2.0283800000000001E-2</v>
      </c>
      <c r="L41" s="510"/>
      <c r="M41" s="509">
        <v>2.08442E-2</v>
      </c>
      <c r="N41" s="510"/>
      <c r="O41" s="509">
        <f>+O38</f>
        <v>2.72838E-2</v>
      </c>
      <c r="P41" s="509"/>
      <c r="Q41" s="509">
        <v>2.8110199999999998E-2</v>
      </c>
      <c r="R41" s="427"/>
      <c r="S41" s="509"/>
      <c r="T41" s="379"/>
      <c r="U41" s="424"/>
      <c r="V41" s="410"/>
      <c r="W41" s="6"/>
    </row>
    <row r="42" spans="1:23" ht="15.6">
      <c r="A42" s="378"/>
      <c r="B42" s="379" t="s">
        <v>17</v>
      </c>
      <c r="C42" s="429">
        <v>39918</v>
      </c>
      <c r="D42" s="429"/>
      <c r="E42" s="429">
        <v>39918</v>
      </c>
      <c r="F42" s="429"/>
      <c r="G42" s="429">
        <v>39918</v>
      </c>
      <c r="H42" s="429"/>
      <c r="I42" s="429">
        <v>39918</v>
      </c>
      <c r="J42" s="429"/>
      <c r="K42" s="429">
        <v>39918</v>
      </c>
      <c r="L42" s="429"/>
      <c r="M42" s="429">
        <v>39918</v>
      </c>
      <c r="N42" s="429"/>
      <c r="O42" s="429">
        <v>39918</v>
      </c>
      <c r="P42" s="429"/>
      <c r="Q42" s="429">
        <v>39918</v>
      </c>
      <c r="R42" s="380"/>
      <c r="S42" s="380"/>
      <c r="T42" s="379"/>
      <c r="U42" s="424"/>
      <c r="V42" s="410"/>
      <c r="W42" s="6"/>
    </row>
    <row r="43" spans="1:23" ht="15.6">
      <c r="A43" s="378"/>
      <c r="B43" s="379" t="s">
        <v>18</v>
      </c>
      <c r="C43" s="429">
        <v>40283</v>
      </c>
      <c r="D43" s="430"/>
      <c r="E43" s="429">
        <v>40283</v>
      </c>
      <c r="F43" s="430"/>
      <c r="G43" s="429">
        <v>40283</v>
      </c>
      <c r="H43" s="430"/>
      <c r="I43" s="429">
        <v>40283</v>
      </c>
      <c r="J43" s="430"/>
      <c r="K43" s="429">
        <v>40283</v>
      </c>
      <c r="L43" s="430"/>
      <c r="M43" s="429">
        <v>40283</v>
      </c>
      <c r="N43" s="430"/>
      <c r="O43" s="429">
        <v>40283</v>
      </c>
      <c r="P43" s="429"/>
      <c r="Q43" s="429">
        <v>40283</v>
      </c>
      <c r="R43" s="380"/>
      <c r="S43" s="380"/>
      <c r="T43" s="424"/>
      <c r="U43" s="424"/>
      <c r="V43" s="410"/>
      <c r="W43" s="6"/>
    </row>
    <row r="44" spans="1:23" ht="15.6">
      <c r="A44" s="378"/>
      <c r="B44" s="379" t="s">
        <v>154</v>
      </c>
      <c r="C44" s="380" t="s">
        <v>163</v>
      </c>
      <c r="D44" s="380"/>
      <c r="E44" s="380" t="s">
        <v>163</v>
      </c>
      <c r="F44" s="380"/>
      <c r="G44" s="380" t="s">
        <v>164</v>
      </c>
      <c r="H44" s="380"/>
      <c r="I44" s="380" t="s">
        <v>164</v>
      </c>
      <c r="J44" s="380"/>
      <c r="K44" s="380" t="s">
        <v>106</v>
      </c>
      <c r="L44" s="380"/>
      <c r="M44" s="380" t="s">
        <v>165</v>
      </c>
      <c r="N44" s="380"/>
      <c r="O44" s="380" t="s">
        <v>166</v>
      </c>
      <c r="P44" s="380"/>
      <c r="Q44" s="380" t="s">
        <v>167</v>
      </c>
      <c r="R44" s="380"/>
      <c r="S44" s="380"/>
      <c r="T44" s="424"/>
      <c r="U44" s="424"/>
      <c r="V44" s="410"/>
      <c r="W44" s="6"/>
    </row>
    <row r="45" spans="1:23" ht="15.6">
      <c r="A45" s="378"/>
      <c r="B45" s="379" t="s">
        <v>266</v>
      </c>
      <c r="C45" s="380" t="s">
        <v>163</v>
      </c>
      <c r="D45" s="379"/>
      <c r="E45" s="380" t="s">
        <v>228</v>
      </c>
      <c r="F45" s="379"/>
      <c r="G45" s="380" t="s">
        <v>164</v>
      </c>
      <c r="H45" s="379"/>
      <c r="I45" s="380" t="s">
        <v>226</v>
      </c>
      <c r="J45" s="379"/>
      <c r="K45" s="380" t="s">
        <v>106</v>
      </c>
      <c r="L45" s="379"/>
      <c r="M45" s="380" t="s">
        <v>227</v>
      </c>
      <c r="N45" s="379"/>
      <c r="O45" s="380" t="s">
        <v>166</v>
      </c>
      <c r="P45" s="380"/>
      <c r="Q45" s="380" t="s">
        <v>229</v>
      </c>
      <c r="R45" s="380"/>
      <c r="S45" s="380"/>
      <c r="T45" s="424"/>
      <c r="U45" s="424"/>
      <c r="V45" s="410"/>
      <c r="W45" s="6"/>
    </row>
    <row r="46" spans="1:23" ht="15.6">
      <c r="A46" s="378"/>
      <c r="B46" s="379"/>
      <c r="C46" s="379"/>
      <c r="D46" s="379"/>
      <c r="E46" s="379"/>
      <c r="F46" s="379"/>
      <c r="G46" s="379"/>
      <c r="H46" s="379"/>
      <c r="I46" s="379"/>
      <c r="J46" s="379"/>
      <c r="K46" s="379"/>
      <c r="L46" s="379"/>
      <c r="M46" s="431"/>
      <c r="N46" s="431"/>
      <c r="O46" s="379"/>
      <c r="P46" s="431"/>
      <c r="Q46" s="431"/>
      <c r="R46" s="431"/>
      <c r="S46" s="431"/>
      <c r="T46" s="431"/>
      <c r="U46" s="431"/>
      <c r="V46" s="410"/>
      <c r="W46" s="6"/>
    </row>
    <row r="47" spans="1:23" ht="15.6">
      <c r="A47" s="378"/>
      <c r="B47" s="379" t="s">
        <v>201</v>
      </c>
      <c r="C47" s="379"/>
      <c r="D47" s="379"/>
      <c r="E47" s="379"/>
      <c r="F47" s="379"/>
      <c r="G47" s="379"/>
      <c r="H47" s="379"/>
      <c r="I47" s="379"/>
      <c r="J47" s="379"/>
      <c r="K47" s="379"/>
      <c r="L47" s="379"/>
      <c r="M47" s="379"/>
      <c r="N47" s="379"/>
      <c r="O47" s="379"/>
      <c r="P47" s="379"/>
      <c r="Q47" s="379"/>
      <c r="R47" s="379"/>
      <c r="S47" s="379"/>
      <c r="T47" s="379"/>
      <c r="U47" s="427">
        <f>SUM(G31:Q31)/(C31+E31)</f>
        <v>0.3888888888888889</v>
      </c>
      <c r="V47" s="410"/>
      <c r="W47" s="6"/>
    </row>
    <row r="48" spans="1:23" ht="15.6">
      <c r="A48" s="378"/>
      <c r="B48" s="379" t="s">
        <v>202</v>
      </c>
      <c r="C48" s="379"/>
      <c r="D48" s="379"/>
      <c r="E48" s="379"/>
      <c r="F48" s="379"/>
      <c r="G48" s="379"/>
      <c r="H48" s="379"/>
      <c r="I48" s="379"/>
      <c r="J48" s="379"/>
      <c r="K48" s="379"/>
      <c r="L48" s="379"/>
      <c r="M48" s="379"/>
      <c r="N48" s="379"/>
      <c r="O48" s="379"/>
      <c r="P48" s="379"/>
      <c r="Q48" s="379"/>
      <c r="R48" s="379"/>
      <c r="S48" s="379"/>
      <c r="T48" s="379"/>
      <c r="U48" s="427">
        <f>SUM(F33:Q33)/(C33+E33)</f>
        <v>1.2739454859032637</v>
      </c>
      <c r="V48" s="410"/>
      <c r="W48" s="6"/>
    </row>
    <row r="49" spans="1:23" ht="15.6">
      <c r="A49" s="378"/>
      <c r="B49" s="379" t="s">
        <v>203</v>
      </c>
      <c r="C49" s="379"/>
      <c r="D49" s="379"/>
      <c r="E49" s="379"/>
      <c r="F49" s="379"/>
      <c r="G49" s="379"/>
      <c r="H49" s="379"/>
      <c r="I49" s="379"/>
      <c r="J49" s="379"/>
      <c r="K49" s="379"/>
      <c r="L49" s="379"/>
      <c r="M49" s="379"/>
      <c r="N49" s="379"/>
      <c r="O49" s="379"/>
      <c r="P49" s="379"/>
      <c r="Q49" s="379"/>
      <c r="R49" s="379"/>
      <c r="S49" s="380" t="s">
        <v>95</v>
      </c>
      <c r="T49" s="380" t="s">
        <v>117</v>
      </c>
      <c r="U49" s="394">
        <v>99000</v>
      </c>
      <c r="V49" s="410"/>
      <c r="W49" s="6"/>
    </row>
    <row r="50" spans="1:23" ht="15.6">
      <c r="A50" s="378"/>
      <c r="B50" s="379"/>
      <c r="C50" s="379"/>
      <c r="D50" s="379"/>
      <c r="E50" s="379"/>
      <c r="F50" s="379"/>
      <c r="G50" s="379"/>
      <c r="H50" s="379"/>
      <c r="I50" s="379"/>
      <c r="J50" s="379"/>
      <c r="K50" s="379"/>
      <c r="L50" s="379"/>
      <c r="M50" s="379"/>
      <c r="N50" s="379"/>
      <c r="O50" s="379"/>
      <c r="P50" s="379"/>
      <c r="Q50" s="379"/>
      <c r="R50" s="379"/>
      <c r="S50" s="379" t="s">
        <v>213</v>
      </c>
      <c r="T50" s="379"/>
      <c r="U50" s="432"/>
      <c r="V50" s="410"/>
      <c r="W50" s="6"/>
    </row>
    <row r="51" spans="1:23" ht="15.6">
      <c r="A51" s="378"/>
      <c r="B51" s="379" t="s">
        <v>19</v>
      </c>
      <c r="C51" s="379"/>
      <c r="D51" s="379"/>
      <c r="E51" s="379"/>
      <c r="F51" s="379"/>
      <c r="G51" s="379"/>
      <c r="H51" s="379"/>
      <c r="I51" s="379"/>
      <c r="J51" s="379"/>
      <c r="K51" s="379"/>
      <c r="L51" s="379"/>
      <c r="M51" s="379"/>
      <c r="N51" s="379"/>
      <c r="O51" s="379"/>
      <c r="P51" s="379"/>
      <c r="Q51" s="379"/>
      <c r="R51" s="379"/>
      <c r="S51" s="380"/>
      <c r="T51" s="380"/>
      <c r="U51" s="380" t="s">
        <v>118</v>
      </c>
      <c r="V51" s="410"/>
      <c r="W51" s="6"/>
    </row>
    <row r="52" spans="1:23" ht="15.6">
      <c r="A52" s="401"/>
      <c r="B52" s="386" t="s">
        <v>20</v>
      </c>
      <c r="C52" s="386"/>
      <c r="D52" s="386"/>
      <c r="E52" s="386"/>
      <c r="F52" s="386"/>
      <c r="G52" s="386"/>
      <c r="H52" s="386"/>
      <c r="I52" s="386"/>
      <c r="J52" s="386"/>
      <c r="K52" s="386"/>
      <c r="L52" s="386"/>
      <c r="M52" s="386"/>
      <c r="N52" s="386"/>
      <c r="O52" s="386"/>
      <c r="P52" s="386"/>
      <c r="Q52" s="386"/>
      <c r="R52" s="386"/>
      <c r="S52" s="433"/>
      <c r="T52" s="433"/>
      <c r="U52" s="434">
        <v>41289</v>
      </c>
      <c r="V52" s="435"/>
      <c r="W52" s="6"/>
    </row>
    <row r="53" spans="1:23" ht="15.6">
      <c r="A53" s="378"/>
      <c r="B53" s="379" t="s">
        <v>155</v>
      </c>
      <c r="C53" s="379"/>
      <c r="D53" s="379"/>
      <c r="E53" s="379"/>
      <c r="F53" s="379"/>
      <c r="G53" s="379"/>
      <c r="H53" s="379"/>
      <c r="I53" s="379"/>
      <c r="J53" s="379"/>
      <c r="K53" s="379"/>
      <c r="L53" s="379"/>
      <c r="M53" s="379"/>
      <c r="N53" s="379"/>
      <c r="O53" s="379"/>
      <c r="P53" s="379"/>
      <c r="Q53" s="424"/>
      <c r="R53" s="379">
        <f>U53-S53+1</f>
        <v>91</v>
      </c>
      <c r="S53" s="436">
        <v>41106</v>
      </c>
      <c r="T53" s="429"/>
      <c r="U53" s="436">
        <v>41196</v>
      </c>
      <c r="V53" s="410"/>
      <c r="W53" s="6"/>
    </row>
    <row r="54" spans="1:23" ht="15.6">
      <c r="A54" s="378"/>
      <c r="B54" s="379" t="s">
        <v>156</v>
      </c>
      <c r="C54" s="379"/>
      <c r="D54" s="379"/>
      <c r="E54" s="379"/>
      <c r="F54" s="379"/>
      <c r="G54" s="379"/>
      <c r="H54" s="379"/>
      <c r="I54" s="379"/>
      <c r="J54" s="379"/>
      <c r="K54" s="379"/>
      <c r="L54" s="379"/>
      <c r="M54" s="379"/>
      <c r="N54" s="379"/>
      <c r="O54" s="379"/>
      <c r="P54" s="379"/>
      <c r="Q54" s="424"/>
      <c r="R54" s="379">
        <f>U54-S54+1</f>
        <v>92</v>
      </c>
      <c r="S54" s="436">
        <v>41197</v>
      </c>
      <c r="T54" s="429"/>
      <c r="U54" s="436">
        <v>41288</v>
      </c>
      <c r="V54" s="410"/>
      <c r="W54" s="6"/>
    </row>
    <row r="55" spans="1:23" ht="15.6">
      <c r="A55" s="378"/>
      <c r="B55" s="379" t="s">
        <v>21</v>
      </c>
      <c r="C55" s="379"/>
      <c r="D55" s="379"/>
      <c r="E55" s="379"/>
      <c r="F55" s="379"/>
      <c r="G55" s="379"/>
      <c r="H55" s="379"/>
      <c r="I55" s="379"/>
      <c r="J55" s="379"/>
      <c r="K55" s="379"/>
      <c r="L55" s="379"/>
      <c r="M55" s="379"/>
      <c r="N55" s="379"/>
      <c r="O55" s="379"/>
      <c r="P55" s="379"/>
      <c r="Q55" s="379"/>
      <c r="R55" s="379"/>
      <c r="S55" s="436"/>
      <c r="T55" s="429"/>
      <c r="U55" s="436" t="s">
        <v>119</v>
      </c>
      <c r="V55" s="410"/>
      <c r="W55" s="6"/>
    </row>
    <row r="56" spans="1:23" ht="15.6">
      <c r="A56" s="378"/>
      <c r="B56" s="379" t="s">
        <v>22</v>
      </c>
      <c r="C56" s="379"/>
      <c r="D56" s="379"/>
      <c r="E56" s="379"/>
      <c r="F56" s="379"/>
      <c r="G56" s="379"/>
      <c r="H56" s="379"/>
      <c r="I56" s="379"/>
      <c r="J56" s="379"/>
      <c r="K56" s="379"/>
      <c r="L56" s="379"/>
      <c r="M56" s="379"/>
      <c r="N56" s="379"/>
      <c r="O56" s="379"/>
      <c r="P56" s="379"/>
      <c r="Q56" s="379"/>
      <c r="R56" s="379"/>
      <c r="S56" s="436"/>
      <c r="T56" s="429"/>
      <c r="U56" s="436">
        <v>41276</v>
      </c>
      <c r="V56" s="410"/>
      <c r="W56" s="6"/>
    </row>
    <row r="57" spans="1:23" ht="15.6">
      <c r="A57" s="242"/>
      <c r="B57" s="364"/>
      <c r="C57" s="364"/>
      <c r="D57" s="364"/>
      <c r="E57" s="364"/>
      <c r="F57" s="364"/>
      <c r="G57" s="364"/>
      <c r="H57" s="364"/>
      <c r="I57" s="364"/>
      <c r="J57" s="364"/>
      <c r="K57" s="364"/>
      <c r="L57" s="364"/>
      <c r="M57" s="364"/>
      <c r="N57" s="364"/>
      <c r="O57" s="364"/>
      <c r="P57" s="364"/>
      <c r="Q57" s="364"/>
      <c r="R57" s="364"/>
      <c r="S57" s="364"/>
      <c r="T57" s="364"/>
      <c r="U57" s="377"/>
      <c r="V57" s="303"/>
      <c r="W57" s="6"/>
    </row>
    <row r="58" spans="1:23" ht="15.6">
      <c r="A58" s="242"/>
      <c r="B58" s="288"/>
      <c r="C58" s="288"/>
      <c r="D58" s="288"/>
      <c r="E58" s="288"/>
      <c r="F58" s="288"/>
      <c r="G58" s="288"/>
      <c r="H58" s="288"/>
      <c r="I58" s="288"/>
      <c r="J58" s="288"/>
      <c r="K58" s="288"/>
      <c r="L58" s="288"/>
      <c r="M58" s="288"/>
      <c r="N58" s="288"/>
      <c r="O58" s="288"/>
      <c r="P58" s="288"/>
      <c r="Q58" s="288"/>
      <c r="R58" s="288"/>
      <c r="S58" s="288"/>
      <c r="T58" s="288"/>
      <c r="U58" s="302"/>
      <c r="V58" s="303"/>
      <c r="W58" s="6"/>
    </row>
    <row r="59" spans="1:23" ht="16.2" thickBot="1">
      <c r="A59" s="261"/>
      <c r="B59" s="304" t="s">
        <v>282</v>
      </c>
      <c r="C59" s="305"/>
      <c r="D59" s="305"/>
      <c r="E59" s="305"/>
      <c r="F59" s="305"/>
      <c r="G59" s="305"/>
      <c r="H59" s="305"/>
      <c r="I59" s="305"/>
      <c r="J59" s="305"/>
      <c r="K59" s="305"/>
      <c r="L59" s="305"/>
      <c r="M59" s="305"/>
      <c r="N59" s="305"/>
      <c r="O59" s="305"/>
      <c r="P59" s="305"/>
      <c r="Q59" s="305"/>
      <c r="R59" s="305"/>
      <c r="S59" s="305"/>
      <c r="T59" s="305"/>
      <c r="U59" s="306"/>
      <c r="V59" s="307"/>
      <c r="W59" s="6"/>
    </row>
    <row r="60" spans="1:23" ht="15.6">
      <c r="A60" s="230"/>
      <c r="B60" s="511" t="s">
        <v>23</v>
      </c>
      <c r="C60" s="511"/>
      <c r="D60" s="511"/>
      <c r="E60" s="511"/>
      <c r="F60" s="511"/>
      <c r="G60" s="511"/>
      <c r="H60" s="511"/>
      <c r="I60" s="511"/>
      <c r="J60" s="511"/>
      <c r="K60" s="511"/>
      <c r="L60" s="511"/>
      <c r="M60" s="231"/>
      <c r="N60" s="231"/>
      <c r="O60" s="231"/>
      <c r="P60" s="231"/>
      <c r="Q60" s="231"/>
      <c r="R60" s="231"/>
      <c r="S60" s="231"/>
      <c r="T60" s="231"/>
      <c r="U60" s="309"/>
      <c r="V60" s="237"/>
      <c r="W60" s="6"/>
    </row>
    <row r="61" spans="1:23" ht="15.6">
      <c r="A61" s="242"/>
      <c r="B61" s="252"/>
      <c r="C61" s="252"/>
      <c r="D61" s="252"/>
      <c r="E61" s="252"/>
      <c r="F61" s="252"/>
      <c r="G61" s="252"/>
      <c r="H61" s="252"/>
      <c r="I61" s="252"/>
      <c r="J61" s="252"/>
      <c r="K61" s="252"/>
      <c r="L61" s="252"/>
      <c r="M61" s="244"/>
      <c r="N61" s="244"/>
      <c r="O61" s="244"/>
      <c r="P61" s="244"/>
      <c r="Q61" s="244"/>
      <c r="R61" s="244"/>
      <c r="S61" s="244"/>
      <c r="T61" s="244"/>
      <c r="U61" s="263"/>
      <c r="V61" s="245"/>
      <c r="W61" s="6"/>
    </row>
    <row r="62" spans="1:23" s="151" customFormat="1" ht="46.8">
      <c r="A62" s="264"/>
      <c r="B62" s="512"/>
      <c r="C62" s="513"/>
      <c r="D62" s="513"/>
      <c r="E62" s="513"/>
      <c r="F62" s="513"/>
      <c r="G62" s="513"/>
      <c r="H62" s="513"/>
      <c r="I62" s="513"/>
      <c r="J62" s="513"/>
      <c r="K62" s="513" t="s">
        <v>197</v>
      </c>
      <c r="L62" s="513"/>
      <c r="M62" s="513" t="s">
        <v>98</v>
      </c>
      <c r="N62" s="513"/>
      <c r="O62" s="513" t="s">
        <v>107</v>
      </c>
      <c r="P62" s="513"/>
      <c r="Q62" s="513" t="s">
        <v>111</v>
      </c>
      <c r="R62" s="513"/>
      <c r="S62" s="513" t="s">
        <v>113</v>
      </c>
      <c r="T62" s="513"/>
      <c r="U62" s="514" t="s">
        <v>120</v>
      </c>
      <c r="V62" s="515"/>
      <c r="W62" s="150"/>
    </row>
    <row r="63" spans="1:23" ht="15.6">
      <c r="A63" s="378"/>
      <c r="B63" s="379" t="s">
        <v>24</v>
      </c>
      <c r="C63" s="440"/>
      <c r="D63" s="440"/>
      <c r="E63" s="440"/>
      <c r="F63" s="440"/>
      <c r="G63" s="440"/>
      <c r="H63" s="440"/>
      <c r="I63" s="440"/>
      <c r="J63" s="440"/>
      <c r="K63" s="440">
        <f>265+63566+3306</f>
        <v>67137</v>
      </c>
      <c r="L63" s="440"/>
      <c r="M63" s="440">
        <v>7802</v>
      </c>
      <c r="N63" s="440"/>
      <c r="O63" s="440">
        <f>174+2+77</f>
        <v>253</v>
      </c>
      <c r="P63" s="440"/>
      <c r="Q63" s="440">
        <v>0</v>
      </c>
      <c r="R63" s="440"/>
      <c r="S63" s="440">
        <v>0</v>
      </c>
      <c r="T63" s="440"/>
      <c r="U63" s="441">
        <f>+M63-O63+Q63-S63</f>
        <v>7549</v>
      </c>
      <c r="V63" s="410"/>
      <c r="W63" s="6"/>
    </row>
    <row r="64" spans="1:23" ht="15.6">
      <c r="A64" s="378"/>
      <c r="B64" s="379" t="s">
        <v>25</v>
      </c>
      <c r="C64" s="440"/>
      <c r="D64" s="440"/>
      <c r="E64" s="440"/>
      <c r="F64" s="440"/>
      <c r="G64" s="440"/>
      <c r="H64" s="440"/>
      <c r="I64" s="440"/>
      <c r="J64" s="440"/>
      <c r="K64" s="440"/>
      <c r="L64" s="440"/>
      <c r="M64" s="440"/>
      <c r="N64" s="440"/>
      <c r="O64" s="440"/>
      <c r="P64" s="440"/>
      <c r="Q64" s="440">
        <v>0</v>
      </c>
      <c r="R64" s="440"/>
      <c r="S64" s="440">
        <v>0</v>
      </c>
      <c r="T64" s="440"/>
      <c r="U64" s="441">
        <f>M64-O64</f>
        <v>0</v>
      </c>
      <c r="V64" s="410"/>
      <c r="W64" s="6"/>
    </row>
    <row r="65" spans="1:24" ht="15.6">
      <c r="A65" s="378"/>
      <c r="B65" s="379"/>
      <c r="C65" s="440"/>
      <c r="D65" s="440"/>
      <c r="E65" s="440"/>
      <c r="F65" s="440"/>
      <c r="G65" s="440"/>
      <c r="H65" s="440"/>
      <c r="I65" s="440"/>
      <c r="J65" s="440"/>
      <c r="K65" s="440"/>
      <c r="L65" s="440"/>
      <c r="M65" s="440"/>
      <c r="N65" s="440"/>
      <c r="O65" s="440"/>
      <c r="P65" s="440"/>
      <c r="Q65" s="440"/>
      <c r="R65" s="440"/>
      <c r="S65" s="440"/>
      <c r="T65" s="440"/>
      <c r="U65" s="441"/>
      <c r="V65" s="410"/>
      <c r="W65" s="6"/>
    </row>
    <row r="66" spans="1:24" ht="15.6">
      <c r="A66" s="378"/>
      <c r="B66" s="379" t="s">
        <v>26</v>
      </c>
      <c r="C66" s="440"/>
      <c r="D66" s="440"/>
      <c r="E66" s="440"/>
      <c r="F66" s="440"/>
      <c r="G66" s="440"/>
      <c r="H66" s="440"/>
      <c r="I66" s="440"/>
      <c r="J66" s="440"/>
      <c r="K66" s="440">
        <v>24470</v>
      </c>
      <c r="L66" s="440"/>
      <c r="M66" s="440">
        <v>1790</v>
      </c>
      <c r="N66" s="440"/>
      <c r="O66" s="440">
        <f>66+3</f>
        <v>69</v>
      </c>
      <c r="P66" s="440"/>
      <c r="Q66" s="440">
        <v>0</v>
      </c>
      <c r="R66" s="440"/>
      <c r="S66" s="440">
        <f>SUM(S63:S65)</f>
        <v>0</v>
      </c>
      <c r="T66" s="440"/>
      <c r="U66" s="441">
        <f>+M66-O66+Q66-S66</f>
        <v>1721</v>
      </c>
      <c r="V66" s="410"/>
      <c r="W66" s="6"/>
    </row>
    <row r="67" spans="1:24" ht="15.6">
      <c r="A67" s="378"/>
      <c r="B67" s="379" t="s">
        <v>25</v>
      </c>
      <c r="C67" s="440"/>
      <c r="D67" s="440"/>
      <c r="E67" s="440"/>
      <c r="F67" s="440"/>
      <c r="G67" s="440"/>
      <c r="H67" s="440"/>
      <c r="I67" s="440"/>
      <c r="J67" s="440"/>
      <c r="K67" s="440"/>
      <c r="L67" s="440"/>
      <c r="M67" s="440"/>
      <c r="N67" s="440"/>
      <c r="O67" s="440"/>
      <c r="P67" s="440"/>
      <c r="Q67" s="440">
        <v>0</v>
      </c>
      <c r="R67" s="440"/>
      <c r="S67" s="440">
        <v>0</v>
      </c>
      <c r="T67" s="440"/>
      <c r="U67" s="440"/>
      <c r="V67" s="410"/>
      <c r="W67" s="6"/>
    </row>
    <row r="68" spans="1:24" ht="15.6">
      <c r="A68" s="378"/>
      <c r="B68" s="386"/>
      <c r="C68" s="440"/>
      <c r="D68" s="440"/>
      <c r="E68" s="440"/>
      <c r="F68" s="440"/>
      <c r="G68" s="440"/>
      <c r="H68" s="440"/>
      <c r="I68" s="440"/>
      <c r="J68" s="440"/>
      <c r="K68" s="440"/>
      <c r="L68" s="440"/>
      <c r="M68" s="440"/>
      <c r="N68" s="440"/>
      <c r="O68" s="442"/>
      <c r="P68" s="440"/>
      <c r="Q68" s="440"/>
      <c r="R68" s="440"/>
      <c r="S68" s="440"/>
      <c r="T68" s="440"/>
      <c r="U68" s="440"/>
      <c r="V68" s="410"/>
      <c r="W68" s="6"/>
    </row>
    <row r="69" spans="1:24" ht="15.6">
      <c r="A69" s="378"/>
      <c r="B69" s="379" t="s">
        <v>27</v>
      </c>
      <c r="C69" s="440"/>
      <c r="D69" s="440"/>
      <c r="E69" s="440"/>
      <c r="F69" s="440"/>
      <c r="G69" s="440"/>
      <c r="H69" s="440"/>
      <c r="I69" s="440"/>
      <c r="J69" s="440"/>
      <c r="K69" s="440">
        <v>220072</v>
      </c>
      <c r="L69" s="440"/>
      <c r="M69" s="440">
        <v>157464</v>
      </c>
      <c r="N69" s="440"/>
      <c r="O69" s="440">
        <f>5304+571</f>
        <v>5875</v>
      </c>
      <c r="P69" s="440"/>
      <c r="Q69" s="440">
        <v>0</v>
      </c>
      <c r="R69" s="440"/>
      <c r="S69" s="440">
        <v>0</v>
      </c>
      <c r="T69" s="440"/>
      <c r="U69" s="441">
        <f>+M69-O69+Q69-S69</f>
        <v>151589</v>
      </c>
      <c r="V69" s="410"/>
      <c r="W69" s="6"/>
    </row>
    <row r="70" spans="1:24" ht="15.6">
      <c r="A70" s="378"/>
      <c r="B70" s="379" t="s">
        <v>25</v>
      </c>
      <c r="C70" s="440"/>
      <c r="D70" s="440"/>
      <c r="E70" s="440"/>
      <c r="F70" s="440"/>
      <c r="G70" s="440"/>
      <c r="H70" s="440"/>
      <c r="I70" s="440"/>
      <c r="J70" s="440"/>
      <c r="K70" s="440"/>
      <c r="L70" s="440"/>
      <c r="M70" s="440"/>
      <c r="N70" s="440"/>
      <c r="O70" s="440"/>
      <c r="P70" s="440"/>
      <c r="Q70" s="440">
        <v>0</v>
      </c>
      <c r="R70" s="440"/>
      <c r="S70" s="440">
        <v>0</v>
      </c>
      <c r="T70" s="440"/>
      <c r="U70" s="441">
        <f>M70-O70+Q70-S70</f>
        <v>0</v>
      </c>
      <c r="V70" s="410"/>
      <c r="W70" s="6"/>
    </row>
    <row r="71" spans="1:24" ht="15.6">
      <c r="A71" s="378"/>
      <c r="B71" s="379"/>
      <c r="C71" s="440"/>
      <c r="D71" s="440"/>
      <c r="E71" s="440"/>
      <c r="F71" s="440"/>
      <c r="G71" s="440"/>
      <c r="H71" s="440"/>
      <c r="I71" s="440"/>
      <c r="J71" s="440"/>
      <c r="K71" s="440"/>
      <c r="L71" s="440"/>
      <c r="M71" s="440"/>
      <c r="N71" s="440"/>
      <c r="O71" s="440"/>
      <c r="P71" s="440"/>
      <c r="Q71" s="440"/>
      <c r="R71" s="440"/>
      <c r="S71" s="440"/>
      <c r="T71" s="440"/>
      <c r="U71" s="441"/>
      <c r="V71" s="410"/>
      <c r="W71" s="6"/>
    </row>
    <row r="72" spans="1:24" ht="15.6">
      <c r="A72" s="378"/>
      <c r="B72" s="379" t="s">
        <v>28</v>
      </c>
      <c r="C72" s="440"/>
      <c r="D72" s="440"/>
      <c r="E72" s="440"/>
      <c r="F72" s="440"/>
      <c r="G72" s="440"/>
      <c r="H72" s="440"/>
      <c r="I72" s="440"/>
      <c r="J72" s="440"/>
      <c r="K72" s="440">
        <v>138321</v>
      </c>
      <c r="L72" s="440"/>
      <c r="M72" s="440">
        <v>2402</v>
      </c>
      <c r="N72" s="440"/>
      <c r="O72" s="440">
        <f>313+31</f>
        <v>344</v>
      </c>
      <c r="P72" s="440"/>
      <c r="Q72" s="440">
        <v>0</v>
      </c>
      <c r="R72" s="440"/>
      <c r="S72" s="440">
        <v>0</v>
      </c>
      <c r="T72" s="440"/>
      <c r="U72" s="441">
        <f>+M72-O72+Q72-S72</f>
        <v>2058</v>
      </c>
      <c r="V72" s="410"/>
      <c r="W72" s="6"/>
    </row>
    <row r="73" spans="1:24" ht="15.6">
      <c r="A73" s="378"/>
      <c r="B73" s="379" t="s">
        <v>25</v>
      </c>
      <c r="C73" s="440"/>
      <c r="D73" s="440"/>
      <c r="E73" s="440"/>
      <c r="F73" s="440"/>
      <c r="G73" s="440"/>
      <c r="H73" s="440"/>
      <c r="I73" s="440"/>
      <c r="J73" s="440"/>
      <c r="K73" s="440"/>
      <c r="L73" s="440"/>
      <c r="M73" s="440"/>
      <c r="N73" s="440"/>
      <c r="O73" s="440"/>
      <c r="P73" s="440"/>
      <c r="Q73" s="440">
        <v>0</v>
      </c>
      <c r="R73" s="440"/>
      <c r="S73" s="440">
        <v>0</v>
      </c>
      <c r="T73" s="440"/>
      <c r="U73" s="441"/>
      <c r="V73" s="410"/>
      <c r="W73" s="6"/>
    </row>
    <row r="74" spans="1:24" ht="15.6">
      <c r="A74" s="378"/>
      <c r="B74" s="440"/>
      <c r="C74" s="440"/>
      <c r="D74" s="440"/>
      <c r="E74" s="440"/>
      <c r="F74" s="440"/>
      <c r="G74" s="440"/>
      <c r="H74" s="440"/>
      <c r="I74" s="440"/>
      <c r="J74" s="440"/>
      <c r="K74" s="440"/>
      <c r="L74" s="440"/>
      <c r="M74" s="440"/>
      <c r="N74" s="440"/>
      <c r="O74" s="440"/>
      <c r="P74" s="440"/>
      <c r="Q74" s="440"/>
      <c r="R74" s="440"/>
      <c r="S74" s="440"/>
      <c r="T74" s="440"/>
      <c r="U74" s="441"/>
      <c r="V74" s="410"/>
      <c r="W74" s="6"/>
    </row>
    <row r="75" spans="1:24" ht="15.6">
      <c r="A75" s="378"/>
      <c r="B75" s="379" t="s">
        <v>29</v>
      </c>
      <c r="C75" s="440"/>
      <c r="D75" s="440"/>
      <c r="E75" s="440"/>
      <c r="F75" s="440"/>
      <c r="G75" s="440"/>
      <c r="H75" s="440"/>
      <c r="I75" s="440"/>
      <c r="J75" s="440"/>
      <c r="K75" s="440">
        <f>SUM(K63:K72)</f>
        <v>450000</v>
      </c>
      <c r="L75" s="440"/>
      <c r="M75" s="440">
        <f>SUM(M63:M72)</f>
        <v>169458</v>
      </c>
      <c r="N75" s="440"/>
      <c r="O75" s="440">
        <f>SUM(O63:O73)</f>
        <v>6541</v>
      </c>
      <c r="P75" s="440"/>
      <c r="Q75" s="440">
        <f>SUM(Q63:Q73)</f>
        <v>0</v>
      </c>
      <c r="R75" s="440"/>
      <c r="S75" s="440">
        <f>SUM(S70:S74)</f>
        <v>0</v>
      </c>
      <c r="T75" s="440"/>
      <c r="U75" s="440">
        <f>SUM(U63:U73)</f>
        <v>162917</v>
      </c>
      <c r="V75" s="410"/>
      <c r="W75" s="6"/>
      <c r="X75" s="182"/>
    </row>
    <row r="76" spans="1:24" ht="15.6">
      <c r="A76" s="378"/>
      <c r="B76" s="379"/>
      <c r="C76" s="440"/>
      <c r="D76" s="440"/>
      <c r="E76" s="440"/>
      <c r="F76" s="440"/>
      <c r="G76" s="440"/>
      <c r="H76" s="440"/>
      <c r="I76" s="440"/>
      <c r="J76" s="440"/>
      <c r="K76" s="440"/>
      <c r="L76" s="440"/>
      <c r="M76" s="440"/>
      <c r="N76" s="440"/>
      <c r="O76" s="440"/>
      <c r="P76" s="440"/>
      <c r="Q76" s="440"/>
      <c r="R76" s="440"/>
      <c r="S76" s="440"/>
      <c r="T76" s="440"/>
      <c r="U76" s="440"/>
      <c r="V76" s="410"/>
      <c r="W76" s="6"/>
    </row>
    <row r="77" spans="1:24" ht="15.6">
      <c r="A77" s="378"/>
      <c r="B77" s="379" t="s">
        <v>214</v>
      </c>
      <c r="C77" s="440"/>
      <c r="D77" s="440"/>
      <c r="E77" s="440"/>
      <c r="F77" s="440"/>
      <c r="G77" s="440"/>
      <c r="H77" s="440"/>
      <c r="I77" s="440"/>
      <c r="J77" s="440"/>
      <c r="K77" s="440">
        <v>0</v>
      </c>
      <c r="L77" s="440"/>
      <c r="M77" s="440">
        <v>-13335</v>
      </c>
      <c r="N77" s="440"/>
      <c r="O77" s="440">
        <v>409</v>
      </c>
      <c r="P77" s="440"/>
      <c r="Q77" s="440"/>
      <c r="R77" s="440"/>
      <c r="S77" s="440"/>
      <c r="T77" s="440"/>
      <c r="U77" s="441">
        <f>+M77-O77</f>
        <v>-13744</v>
      </c>
      <c r="V77" s="410"/>
      <c r="W77" s="6"/>
    </row>
    <row r="78" spans="1:24" ht="15.6">
      <c r="A78" s="378"/>
      <c r="B78" s="379" t="s">
        <v>30</v>
      </c>
      <c r="C78" s="440"/>
      <c r="D78" s="440"/>
      <c r="E78" s="440"/>
      <c r="F78" s="440"/>
      <c r="G78" s="440"/>
      <c r="H78" s="440"/>
      <c r="I78" s="440"/>
      <c r="J78" s="440"/>
      <c r="K78" s="440">
        <v>0</v>
      </c>
      <c r="L78" s="440"/>
      <c r="M78" s="440">
        <v>0</v>
      </c>
      <c r="N78" s="440"/>
      <c r="O78" s="440">
        <v>0</v>
      </c>
      <c r="P78" s="440"/>
      <c r="Q78" s="440">
        <v>0</v>
      </c>
      <c r="R78" s="440"/>
      <c r="S78" s="440"/>
      <c r="T78" s="440"/>
      <c r="U78" s="440">
        <v>0</v>
      </c>
      <c r="V78" s="410"/>
      <c r="W78" s="6"/>
      <c r="X78" s="182"/>
    </row>
    <row r="79" spans="1:24" ht="15.6">
      <c r="A79" s="378"/>
      <c r="B79" s="379" t="s">
        <v>31</v>
      </c>
      <c r="C79" s="440"/>
      <c r="D79" s="440"/>
      <c r="E79" s="440"/>
      <c r="F79" s="440"/>
      <c r="G79" s="440"/>
      <c r="H79" s="440"/>
      <c r="I79" s="440"/>
      <c r="J79" s="440"/>
      <c r="K79" s="440">
        <v>0</v>
      </c>
      <c r="L79" s="440"/>
      <c r="M79" s="440">
        <v>0</v>
      </c>
      <c r="N79" s="440"/>
      <c r="O79" s="440"/>
      <c r="P79" s="440"/>
      <c r="Q79" s="440">
        <v>0</v>
      </c>
      <c r="R79" s="440"/>
      <c r="S79" s="440"/>
      <c r="T79" s="440"/>
      <c r="U79" s="440">
        <f>Q79+M79</f>
        <v>0</v>
      </c>
      <c r="V79" s="410"/>
      <c r="W79" s="6"/>
    </row>
    <row r="80" spans="1:24" ht="15.6">
      <c r="A80" s="378"/>
      <c r="B80" s="379" t="s">
        <v>16</v>
      </c>
      <c r="C80" s="440"/>
      <c r="D80" s="440"/>
      <c r="E80" s="440"/>
      <c r="F80" s="440"/>
      <c r="G80" s="440"/>
      <c r="H80" s="440"/>
      <c r="I80" s="440"/>
      <c r="J80" s="440"/>
      <c r="K80" s="440">
        <f>SUM(K75:K79)</f>
        <v>450000</v>
      </c>
      <c r="L80" s="440"/>
      <c r="M80" s="440">
        <f>SUM(M75:M79)</f>
        <v>156123</v>
      </c>
      <c r="N80" s="440"/>
      <c r="O80" s="440">
        <f>O78-O79</f>
        <v>0</v>
      </c>
      <c r="P80" s="440"/>
      <c r="Q80" s="440"/>
      <c r="R80" s="440"/>
      <c r="S80" s="440"/>
      <c r="T80" s="440"/>
      <c r="U80" s="440">
        <f>SUM(U75:U79)</f>
        <v>149173</v>
      </c>
      <c r="V80" s="410"/>
      <c r="W80" s="6"/>
    </row>
    <row r="81" spans="1:24" ht="15.6">
      <c r="A81" s="242"/>
      <c r="B81" s="437"/>
      <c r="C81" s="438"/>
      <c r="D81" s="438"/>
      <c r="E81" s="438"/>
      <c r="F81" s="438"/>
      <c r="G81" s="438"/>
      <c r="H81" s="438"/>
      <c r="I81" s="438"/>
      <c r="J81" s="438"/>
      <c r="K81" s="438"/>
      <c r="L81" s="438"/>
      <c r="M81" s="438"/>
      <c r="N81" s="438"/>
      <c r="O81" s="438"/>
      <c r="P81" s="438"/>
      <c r="Q81" s="438"/>
      <c r="R81" s="438"/>
      <c r="S81" s="439"/>
      <c r="T81" s="438"/>
      <c r="U81" s="439"/>
      <c r="V81" s="245"/>
      <c r="W81" s="6"/>
    </row>
    <row r="82" spans="1:24" ht="15.6">
      <c r="A82" s="230"/>
      <c r="B82" s="511" t="s">
        <v>32</v>
      </c>
      <c r="C82" s="511"/>
      <c r="D82" s="511"/>
      <c r="E82" s="511"/>
      <c r="F82" s="511"/>
      <c r="G82" s="511"/>
      <c r="H82" s="511"/>
      <c r="I82" s="511"/>
      <c r="J82" s="511"/>
      <c r="K82" s="511"/>
      <c r="L82" s="511"/>
      <c r="M82" s="511"/>
      <c r="N82" s="511"/>
      <c r="O82" s="511"/>
      <c r="P82" s="511"/>
      <c r="Q82" s="511"/>
      <c r="R82" s="232"/>
      <c r="S82" s="232"/>
      <c r="T82" s="232"/>
      <c r="U82" s="232" t="s">
        <v>121</v>
      </c>
      <c r="V82" s="516"/>
      <c r="W82" s="6"/>
    </row>
    <row r="83" spans="1:24" ht="15.6">
      <c r="A83" s="315"/>
      <c r="B83" s="294" t="s">
        <v>33</v>
      </c>
      <c r="C83" s="294"/>
      <c r="D83" s="294"/>
      <c r="E83" s="294"/>
      <c r="F83" s="294"/>
      <c r="G83" s="294"/>
      <c r="H83" s="294"/>
      <c r="I83" s="294"/>
      <c r="J83" s="294"/>
      <c r="K83" s="294"/>
      <c r="L83" s="294"/>
      <c r="M83" s="294"/>
      <c r="N83" s="294"/>
      <c r="O83" s="310"/>
      <c r="P83" s="294"/>
      <c r="Q83" s="294"/>
      <c r="R83" s="294"/>
      <c r="S83" s="310"/>
      <c r="T83" s="294"/>
      <c r="U83" s="311">
        <v>50098</v>
      </c>
      <c r="V83" s="298"/>
      <c r="W83" s="6"/>
    </row>
    <row r="84" spans="1:24" ht="15.6">
      <c r="A84" s="444"/>
      <c r="B84" s="379" t="s">
        <v>34</v>
      </c>
      <c r="C84" s="431"/>
      <c r="D84" s="431"/>
      <c r="E84" s="431"/>
      <c r="F84" s="431"/>
      <c r="G84" s="431"/>
      <c r="H84" s="431"/>
      <c r="I84" s="431"/>
      <c r="J84" s="431"/>
      <c r="K84" s="431"/>
      <c r="L84" s="431"/>
      <c r="M84" s="430"/>
      <c r="N84" s="379"/>
      <c r="O84" s="379"/>
      <c r="P84" s="379"/>
      <c r="Q84" s="379"/>
      <c r="R84" s="379"/>
      <c r="S84" s="440"/>
      <c r="T84" s="379"/>
      <c r="U84" s="441">
        <f>134+46+6-23</f>
        <v>163</v>
      </c>
      <c r="V84" s="410"/>
      <c r="W84" s="6"/>
    </row>
    <row r="85" spans="1:24" ht="15.6">
      <c r="A85" s="444"/>
      <c r="B85" s="379" t="s">
        <v>230</v>
      </c>
      <c r="C85" s="379"/>
      <c r="D85" s="379"/>
      <c r="E85" s="379"/>
      <c r="F85" s="379"/>
      <c r="G85" s="379"/>
      <c r="H85" s="379"/>
      <c r="I85" s="379"/>
      <c r="J85" s="379"/>
      <c r="K85" s="379"/>
      <c r="L85" s="379"/>
      <c r="M85" s="379"/>
      <c r="N85" s="379"/>
      <c r="O85" s="379"/>
      <c r="P85" s="379"/>
      <c r="Q85" s="379"/>
      <c r="R85" s="379"/>
      <c r="S85" s="440"/>
      <c r="T85" s="379"/>
      <c r="U85" s="441">
        <v>0</v>
      </c>
      <c r="V85" s="410"/>
      <c r="W85" s="6"/>
      <c r="X85" s="64"/>
    </row>
    <row r="86" spans="1:24" ht="15.6">
      <c r="A86" s="444"/>
      <c r="B86" s="379" t="s">
        <v>231</v>
      </c>
      <c r="C86" s="379"/>
      <c r="D86" s="379"/>
      <c r="E86" s="379"/>
      <c r="F86" s="379"/>
      <c r="G86" s="379"/>
      <c r="H86" s="379"/>
      <c r="I86" s="379"/>
      <c r="J86" s="379"/>
      <c r="K86" s="379"/>
      <c r="L86" s="379"/>
      <c r="M86" s="379"/>
      <c r="N86" s="379"/>
      <c r="O86" s="379"/>
      <c r="P86" s="379"/>
      <c r="Q86" s="379"/>
      <c r="R86" s="379"/>
      <c r="S86" s="440"/>
      <c r="T86" s="379"/>
      <c r="U86" s="441">
        <v>0</v>
      </c>
      <c r="V86" s="410"/>
      <c r="W86" s="6"/>
      <c r="X86" s="64"/>
    </row>
    <row r="87" spans="1:24" ht="15.6">
      <c r="A87" s="444"/>
      <c r="B87" s="379" t="s">
        <v>35</v>
      </c>
      <c r="C87" s="379"/>
      <c r="D87" s="379"/>
      <c r="E87" s="379"/>
      <c r="F87" s="379"/>
      <c r="G87" s="379"/>
      <c r="H87" s="379"/>
      <c r="I87" s="379"/>
      <c r="J87" s="379"/>
      <c r="K87" s="379"/>
      <c r="L87" s="379"/>
      <c r="M87" s="379"/>
      <c r="N87" s="379"/>
      <c r="O87" s="379"/>
      <c r="P87" s="379"/>
      <c r="Q87" s="379"/>
      <c r="R87" s="379"/>
      <c r="S87" s="440"/>
      <c r="T87" s="379"/>
      <c r="U87" s="441">
        <f>SUM(U83:U86)</f>
        <v>50261</v>
      </c>
      <c r="V87" s="410"/>
      <c r="W87" s="6"/>
      <c r="X87" s="64"/>
    </row>
    <row r="88" spans="1:24" ht="15.6">
      <c r="A88" s="444"/>
      <c r="B88" s="379"/>
      <c r="C88" s="379"/>
      <c r="D88" s="379"/>
      <c r="E88" s="379"/>
      <c r="F88" s="379"/>
      <c r="G88" s="379"/>
      <c r="H88" s="379"/>
      <c r="I88" s="379"/>
      <c r="J88" s="379"/>
      <c r="K88" s="379"/>
      <c r="L88" s="379"/>
      <c r="M88" s="379"/>
      <c r="N88" s="379"/>
      <c r="O88" s="379"/>
      <c r="P88" s="379"/>
      <c r="Q88" s="379"/>
      <c r="R88" s="379"/>
      <c r="S88" s="440"/>
      <c r="T88" s="379"/>
      <c r="U88" s="440"/>
      <c r="V88" s="410"/>
      <c r="W88" s="6"/>
    </row>
    <row r="89" spans="1:24" ht="15.6">
      <c r="A89" s="444"/>
      <c r="B89" s="446" t="s">
        <v>36</v>
      </c>
      <c r="C89" s="446"/>
      <c r="D89" s="446"/>
      <c r="E89" s="446"/>
      <c r="F89" s="446"/>
      <c r="G89" s="446"/>
      <c r="H89" s="446"/>
      <c r="I89" s="446"/>
      <c r="J89" s="446"/>
      <c r="K89" s="446"/>
      <c r="L89" s="446"/>
      <c r="M89" s="379"/>
      <c r="N89" s="379"/>
      <c r="O89" s="379"/>
      <c r="P89" s="379"/>
      <c r="Q89" s="379"/>
      <c r="R89" s="379"/>
      <c r="S89" s="440"/>
      <c r="T89" s="379"/>
      <c r="U89" s="441"/>
      <c r="V89" s="410"/>
      <c r="W89" s="6"/>
      <c r="X89" s="64"/>
    </row>
    <row r="90" spans="1:24" ht="15.6">
      <c r="A90" s="444">
        <v>1</v>
      </c>
      <c r="B90" s="379" t="s">
        <v>37</v>
      </c>
      <c r="C90" s="379"/>
      <c r="D90" s="379"/>
      <c r="E90" s="379"/>
      <c r="F90" s="379"/>
      <c r="G90" s="379"/>
      <c r="H90" s="379"/>
      <c r="I90" s="379"/>
      <c r="J90" s="379"/>
      <c r="K90" s="379"/>
      <c r="L90" s="379"/>
      <c r="M90" s="379"/>
      <c r="N90" s="379"/>
      <c r="O90" s="379"/>
      <c r="P90" s="379"/>
      <c r="Q90" s="379"/>
      <c r="R90" s="379"/>
      <c r="S90" s="379"/>
      <c r="T90" s="379"/>
      <c r="U90" s="441">
        <v>-2</v>
      </c>
      <c r="V90" s="410"/>
      <c r="W90" s="6"/>
    </row>
    <row r="91" spans="1:24" ht="15.6">
      <c r="A91" s="444">
        <f>A90+1</f>
        <v>2</v>
      </c>
      <c r="B91" s="379" t="s">
        <v>168</v>
      </c>
      <c r="C91" s="379"/>
      <c r="D91" s="379"/>
      <c r="E91" s="379"/>
      <c r="F91" s="379"/>
      <c r="G91" s="379"/>
      <c r="H91" s="379"/>
      <c r="I91" s="379"/>
      <c r="J91" s="379"/>
      <c r="K91" s="379"/>
      <c r="L91" s="379"/>
      <c r="M91" s="379"/>
      <c r="N91" s="379"/>
      <c r="O91" s="379"/>
      <c r="P91" s="379"/>
      <c r="Q91" s="379"/>
      <c r="R91" s="379"/>
      <c r="S91" s="379"/>
      <c r="T91" s="379"/>
      <c r="U91" s="441">
        <f>-157-62-2</f>
        <v>-221</v>
      </c>
      <c r="V91" s="410"/>
      <c r="W91" s="6"/>
      <c r="X91" s="64"/>
    </row>
    <row r="92" spans="1:24" ht="15.6">
      <c r="A92" s="444">
        <v>3</v>
      </c>
      <c r="B92" s="379" t="s">
        <v>38</v>
      </c>
      <c r="C92" s="379"/>
      <c r="D92" s="379"/>
      <c r="E92" s="379"/>
      <c r="F92" s="379"/>
      <c r="G92" s="379"/>
      <c r="H92" s="379"/>
      <c r="I92" s="379"/>
      <c r="J92" s="379"/>
      <c r="K92" s="379"/>
      <c r="L92" s="379"/>
      <c r="M92" s="379"/>
      <c r="N92" s="379"/>
      <c r="O92" s="379"/>
      <c r="P92" s="379"/>
      <c r="Q92" s="379"/>
      <c r="R92" s="379"/>
      <c r="S92" s="379"/>
      <c r="T92" s="379"/>
      <c r="U92" s="441">
        <v>-64</v>
      </c>
      <c r="V92" s="410"/>
      <c r="W92" s="6"/>
      <c r="X92" s="64"/>
    </row>
    <row r="93" spans="1:24" ht="15.6">
      <c r="A93" s="447" t="s">
        <v>190</v>
      </c>
      <c r="B93" s="379" t="s">
        <v>169</v>
      </c>
      <c r="C93" s="379"/>
      <c r="D93" s="379"/>
      <c r="E93" s="379"/>
      <c r="F93" s="379"/>
      <c r="G93" s="379"/>
      <c r="H93" s="379"/>
      <c r="I93" s="379"/>
      <c r="J93" s="379"/>
      <c r="K93" s="379"/>
      <c r="L93" s="379"/>
      <c r="M93" s="379"/>
      <c r="N93" s="379"/>
      <c r="O93" s="379"/>
      <c r="P93" s="379"/>
      <c r="Q93" s="379"/>
      <c r="R93" s="379"/>
      <c r="S93" s="379"/>
      <c r="T93" s="379"/>
      <c r="U93" s="441">
        <v>-76</v>
      </c>
      <c r="V93" s="410"/>
      <c r="W93" s="6"/>
      <c r="X93" s="64"/>
    </row>
    <row r="94" spans="1:24" ht="15.6">
      <c r="A94" s="447" t="s">
        <v>191</v>
      </c>
      <c r="B94" s="379" t="s">
        <v>170</v>
      </c>
      <c r="C94" s="379"/>
      <c r="D94" s="379"/>
      <c r="E94" s="379"/>
      <c r="F94" s="379"/>
      <c r="G94" s="379"/>
      <c r="H94" s="379"/>
      <c r="I94" s="379"/>
      <c r="J94" s="379"/>
      <c r="K94" s="379"/>
      <c r="L94" s="379"/>
      <c r="M94" s="379"/>
      <c r="N94" s="379"/>
      <c r="O94" s="379"/>
      <c r="P94" s="379"/>
      <c r="Q94" s="379"/>
      <c r="R94" s="379"/>
      <c r="S94" s="379"/>
      <c r="T94" s="379"/>
      <c r="U94" s="441">
        <v>-99</v>
      </c>
      <c r="V94" s="410"/>
      <c r="W94" s="6"/>
      <c r="X94" s="182"/>
    </row>
    <row r="95" spans="1:24" ht="15.6">
      <c r="A95" s="444">
        <v>5</v>
      </c>
      <c r="B95" s="379" t="s">
        <v>171</v>
      </c>
      <c r="C95" s="379"/>
      <c r="D95" s="379"/>
      <c r="E95" s="379"/>
      <c r="F95" s="379"/>
      <c r="G95" s="379"/>
      <c r="H95" s="379"/>
      <c r="I95" s="379"/>
      <c r="J95" s="379"/>
      <c r="K95" s="379"/>
      <c r="L95" s="379"/>
      <c r="M95" s="379"/>
      <c r="N95" s="379"/>
      <c r="O95" s="379"/>
      <c r="P95" s="379"/>
      <c r="Q95" s="379"/>
      <c r="R95" s="379"/>
      <c r="S95" s="379"/>
      <c r="T95" s="379"/>
      <c r="U95" s="441">
        <v>-8</v>
      </c>
      <c r="V95" s="410"/>
      <c r="W95" s="6"/>
    </row>
    <row r="96" spans="1:24" ht="15.6">
      <c r="A96" s="447" t="s">
        <v>174</v>
      </c>
      <c r="B96" s="379" t="s">
        <v>172</v>
      </c>
      <c r="C96" s="379"/>
      <c r="D96" s="379"/>
      <c r="E96" s="379"/>
      <c r="F96" s="379"/>
      <c r="G96" s="379"/>
      <c r="H96" s="379"/>
      <c r="I96" s="379"/>
      <c r="J96" s="379"/>
      <c r="K96" s="379"/>
      <c r="L96" s="379"/>
      <c r="M96" s="379"/>
      <c r="N96" s="379"/>
      <c r="O96" s="379"/>
      <c r="P96" s="379"/>
      <c r="Q96" s="379"/>
      <c r="R96" s="379"/>
      <c r="S96" s="379"/>
      <c r="T96" s="379"/>
      <c r="U96" s="441">
        <v>-34</v>
      </c>
      <c r="V96" s="410"/>
      <c r="W96" s="6"/>
      <c r="X96" s="182"/>
    </row>
    <row r="97" spans="1:24" ht="15.6">
      <c r="A97" s="447" t="s">
        <v>176</v>
      </c>
      <c r="B97" s="379" t="s">
        <v>173</v>
      </c>
      <c r="C97" s="379"/>
      <c r="D97" s="379"/>
      <c r="E97" s="379"/>
      <c r="F97" s="379"/>
      <c r="G97" s="379"/>
      <c r="H97" s="379"/>
      <c r="I97" s="379"/>
      <c r="J97" s="379"/>
      <c r="K97" s="379"/>
      <c r="L97" s="379"/>
      <c r="M97" s="379"/>
      <c r="N97" s="379"/>
      <c r="O97" s="379"/>
      <c r="P97" s="379"/>
      <c r="Q97" s="379"/>
      <c r="R97" s="379"/>
      <c r="S97" s="379"/>
      <c r="T97" s="379"/>
      <c r="U97" s="441">
        <v>-54</v>
      </c>
      <c r="V97" s="410"/>
      <c r="W97" s="119"/>
      <c r="X97" s="182"/>
    </row>
    <row r="98" spans="1:24" ht="15.6">
      <c r="A98" s="447" t="s">
        <v>178</v>
      </c>
      <c r="B98" s="379" t="s">
        <v>175</v>
      </c>
      <c r="C98" s="379"/>
      <c r="D98" s="379"/>
      <c r="E98" s="379"/>
      <c r="F98" s="379"/>
      <c r="G98" s="379"/>
      <c r="H98" s="379"/>
      <c r="I98" s="379"/>
      <c r="J98" s="379"/>
      <c r="K98" s="379"/>
      <c r="L98" s="379"/>
      <c r="M98" s="379"/>
      <c r="N98" s="379"/>
      <c r="O98" s="379"/>
      <c r="P98" s="379"/>
      <c r="Q98" s="379"/>
      <c r="R98" s="379"/>
      <c r="S98" s="379"/>
      <c r="T98" s="379"/>
      <c r="U98" s="441">
        <v>-55</v>
      </c>
      <c r="V98" s="410"/>
      <c r="W98" s="6"/>
      <c r="X98" s="182"/>
    </row>
    <row r="99" spans="1:24" ht="15.6">
      <c r="A99" s="447" t="s">
        <v>180</v>
      </c>
      <c r="B99" s="379" t="s">
        <v>177</v>
      </c>
      <c r="C99" s="379"/>
      <c r="D99" s="379"/>
      <c r="E99" s="379"/>
      <c r="F99" s="379"/>
      <c r="G99" s="379"/>
      <c r="H99" s="379"/>
      <c r="I99" s="379"/>
      <c r="J99" s="379"/>
      <c r="K99" s="379"/>
      <c r="L99" s="379"/>
      <c r="M99" s="379"/>
      <c r="N99" s="379"/>
      <c r="O99" s="379"/>
      <c r="P99" s="379"/>
      <c r="Q99" s="379"/>
      <c r="R99" s="379"/>
      <c r="S99" s="379"/>
      <c r="T99" s="379"/>
      <c r="U99" s="441">
        <v>-71</v>
      </c>
      <c r="V99" s="410"/>
      <c r="W99" s="119"/>
      <c r="X99" s="182"/>
    </row>
    <row r="100" spans="1:24" ht="15.6">
      <c r="A100" s="447" t="s">
        <v>192</v>
      </c>
      <c r="B100" s="379" t="s">
        <v>179</v>
      </c>
      <c r="C100" s="379"/>
      <c r="D100" s="379"/>
      <c r="E100" s="379"/>
      <c r="F100" s="379"/>
      <c r="G100" s="379"/>
      <c r="H100" s="379"/>
      <c r="I100" s="379"/>
      <c r="J100" s="379"/>
      <c r="K100" s="379"/>
      <c r="L100" s="379"/>
      <c r="M100" s="379"/>
      <c r="N100" s="379"/>
      <c r="O100" s="379"/>
      <c r="P100" s="379"/>
      <c r="Q100" s="379"/>
      <c r="R100" s="379"/>
      <c r="S100" s="379"/>
      <c r="T100" s="379"/>
      <c r="U100" s="441">
        <v>-105</v>
      </c>
      <c r="V100" s="410"/>
      <c r="W100" s="6"/>
      <c r="X100" s="182"/>
    </row>
    <row r="101" spans="1:24" ht="15.6">
      <c r="A101" s="447" t="s">
        <v>193</v>
      </c>
      <c r="B101" s="379" t="s">
        <v>181</v>
      </c>
      <c r="C101" s="379"/>
      <c r="D101" s="379"/>
      <c r="E101" s="379"/>
      <c r="F101" s="379"/>
      <c r="G101" s="379"/>
      <c r="H101" s="379"/>
      <c r="I101" s="379"/>
      <c r="J101" s="379"/>
      <c r="K101" s="379"/>
      <c r="L101" s="379"/>
      <c r="M101" s="379"/>
      <c r="N101" s="379"/>
      <c r="O101" s="379"/>
      <c r="P101" s="379"/>
      <c r="Q101" s="379"/>
      <c r="R101" s="379"/>
      <c r="S101" s="379"/>
      <c r="T101" s="379"/>
      <c r="U101" s="441">
        <v>-90</v>
      </c>
      <c r="V101" s="410"/>
      <c r="W101" s="119"/>
      <c r="X101" s="182"/>
    </row>
    <row r="102" spans="1:24" ht="15.6">
      <c r="A102" s="444">
        <v>9</v>
      </c>
      <c r="B102" s="379" t="s">
        <v>257</v>
      </c>
      <c r="C102" s="379"/>
      <c r="D102" s="379"/>
      <c r="E102" s="379"/>
      <c r="F102" s="379"/>
      <c r="G102" s="379"/>
      <c r="H102" s="379"/>
      <c r="I102" s="379"/>
      <c r="J102" s="379"/>
      <c r="K102" s="379"/>
      <c r="L102" s="379"/>
      <c r="M102" s="379"/>
      <c r="N102" s="379"/>
      <c r="O102" s="379"/>
      <c r="P102" s="379"/>
      <c r="Q102" s="379"/>
      <c r="R102" s="379"/>
      <c r="S102" s="379"/>
      <c r="T102" s="379"/>
      <c r="U102" s="441">
        <f>+S219-U32</f>
        <v>-6950.2699999999895</v>
      </c>
      <c r="V102" s="410"/>
      <c r="W102" s="6"/>
      <c r="X102" s="182"/>
    </row>
    <row r="103" spans="1:24" ht="15.6">
      <c r="A103" s="444">
        <v>10</v>
      </c>
      <c r="B103" s="379" t="s">
        <v>234</v>
      </c>
      <c r="C103" s="379"/>
      <c r="D103" s="379"/>
      <c r="E103" s="379"/>
      <c r="F103" s="379"/>
      <c r="G103" s="379"/>
      <c r="H103" s="379"/>
      <c r="I103" s="379"/>
      <c r="J103" s="379"/>
      <c r="K103" s="379"/>
      <c r="L103" s="379"/>
      <c r="M103" s="379"/>
      <c r="N103" s="379"/>
      <c r="O103" s="379"/>
      <c r="P103" s="379"/>
      <c r="Q103" s="379"/>
      <c r="R103" s="379"/>
      <c r="S103" s="379"/>
      <c r="T103" s="379"/>
      <c r="U103" s="441">
        <v>-40500</v>
      </c>
      <c r="V103" s="410"/>
      <c r="W103" s="6"/>
      <c r="X103" s="64"/>
    </row>
    <row r="104" spans="1:24" ht="15.6">
      <c r="A104" s="444">
        <v>11</v>
      </c>
      <c r="B104" s="379" t="s">
        <v>183</v>
      </c>
      <c r="C104" s="379"/>
      <c r="D104" s="379"/>
      <c r="E104" s="379"/>
      <c r="F104" s="379"/>
      <c r="G104" s="379"/>
      <c r="H104" s="379"/>
      <c r="I104" s="379"/>
      <c r="J104" s="379"/>
      <c r="K104" s="379"/>
      <c r="L104" s="379"/>
      <c r="M104" s="379"/>
      <c r="N104" s="379"/>
      <c r="O104" s="379"/>
      <c r="P104" s="379"/>
      <c r="Q104" s="379"/>
      <c r="R104" s="379"/>
      <c r="S104" s="379"/>
      <c r="T104" s="379"/>
      <c r="U104" s="441">
        <v>0</v>
      </c>
      <c r="V104" s="410"/>
      <c r="W104" s="6"/>
      <c r="X104" s="64"/>
    </row>
    <row r="105" spans="1:24" ht="15.6">
      <c r="A105" s="444">
        <v>12</v>
      </c>
      <c r="B105" s="379" t="s">
        <v>184</v>
      </c>
      <c r="C105" s="379"/>
      <c r="D105" s="379"/>
      <c r="E105" s="379"/>
      <c r="F105" s="379"/>
      <c r="G105" s="379"/>
      <c r="H105" s="379"/>
      <c r="I105" s="379"/>
      <c r="J105" s="379"/>
      <c r="K105" s="379"/>
      <c r="L105" s="379"/>
      <c r="M105" s="379"/>
      <c r="N105" s="379"/>
      <c r="O105" s="379"/>
      <c r="P105" s="379"/>
      <c r="Q105" s="379"/>
      <c r="R105" s="379"/>
      <c r="S105" s="379"/>
      <c r="T105" s="379"/>
      <c r="U105" s="441">
        <v>-177</v>
      </c>
      <c r="V105" s="410"/>
      <c r="W105" s="6"/>
      <c r="X105" s="182"/>
    </row>
    <row r="106" spans="1:24" ht="15.6">
      <c r="A106" s="444">
        <v>13</v>
      </c>
      <c r="B106" s="379" t="s">
        <v>40</v>
      </c>
      <c r="C106" s="379"/>
      <c r="D106" s="379"/>
      <c r="E106" s="379"/>
      <c r="F106" s="379"/>
      <c r="G106" s="379"/>
      <c r="H106" s="379"/>
      <c r="I106" s="379"/>
      <c r="J106" s="379"/>
      <c r="K106" s="379"/>
      <c r="L106" s="379"/>
      <c r="M106" s="379"/>
      <c r="N106" s="379"/>
      <c r="O106" s="379"/>
      <c r="P106" s="379"/>
      <c r="Q106" s="379"/>
      <c r="R106" s="379"/>
      <c r="S106" s="379"/>
      <c r="T106" s="379"/>
      <c r="U106" s="441">
        <f>-SUM(U87:V105)</f>
        <v>-1754.7300000000105</v>
      </c>
      <c r="V106" s="410"/>
      <c r="W106" s="6"/>
      <c r="X106" s="182"/>
    </row>
    <row r="107" spans="1:24" ht="15.6">
      <c r="A107" s="316"/>
      <c r="B107" s="443"/>
      <c r="C107" s="364"/>
      <c r="D107" s="364"/>
      <c r="E107" s="364"/>
      <c r="F107" s="364"/>
      <c r="G107" s="364"/>
      <c r="H107" s="364"/>
      <c r="I107" s="364"/>
      <c r="J107" s="364"/>
      <c r="K107" s="364"/>
      <c r="L107" s="364"/>
      <c r="M107" s="364"/>
      <c r="N107" s="364"/>
      <c r="O107" s="364"/>
      <c r="P107" s="364"/>
      <c r="Q107" s="364"/>
      <c r="R107" s="364"/>
      <c r="S107" s="360"/>
      <c r="T107" s="360"/>
      <c r="U107" s="360"/>
      <c r="V107" s="303"/>
      <c r="W107" s="6"/>
      <c r="X107" s="182"/>
    </row>
    <row r="108" spans="1:24" ht="15.6">
      <c r="A108" s="316"/>
      <c r="B108" s="317"/>
      <c r="C108" s="288"/>
      <c r="D108" s="288"/>
      <c r="E108" s="288"/>
      <c r="F108" s="288"/>
      <c r="G108" s="288"/>
      <c r="H108" s="288"/>
      <c r="I108" s="288"/>
      <c r="J108" s="288"/>
      <c r="K108" s="288"/>
      <c r="L108" s="288"/>
      <c r="M108" s="288"/>
      <c r="N108" s="288"/>
      <c r="O108" s="288"/>
      <c r="P108" s="288"/>
      <c r="Q108" s="288"/>
      <c r="R108" s="288"/>
      <c r="S108" s="318"/>
      <c r="T108" s="318"/>
      <c r="U108" s="318"/>
      <c r="V108" s="303"/>
      <c r="W108" s="6"/>
    </row>
    <row r="109" spans="1:24" ht="16.2" thickBot="1">
      <c r="A109" s="319"/>
      <c r="B109" s="304" t="str">
        <f>+B59</f>
        <v>PPAF3 INVESTOR REPORT QUARTER ENDING DECEMBER 2012</v>
      </c>
      <c r="C109" s="305"/>
      <c r="D109" s="305"/>
      <c r="E109" s="305"/>
      <c r="F109" s="305"/>
      <c r="G109" s="305"/>
      <c r="H109" s="305"/>
      <c r="I109" s="305"/>
      <c r="J109" s="305"/>
      <c r="K109" s="305"/>
      <c r="L109" s="305"/>
      <c r="M109" s="305"/>
      <c r="N109" s="305"/>
      <c r="O109" s="305"/>
      <c r="P109" s="305"/>
      <c r="Q109" s="305"/>
      <c r="R109" s="305"/>
      <c r="S109" s="320"/>
      <c r="T109" s="320"/>
      <c r="U109" s="320"/>
      <c r="V109" s="307"/>
      <c r="W109" s="6"/>
    </row>
    <row r="110" spans="1:24" ht="15.6">
      <c r="A110" s="238"/>
      <c r="B110" s="240"/>
      <c r="C110" s="240"/>
      <c r="D110" s="240"/>
      <c r="E110" s="240"/>
      <c r="F110" s="240"/>
      <c r="G110" s="240"/>
      <c r="H110" s="240"/>
      <c r="I110" s="240"/>
      <c r="J110" s="240"/>
      <c r="K110" s="240"/>
      <c r="L110" s="240"/>
      <c r="M110" s="240"/>
      <c r="N110" s="240"/>
      <c r="O110" s="240"/>
      <c r="P110" s="240"/>
      <c r="Q110" s="240"/>
      <c r="R110" s="240"/>
      <c r="S110" s="269"/>
      <c r="T110" s="269"/>
      <c r="U110" s="269"/>
      <c r="V110" s="241"/>
      <c r="W110" s="6"/>
    </row>
    <row r="111" spans="1:24" ht="15.6">
      <c r="A111" s="321"/>
      <c r="B111" s="517" t="s">
        <v>41</v>
      </c>
      <c r="C111" s="322"/>
      <c r="D111" s="322"/>
      <c r="E111" s="322"/>
      <c r="F111" s="322"/>
      <c r="G111" s="322"/>
      <c r="H111" s="322"/>
      <c r="I111" s="322"/>
      <c r="J111" s="322"/>
      <c r="K111" s="322"/>
      <c r="L111" s="322"/>
      <c r="M111" s="322"/>
      <c r="N111" s="322"/>
      <c r="O111" s="322"/>
      <c r="P111" s="322"/>
      <c r="Q111" s="322"/>
      <c r="R111" s="322"/>
      <c r="S111" s="322"/>
      <c r="T111" s="322"/>
      <c r="U111" s="323"/>
      <c r="V111" s="324"/>
      <c r="W111" s="6"/>
    </row>
    <row r="112" spans="1:24" ht="15.6">
      <c r="A112" s="270"/>
      <c r="B112" s="271"/>
      <c r="C112" s="271"/>
      <c r="D112" s="271"/>
      <c r="E112" s="271"/>
      <c r="F112" s="271"/>
      <c r="G112" s="271"/>
      <c r="H112" s="271"/>
      <c r="I112" s="271"/>
      <c r="J112" s="271"/>
      <c r="K112" s="271"/>
      <c r="L112" s="271"/>
      <c r="M112" s="271"/>
      <c r="N112" s="271"/>
      <c r="O112" s="271"/>
      <c r="P112" s="271"/>
      <c r="Q112" s="271"/>
      <c r="R112" s="271"/>
      <c r="S112" s="271"/>
      <c r="T112" s="271"/>
      <c r="U112" s="272"/>
      <c r="V112" s="273"/>
      <c r="W112" s="6"/>
    </row>
    <row r="113" spans="1:24" ht="15.6">
      <c r="A113" s="242"/>
      <c r="B113" s="274" t="s">
        <v>42</v>
      </c>
      <c r="C113" s="252"/>
      <c r="D113" s="252"/>
      <c r="E113" s="252"/>
      <c r="F113" s="252"/>
      <c r="G113" s="252"/>
      <c r="H113" s="252"/>
      <c r="I113" s="252"/>
      <c r="J113" s="252"/>
      <c r="K113" s="252"/>
      <c r="L113" s="252"/>
      <c r="M113" s="244"/>
      <c r="N113" s="244"/>
      <c r="O113" s="244"/>
      <c r="P113" s="244"/>
      <c r="Q113" s="244"/>
      <c r="R113" s="244"/>
      <c r="S113" s="244"/>
      <c r="T113" s="244"/>
      <c r="U113" s="263"/>
      <c r="V113" s="245"/>
      <c r="W113" s="6"/>
    </row>
    <row r="114" spans="1:24" ht="15.6">
      <c r="A114" s="378"/>
      <c r="B114" s="379" t="s">
        <v>43</v>
      </c>
      <c r="C114" s="379"/>
      <c r="D114" s="379"/>
      <c r="E114" s="379"/>
      <c r="F114" s="379"/>
      <c r="G114" s="379"/>
      <c r="H114" s="379"/>
      <c r="I114" s="379"/>
      <c r="J114" s="379"/>
      <c r="K114" s="379"/>
      <c r="L114" s="379"/>
      <c r="M114" s="379"/>
      <c r="N114" s="379"/>
      <c r="O114" s="379"/>
      <c r="P114" s="379"/>
      <c r="Q114" s="379"/>
      <c r="R114" s="379"/>
      <c r="S114" s="379"/>
      <c r="T114" s="379"/>
      <c r="U114" s="441">
        <v>40500</v>
      </c>
      <c r="V114" s="410"/>
      <c r="W114" s="6"/>
    </row>
    <row r="115" spans="1:24" ht="15.6">
      <c r="A115" s="378"/>
      <c r="B115" s="379" t="s">
        <v>240</v>
      </c>
      <c r="C115" s="379"/>
      <c r="D115" s="379"/>
      <c r="E115" s="379"/>
      <c r="F115" s="379"/>
      <c r="G115" s="379"/>
      <c r="H115" s="379"/>
      <c r="I115" s="379"/>
      <c r="J115" s="379"/>
      <c r="K115" s="379"/>
      <c r="L115" s="379"/>
      <c r="M115" s="379"/>
      <c r="N115" s="379"/>
      <c r="O115" s="379"/>
      <c r="P115" s="379"/>
      <c r="Q115" s="379"/>
      <c r="R115" s="379"/>
      <c r="S115" s="379"/>
      <c r="T115" s="379"/>
      <c r="U115" s="441">
        <v>40500</v>
      </c>
      <c r="V115" s="410"/>
      <c r="W115" s="6"/>
    </row>
    <row r="116" spans="1:24" ht="15.6">
      <c r="A116" s="378"/>
      <c r="B116" s="379" t="s">
        <v>241</v>
      </c>
      <c r="C116" s="379"/>
      <c r="D116" s="379"/>
      <c r="E116" s="379"/>
      <c r="F116" s="379"/>
      <c r="G116" s="379"/>
      <c r="H116" s="379"/>
      <c r="I116" s="379"/>
      <c r="J116" s="379"/>
      <c r="K116" s="379"/>
      <c r="L116" s="379"/>
      <c r="M116" s="379"/>
      <c r="N116" s="379"/>
      <c r="O116" s="379"/>
      <c r="P116" s="379"/>
      <c r="Q116" s="379"/>
      <c r="R116" s="379"/>
      <c r="S116" s="379"/>
      <c r="T116" s="379"/>
      <c r="U116" s="441">
        <v>0</v>
      </c>
      <c r="V116" s="410"/>
      <c r="W116" s="6"/>
    </row>
    <row r="117" spans="1:24" ht="15.6">
      <c r="A117" s="378"/>
      <c r="B117" s="379" t="s">
        <v>209</v>
      </c>
      <c r="C117" s="379"/>
      <c r="D117" s="379"/>
      <c r="E117" s="379"/>
      <c r="F117" s="379"/>
      <c r="G117" s="379"/>
      <c r="H117" s="379"/>
      <c r="I117" s="379"/>
      <c r="J117" s="379"/>
      <c r="K117" s="379"/>
      <c r="L117" s="379"/>
      <c r="M117" s="379"/>
      <c r="N117" s="379"/>
      <c r="O117" s="379"/>
      <c r="P117" s="379"/>
      <c r="Q117" s="379"/>
      <c r="R117" s="379"/>
      <c r="S117" s="379"/>
      <c r="T117" s="379"/>
      <c r="U117" s="441">
        <v>0</v>
      </c>
      <c r="V117" s="410"/>
      <c r="W117" s="6"/>
    </row>
    <row r="118" spans="1:24" ht="15.6">
      <c r="A118" s="378"/>
      <c r="B118" s="379" t="s">
        <v>210</v>
      </c>
      <c r="C118" s="379"/>
      <c r="D118" s="379"/>
      <c r="E118" s="379"/>
      <c r="F118" s="379"/>
      <c r="G118" s="379"/>
      <c r="H118" s="379"/>
      <c r="I118" s="379"/>
      <c r="J118" s="379"/>
      <c r="K118" s="379"/>
      <c r="L118" s="379"/>
      <c r="M118" s="379"/>
      <c r="N118" s="379"/>
      <c r="O118" s="379"/>
      <c r="P118" s="379"/>
      <c r="Q118" s="379"/>
      <c r="R118" s="379"/>
      <c r="S118" s="379"/>
      <c r="T118" s="379"/>
      <c r="U118" s="441">
        <v>0</v>
      </c>
      <c r="V118" s="410"/>
      <c r="W118" s="6"/>
    </row>
    <row r="119" spans="1:24" ht="15.6">
      <c r="A119" s="378"/>
      <c r="B119" s="379" t="s">
        <v>211</v>
      </c>
      <c r="C119" s="379"/>
      <c r="D119" s="379"/>
      <c r="E119" s="379"/>
      <c r="F119" s="379"/>
      <c r="G119" s="379"/>
      <c r="H119" s="379"/>
      <c r="I119" s="379"/>
      <c r="J119" s="379"/>
      <c r="K119" s="379"/>
      <c r="L119" s="379"/>
      <c r="M119" s="379"/>
      <c r="N119" s="379"/>
      <c r="O119" s="379"/>
      <c r="P119" s="379"/>
      <c r="Q119" s="379"/>
      <c r="R119" s="379"/>
      <c r="S119" s="379"/>
      <c r="T119" s="379"/>
      <c r="U119" s="441">
        <v>0</v>
      </c>
      <c r="V119" s="410"/>
      <c r="W119" s="6"/>
    </row>
    <row r="120" spans="1:24" ht="15.6">
      <c r="A120" s="378"/>
      <c r="B120" s="379" t="s">
        <v>212</v>
      </c>
      <c r="C120" s="379"/>
      <c r="D120" s="379"/>
      <c r="E120" s="379"/>
      <c r="F120" s="379"/>
      <c r="G120" s="379"/>
      <c r="H120" s="379"/>
      <c r="I120" s="379"/>
      <c r="J120" s="379"/>
      <c r="K120" s="379"/>
      <c r="L120" s="379"/>
      <c r="M120" s="379"/>
      <c r="N120" s="379"/>
      <c r="O120" s="379"/>
      <c r="P120" s="379"/>
      <c r="Q120" s="379"/>
      <c r="R120" s="379"/>
      <c r="S120" s="379"/>
      <c r="T120" s="379"/>
      <c r="U120" s="441">
        <v>0</v>
      </c>
      <c r="V120" s="410"/>
      <c r="W120" s="6"/>
    </row>
    <row r="121" spans="1:24" ht="15.6">
      <c r="A121" s="378"/>
      <c r="B121" s="379" t="s">
        <v>242</v>
      </c>
      <c r="C121" s="379"/>
      <c r="D121" s="379"/>
      <c r="E121" s="379"/>
      <c r="F121" s="379"/>
      <c r="G121" s="379"/>
      <c r="H121" s="379"/>
      <c r="I121" s="379"/>
      <c r="J121" s="379"/>
      <c r="K121" s="379"/>
      <c r="L121" s="379"/>
      <c r="M121" s="379"/>
      <c r="N121" s="379"/>
      <c r="O121" s="379"/>
      <c r="P121" s="379"/>
      <c r="Q121" s="379"/>
      <c r="R121" s="379"/>
      <c r="S121" s="379"/>
      <c r="T121" s="379"/>
      <c r="U121" s="441">
        <v>0</v>
      </c>
      <c r="V121" s="410"/>
      <c r="W121" s="6"/>
    </row>
    <row r="122" spans="1:24" ht="15.6">
      <c r="A122" s="378"/>
      <c r="B122" s="379" t="s">
        <v>45</v>
      </c>
      <c r="C122" s="379"/>
      <c r="D122" s="379"/>
      <c r="E122" s="379"/>
      <c r="F122" s="379"/>
      <c r="G122" s="379"/>
      <c r="H122" s="379"/>
      <c r="I122" s="379"/>
      <c r="J122" s="379"/>
      <c r="K122" s="379"/>
      <c r="L122" s="379"/>
      <c r="M122" s="379"/>
      <c r="N122" s="379"/>
      <c r="O122" s="379"/>
      <c r="P122" s="379"/>
      <c r="Q122" s="379"/>
      <c r="R122" s="379"/>
      <c r="S122" s="379"/>
      <c r="T122" s="379"/>
      <c r="U122" s="441">
        <f>SUM(U115:U121)</f>
        <v>40500</v>
      </c>
      <c r="V122" s="410"/>
      <c r="W122" s="6"/>
    </row>
    <row r="123" spans="1:24" ht="15.6">
      <c r="A123" s="242"/>
      <c r="B123" s="438"/>
      <c r="C123" s="438"/>
      <c r="D123" s="438"/>
      <c r="E123" s="438"/>
      <c r="F123" s="438"/>
      <c r="G123" s="438"/>
      <c r="H123" s="438"/>
      <c r="I123" s="438"/>
      <c r="J123" s="438"/>
      <c r="K123" s="438"/>
      <c r="L123" s="438"/>
      <c r="M123" s="438"/>
      <c r="N123" s="438"/>
      <c r="O123" s="438"/>
      <c r="P123" s="438"/>
      <c r="Q123" s="438"/>
      <c r="R123" s="438"/>
      <c r="S123" s="438"/>
      <c r="T123" s="438"/>
      <c r="U123" s="448"/>
      <c r="V123" s="245"/>
      <c r="W123" s="6"/>
    </row>
    <row r="124" spans="1:24" ht="15.6">
      <c r="A124" s="242"/>
      <c r="B124" s="274" t="s">
        <v>46</v>
      </c>
      <c r="C124" s="252"/>
      <c r="D124" s="252"/>
      <c r="E124" s="252"/>
      <c r="F124" s="252"/>
      <c r="G124" s="252"/>
      <c r="H124" s="252"/>
      <c r="I124" s="252"/>
      <c r="J124" s="252"/>
      <c r="K124" s="252"/>
      <c r="L124" s="252"/>
      <c r="M124" s="244"/>
      <c r="N124" s="244"/>
      <c r="O124" s="244"/>
      <c r="P124" s="275"/>
      <c r="Q124" s="244"/>
      <c r="R124" s="244"/>
      <c r="S124" s="244"/>
      <c r="T124" s="244"/>
      <c r="U124" s="276"/>
      <c r="V124" s="245"/>
      <c r="W124" s="6"/>
    </row>
    <row r="125" spans="1:24" ht="15.6">
      <c r="A125" s="230"/>
      <c r="B125" s="511"/>
      <c r="C125" s="232" t="s">
        <v>185</v>
      </c>
      <c r="D125" s="232"/>
      <c r="E125" s="232" t="s">
        <v>99</v>
      </c>
      <c r="F125" s="232"/>
      <c r="G125" s="232" t="s">
        <v>102</v>
      </c>
      <c r="H125" s="232"/>
      <c r="I125" s="232" t="s">
        <v>108</v>
      </c>
      <c r="J125" s="232"/>
      <c r="K125" s="232"/>
      <c r="L125" s="232"/>
      <c r="M125" s="232"/>
      <c r="N125" s="232"/>
      <c r="O125" s="232"/>
      <c r="P125" s="326"/>
      <c r="Q125" s="326"/>
      <c r="R125" s="231"/>
      <c r="S125" s="231"/>
      <c r="T125" s="231"/>
      <c r="U125" s="309"/>
      <c r="V125" s="237"/>
      <c r="W125" s="6"/>
    </row>
    <row r="126" spans="1:24" ht="15.6">
      <c r="A126" s="257"/>
      <c r="B126" s="294" t="s">
        <v>122</v>
      </c>
      <c r="C126" s="310">
        <f>+N199-'September 12'!N199</f>
        <v>-68</v>
      </c>
      <c r="D126" s="294"/>
      <c r="E126" s="310">
        <f>+S199-'September 12'!S199</f>
        <v>3</v>
      </c>
      <c r="F126" s="294"/>
      <c r="G126" s="310">
        <f>+'Dec 12'!N212-'September 12'!N212</f>
        <v>482</v>
      </c>
      <c r="H126" s="294"/>
      <c r="I126" s="310">
        <f>+S212-'September 12'!S212</f>
        <v>-8</v>
      </c>
      <c r="J126" s="294"/>
      <c r="K126" s="294"/>
      <c r="L126" s="294"/>
      <c r="M126" s="294"/>
      <c r="N126" s="294"/>
      <c r="O126" s="294"/>
      <c r="P126" s="325"/>
      <c r="Q126" s="325"/>
      <c r="R126" s="294"/>
      <c r="S126" s="294"/>
      <c r="T126" s="294"/>
      <c r="U126" s="311">
        <f>SUM(C126:I126)</f>
        <v>409</v>
      </c>
      <c r="V126" s="298"/>
      <c r="W126" s="6"/>
      <c r="X126" s="182"/>
    </row>
    <row r="127" spans="1:24" ht="15.6">
      <c r="A127" s="378"/>
      <c r="B127" s="379" t="s">
        <v>47</v>
      </c>
      <c r="C127" s="379">
        <v>77</v>
      </c>
      <c r="D127" s="379"/>
      <c r="E127" s="379">
        <v>0</v>
      </c>
      <c r="F127" s="379"/>
      <c r="G127" s="379">
        <v>571</v>
      </c>
      <c r="H127" s="379"/>
      <c r="I127" s="440">
        <v>31</v>
      </c>
      <c r="J127" s="379"/>
      <c r="K127" s="379"/>
      <c r="L127" s="379"/>
      <c r="M127" s="379"/>
      <c r="N127" s="379"/>
      <c r="O127" s="379"/>
      <c r="P127" s="450"/>
      <c r="Q127" s="450"/>
      <c r="R127" s="379"/>
      <c r="S127" s="379"/>
      <c r="T127" s="379"/>
      <c r="U127" s="441">
        <f>SUM(C127:I127)</f>
        <v>679</v>
      </c>
      <c r="V127" s="410"/>
      <c r="W127" s="6"/>
    </row>
    <row r="128" spans="1:24" ht="15.6">
      <c r="A128" s="242"/>
      <c r="B128" s="364" t="s">
        <v>48</v>
      </c>
      <c r="C128" s="364"/>
      <c r="D128" s="364"/>
      <c r="E128" s="364"/>
      <c r="F128" s="364"/>
      <c r="G128" s="364"/>
      <c r="H128" s="364"/>
      <c r="I128" s="364"/>
      <c r="J128" s="364"/>
      <c r="K128" s="364"/>
      <c r="L128" s="364"/>
      <c r="M128" s="364"/>
      <c r="N128" s="364"/>
      <c r="O128" s="364"/>
      <c r="P128" s="364"/>
      <c r="Q128" s="364"/>
      <c r="R128" s="364"/>
      <c r="S128" s="364"/>
      <c r="T128" s="364"/>
      <c r="U128" s="449">
        <f>SUM(U126:U127)</f>
        <v>1088</v>
      </c>
      <c r="V128" s="303"/>
      <c r="W128" s="6"/>
      <c r="X128" s="182"/>
    </row>
    <row r="129" spans="1:25" ht="15.6">
      <c r="A129" s="242"/>
      <c r="B129" s="274" t="s">
        <v>49</v>
      </c>
      <c r="C129" s="252"/>
      <c r="D129" s="252"/>
      <c r="E129" s="252"/>
      <c r="F129" s="252"/>
      <c r="G129" s="252"/>
      <c r="H129" s="252"/>
      <c r="I129" s="252"/>
      <c r="J129" s="252"/>
      <c r="K129" s="252"/>
      <c r="L129" s="252"/>
      <c r="M129" s="244"/>
      <c r="N129" s="244"/>
      <c r="O129" s="244"/>
      <c r="P129" s="244"/>
      <c r="Q129" s="244"/>
      <c r="R129" s="244"/>
      <c r="S129" s="244"/>
      <c r="T129" s="244"/>
      <c r="U129" s="263"/>
      <c r="V129" s="245"/>
      <c r="W129" s="6"/>
    </row>
    <row r="130" spans="1:25" ht="15.6">
      <c r="A130" s="444"/>
      <c r="B130" s="379" t="s">
        <v>50</v>
      </c>
      <c r="C130" s="386"/>
      <c r="D130" s="386"/>
      <c r="E130" s="386"/>
      <c r="F130" s="386"/>
      <c r="G130" s="386"/>
      <c r="H130" s="386"/>
      <c r="I130" s="386"/>
      <c r="J130" s="386"/>
      <c r="K130" s="386"/>
      <c r="L130" s="386"/>
      <c r="M130" s="379"/>
      <c r="N130" s="379"/>
      <c r="O130" s="379"/>
      <c r="P130" s="379"/>
      <c r="Q130" s="379"/>
      <c r="R130" s="379"/>
      <c r="S130" s="379"/>
      <c r="T130" s="379"/>
      <c r="U130" s="441">
        <f>U75+U77</f>
        <v>149173</v>
      </c>
      <c r="V130" s="410"/>
      <c r="W130" s="6"/>
      <c r="X130" s="182"/>
    </row>
    <row r="131" spans="1:25" ht="15.6">
      <c r="A131" s="444"/>
      <c r="B131" s="379" t="s">
        <v>51</v>
      </c>
      <c r="C131" s="386"/>
      <c r="D131" s="386"/>
      <c r="E131" s="386"/>
      <c r="F131" s="386"/>
      <c r="G131" s="386"/>
      <c r="H131" s="386"/>
      <c r="I131" s="386"/>
      <c r="J131" s="386"/>
      <c r="K131" s="386"/>
      <c r="L131" s="386"/>
      <c r="M131" s="379"/>
      <c r="N131" s="379"/>
      <c r="O131" s="379"/>
      <c r="P131" s="379"/>
      <c r="Q131" s="379"/>
      <c r="R131" s="379"/>
      <c r="S131" s="379"/>
      <c r="T131" s="379"/>
      <c r="U131" s="441">
        <v>0</v>
      </c>
      <c r="V131" s="410"/>
      <c r="W131" s="6"/>
      <c r="Y131" s="182"/>
    </row>
    <row r="132" spans="1:25" ht="15.6">
      <c r="A132" s="444"/>
      <c r="B132" s="379" t="s">
        <v>52</v>
      </c>
      <c r="C132" s="386"/>
      <c r="D132" s="386"/>
      <c r="E132" s="386"/>
      <c r="F132" s="386"/>
      <c r="G132" s="386"/>
      <c r="H132" s="386"/>
      <c r="I132" s="386"/>
      <c r="J132" s="386"/>
      <c r="K132" s="386"/>
      <c r="L132" s="386"/>
      <c r="M132" s="379"/>
      <c r="N132" s="379"/>
      <c r="O132" s="379"/>
      <c r="P132" s="379"/>
      <c r="Q132" s="379"/>
      <c r="R132" s="379"/>
      <c r="S132" s="379"/>
      <c r="T132" s="379"/>
      <c r="U132" s="441">
        <f>+U130+U131</f>
        <v>149173</v>
      </c>
      <c r="V132" s="410"/>
      <c r="W132" s="6"/>
    </row>
    <row r="133" spans="1:25" ht="15.6">
      <c r="A133" s="444"/>
      <c r="B133" s="379" t="s">
        <v>53</v>
      </c>
      <c r="C133" s="386"/>
      <c r="D133" s="386"/>
      <c r="E133" s="386"/>
      <c r="F133" s="386"/>
      <c r="G133" s="386"/>
      <c r="H133" s="386"/>
      <c r="I133" s="386"/>
      <c r="J133" s="386"/>
      <c r="K133" s="386"/>
      <c r="L133" s="386"/>
      <c r="M133" s="379"/>
      <c r="N133" s="379"/>
      <c r="O133" s="379"/>
      <c r="P133" s="379"/>
      <c r="Q133" s="379"/>
      <c r="R133" s="379"/>
      <c r="S133" s="379"/>
      <c r="T133" s="379"/>
      <c r="U133" s="441">
        <f>U80</f>
        <v>149173</v>
      </c>
      <c r="V133" s="410"/>
      <c r="W133" s="6"/>
      <c r="X133" s="64"/>
    </row>
    <row r="134" spans="1:25" ht="15.6">
      <c r="A134" s="242"/>
      <c r="B134" s="438"/>
      <c r="C134" s="438"/>
      <c r="D134" s="438"/>
      <c r="E134" s="438"/>
      <c r="F134" s="438"/>
      <c r="G134" s="438"/>
      <c r="H134" s="438"/>
      <c r="I134" s="438"/>
      <c r="J134" s="438"/>
      <c r="K134" s="438"/>
      <c r="L134" s="438"/>
      <c r="M134" s="438"/>
      <c r="N134" s="438"/>
      <c r="O134" s="438"/>
      <c r="P134" s="438"/>
      <c r="Q134" s="438"/>
      <c r="R134" s="438"/>
      <c r="S134" s="438"/>
      <c r="T134" s="438"/>
      <c r="U134" s="451"/>
      <c r="V134" s="245"/>
      <c r="W134" s="6"/>
    </row>
    <row r="135" spans="1:25" ht="15.6">
      <c r="A135" s="242"/>
      <c r="B135" s="274" t="s">
        <v>54</v>
      </c>
      <c r="C135" s="247"/>
      <c r="D135" s="247"/>
      <c r="E135" s="247"/>
      <c r="F135" s="247"/>
      <c r="G135" s="247"/>
      <c r="H135" s="247"/>
      <c r="I135" s="247"/>
      <c r="J135" s="247"/>
      <c r="K135" s="247"/>
      <c r="L135" s="247"/>
      <c r="M135" s="247"/>
      <c r="N135" s="247"/>
      <c r="O135" s="247"/>
      <c r="P135" s="247"/>
      <c r="Q135" s="277" t="s">
        <v>112</v>
      </c>
      <c r="R135" s="278"/>
      <c r="S135" s="277" t="s">
        <v>114</v>
      </c>
      <c r="T135" s="247"/>
      <c r="U135" s="279" t="s">
        <v>90</v>
      </c>
      <c r="V135" s="245"/>
      <c r="W135" s="6"/>
    </row>
    <row r="136" spans="1:25" ht="15.6">
      <c r="A136" s="378"/>
      <c r="B136" s="379" t="s">
        <v>55</v>
      </c>
      <c r="C136" s="379"/>
      <c r="D136" s="379"/>
      <c r="E136" s="379"/>
      <c r="F136" s="379"/>
      <c r="G136" s="379"/>
      <c r="H136" s="379"/>
      <c r="I136" s="379"/>
      <c r="J136" s="379"/>
      <c r="K136" s="379"/>
      <c r="L136" s="379"/>
      <c r="M136" s="379"/>
      <c r="N136" s="379"/>
      <c r="O136" s="379"/>
      <c r="P136" s="379"/>
      <c r="Q136" s="441">
        <v>0</v>
      </c>
      <c r="R136" s="379"/>
      <c r="S136" s="453" t="s">
        <v>115</v>
      </c>
      <c r="T136" s="379"/>
      <c r="U136" s="441">
        <f>Q136</f>
        <v>0</v>
      </c>
      <c r="V136" s="385"/>
      <c r="W136" s="6"/>
    </row>
    <row r="137" spans="1:25" ht="15.6">
      <c r="A137" s="378"/>
      <c r="B137" s="379" t="s">
        <v>56</v>
      </c>
      <c r="C137" s="379"/>
      <c r="D137" s="379"/>
      <c r="E137" s="379"/>
      <c r="F137" s="379"/>
      <c r="G137" s="379"/>
      <c r="H137" s="379"/>
      <c r="I137" s="379"/>
      <c r="J137" s="379"/>
      <c r="K137" s="379"/>
      <c r="L137" s="379"/>
      <c r="M137" s="379"/>
      <c r="N137" s="379"/>
      <c r="O137" s="379"/>
      <c r="P137" s="379"/>
      <c r="Q137" s="441">
        <f>+'September 12'!Q139</f>
        <v>4229</v>
      </c>
      <c r="R137" s="379"/>
      <c r="S137" s="453" t="s">
        <v>115</v>
      </c>
      <c r="T137" s="379"/>
      <c r="U137" s="441">
        <f>Q137</f>
        <v>4229</v>
      </c>
      <c r="V137" s="385"/>
      <c r="W137" s="6"/>
    </row>
    <row r="138" spans="1:25" ht="15.6">
      <c r="A138" s="378"/>
      <c r="B138" s="379" t="s">
        <v>57</v>
      </c>
      <c r="C138" s="379"/>
      <c r="D138" s="379"/>
      <c r="E138" s="379"/>
      <c r="F138" s="379"/>
      <c r="G138" s="379"/>
      <c r="H138" s="379"/>
      <c r="I138" s="379"/>
      <c r="J138" s="379"/>
      <c r="K138" s="379"/>
      <c r="L138" s="379"/>
      <c r="M138" s="379"/>
      <c r="N138" s="379"/>
      <c r="O138" s="379"/>
      <c r="P138" s="379"/>
      <c r="Q138" s="441">
        <v>0</v>
      </c>
      <c r="R138" s="379"/>
      <c r="S138" s="453" t="s">
        <v>115</v>
      </c>
      <c r="T138" s="379"/>
      <c r="U138" s="441">
        <f>Q138</f>
        <v>0</v>
      </c>
      <c r="V138" s="385"/>
      <c r="W138" s="6"/>
    </row>
    <row r="139" spans="1:25" ht="15.6">
      <c r="A139" s="378"/>
      <c r="B139" s="379" t="s">
        <v>58</v>
      </c>
      <c r="C139" s="379"/>
      <c r="D139" s="379"/>
      <c r="E139" s="379"/>
      <c r="F139" s="379"/>
      <c r="G139" s="379"/>
      <c r="H139" s="379"/>
      <c r="I139" s="379"/>
      <c r="J139" s="379"/>
      <c r="K139" s="379"/>
      <c r="L139" s="379"/>
      <c r="M139" s="379"/>
      <c r="N139" s="379"/>
      <c r="O139" s="379"/>
      <c r="P139" s="379"/>
      <c r="Q139" s="441">
        <f>SUM(Q137:Q138)</f>
        <v>4229</v>
      </c>
      <c r="R139" s="379"/>
      <c r="S139" s="453" t="s">
        <v>115</v>
      </c>
      <c r="T139" s="379"/>
      <c r="U139" s="441">
        <f>Q139</f>
        <v>4229</v>
      </c>
      <c r="V139" s="385"/>
      <c r="W139" s="6"/>
    </row>
    <row r="140" spans="1:25" ht="15.6">
      <c r="A140" s="378"/>
      <c r="B140" s="379" t="s">
        <v>215</v>
      </c>
      <c r="C140" s="379"/>
      <c r="D140" s="379"/>
      <c r="E140" s="379"/>
      <c r="F140" s="379"/>
      <c r="G140" s="379"/>
      <c r="H140" s="379"/>
      <c r="I140" s="379"/>
      <c r="J140" s="379"/>
      <c r="K140" s="379"/>
      <c r="L140" s="379"/>
      <c r="M140" s="379"/>
      <c r="N140" s="379"/>
      <c r="O140" s="379"/>
      <c r="P140" s="379"/>
      <c r="Q140" s="441"/>
      <c r="R140" s="379"/>
      <c r="S140" s="453"/>
      <c r="T140" s="379"/>
      <c r="U140" s="441"/>
      <c r="V140" s="385"/>
      <c r="W140" s="6"/>
    </row>
    <row r="141" spans="1:25" ht="15.6">
      <c r="A141" s="378"/>
      <c r="B141" s="454"/>
      <c r="C141" s="454"/>
      <c r="D141" s="454"/>
      <c r="E141" s="454"/>
      <c r="F141" s="454"/>
      <c r="G141" s="454"/>
      <c r="H141" s="454"/>
      <c r="I141" s="454"/>
      <c r="J141" s="454"/>
      <c r="K141" s="454"/>
      <c r="L141" s="454"/>
      <c r="M141" s="454"/>
      <c r="N141" s="454"/>
      <c r="O141" s="454"/>
      <c r="P141" s="454"/>
      <c r="Q141" s="454"/>
      <c r="R141" s="454"/>
      <c r="S141" s="454"/>
      <c r="T141" s="454"/>
      <c r="U141" s="454"/>
      <c r="V141" s="385"/>
      <c r="W141" s="6"/>
    </row>
    <row r="142" spans="1:25" ht="15.6">
      <c r="A142" s="242"/>
      <c r="B142" s="452"/>
      <c r="C142" s="452"/>
      <c r="D142" s="452"/>
      <c r="E142" s="452"/>
      <c r="F142" s="452"/>
      <c r="G142" s="452"/>
      <c r="H142" s="452"/>
      <c r="I142" s="452"/>
      <c r="J142" s="452"/>
      <c r="K142" s="452"/>
      <c r="L142" s="452"/>
      <c r="M142" s="452"/>
      <c r="N142" s="452"/>
      <c r="O142" s="452"/>
      <c r="P142" s="452"/>
      <c r="Q142" s="452"/>
      <c r="R142" s="452"/>
      <c r="S142" s="452"/>
      <c r="T142" s="452"/>
      <c r="U142" s="452"/>
      <c r="V142" s="284"/>
      <c r="W142" s="6"/>
    </row>
    <row r="143" spans="1:25" ht="15.6">
      <c r="A143" s="230"/>
      <c r="B143" s="511" t="s">
        <v>59</v>
      </c>
      <c r="C143" s="518"/>
      <c r="D143" s="518"/>
      <c r="E143" s="518"/>
      <c r="F143" s="518"/>
      <c r="G143" s="518"/>
      <c r="H143" s="518"/>
      <c r="I143" s="518"/>
      <c r="J143" s="518"/>
      <c r="K143" s="518"/>
      <c r="L143" s="518"/>
      <c r="M143" s="518"/>
      <c r="N143" s="518"/>
      <c r="O143" s="518"/>
      <c r="P143" s="519"/>
      <c r="Q143" s="519"/>
      <c r="R143" s="519"/>
      <c r="S143" s="519">
        <v>41274</v>
      </c>
      <c r="T143" s="231"/>
      <c r="U143" s="231"/>
      <c r="V143" s="237"/>
      <c r="W143" s="6"/>
    </row>
    <row r="144" spans="1:25" ht="15.6">
      <c r="A144" s="281"/>
      <c r="B144" s="294" t="s">
        <v>60</v>
      </c>
      <c r="C144" s="329"/>
      <c r="D144" s="329"/>
      <c r="E144" s="329"/>
      <c r="F144" s="329"/>
      <c r="G144" s="329"/>
      <c r="H144" s="329"/>
      <c r="I144" s="329"/>
      <c r="J144" s="329"/>
      <c r="K144" s="329"/>
      <c r="L144" s="329"/>
      <c r="M144" s="329"/>
      <c r="N144" s="329"/>
      <c r="O144" s="329"/>
      <c r="P144" s="300"/>
      <c r="Q144" s="300"/>
      <c r="R144" s="300"/>
      <c r="S144" s="299">
        <v>0.10630000000000001</v>
      </c>
      <c r="T144" s="294"/>
      <c r="U144" s="294"/>
      <c r="V144" s="260"/>
      <c r="W144" s="6"/>
    </row>
    <row r="145" spans="1:23" ht="15.6">
      <c r="A145" s="458"/>
      <c r="B145" s="379" t="s">
        <v>61</v>
      </c>
      <c r="C145" s="459"/>
      <c r="D145" s="459"/>
      <c r="E145" s="459"/>
      <c r="F145" s="459"/>
      <c r="G145" s="459"/>
      <c r="H145" s="459"/>
      <c r="I145" s="459"/>
      <c r="J145" s="459"/>
      <c r="K145" s="459"/>
      <c r="L145" s="459"/>
      <c r="M145" s="459"/>
      <c r="N145" s="459"/>
      <c r="O145" s="459"/>
      <c r="P145" s="433"/>
      <c r="Q145" s="433"/>
      <c r="R145" s="433"/>
      <c r="S145" s="427">
        <v>5.2200000000000003E-2</v>
      </c>
      <c r="T145" s="427"/>
      <c r="U145" s="379"/>
      <c r="V145" s="385"/>
      <c r="W145" s="6"/>
    </row>
    <row r="146" spans="1:23" ht="15.6">
      <c r="A146" s="458"/>
      <c r="B146" s="379" t="s">
        <v>62</v>
      </c>
      <c r="C146" s="459"/>
      <c r="D146" s="459"/>
      <c r="E146" s="459"/>
      <c r="F146" s="459"/>
      <c r="G146" s="459"/>
      <c r="H146" s="459"/>
      <c r="I146" s="459"/>
      <c r="J146" s="459"/>
      <c r="K146" s="459"/>
      <c r="L146" s="459"/>
      <c r="M146" s="459"/>
      <c r="N146" s="459"/>
      <c r="O146" s="459"/>
      <c r="P146" s="433"/>
      <c r="Q146" s="433"/>
      <c r="R146" s="433"/>
      <c r="S146" s="427">
        <f>S144-S145</f>
        <v>5.4100000000000002E-2</v>
      </c>
      <c r="T146" s="379"/>
      <c r="U146" s="379"/>
      <c r="V146" s="385"/>
      <c r="W146" s="6"/>
    </row>
    <row r="147" spans="1:23" ht="15.6">
      <c r="A147" s="458"/>
      <c r="B147" s="379" t="s">
        <v>63</v>
      </c>
      <c r="C147" s="459"/>
      <c r="D147" s="459"/>
      <c r="E147" s="459"/>
      <c r="F147" s="459"/>
      <c r="G147" s="459"/>
      <c r="H147" s="459"/>
      <c r="I147" s="459"/>
      <c r="J147" s="459"/>
      <c r="K147" s="459"/>
      <c r="L147" s="459"/>
      <c r="M147" s="459"/>
      <c r="N147" s="459"/>
      <c r="O147" s="459"/>
      <c r="P147" s="433"/>
      <c r="Q147" s="433"/>
      <c r="R147" s="433"/>
      <c r="S147" s="427">
        <v>9.1569999999999999E-2</v>
      </c>
      <c r="T147" s="379"/>
      <c r="U147" s="379"/>
      <c r="V147" s="385"/>
      <c r="W147" s="6"/>
    </row>
    <row r="148" spans="1:23" ht="15.6">
      <c r="A148" s="458"/>
      <c r="B148" s="379" t="s">
        <v>64</v>
      </c>
      <c r="C148" s="459"/>
      <c r="D148" s="459"/>
      <c r="E148" s="459"/>
      <c r="F148" s="459"/>
      <c r="G148" s="459"/>
      <c r="H148" s="459"/>
      <c r="I148" s="459"/>
      <c r="J148" s="459"/>
      <c r="K148" s="459"/>
      <c r="L148" s="459"/>
      <c r="M148" s="459"/>
      <c r="N148" s="459"/>
      <c r="O148" s="459"/>
      <c r="P148" s="433"/>
      <c r="Q148" s="433"/>
      <c r="R148" s="433"/>
      <c r="S148" s="427">
        <f>+U40</f>
        <v>1.4823858504599476E-2</v>
      </c>
      <c r="T148" s="379"/>
      <c r="U148" s="379"/>
      <c r="V148" s="385"/>
      <c r="W148" s="6"/>
    </row>
    <row r="149" spans="1:23" ht="15.6">
      <c r="A149" s="458"/>
      <c r="B149" s="379" t="s">
        <v>65</v>
      </c>
      <c r="C149" s="459"/>
      <c r="D149" s="459"/>
      <c r="E149" s="459"/>
      <c r="F149" s="459"/>
      <c r="G149" s="459"/>
      <c r="H149" s="459"/>
      <c r="I149" s="459"/>
      <c r="J149" s="459"/>
      <c r="K149" s="459"/>
      <c r="L149" s="459"/>
      <c r="M149" s="459"/>
      <c r="N149" s="459"/>
      <c r="O149" s="459"/>
      <c r="P149" s="433"/>
      <c r="Q149" s="433"/>
      <c r="R149" s="433"/>
      <c r="S149" s="427">
        <f>S147-S148</f>
        <v>7.6746141495400516E-2</v>
      </c>
      <c r="T149" s="379"/>
      <c r="U149" s="379"/>
      <c r="V149" s="385"/>
      <c r="W149" s="6"/>
    </row>
    <row r="150" spans="1:23" ht="15.6">
      <c r="A150" s="458"/>
      <c r="B150" s="379" t="s">
        <v>204</v>
      </c>
      <c r="C150" s="459"/>
      <c r="D150" s="459"/>
      <c r="E150" s="459"/>
      <c r="F150" s="459"/>
      <c r="G150" s="459"/>
      <c r="H150" s="459"/>
      <c r="I150" s="459"/>
      <c r="J150" s="459"/>
      <c r="K150" s="459"/>
      <c r="L150" s="459"/>
      <c r="M150" s="459"/>
      <c r="N150" s="459"/>
      <c r="O150" s="459"/>
      <c r="P150" s="433"/>
      <c r="Q150" s="433"/>
      <c r="R150" s="433"/>
      <c r="S150" s="429">
        <v>49780</v>
      </c>
      <c r="T150" s="379"/>
      <c r="U150" s="379"/>
      <c r="V150" s="385"/>
      <c r="W150" s="6"/>
    </row>
    <row r="151" spans="1:23" ht="15.6">
      <c r="A151" s="458"/>
      <c r="B151" s="379" t="s">
        <v>205</v>
      </c>
      <c r="C151" s="459"/>
      <c r="D151" s="459"/>
      <c r="E151" s="459"/>
      <c r="F151" s="459"/>
      <c r="G151" s="459"/>
      <c r="H151" s="459"/>
      <c r="I151" s="459"/>
      <c r="J151" s="459"/>
      <c r="K151" s="459"/>
      <c r="L151" s="459"/>
      <c r="M151" s="459"/>
      <c r="N151" s="459"/>
      <c r="O151" s="459"/>
      <c r="P151" s="433"/>
      <c r="Q151" s="433"/>
      <c r="R151" s="433"/>
      <c r="S151" s="429">
        <v>49780</v>
      </c>
      <c r="T151" s="379"/>
      <c r="U151" s="379"/>
      <c r="V151" s="385"/>
      <c r="W151" s="6"/>
    </row>
    <row r="152" spans="1:23" ht="15.6">
      <c r="A152" s="458"/>
      <c r="B152" s="379" t="s">
        <v>206</v>
      </c>
      <c r="C152" s="459"/>
      <c r="D152" s="459"/>
      <c r="E152" s="459"/>
      <c r="F152" s="459"/>
      <c r="G152" s="459"/>
      <c r="H152" s="459"/>
      <c r="I152" s="459"/>
      <c r="J152" s="459"/>
      <c r="K152" s="459"/>
      <c r="L152" s="459"/>
      <c r="M152" s="459"/>
      <c r="N152" s="459"/>
      <c r="O152" s="459"/>
      <c r="P152" s="433"/>
      <c r="Q152" s="433"/>
      <c r="R152" s="433"/>
      <c r="S152" s="429">
        <v>49780</v>
      </c>
      <c r="T152" s="379"/>
      <c r="U152" s="379"/>
      <c r="V152" s="385"/>
      <c r="W152" s="6"/>
    </row>
    <row r="153" spans="1:23" ht="15.6">
      <c r="A153" s="458"/>
      <c r="B153" s="379" t="s">
        <v>207</v>
      </c>
      <c r="C153" s="459"/>
      <c r="D153" s="459"/>
      <c r="E153" s="459"/>
      <c r="F153" s="459"/>
      <c r="G153" s="459"/>
      <c r="H153" s="459"/>
      <c r="I153" s="459"/>
      <c r="J153" s="459"/>
      <c r="K153" s="459"/>
      <c r="L153" s="459"/>
      <c r="M153" s="459"/>
      <c r="N153" s="459"/>
      <c r="O153" s="459"/>
      <c r="P153" s="433"/>
      <c r="Q153" s="433"/>
      <c r="R153" s="433"/>
      <c r="S153" s="429">
        <v>49780</v>
      </c>
      <c r="T153" s="379"/>
      <c r="U153" s="379"/>
      <c r="V153" s="385"/>
      <c r="W153" s="6"/>
    </row>
    <row r="154" spans="1:23" ht="15.6">
      <c r="A154" s="458"/>
      <c r="B154" s="379" t="s">
        <v>221</v>
      </c>
      <c r="C154" s="459"/>
      <c r="D154" s="459"/>
      <c r="E154" s="459"/>
      <c r="F154" s="459"/>
      <c r="G154" s="459"/>
      <c r="H154" s="459"/>
      <c r="I154" s="459"/>
      <c r="J154" s="459"/>
      <c r="K154" s="459"/>
      <c r="L154" s="459"/>
      <c r="M154" s="459"/>
      <c r="N154" s="459"/>
      <c r="O154" s="459"/>
      <c r="P154" s="433"/>
      <c r="Q154" s="433"/>
      <c r="R154" s="433"/>
      <c r="S154" s="432">
        <v>111.34</v>
      </c>
      <c r="T154" s="379"/>
      <c r="U154" s="379"/>
      <c r="V154" s="385"/>
      <c r="W154" s="6"/>
    </row>
    <row r="155" spans="1:23" ht="15.6">
      <c r="A155" s="458"/>
      <c r="B155" s="379" t="s">
        <v>222</v>
      </c>
      <c r="C155" s="459"/>
      <c r="D155" s="459"/>
      <c r="E155" s="459"/>
      <c r="F155" s="459"/>
      <c r="G155" s="459"/>
      <c r="H155" s="459"/>
      <c r="I155" s="459"/>
      <c r="J155" s="459"/>
      <c r="K155" s="459"/>
      <c r="L155" s="459"/>
      <c r="M155" s="459"/>
      <c r="N155" s="459"/>
      <c r="O155" s="459"/>
      <c r="P155" s="433"/>
      <c r="Q155" s="433"/>
      <c r="R155" s="433"/>
      <c r="S155" s="432">
        <v>152.87</v>
      </c>
      <c r="T155" s="379"/>
      <c r="U155" s="379"/>
      <c r="V155" s="385"/>
      <c r="W155" s="6"/>
    </row>
    <row r="156" spans="1:23" ht="15.6">
      <c r="A156" s="458" t="s">
        <v>223</v>
      </c>
      <c r="B156" s="379" t="s">
        <v>66</v>
      </c>
      <c r="C156" s="459"/>
      <c r="D156" s="459"/>
      <c r="E156" s="459"/>
      <c r="F156" s="459"/>
      <c r="G156" s="459"/>
      <c r="H156" s="459"/>
      <c r="I156" s="459"/>
      <c r="J156" s="459"/>
      <c r="K156" s="459"/>
      <c r="L156" s="459"/>
      <c r="M156" s="459"/>
      <c r="N156" s="459"/>
      <c r="O156" s="459"/>
      <c r="P156" s="433"/>
      <c r="Q156" s="433"/>
      <c r="R156" s="433"/>
      <c r="S156" s="427">
        <v>3.7499999999999999E-2</v>
      </c>
      <c r="T156" s="379"/>
      <c r="U156" s="379"/>
      <c r="V156" s="385"/>
      <c r="W156" s="6"/>
    </row>
    <row r="157" spans="1:23" ht="15.6">
      <c r="A157" s="458"/>
      <c r="B157" s="379" t="s">
        <v>67</v>
      </c>
      <c r="C157" s="459"/>
      <c r="D157" s="459"/>
      <c r="E157" s="459"/>
      <c r="F157" s="459"/>
      <c r="G157" s="459"/>
      <c r="H157" s="459"/>
      <c r="I157" s="459"/>
      <c r="J157" s="459"/>
      <c r="K157" s="459"/>
      <c r="L157" s="459"/>
      <c r="M157" s="459"/>
      <c r="N157" s="459"/>
      <c r="O157" s="459"/>
      <c r="P157" s="433"/>
      <c r="Q157" s="433"/>
      <c r="R157" s="433"/>
      <c r="S157" s="427">
        <v>0.29210000000000003</v>
      </c>
      <c r="T157" s="379"/>
      <c r="U157" s="379"/>
      <c r="V157" s="385"/>
      <c r="W157" s="6"/>
    </row>
    <row r="158" spans="1:23" ht="15.6">
      <c r="A158" s="280"/>
      <c r="B158" s="364"/>
      <c r="C158" s="364"/>
      <c r="D158" s="364"/>
      <c r="E158" s="364"/>
      <c r="F158" s="364"/>
      <c r="G158" s="364"/>
      <c r="H158" s="364"/>
      <c r="I158" s="364"/>
      <c r="J158" s="364"/>
      <c r="K158" s="364"/>
      <c r="L158" s="364"/>
      <c r="M158" s="364"/>
      <c r="N158" s="364"/>
      <c r="O158" s="364"/>
      <c r="P158" s="364"/>
      <c r="Q158" s="364"/>
      <c r="R158" s="455"/>
      <c r="S158" s="456"/>
      <c r="T158" s="364"/>
      <c r="U158" s="457"/>
      <c r="V158" s="245"/>
      <c r="W158" s="6"/>
    </row>
    <row r="159" spans="1:23" ht="15.6">
      <c r="A159" s="280"/>
      <c r="B159" s="288"/>
      <c r="C159" s="288"/>
      <c r="D159" s="288"/>
      <c r="E159" s="288"/>
      <c r="F159" s="288"/>
      <c r="G159" s="288"/>
      <c r="H159" s="288"/>
      <c r="I159" s="288"/>
      <c r="J159" s="288"/>
      <c r="K159" s="288"/>
      <c r="L159" s="288"/>
      <c r="M159" s="288"/>
      <c r="N159" s="288"/>
      <c r="O159" s="288"/>
      <c r="P159" s="288"/>
      <c r="Q159" s="288"/>
      <c r="R159" s="331"/>
      <c r="S159" s="332"/>
      <c r="T159" s="288"/>
      <c r="U159" s="333"/>
      <c r="V159" s="245"/>
      <c r="W159" s="6"/>
    </row>
    <row r="160" spans="1:23" ht="16.2" thickBot="1">
      <c r="A160" s="282"/>
      <c r="B160" s="304" t="str">
        <f>+B109</f>
        <v>PPAF3 INVESTOR REPORT QUARTER ENDING DECEMBER 2012</v>
      </c>
      <c r="C160" s="305"/>
      <c r="D160" s="305"/>
      <c r="E160" s="305"/>
      <c r="F160" s="305"/>
      <c r="G160" s="305"/>
      <c r="H160" s="305"/>
      <c r="I160" s="305"/>
      <c r="J160" s="305"/>
      <c r="K160" s="305"/>
      <c r="L160" s="305"/>
      <c r="M160" s="305"/>
      <c r="N160" s="305"/>
      <c r="O160" s="305"/>
      <c r="P160" s="305"/>
      <c r="Q160" s="305"/>
      <c r="R160" s="334"/>
      <c r="S160" s="335"/>
      <c r="T160" s="305"/>
      <c r="U160" s="336"/>
      <c r="V160" s="262"/>
      <c r="W160" s="6"/>
    </row>
    <row r="161" spans="1:23" ht="15.6">
      <c r="A161" s="337"/>
      <c r="B161" s="520" t="s">
        <v>68</v>
      </c>
      <c r="C161" s="521"/>
      <c r="D161" s="521"/>
      <c r="E161" s="521"/>
      <c r="F161" s="521"/>
      <c r="G161" s="521"/>
      <c r="H161" s="521"/>
      <c r="I161" s="521"/>
      <c r="J161" s="521"/>
      <c r="K161" s="521"/>
      <c r="L161" s="521"/>
      <c r="M161" s="522"/>
      <c r="N161" s="521"/>
      <c r="O161" s="522"/>
      <c r="P161" s="521"/>
      <c r="Q161" s="522"/>
      <c r="R161" s="521" t="s">
        <v>94</v>
      </c>
      <c r="S161" s="522" t="s">
        <v>116</v>
      </c>
      <c r="T161" s="340"/>
      <c r="U161" s="340"/>
      <c r="V161" s="341"/>
      <c r="W161" s="6"/>
    </row>
    <row r="162" spans="1:23" ht="15.6">
      <c r="A162" s="283"/>
      <c r="B162" s="294" t="s">
        <v>216</v>
      </c>
      <c r="C162" s="310"/>
      <c r="D162" s="310"/>
      <c r="E162" s="310"/>
      <c r="F162" s="310"/>
      <c r="G162" s="310"/>
      <c r="H162" s="310"/>
      <c r="I162" s="310"/>
      <c r="J162" s="310"/>
      <c r="K162" s="310"/>
      <c r="L162" s="310"/>
      <c r="M162" s="310"/>
      <c r="N162" s="310"/>
      <c r="O162" s="294"/>
      <c r="P162" s="294"/>
      <c r="Q162" s="294"/>
      <c r="R162" s="310">
        <v>793</v>
      </c>
      <c r="S162" s="311">
        <v>20949</v>
      </c>
      <c r="T162" s="311"/>
      <c r="U162" s="330"/>
      <c r="V162" s="342"/>
      <c r="W162" s="6"/>
    </row>
    <row r="163" spans="1:23" ht="15.6">
      <c r="A163" s="465"/>
      <c r="B163" s="379" t="s">
        <v>217</v>
      </c>
      <c r="C163" s="440"/>
      <c r="D163" s="440"/>
      <c r="E163" s="440"/>
      <c r="F163" s="440"/>
      <c r="G163" s="440"/>
      <c r="H163" s="440"/>
      <c r="I163" s="440"/>
      <c r="J163" s="440"/>
      <c r="K163" s="440"/>
      <c r="L163" s="440"/>
      <c r="M163" s="440"/>
      <c r="N163" s="440"/>
      <c r="O163" s="379"/>
      <c r="P163" s="379"/>
      <c r="Q163" s="379"/>
      <c r="R163" s="545">
        <v>8</v>
      </c>
      <c r="S163" s="546">
        <v>54</v>
      </c>
      <c r="T163" s="441"/>
      <c r="U163" s="466"/>
      <c r="V163" s="467"/>
      <c r="W163" s="6"/>
    </row>
    <row r="164" spans="1:23" ht="15.6">
      <c r="A164" s="465"/>
      <c r="B164" s="379" t="s">
        <v>218</v>
      </c>
      <c r="C164" s="440"/>
      <c r="D164" s="440"/>
      <c r="E164" s="440"/>
      <c r="F164" s="440"/>
      <c r="G164" s="440"/>
      <c r="H164" s="440"/>
      <c r="I164" s="440"/>
      <c r="J164" s="440"/>
      <c r="K164" s="440"/>
      <c r="L164" s="440"/>
      <c r="M164" s="440"/>
      <c r="N164" s="440"/>
      <c r="O164" s="379"/>
      <c r="P164" s="379"/>
      <c r="Q164" s="379"/>
      <c r="R164" s="545">
        <v>132</v>
      </c>
      <c r="S164" s="546">
        <v>126</v>
      </c>
      <c r="T164" s="441"/>
      <c r="U164" s="466"/>
      <c r="V164" s="467"/>
      <c r="W164" s="6"/>
    </row>
    <row r="165" spans="1:23" ht="15.6">
      <c r="A165" s="465"/>
      <c r="B165" s="379" t="s">
        <v>219</v>
      </c>
      <c r="C165" s="440"/>
      <c r="D165" s="440"/>
      <c r="E165" s="440"/>
      <c r="F165" s="440"/>
      <c r="G165" s="440"/>
      <c r="H165" s="440"/>
      <c r="I165" s="440"/>
      <c r="J165" s="440"/>
      <c r="K165" s="440"/>
      <c r="L165" s="440"/>
      <c r="M165" s="440"/>
      <c r="N165" s="440"/>
      <c r="O165" s="379"/>
      <c r="P165" s="379"/>
      <c r="Q165" s="379"/>
      <c r="R165" s="545">
        <v>103</v>
      </c>
      <c r="S165" s="546">
        <v>243</v>
      </c>
      <c r="T165" s="441"/>
      <c r="U165" s="466"/>
      <c r="V165" s="467"/>
      <c r="W165" s="6"/>
    </row>
    <row r="166" spans="1:23" ht="15.6">
      <c r="A166" s="465"/>
      <c r="B166" s="379" t="s">
        <v>90</v>
      </c>
      <c r="C166" s="440"/>
      <c r="D166" s="440"/>
      <c r="E166" s="440"/>
      <c r="F166" s="440"/>
      <c r="G166" s="440"/>
      <c r="H166" s="440"/>
      <c r="I166" s="440"/>
      <c r="J166" s="440"/>
      <c r="K166" s="440"/>
      <c r="L166" s="440"/>
      <c r="M166" s="440"/>
      <c r="N166" s="440"/>
      <c r="O166" s="379"/>
      <c r="P166" s="379"/>
      <c r="Q166" s="379"/>
      <c r="R166" s="547">
        <f>SUM(R162:R165)</f>
        <v>1036</v>
      </c>
      <c r="S166" s="546">
        <f>SUM(S162:S165)</f>
        <v>21372</v>
      </c>
      <c r="T166" s="441"/>
      <c r="U166" s="466"/>
      <c r="V166" s="467"/>
      <c r="W166" s="6"/>
    </row>
    <row r="167" spans="1:23" ht="15.6">
      <c r="A167" s="465"/>
      <c r="B167" s="379"/>
      <c r="C167" s="440"/>
      <c r="D167" s="440"/>
      <c r="E167" s="440"/>
      <c r="F167" s="440"/>
      <c r="G167" s="440"/>
      <c r="H167" s="440"/>
      <c r="I167" s="440"/>
      <c r="J167" s="440"/>
      <c r="K167" s="440"/>
      <c r="L167" s="440"/>
      <c r="M167" s="440"/>
      <c r="N167" s="440"/>
      <c r="O167" s="379"/>
      <c r="P167" s="379"/>
      <c r="Q167" s="379"/>
      <c r="R167" s="545"/>
      <c r="S167" s="546"/>
      <c r="T167" s="441"/>
      <c r="U167" s="466"/>
      <c r="V167" s="467"/>
      <c r="W167" s="6"/>
    </row>
    <row r="168" spans="1:23" ht="15.6">
      <c r="A168" s="465"/>
      <c r="B168" s="379" t="s">
        <v>220</v>
      </c>
      <c r="C168" s="440"/>
      <c r="D168" s="440"/>
      <c r="E168" s="440"/>
      <c r="F168" s="440"/>
      <c r="G168" s="440"/>
      <c r="H168" s="440"/>
      <c r="I168" s="440"/>
      <c r="J168" s="440"/>
      <c r="K168" s="440"/>
      <c r="L168" s="440"/>
      <c r="M168" s="440"/>
      <c r="N168" s="440"/>
      <c r="O168" s="379"/>
      <c r="P168" s="379"/>
      <c r="Q168" s="379"/>
      <c r="R168" s="545">
        <v>0</v>
      </c>
      <c r="S168" s="546">
        <v>0</v>
      </c>
      <c r="T168" s="441"/>
      <c r="U168" s="466"/>
      <c r="V168" s="467"/>
      <c r="W168" s="6"/>
    </row>
    <row r="169" spans="1:23" ht="15.6">
      <c r="A169" s="465"/>
      <c r="B169" s="379" t="s">
        <v>224</v>
      </c>
      <c r="C169" s="440"/>
      <c r="D169" s="440"/>
      <c r="E169" s="440"/>
      <c r="F169" s="440"/>
      <c r="G169" s="440"/>
      <c r="H169" s="440"/>
      <c r="I169" s="440"/>
      <c r="J169" s="440"/>
      <c r="K169" s="440"/>
      <c r="L169" s="440"/>
      <c r="M169" s="440"/>
      <c r="N169" s="440"/>
      <c r="O169" s="379"/>
      <c r="P169" s="379"/>
      <c r="Q169" s="379"/>
      <c r="R169" s="545">
        <v>0</v>
      </c>
      <c r="S169" s="546">
        <v>0</v>
      </c>
      <c r="T169" s="441"/>
      <c r="U169" s="466"/>
      <c r="V169" s="467"/>
      <c r="W169" s="6"/>
    </row>
    <row r="170" spans="1:23" ht="15.6">
      <c r="A170" s="465"/>
      <c r="B170" s="468" t="s">
        <v>69</v>
      </c>
      <c r="C170" s="469"/>
      <c r="D170" s="469"/>
      <c r="E170" s="469"/>
      <c r="F170" s="469"/>
      <c r="G170" s="469"/>
      <c r="H170" s="469"/>
      <c r="I170" s="469"/>
      <c r="J170" s="469"/>
      <c r="K170" s="469"/>
      <c r="L170" s="469"/>
      <c r="M170" s="469"/>
      <c r="N170" s="469"/>
      <c r="O170" s="454"/>
      <c r="P170" s="454"/>
      <c r="Q170" s="454"/>
      <c r="R170" s="539"/>
      <c r="S170" s="540">
        <v>0</v>
      </c>
      <c r="T170" s="454"/>
      <c r="U170" s="470"/>
      <c r="V170" s="471"/>
      <c r="W170" s="6"/>
    </row>
    <row r="171" spans="1:23" ht="15.6">
      <c r="A171" s="465"/>
      <c r="B171" s="468" t="s">
        <v>70</v>
      </c>
      <c r="C171" s="469"/>
      <c r="D171" s="469"/>
      <c r="E171" s="469"/>
      <c r="F171" s="469"/>
      <c r="G171" s="469"/>
      <c r="H171" s="469"/>
      <c r="I171" s="469"/>
      <c r="J171" s="469"/>
      <c r="K171" s="469"/>
      <c r="L171" s="469"/>
      <c r="M171" s="469"/>
      <c r="N171" s="469"/>
      <c r="O171" s="454"/>
      <c r="P171" s="454"/>
      <c r="Q171" s="454"/>
      <c r="R171" s="539"/>
      <c r="S171" s="540">
        <f>Q75</f>
        <v>0</v>
      </c>
      <c r="T171" s="454"/>
      <c r="U171" s="470"/>
      <c r="V171" s="471"/>
      <c r="W171" s="6"/>
    </row>
    <row r="172" spans="1:23" ht="15.6">
      <c r="A172" s="472"/>
      <c r="B172" s="468" t="s">
        <v>71</v>
      </c>
      <c r="C172" s="469"/>
      <c r="D172" s="469"/>
      <c r="E172" s="469"/>
      <c r="F172" s="469"/>
      <c r="G172" s="469"/>
      <c r="H172" s="469"/>
      <c r="I172" s="469"/>
      <c r="J172" s="469"/>
      <c r="K172" s="469"/>
      <c r="L172" s="469"/>
      <c r="M172" s="473"/>
      <c r="N172" s="473"/>
      <c r="O172" s="473"/>
      <c r="P172" s="454"/>
      <c r="Q172" s="454"/>
      <c r="R172" s="379"/>
      <c r="S172" s="500"/>
      <c r="T172" s="454"/>
      <c r="U172" s="470"/>
      <c r="V172" s="474"/>
      <c r="W172" s="6"/>
    </row>
    <row r="173" spans="1:23" ht="15.6">
      <c r="A173" s="465"/>
      <c r="B173" s="379" t="s">
        <v>72</v>
      </c>
      <c r="C173" s="469"/>
      <c r="D173" s="469"/>
      <c r="E173" s="469"/>
      <c r="F173" s="469"/>
      <c r="G173" s="469"/>
      <c r="H173" s="469"/>
      <c r="I173" s="469"/>
      <c r="J173" s="469"/>
      <c r="K173" s="469"/>
      <c r="L173" s="469"/>
      <c r="M173" s="469"/>
      <c r="N173" s="469"/>
      <c r="O173" s="469"/>
      <c r="P173" s="454"/>
      <c r="Q173" s="454"/>
      <c r="R173" s="379"/>
      <c r="S173" s="546">
        <f>U128</f>
        <v>1088</v>
      </c>
      <c r="T173" s="454"/>
      <c r="U173" s="470"/>
      <c r="V173" s="474"/>
      <c r="W173" s="6"/>
    </row>
    <row r="174" spans="1:23" ht="15.6">
      <c r="A174" s="465"/>
      <c r="B174" s="379" t="s">
        <v>73</v>
      </c>
      <c r="C174" s="469"/>
      <c r="D174" s="469"/>
      <c r="E174" s="469"/>
      <c r="F174" s="469"/>
      <c r="G174" s="469"/>
      <c r="H174" s="469"/>
      <c r="I174" s="469"/>
      <c r="J174" s="469"/>
      <c r="K174" s="469"/>
      <c r="L174" s="469"/>
      <c r="M174" s="469"/>
      <c r="N174" s="469"/>
      <c r="O174" s="469"/>
      <c r="P174" s="454"/>
      <c r="Q174" s="454"/>
      <c r="R174" s="379"/>
      <c r="S174" s="546">
        <f>'September 12'!S174+S173</f>
        <v>83210</v>
      </c>
      <c r="T174" s="454"/>
      <c r="U174" s="470"/>
      <c r="V174" s="474"/>
      <c r="W174" s="6"/>
    </row>
    <row r="175" spans="1:23" ht="15.6">
      <c r="A175" s="465"/>
      <c r="B175" s="379" t="s">
        <v>74</v>
      </c>
      <c r="C175" s="469"/>
      <c r="D175" s="469"/>
      <c r="E175" s="469"/>
      <c r="F175" s="469"/>
      <c r="G175" s="469"/>
      <c r="H175" s="469"/>
      <c r="I175" s="469"/>
      <c r="J175" s="469"/>
      <c r="K175" s="469"/>
      <c r="L175" s="469"/>
      <c r="M175" s="469"/>
      <c r="N175" s="469"/>
      <c r="O175" s="469"/>
      <c r="P175" s="454"/>
      <c r="Q175" s="454"/>
      <c r="R175" s="379"/>
      <c r="S175" s="546">
        <f>'September 12'!S175+535</f>
        <v>19787</v>
      </c>
      <c r="T175" s="454"/>
      <c r="U175" s="470"/>
      <c r="V175" s="474"/>
      <c r="W175" s="6"/>
    </row>
    <row r="176" spans="1:23" ht="15.6">
      <c r="A176" s="465"/>
      <c r="B176" s="473"/>
      <c r="C176" s="469"/>
      <c r="D176" s="469"/>
      <c r="E176" s="469"/>
      <c r="F176" s="469"/>
      <c r="G176" s="469"/>
      <c r="H176" s="469"/>
      <c r="I176" s="469"/>
      <c r="J176" s="469"/>
      <c r="K176" s="469"/>
      <c r="L176" s="469"/>
      <c r="M176" s="469"/>
      <c r="N176" s="469"/>
      <c r="O176" s="469"/>
      <c r="P176" s="454"/>
      <c r="Q176" s="454"/>
      <c r="R176" s="379"/>
      <c r="S176" s="546"/>
      <c r="T176" s="454"/>
      <c r="U176" s="470"/>
      <c r="V176" s="474"/>
      <c r="W176" s="6"/>
    </row>
    <row r="177" spans="1:23" ht="15.6">
      <c r="A177" s="472"/>
      <c r="B177" s="468" t="s">
        <v>259</v>
      </c>
      <c r="C177" s="469"/>
      <c r="D177" s="469"/>
      <c r="E177" s="469"/>
      <c r="F177" s="469"/>
      <c r="G177" s="469"/>
      <c r="H177" s="469"/>
      <c r="I177" s="469"/>
      <c r="J177" s="469"/>
      <c r="K177" s="469"/>
      <c r="L177" s="469"/>
      <c r="M177" s="473"/>
      <c r="N177" s="473"/>
      <c r="O177" s="473"/>
      <c r="P177" s="454"/>
      <c r="Q177" s="454"/>
      <c r="R177" s="379"/>
      <c r="S177" s="548"/>
      <c r="T177" s="454"/>
      <c r="U177" s="470"/>
      <c r="V177" s="474"/>
      <c r="W177" s="6"/>
    </row>
    <row r="178" spans="1:23" ht="15.6">
      <c r="A178" s="472"/>
      <c r="B178" s="379" t="s">
        <v>254</v>
      </c>
      <c r="C178" s="469"/>
      <c r="D178" s="469"/>
      <c r="E178" s="469"/>
      <c r="F178" s="469"/>
      <c r="G178" s="469"/>
      <c r="H178" s="469"/>
      <c r="I178" s="469"/>
      <c r="J178" s="469"/>
      <c r="K178" s="469"/>
      <c r="L178" s="469"/>
      <c r="M178" s="473"/>
      <c r="N178" s="473"/>
      <c r="O178" s="473"/>
      <c r="P178" s="454"/>
      <c r="Q178" s="454"/>
      <c r="R178" s="379"/>
      <c r="S178" s="548">
        <v>0</v>
      </c>
      <c r="T178" s="454"/>
      <c r="U178" s="470"/>
      <c r="V178" s="474"/>
      <c r="W178" s="6"/>
    </row>
    <row r="179" spans="1:23" ht="15.6">
      <c r="A179" s="465"/>
      <c r="B179" s="379" t="s">
        <v>75</v>
      </c>
      <c r="C179" s="469"/>
      <c r="D179" s="469"/>
      <c r="E179" s="469"/>
      <c r="F179" s="469"/>
      <c r="G179" s="469"/>
      <c r="H179" s="469"/>
      <c r="I179" s="469"/>
      <c r="J179" s="469"/>
      <c r="K179" s="469"/>
      <c r="L179" s="469"/>
      <c r="M179" s="475"/>
      <c r="N179" s="475"/>
      <c r="O179" s="476"/>
      <c r="P179" s="454"/>
      <c r="Q179" s="454"/>
      <c r="R179" s="379"/>
      <c r="S179" s="549">
        <v>0</v>
      </c>
      <c r="T179" s="454"/>
      <c r="U179" s="470"/>
      <c r="V179" s="474"/>
      <c r="W179" s="6"/>
    </row>
    <row r="180" spans="1:23" ht="15.6">
      <c r="A180" s="465"/>
      <c r="B180" s="379" t="s">
        <v>76</v>
      </c>
      <c r="C180" s="469"/>
      <c r="D180" s="469"/>
      <c r="E180" s="469"/>
      <c r="F180" s="469"/>
      <c r="G180" s="469"/>
      <c r="H180" s="469"/>
      <c r="I180" s="469"/>
      <c r="J180" s="469"/>
      <c r="K180" s="469"/>
      <c r="L180" s="469"/>
      <c r="M180" s="475"/>
      <c r="N180" s="475"/>
      <c r="O180" s="476"/>
      <c r="P180" s="454"/>
      <c r="Q180" s="454"/>
      <c r="R180" s="379"/>
      <c r="S180" s="548">
        <v>0</v>
      </c>
      <c r="T180" s="454"/>
      <c r="U180" s="470"/>
      <c r="V180" s="474"/>
      <c r="W180" s="6"/>
    </row>
    <row r="181" spans="1:23" ht="15.6">
      <c r="A181" s="465"/>
      <c r="B181" s="473"/>
      <c r="C181" s="469"/>
      <c r="D181" s="469"/>
      <c r="E181" s="469"/>
      <c r="F181" s="469"/>
      <c r="G181" s="469"/>
      <c r="H181" s="469"/>
      <c r="I181" s="469"/>
      <c r="J181" s="469"/>
      <c r="K181" s="469"/>
      <c r="L181" s="469"/>
      <c r="M181" s="477"/>
      <c r="N181" s="475"/>
      <c r="O181" s="476"/>
      <c r="P181" s="454"/>
      <c r="Q181" s="454"/>
      <c r="R181" s="379"/>
      <c r="S181" s="537"/>
      <c r="T181" s="454"/>
      <c r="U181" s="470"/>
      <c r="V181" s="474"/>
      <c r="W181" s="6"/>
    </row>
    <row r="182" spans="1:23" ht="15.6">
      <c r="A182" s="465"/>
      <c r="B182" s="468" t="s">
        <v>77</v>
      </c>
      <c r="C182" s="469"/>
      <c r="D182" s="469"/>
      <c r="E182" s="469"/>
      <c r="F182" s="469"/>
      <c r="G182" s="469"/>
      <c r="H182" s="469"/>
      <c r="I182" s="469"/>
      <c r="J182" s="469"/>
      <c r="K182" s="469"/>
      <c r="L182" s="469"/>
      <c r="M182" s="469"/>
      <c r="N182" s="477"/>
      <c r="O182" s="475"/>
      <c r="P182" s="476"/>
      <c r="Q182" s="454"/>
      <c r="R182" s="380"/>
      <c r="S182" s="538"/>
      <c r="T182" s="478"/>
      <c r="U182" s="390"/>
      <c r="V182" s="479"/>
      <c r="W182" s="6"/>
    </row>
    <row r="183" spans="1:23" ht="15.6">
      <c r="A183" s="465"/>
      <c r="B183" s="379" t="s">
        <v>78</v>
      </c>
      <c r="C183" s="469"/>
      <c r="D183" s="469"/>
      <c r="E183" s="469"/>
      <c r="F183" s="469"/>
      <c r="G183" s="469"/>
      <c r="H183" s="469"/>
      <c r="I183" s="469"/>
      <c r="J183" s="469"/>
      <c r="K183" s="469"/>
      <c r="L183" s="469"/>
      <c r="M183" s="469"/>
      <c r="N183" s="477"/>
      <c r="O183" s="475"/>
      <c r="P183" s="476"/>
      <c r="Q183" s="454"/>
      <c r="R183" s="380"/>
      <c r="S183" s="550">
        <v>9</v>
      </c>
      <c r="T183" s="480"/>
      <c r="U183" s="390"/>
      <c r="V183" s="479"/>
      <c r="W183" s="6"/>
    </row>
    <row r="184" spans="1:23" ht="15.6">
      <c r="A184" s="465"/>
      <c r="B184" s="379" t="s">
        <v>75</v>
      </c>
      <c r="C184" s="469"/>
      <c r="D184" s="469"/>
      <c r="E184" s="469"/>
      <c r="F184" s="469"/>
      <c r="G184" s="469"/>
      <c r="H184" s="469"/>
      <c r="I184" s="469"/>
      <c r="J184" s="469"/>
      <c r="K184" s="469"/>
      <c r="L184" s="469"/>
      <c r="M184" s="469"/>
      <c r="N184" s="477"/>
      <c r="O184" s="475"/>
      <c r="P184" s="476"/>
      <c r="Q184" s="454"/>
      <c r="R184" s="380"/>
      <c r="S184" s="550">
        <v>3.29</v>
      </c>
      <c r="T184" s="480"/>
      <c r="U184" s="390"/>
      <c r="V184" s="479"/>
      <c r="W184" s="6"/>
    </row>
    <row r="185" spans="1:23" ht="15.6">
      <c r="A185" s="465"/>
      <c r="B185" s="379" t="s">
        <v>79</v>
      </c>
      <c r="C185" s="469"/>
      <c r="D185" s="469"/>
      <c r="E185" s="469"/>
      <c r="F185" s="469"/>
      <c r="G185" s="469"/>
      <c r="H185" s="469"/>
      <c r="I185" s="469"/>
      <c r="J185" s="469"/>
      <c r="K185" s="469"/>
      <c r="L185" s="469"/>
      <c r="M185" s="469"/>
      <c r="N185" s="477"/>
      <c r="O185" s="475"/>
      <c r="P185" s="476"/>
      <c r="Q185" s="454"/>
      <c r="R185" s="380"/>
      <c r="S185" s="550">
        <v>296</v>
      </c>
      <c r="T185" s="480"/>
      <c r="U185" s="390"/>
      <c r="V185" s="479"/>
      <c r="W185" s="6"/>
    </row>
    <row r="186" spans="1:23" ht="15.6">
      <c r="A186" s="465"/>
      <c r="B186" s="473"/>
      <c r="C186" s="469"/>
      <c r="D186" s="469"/>
      <c r="E186" s="469"/>
      <c r="F186" s="469"/>
      <c r="G186" s="469"/>
      <c r="H186" s="469"/>
      <c r="I186" s="469"/>
      <c r="J186" s="469"/>
      <c r="K186" s="469"/>
      <c r="L186" s="469"/>
      <c r="M186" s="477"/>
      <c r="N186" s="475"/>
      <c r="O186" s="476"/>
      <c r="P186" s="454"/>
      <c r="Q186" s="454"/>
      <c r="R186" s="454"/>
      <c r="S186" s="537"/>
      <c r="T186" s="454"/>
      <c r="U186" s="470"/>
      <c r="V186" s="474"/>
      <c r="W186" s="6"/>
    </row>
    <row r="187" spans="1:23" ht="17.399999999999999">
      <c r="A187" s="465"/>
      <c r="B187" s="482" t="s">
        <v>196</v>
      </c>
      <c r="C187" s="469"/>
      <c r="D187" s="469"/>
      <c r="E187" s="469"/>
      <c r="F187" s="469"/>
      <c r="G187" s="469"/>
      <c r="H187" s="469"/>
      <c r="I187" s="469"/>
      <c r="J187" s="469"/>
      <c r="K187" s="483" t="s">
        <v>195</v>
      </c>
      <c r="L187" s="469"/>
      <c r="M187" s="477"/>
      <c r="N187" s="475"/>
      <c r="O187" s="476"/>
      <c r="P187" s="454"/>
      <c r="Q187" s="454"/>
      <c r="R187" s="454"/>
      <c r="S187" s="481"/>
      <c r="T187" s="454"/>
      <c r="U187" s="470"/>
      <c r="V187" s="474"/>
      <c r="W187" s="6"/>
    </row>
    <row r="188" spans="1:23" ht="15.6">
      <c r="A188" s="242"/>
      <c r="B188" s="460"/>
      <c r="C188" s="461"/>
      <c r="D188" s="461"/>
      <c r="E188" s="461"/>
      <c r="F188" s="461"/>
      <c r="G188" s="461"/>
      <c r="H188" s="461"/>
      <c r="I188" s="461"/>
      <c r="J188" s="461"/>
      <c r="K188" s="461"/>
      <c r="L188" s="461"/>
      <c r="M188" s="462"/>
      <c r="N188" s="461"/>
      <c r="O188" s="462"/>
      <c r="P188" s="461"/>
      <c r="Q188" s="462"/>
      <c r="R188" s="461"/>
      <c r="S188" s="462"/>
      <c r="T188" s="461"/>
      <c r="U188" s="463"/>
      <c r="V188" s="464"/>
      <c r="W188" s="6"/>
    </row>
    <row r="189" spans="1:23" ht="15.6">
      <c r="A189" s="348"/>
      <c r="B189" s="525" t="s">
        <v>80</v>
      </c>
      <c r="C189" s="343"/>
      <c r="D189" s="343"/>
      <c r="E189" s="343"/>
      <c r="F189" s="343"/>
      <c r="G189" s="343"/>
      <c r="H189" s="343"/>
      <c r="I189" s="343"/>
      <c r="J189" s="343"/>
      <c r="K189" s="343"/>
      <c r="L189" s="343"/>
      <c r="M189" s="525" t="s">
        <v>100</v>
      </c>
      <c r="N189" s="526"/>
      <c r="O189" s="527"/>
      <c r="P189" s="526"/>
      <c r="Q189" s="525" t="s">
        <v>26</v>
      </c>
      <c r="R189" s="526"/>
      <c r="S189" s="527"/>
      <c r="T189" s="526"/>
      <c r="U189" s="346"/>
      <c r="V189" s="528"/>
      <c r="W189" s="6"/>
    </row>
    <row r="190" spans="1:23" ht="15.6">
      <c r="A190" s="365"/>
      <c r="B190" s="366"/>
      <c r="C190" s="529"/>
      <c r="D190" s="529"/>
      <c r="E190" s="529"/>
      <c r="F190" s="529"/>
      <c r="G190" s="529"/>
      <c r="H190" s="529"/>
      <c r="I190" s="529"/>
      <c r="J190" s="529"/>
      <c r="K190" s="529"/>
      <c r="L190" s="529" t="s">
        <v>94</v>
      </c>
      <c r="M190" s="530" t="s">
        <v>101</v>
      </c>
      <c r="N190" s="529" t="s">
        <v>103</v>
      </c>
      <c r="O190" s="530" t="s">
        <v>101</v>
      </c>
      <c r="P190" s="530"/>
      <c r="Q190" s="529" t="s">
        <v>94</v>
      </c>
      <c r="R190" s="530" t="s">
        <v>101</v>
      </c>
      <c r="S190" s="529" t="s">
        <v>103</v>
      </c>
      <c r="T190" s="530" t="s">
        <v>101</v>
      </c>
      <c r="U190" s="369"/>
      <c r="V190" s="531"/>
      <c r="W190" s="6"/>
    </row>
    <row r="191" spans="1:23" ht="15.6">
      <c r="A191" s="316"/>
      <c r="B191" s="360" t="s">
        <v>81</v>
      </c>
      <c r="C191" s="361"/>
      <c r="D191" s="361"/>
      <c r="E191" s="361"/>
      <c r="F191" s="361"/>
      <c r="G191" s="361"/>
      <c r="H191" s="361"/>
      <c r="I191" s="361"/>
      <c r="J191" s="361"/>
      <c r="K191" s="361"/>
      <c r="L191" s="361">
        <v>453</v>
      </c>
      <c r="M191" s="362">
        <f t="shared" ref="M191:M197" si="0">+L191/$L$198</f>
        <v>0.71677215189873422</v>
      </c>
      <c r="N191" s="361">
        <v>1805</v>
      </c>
      <c r="O191" s="362">
        <f t="shared" ref="O191:O197" si="1">N191/$N$198</f>
        <v>0.82495429616087756</v>
      </c>
      <c r="P191" s="363"/>
      <c r="Q191" s="361">
        <v>181</v>
      </c>
      <c r="R191" s="362">
        <f t="shared" ref="R191:R197" si="2">+Q191/$Q$198</f>
        <v>0.46055979643765904</v>
      </c>
      <c r="S191" s="361">
        <v>256</v>
      </c>
      <c r="T191" s="362">
        <f>+S191/$S$198</f>
        <v>0.59673659673659674</v>
      </c>
      <c r="U191" s="364"/>
      <c r="V191" s="312"/>
      <c r="W191" s="6"/>
    </row>
    <row r="192" spans="1:23" ht="15.6">
      <c r="A192" s="444"/>
      <c r="B192" s="440" t="s">
        <v>82</v>
      </c>
      <c r="C192" s="489"/>
      <c r="D192" s="489"/>
      <c r="E192" s="489"/>
      <c r="F192" s="489"/>
      <c r="G192" s="489"/>
      <c r="H192" s="489"/>
      <c r="I192" s="489"/>
      <c r="J192" s="489"/>
      <c r="K192" s="489"/>
      <c r="L192" s="489">
        <v>13</v>
      </c>
      <c r="M192" s="427">
        <f t="shared" si="0"/>
        <v>2.0569620253164556E-2</v>
      </c>
      <c r="N192" s="489">
        <v>16</v>
      </c>
      <c r="O192" s="427">
        <f t="shared" si="1"/>
        <v>7.3126142595978062E-3</v>
      </c>
      <c r="P192" s="381"/>
      <c r="Q192" s="489">
        <v>8</v>
      </c>
      <c r="R192" s="427">
        <f t="shared" si="2"/>
        <v>2.0356234096692113E-2</v>
      </c>
      <c r="S192" s="489">
        <v>2</v>
      </c>
      <c r="T192" s="427">
        <f t="shared" ref="T192:T197" si="3">+S192/$S$198</f>
        <v>4.662004662004662E-3</v>
      </c>
      <c r="U192" s="379"/>
      <c r="V192" s="435"/>
      <c r="W192" s="6"/>
    </row>
    <row r="193" spans="1:24" ht="15.6">
      <c r="A193" s="444"/>
      <c r="B193" s="440" t="s">
        <v>83</v>
      </c>
      <c r="C193" s="489"/>
      <c r="D193" s="489"/>
      <c r="E193" s="489"/>
      <c r="F193" s="489"/>
      <c r="G193" s="489"/>
      <c r="H193" s="489"/>
      <c r="I193" s="489"/>
      <c r="J193" s="489"/>
      <c r="K193" s="489"/>
      <c r="L193" s="489">
        <v>13</v>
      </c>
      <c r="M193" s="427">
        <f t="shared" si="0"/>
        <v>2.0569620253164556E-2</v>
      </c>
      <c r="N193" s="489">
        <v>8</v>
      </c>
      <c r="O193" s="427">
        <f t="shared" si="1"/>
        <v>3.6563071297989031E-3</v>
      </c>
      <c r="P193" s="381"/>
      <c r="Q193" s="489">
        <v>14</v>
      </c>
      <c r="R193" s="427">
        <f t="shared" si="2"/>
        <v>3.5623409669211195E-2</v>
      </c>
      <c r="S193" s="489">
        <v>3</v>
      </c>
      <c r="T193" s="427">
        <f t="shared" si="3"/>
        <v>6.993006993006993E-3</v>
      </c>
      <c r="U193" s="379"/>
      <c r="V193" s="435"/>
      <c r="W193" s="6"/>
    </row>
    <row r="194" spans="1:24" ht="15.6">
      <c r="A194" s="444"/>
      <c r="B194" s="440" t="s">
        <v>186</v>
      </c>
      <c r="C194" s="489"/>
      <c r="D194" s="489"/>
      <c r="E194" s="489"/>
      <c r="F194" s="489"/>
      <c r="G194" s="489"/>
      <c r="H194" s="489"/>
      <c r="I194" s="489"/>
      <c r="J194" s="489"/>
      <c r="K194" s="489"/>
      <c r="L194" s="489">
        <v>18</v>
      </c>
      <c r="M194" s="427">
        <f t="shared" si="0"/>
        <v>2.8481012658227847E-2</v>
      </c>
      <c r="N194" s="489">
        <v>56</v>
      </c>
      <c r="O194" s="427">
        <f t="shared" si="1"/>
        <v>2.5594149908592323E-2</v>
      </c>
      <c r="P194" s="381"/>
      <c r="Q194" s="489">
        <v>23</v>
      </c>
      <c r="R194" s="427">
        <f t="shared" si="2"/>
        <v>5.8524173027989825E-2</v>
      </c>
      <c r="S194" s="489">
        <v>18</v>
      </c>
      <c r="T194" s="427">
        <f t="shared" si="3"/>
        <v>4.195804195804196E-2</v>
      </c>
      <c r="U194" s="379"/>
      <c r="V194" s="435"/>
      <c r="W194" s="6"/>
    </row>
    <row r="195" spans="1:24" ht="15.6">
      <c r="A195" s="444"/>
      <c r="B195" s="440" t="s">
        <v>187</v>
      </c>
      <c r="C195" s="489"/>
      <c r="D195" s="489"/>
      <c r="E195" s="489"/>
      <c r="F195" s="489"/>
      <c r="G195" s="489"/>
      <c r="H195" s="489"/>
      <c r="I195" s="489"/>
      <c r="J195" s="489"/>
      <c r="K195" s="489"/>
      <c r="L195" s="489">
        <v>19</v>
      </c>
      <c r="M195" s="427">
        <f t="shared" si="0"/>
        <v>3.0063291139240507E-2</v>
      </c>
      <c r="N195" s="489">
        <v>41</v>
      </c>
      <c r="O195" s="427">
        <f t="shared" si="1"/>
        <v>1.8738574040219377E-2</v>
      </c>
      <c r="P195" s="381"/>
      <c r="Q195" s="489">
        <v>16</v>
      </c>
      <c r="R195" s="427">
        <f t="shared" si="2"/>
        <v>4.0712468193384227E-2</v>
      </c>
      <c r="S195" s="489">
        <v>13</v>
      </c>
      <c r="T195" s="427">
        <f t="shared" si="3"/>
        <v>3.0303030303030304E-2</v>
      </c>
      <c r="U195" s="379"/>
      <c r="V195" s="435"/>
      <c r="W195" s="6"/>
    </row>
    <row r="196" spans="1:24" ht="15.6">
      <c r="A196" s="444"/>
      <c r="B196" s="440" t="s">
        <v>188</v>
      </c>
      <c r="C196" s="489"/>
      <c r="D196" s="489"/>
      <c r="E196" s="489"/>
      <c r="F196" s="489"/>
      <c r="G196" s="489"/>
      <c r="H196" s="489"/>
      <c r="I196" s="489"/>
      <c r="J196" s="489"/>
      <c r="K196" s="489"/>
      <c r="L196" s="489">
        <v>20</v>
      </c>
      <c r="M196" s="427">
        <f t="shared" si="0"/>
        <v>3.1645569620253167E-2</v>
      </c>
      <c r="N196" s="489">
        <v>50</v>
      </c>
      <c r="O196" s="427">
        <f t="shared" si="1"/>
        <v>2.2851919561243144E-2</v>
      </c>
      <c r="P196" s="381"/>
      <c r="Q196" s="489">
        <v>24</v>
      </c>
      <c r="R196" s="427">
        <f t="shared" si="2"/>
        <v>6.1068702290076333E-2</v>
      </c>
      <c r="S196" s="489">
        <v>12</v>
      </c>
      <c r="T196" s="427">
        <f t="shared" si="3"/>
        <v>2.7972027972027972E-2</v>
      </c>
      <c r="U196" s="379"/>
      <c r="V196" s="435"/>
      <c r="W196" s="6"/>
    </row>
    <row r="197" spans="1:24" ht="15.6">
      <c r="A197" s="444"/>
      <c r="B197" s="440" t="s">
        <v>189</v>
      </c>
      <c r="C197" s="489"/>
      <c r="D197" s="489"/>
      <c r="E197" s="489"/>
      <c r="F197" s="489"/>
      <c r="G197" s="489"/>
      <c r="H197" s="489"/>
      <c r="I197" s="489"/>
      <c r="J197" s="489"/>
      <c r="K197" s="489"/>
      <c r="L197" s="489">
        <v>96</v>
      </c>
      <c r="M197" s="427">
        <f t="shared" si="0"/>
        <v>0.15189873417721519</v>
      </c>
      <c r="N197" s="489">
        <v>212</v>
      </c>
      <c r="O197" s="427">
        <f t="shared" si="1"/>
        <v>9.6892138939670927E-2</v>
      </c>
      <c r="P197" s="381"/>
      <c r="Q197" s="489">
        <v>127</v>
      </c>
      <c r="R197" s="427">
        <f t="shared" si="2"/>
        <v>0.32315521628498728</v>
      </c>
      <c r="S197" s="489">
        <v>125</v>
      </c>
      <c r="T197" s="427">
        <f t="shared" si="3"/>
        <v>0.29137529137529139</v>
      </c>
      <c r="U197" s="379"/>
      <c r="V197" s="435"/>
      <c r="W197" s="6"/>
    </row>
    <row r="198" spans="1:24" ht="15.6">
      <c r="A198" s="444"/>
      <c r="B198" s="440" t="s">
        <v>84</v>
      </c>
      <c r="C198" s="489"/>
      <c r="D198" s="489"/>
      <c r="E198" s="489"/>
      <c r="F198" s="489"/>
      <c r="G198" s="489"/>
      <c r="H198" s="489"/>
      <c r="I198" s="489"/>
      <c r="J198" s="489"/>
      <c r="K198" s="489"/>
      <c r="L198" s="489">
        <f>SUM(L191:L197)</f>
        <v>632</v>
      </c>
      <c r="M198" s="427">
        <f>SUM(M191:M197)</f>
        <v>1</v>
      </c>
      <c r="N198" s="489">
        <f>SUM(N191:N197)</f>
        <v>2188</v>
      </c>
      <c r="O198" s="427">
        <f>SUM(O191:O197)</f>
        <v>1</v>
      </c>
      <c r="P198" s="381"/>
      <c r="Q198" s="489">
        <f>SUM(Q191:Q197)</f>
        <v>393</v>
      </c>
      <c r="R198" s="427">
        <f>SUM(R191:R197)</f>
        <v>1</v>
      </c>
      <c r="S198" s="489">
        <f>SUM(S191:S197)</f>
        <v>429</v>
      </c>
      <c r="T198" s="427">
        <f>SUM(T191:T197)</f>
        <v>1</v>
      </c>
      <c r="U198" s="379"/>
      <c r="V198" s="435"/>
      <c r="W198" s="6"/>
      <c r="X198" s="64"/>
    </row>
    <row r="199" spans="1:24" ht="15.6">
      <c r="A199" s="444"/>
      <c r="B199" s="440" t="s">
        <v>85</v>
      </c>
      <c r="C199" s="489"/>
      <c r="D199" s="489"/>
      <c r="E199" s="489"/>
      <c r="F199" s="489"/>
      <c r="G199" s="489"/>
      <c r="H199" s="489"/>
      <c r="I199" s="489"/>
      <c r="J199" s="489"/>
      <c r="K199" s="489"/>
      <c r="L199" s="489">
        <v>896</v>
      </c>
      <c r="M199" s="380"/>
      <c r="N199" s="489">
        <v>5361</v>
      </c>
      <c r="O199" s="380"/>
      <c r="P199" s="381"/>
      <c r="Q199" s="489">
        <v>579</v>
      </c>
      <c r="R199" s="380"/>
      <c r="S199" s="489">
        <v>1292</v>
      </c>
      <c r="T199" s="380"/>
      <c r="U199" s="379"/>
      <c r="V199" s="435"/>
      <c r="W199" s="6"/>
      <c r="X199" s="64"/>
    </row>
    <row r="200" spans="1:24" ht="15.6">
      <c r="A200" s="444"/>
      <c r="B200" s="440" t="s">
        <v>86</v>
      </c>
      <c r="C200" s="489"/>
      <c r="D200" s="489"/>
      <c r="E200" s="489"/>
      <c r="F200" s="489"/>
      <c r="G200" s="489"/>
      <c r="H200" s="489"/>
      <c r="I200" s="489"/>
      <c r="J200" s="489"/>
      <c r="K200" s="489"/>
      <c r="L200" s="489">
        <f>SUM(L198:L199)</f>
        <v>1528</v>
      </c>
      <c r="M200" s="450"/>
      <c r="N200" s="489">
        <f>SUM(N198:N199)</f>
        <v>7549</v>
      </c>
      <c r="O200" s="490"/>
      <c r="P200" s="450"/>
      <c r="Q200" s="489">
        <f>SUM(Q198:Q199)</f>
        <v>972</v>
      </c>
      <c r="R200" s="450"/>
      <c r="S200" s="489">
        <f>SUM(S198:S199)</f>
        <v>1721</v>
      </c>
      <c r="T200" s="450"/>
      <c r="U200" s="450"/>
      <c r="V200" s="435"/>
      <c r="W200" s="6"/>
      <c r="X200" s="64"/>
    </row>
    <row r="201" spans="1:24" ht="15.6">
      <c r="A201" s="242"/>
      <c r="B201" s="484"/>
      <c r="C201" s="485"/>
      <c r="D201" s="485"/>
      <c r="E201" s="485"/>
      <c r="F201" s="485"/>
      <c r="G201" s="485"/>
      <c r="H201" s="485"/>
      <c r="I201" s="485"/>
      <c r="J201" s="485"/>
      <c r="K201" s="485"/>
      <c r="L201" s="532"/>
      <c r="M201" s="533"/>
      <c r="N201" s="532"/>
      <c r="O201" s="533"/>
      <c r="P201" s="488"/>
      <c r="Q201" s="532"/>
      <c r="R201" s="533"/>
      <c r="S201" s="532"/>
      <c r="T201" s="533"/>
      <c r="U201" s="463"/>
      <c r="V201" s="464"/>
      <c r="W201" s="6"/>
    </row>
    <row r="202" spans="1:24" ht="15.6">
      <c r="A202" s="349"/>
      <c r="B202" s="525" t="s">
        <v>80</v>
      </c>
      <c r="C202" s="526"/>
      <c r="D202" s="526"/>
      <c r="E202" s="526"/>
      <c r="F202" s="526"/>
      <c r="G202" s="526"/>
      <c r="H202" s="526"/>
      <c r="I202" s="526"/>
      <c r="J202" s="526"/>
      <c r="K202" s="526"/>
      <c r="L202" s="526"/>
      <c r="M202" s="525" t="s">
        <v>27</v>
      </c>
      <c r="N202" s="526"/>
      <c r="O202" s="527"/>
      <c r="P202" s="526"/>
      <c r="Q202" s="525" t="s">
        <v>28</v>
      </c>
      <c r="R202" s="526"/>
      <c r="S202" s="527"/>
      <c r="T202" s="526"/>
      <c r="U202" s="346"/>
      <c r="V202" s="528"/>
      <c r="W202" s="6"/>
    </row>
    <row r="203" spans="1:24" ht="15.6">
      <c r="A203" s="371"/>
      <c r="B203" s="372"/>
      <c r="C203" s="534"/>
      <c r="D203" s="534"/>
      <c r="E203" s="534"/>
      <c r="F203" s="534"/>
      <c r="G203" s="534"/>
      <c r="H203" s="534"/>
      <c r="I203" s="534"/>
      <c r="J203" s="534"/>
      <c r="K203" s="534"/>
      <c r="L203" s="534" t="s">
        <v>94</v>
      </c>
      <c r="M203" s="535" t="s">
        <v>101</v>
      </c>
      <c r="N203" s="534" t="s">
        <v>103</v>
      </c>
      <c r="O203" s="535" t="s">
        <v>101</v>
      </c>
      <c r="P203" s="535"/>
      <c r="Q203" s="534" t="s">
        <v>94</v>
      </c>
      <c r="R203" s="535" t="s">
        <v>101</v>
      </c>
      <c r="S203" s="534" t="s">
        <v>103</v>
      </c>
      <c r="T203" s="535" t="s">
        <v>101</v>
      </c>
      <c r="U203" s="375"/>
      <c r="V203" s="536"/>
      <c r="W203" s="6"/>
    </row>
    <row r="204" spans="1:24" ht="15.6">
      <c r="A204" s="315"/>
      <c r="B204" s="310" t="s">
        <v>81</v>
      </c>
      <c r="C204" s="351"/>
      <c r="D204" s="351"/>
      <c r="E204" s="351"/>
      <c r="F204" s="351"/>
      <c r="G204" s="351"/>
      <c r="H204" s="351"/>
      <c r="I204" s="351"/>
      <c r="J204" s="351"/>
      <c r="K204" s="351"/>
      <c r="L204" s="351">
        <v>5505</v>
      </c>
      <c r="M204" s="299">
        <f t="shared" ref="M204:M210" si="4">+L204/$L$211</f>
        <v>0.87408701174976178</v>
      </c>
      <c r="N204" s="351">
        <v>124026</v>
      </c>
      <c r="O204" s="299">
        <f t="shared" ref="O204:O210" si="5">+N204/$N$211</f>
        <v>0.85549922400413869</v>
      </c>
      <c r="P204" s="296"/>
      <c r="Q204" s="351">
        <v>131</v>
      </c>
      <c r="R204" s="299">
        <f t="shared" ref="R204:R210" si="6">Q204/$Q$211</f>
        <v>0.83974358974358976</v>
      </c>
      <c r="S204" s="351">
        <v>1382</v>
      </c>
      <c r="T204" s="299">
        <f t="shared" ref="T204:T210" si="7">+S204/$S$211</f>
        <v>0.87413029728020242</v>
      </c>
      <c r="U204" s="294"/>
      <c r="V204" s="301"/>
      <c r="W204" s="6"/>
    </row>
    <row r="205" spans="1:24" ht="15.6">
      <c r="A205" s="444"/>
      <c r="B205" s="440" t="s">
        <v>82</v>
      </c>
      <c r="C205" s="489"/>
      <c r="D205" s="489"/>
      <c r="E205" s="489"/>
      <c r="F205" s="489"/>
      <c r="G205" s="489"/>
      <c r="H205" s="489"/>
      <c r="I205" s="489"/>
      <c r="J205" s="489"/>
      <c r="K205" s="489"/>
      <c r="L205" s="489">
        <v>194</v>
      </c>
      <c r="M205" s="427">
        <f t="shared" si="4"/>
        <v>3.0803429660209589E-2</v>
      </c>
      <c r="N205" s="489">
        <v>5257</v>
      </c>
      <c r="O205" s="427">
        <f t="shared" si="5"/>
        <v>3.6261424383514401E-2</v>
      </c>
      <c r="P205" s="381"/>
      <c r="Q205" s="489">
        <v>13</v>
      </c>
      <c r="R205" s="427">
        <f t="shared" si="6"/>
        <v>8.3333333333333329E-2</v>
      </c>
      <c r="S205" s="489">
        <v>135</v>
      </c>
      <c r="T205" s="427">
        <f t="shared" si="7"/>
        <v>8.5388994307400379E-2</v>
      </c>
      <c r="U205" s="379"/>
      <c r="V205" s="435"/>
      <c r="W205" s="6"/>
    </row>
    <row r="206" spans="1:24" ht="15.6">
      <c r="A206" s="444"/>
      <c r="B206" s="440" t="s">
        <v>83</v>
      </c>
      <c r="C206" s="489"/>
      <c r="D206" s="489"/>
      <c r="E206" s="489"/>
      <c r="F206" s="489"/>
      <c r="G206" s="489"/>
      <c r="H206" s="489"/>
      <c r="I206" s="489"/>
      <c r="J206" s="489"/>
      <c r="K206" s="489"/>
      <c r="L206" s="489">
        <v>121</v>
      </c>
      <c r="M206" s="427">
        <f t="shared" si="4"/>
        <v>1.9212448396316292E-2</v>
      </c>
      <c r="N206" s="489">
        <v>3040</v>
      </c>
      <c r="O206" s="427">
        <f t="shared" si="5"/>
        <v>2.0969132609070528E-2</v>
      </c>
      <c r="P206" s="381"/>
      <c r="Q206" s="489">
        <v>2</v>
      </c>
      <c r="R206" s="427">
        <f t="shared" si="6"/>
        <v>1.282051282051282E-2</v>
      </c>
      <c r="S206" s="489">
        <v>7</v>
      </c>
      <c r="T206" s="427">
        <f t="shared" si="7"/>
        <v>4.4275774826059459E-3</v>
      </c>
      <c r="U206" s="379"/>
      <c r="V206" s="435"/>
      <c r="W206" s="6"/>
      <c r="X206" s="182"/>
    </row>
    <row r="207" spans="1:24" ht="15.6">
      <c r="A207" s="444"/>
      <c r="B207" s="440" t="s">
        <v>186</v>
      </c>
      <c r="C207" s="489"/>
      <c r="D207" s="489"/>
      <c r="E207" s="489"/>
      <c r="F207" s="489"/>
      <c r="G207" s="489"/>
      <c r="H207" s="489"/>
      <c r="I207" s="489"/>
      <c r="J207" s="489"/>
      <c r="K207" s="489"/>
      <c r="L207" s="489">
        <v>80</v>
      </c>
      <c r="M207" s="427">
        <f t="shared" si="4"/>
        <v>1.2702445220704985E-2</v>
      </c>
      <c r="N207" s="489">
        <v>1959</v>
      </c>
      <c r="O207" s="427">
        <f t="shared" si="5"/>
        <v>1.3512674599068806E-2</v>
      </c>
      <c r="P207" s="381"/>
      <c r="Q207" s="489">
        <v>1</v>
      </c>
      <c r="R207" s="427">
        <f t="shared" si="6"/>
        <v>6.41025641025641E-3</v>
      </c>
      <c r="S207" s="489">
        <v>3</v>
      </c>
      <c r="T207" s="427">
        <f t="shared" si="7"/>
        <v>1.8975332068311196E-3</v>
      </c>
      <c r="U207" s="379"/>
      <c r="V207" s="435"/>
      <c r="W207" s="6"/>
    </row>
    <row r="208" spans="1:24" ht="15.6">
      <c r="A208" s="444"/>
      <c r="B208" s="440" t="s">
        <v>187</v>
      </c>
      <c r="C208" s="489"/>
      <c r="D208" s="489"/>
      <c r="E208" s="489"/>
      <c r="F208" s="489"/>
      <c r="G208" s="489"/>
      <c r="H208" s="489"/>
      <c r="I208" s="489"/>
      <c r="J208" s="489"/>
      <c r="K208" s="489"/>
      <c r="L208" s="489">
        <v>82</v>
      </c>
      <c r="M208" s="427">
        <f t="shared" si="4"/>
        <v>1.3020006351222611E-2</v>
      </c>
      <c r="N208" s="489">
        <v>2031</v>
      </c>
      <c r="O208" s="427">
        <f t="shared" si="5"/>
        <v>1.4009311950336265E-2</v>
      </c>
      <c r="P208" s="381"/>
      <c r="Q208" s="489">
        <v>2</v>
      </c>
      <c r="R208" s="427">
        <f t="shared" si="6"/>
        <v>1.282051282051282E-2</v>
      </c>
      <c r="S208" s="489">
        <v>9</v>
      </c>
      <c r="T208" s="427">
        <f t="shared" si="7"/>
        <v>5.6925996204933585E-3</v>
      </c>
      <c r="U208" s="379"/>
      <c r="V208" s="435"/>
      <c r="W208" s="6"/>
    </row>
    <row r="209" spans="1:24" ht="15.6">
      <c r="A209" s="444"/>
      <c r="B209" s="440" t="s">
        <v>188</v>
      </c>
      <c r="C209" s="489"/>
      <c r="D209" s="489"/>
      <c r="E209" s="489"/>
      <c r="F209" s="489"/>
      <c r="G209" s="489"/>
      <c r="H209" s="489"/>
      <c r="I209" s="489"/>
      <c r="J209" s="489"/>
      <c r="K209" s="489"/>
      <c r="L209" s="489">
        <v>77</v>
      </c>
      <c r="M209" s="427">
        <f t="shared" si="4"/>
        <v>1.2226103524928549E-2</v>
      </c>
      <c r="N209" s="489">
        <v>2328</v>
      </c>
      <c r="O209" s="427">
        <f t="shared" si="5"/>
        <v>1.6057941024314536E-2</v>
      </c>
      <c r="P209" s="381"/>
      <c r="Q209" s="489">
        <v>1</v>
      </c>
      <c r="R209" s="427">
        <f t="shared" si="6"/>
        <v>6.41025641025641E-3</v>
      </c>
      <c r="S209" s="489">
        <v>1</v>
      </c>
      <c r="T209" s="427">
        <f t="shared" si="7"/>
        <v>6.3251106894370653E-4</v>
      </c>
      <c r="U209" s="379"/>
      <c r="V209" s="435"/>
      <c r="W209" s="6"/>
    </row>
    <row r="210" spans="1:24" ht="15.6">
      <c r="A210" s="444"/>
      <c r="B210" s="440" t="s">
        <v>189</v>
      </c>
      <c r="C210" s="489"/>
      <c r="D210" s="489"/>
      <c r="E210" s="489"/>
      <c r="F210" s="489"/>
      <c r="G210" s="489"/>
      <c r="H210" s="489"/>
      <c r="I210" s="489"/>
      <c r="J210" s="489"/>
      <c r="K210" s="489"/>
      <c r="L210" s="489">
        <v>239</v>
      </c>
      <c r="M210" s="427">
        <f t="shared" si="4"/>
        <v>3.7948555096856143E-2</v>
      </c>
      <c r="N210" s="489">
        <v>6334</v>
      </c>
      <c r="O210" s="427">
        <f t="shared" si="5"/>
        <v>4.369029142955682E-2</v>
      </c>
      <c r="P210" s="381"/>
      <c r="Q210" s="489">
        <v>6</v>
      </c>
      <c r="R210" s="427">
        <f t="shared" si="6"/>
        <v>3.8461538461538464E-2</v>
      </c>
      <c r="S210" s="489">
        <v>44</v>
      </c>
      <c r="T210" s="427">
        <f t="shared" si="7"/>
        <v>2.7830487033523088E-2</v>
      </c>
      <c r="U210" s="379"/>
      <c r="V210" s="435"/>
      <c r="W210" s="6"/>
    </row>
    <row r="211" spans="1:24" ht="15.6">
      <c r="A211" s="444"/>
      <c r="B211" s="440" t="str">
        <f>B198</f>
        <v>Total Performing  Assets</v>
      </c>
      <c r="C211" s="489"/>
      <c r="D211" s="489"/>
      <c r="E211" s="489"/>
      <c r="F211" s="489"/>
      <c r="G211" s="489"/>
      <c r="H211" s="489"/>
      <c r="I211" s="489"/>
      <c r="J211" s="489"/>
      <c r="K211" s="489"/>
      <c r="L211" s="489">
        <f>SUM(L204:L210)</f>
        <v>6298</v>
      </c>
      <c r="M211" s="427">
        <f>SUM(M204:M210)</f>
        <v>0.99999999999999989</v>
      </c>
      <c r="N211" s="489">
        <f>SUM(N204:N210)</f>
        <v>144975</v>
      </c>
      <c r="O211" s="427">
        <f>SUM(O204:O210)</f>
        <v>1</v>
      </c>
      <c r="P211" s="381"/>
      <c r="Q211" s="489">
        <f>SUM(Q204:Q210)</f>
        <v>156</v>
      </c>
      <c r="R211" s="427">
        <f>SUM(R204:R210)</f>
        <v>0.99999999999999989</v>
      </c>
      <c r="S211" s="489">
        <f>SUM(S204:S210)</f>
        <v>1581</v>
      </c>
      <c r="T211" s="427">
        <f>SUM(T204:T210)</f>
        <v>1</v>
      </c>
      <c r="U211" s="379"/>
      <c r="V211" s="435"/>
      <c r="W211" s="6"/>
    </row>
    <row r="212" spans="1:24" ht="15.6">
      <c r="A212" s="444"/>
      <c r="B212" s="440" t="s">
        <v>85</v>
      </c>
      <c r="C212" s="489"/>
      <c r="D212" s="489"/>
      <c r="E212" s="489"/>
      <c r="F212" s="489"/>
      <c r="G212" s="489"/>
      <c r="H212" s="489"/>
      <c r="I212" s="489"/>
      <c r="J212" s="489"/>
      <c r="K212" s="489"/>
      <c r="L212" s="489">
        <v>235</v>
      </c>
      <c r="M212" s="381"/>
      <c r="N212" s="489">
        <v>6614</v>
      </c>
      <c r="O212" s="380"/>
      <c r="P212" s="381"/>
      <c r="Q212" s="489">
        <v>26</v>
      </c>
      <c r="R212" s="381"/>
      <c r="S212" s="489">
        <v>477</v>
      </c>
      <c r="T212" s="381"/>
      <c r="U212" s="379"/>
      <c r="V212" s="435"/>
      <c r="W212" s="6"/>
    </row>
    <row r="213" spans="1:24" ht="15.6">
      <c r="A213" s="444"/>
      <c r="B213" s="440" t="s">
        <v>86</v>
      </c>
      <c r="C213" s="489"/>
      <c r="D213" s="489"/>
      <c r="E213" s="489"/>
      <c r="F213" s="489"/>
      <c r="G213" s="489"/>
      <c r="H213" s="489"/>
      <c r="I213" s="489"/>
      <c r="J213" s="489"/>
      <c r="K213" s="489"/>
      <c r="L213" s="489">
        <f>SUM(L211:L212)</f>
        <v>6533</v>
      </c>
      <c r="M213" s="450"/>
      <c r="N213" s="489">
        <f>SUM(N211:N212)</f>
        <v>151589</v>
      </c>
      <c r="O213" s="427"/>
      <c r="P213" s="450"/>
      <c r="Q213" s="489">
        <f>SUM(Q211:Q212)</f>
        <v>182</v>
      </c>
      <c r="R213" s="450"/>
      <c r="S213" s="489">
        <f>SUM(S211:S212)</f>
        <v>2058</v>
      </c>
      <c r="T213" s="450"/>
      <c r="U213" s="450"/>
      <c r="V213" s="492"/>
    </row>
    <row r="214" spans="1:24" ht="15.6">
      <c r="A214" s="444"/>
      <c r="B214" s="440"/>
      <c r="C214" s="381"/>
      <c r="D214" s="381"/>
      <c r="E214" s="381"/>
      <c r="F214" s="381"/>
      <c r="G214" s="381"/>
      <c r="H214" s="381"/>
      <c r="I214" s="381"/>
      <c r="J214" s="381"/>
      <c r="K214" s="381"/>
      <c r="L214" s="381"/>
      <c r="M214" s="493"/>
      <c r="N214" s="381"/>
      <c r="O214" s="493"/>
      <c r="P214" s="381"/>
      <c r="Q214" s="493"/>
      <c r="R214" s="381"/>
      <c r="S214" s="489"/>
      <c r="T214" s="381"/>
      <c r="U214" s="379"/>
      <c r="V214" s="435"/>
      <c r="W214" s="6"/>
    </row>
    <row r="215" spans="1:24" ht="15.6">
      <c r="A215" s="444"/>
      <c r="B215" s="440" t="s">
        <v>86</v>
      </c>
      <c r="C215" s="381"/>
      <c r="D215" s="381"/>
      <c r="E215" s="381"/>
      <c r="F215" s="381"/>
      <c r="G215" s="381"/>
      <c r="H215" s="381"/>
      <c r="I215" s="381"/>
      <c r="J215" s="381"/>
      <c r="K215" s="381"/>
      <c r="L215" s="493"/>
      <c r="M215" s="493"/>
      <c r="N215" s="493"/>
      <c r="O215" s="493"/>
      <c r="P215" s="381"/>
      <c r="Q215" s="493"/>
      <c r="R215" s="381"/>
      <c r="S215" s="489">
        <f>+N200+S200+N213+S213</f>
        <v>162917</v>
      </c>
      <c r="T215" s="490"/>
      <c r="U215" s="379"/>
      <c r="V215" s="435"/>
      <c r="W215" s="6"/>
      <c r="X215" s="182"/>
    </row>
    <row r="216" spans="1:24" ht="15.6">
      <c r="A216" s="316"/>
      <c r="B216" s="360"/>
      <c r="C216" s="363"/>
      <c r="D216" s="363"/>
      <c r="E216" s="363"/>
      <c r="F216" s="363"/>
      <c r="G216" s="363"/>
      <c r="H216" s="363"/>
      <c r="I216" s="363"/>
      <c r="J216" s="363"/>
      <c r="K216" s="363"/>
      <c r="L216" s="491"/>
      <c r="M216" s="491"/>
      <c r="N216" s="491"/>
      <c r="O216" s="491"/>
      <c r="P216" s="363"/>
      <c r="Q216" s="491"/>
      <c r="R216" s="363"/>
      <c r="S216" s="361"/>
      <c r="T216" s="363"/>
      <c r="U216" s="364"/>
      <c r="V216" s="312"/>
      <c r="W216" s="6"/>
    </row>
    <row r="217" spans="1:24" ht="15.6">
      <c r="A217" s="349"/>
      <c r="B217" s="357" t="s">
        <v>87</v>
      </c>
      <c r="C217" s="526"/>
      <c r="D217" s="526"/>
      <c r="E217" s="526"/>
      <c r="F217" s="526"/>
      <c r="G217" s="526"/>
      <c r="H217" s="526"/>
      <c r="I217" s="526"/>
      <c r="J217" s="526"/>
      <c r="K217" s="526"/>
      <c r="L217" s="526"/>
      <c r="M217" s="527"/>
      <c r="N217" s="526"/>
      <c r="O217" s="527"/>
      <c r="P217" s="526"/>
      <c r="Q217" s="527"/>
      <c r="R217" s="526"/>
      <c r="S217" s="358"/>
      <c r="T217" s="526"/>
      <c r="U217" s="350"/>
      <c r="V217" s="528"/>
      <c r="W217" s="6"/>
    </row>
    <row r="218" spans="1:24" ht="15.6">
      <c r="A218" s="315"/>
      <c r="B218" s="310"/>
      <c r="C218" s="296"/>
      <c r="D218" s="296"/>
      <c r="E218" s="296"/>
      <c r="F218" s="296"/>
      <c r="G218" s="296"/>
      <c r="H218" s="296"/>
      <c r="I218" s="296"/>
      <c r="J218" s="296"/>
      <c r="K218" s="296"/>
      <c r="L218" s="296"/>
      <c r="M218" s="352"/>
      <c r="N218" s="296"/>
      <c r="O218" s="352"/>
      <c r="P218" s="296"/>
      <c r="Q218" s="352"/>
      <c r="R218" s="296"/>
      <c r="S218" s="351"/>
      <c r="T218" s="296"/>
      <c r="U218" s="294"/>
      <c r="V218" s="301"/>
      <c r="W218" s="6"/>
    </row>
    <row r="219" spans="1:24" ht="15.6">
      <c r="A219" s="444"/>
      <c r="B219" s="440" t="s">
        <v>88</v>
      </c>
      <c r="C219" s="381"/>
      <c r="D219" s="381"/>
      <c r="E219" s="381"/>
      <c r="F219" s="381"/>
      <c r="G219" s="381"/>
      <c r="H219" s="381"/>
      <c r="I219" s="381"/>
      <c r="J219" s="381"/>
      <c r="K219" s="381"/>
      <c r="L219" s="381"/>
      <c r="M219" s="493"/>
      <c r="N219" s="381"/>
      <c r="O219" s="493"/>
      <c r="P219" s="381"/>
      <c r="Q219" s="493"/>
      <c r="R219" s="381"/>
      <c r="S219" s="489">
        <f>+N198+S198+N211+S211</f>
        <v>149173</v>
      </c>
      <c r="T219" s="381"/>
      <c r="U219" s="379"/>
      <c r="V219" s="435"/>
      <c r="W219" s="6"/>
      <c r="X219" s="182"/>
    </row>
    <row r="220" spans="1:24" ht="15.6">
      <c r="A220" s="444"/>
      <c r="B220" s="440" t="s">
        <v>89</v>
      </c>
      <c r="C220" s="381"/>
      <c r="D220" s="381"/>
      <c r="E220" s="381"/>
      <c r="F220" s="381"/>
      <c r="G220" s="381"/>
      <c r="H220" s="381"/>
      <c r="I220" s="381"/>
      <c r="J220" s="381"/>
      <c r="K220" s="381"/>
      <c r="L220" s="381"/>
      <c r="M220" s="493"/>
      <c r="N220" s="381"/>
      <c r="O220" s="493"/>
      <c r="P220" s="381"/>
      <c r="Q220" s="493"/>
      <c r="R220" s="381"/>
      <c r="S220" s="489">
        <f>+U78</f>
        <v>0</v>
      </c>
      <c r="T220" s="381"/>
      <c r="U220" s="379"/>
      <c r="V220" s="435"/>
      <c r="W220" s="119"/>
    </row>
    <row r="221" spans="1:24" ht="15.6">
      <c r="A221" s="444"/>
      <c r="B221" s="440" t="s">
        <v>90</v>
      </c>
      <c r="C221" s="381"/>
      <c r="D221" s="381"/>
      <c r="E221" s="381"/>
      <c r="F221" s="381"/>
      <c r="G221" s="381"/>
      <c r="H221" s="381"/>
      <c r="I221" s="381"/>
      <c r="J221" s="381"/>
      <c r="K221" s="381"/>
      <c r="L221" s="381"/>
      <c r="M221" s="493"/>
      <c r="N221" s="381"/>
      <c r="O221" s="493"/>
      <c r="P221" s="381"/>
      <c r="Q221" s="493"/>
      <c r="R221" s="381"/>
      <c r="S221" s="489">
        <f>S219+S220</f>
        <v>149173</v>
      </c>
      <c r="T221" s="381"/>
      <c r="U221" s="379"/>
      <c r="V221" s="435"/>
      <c r="W221" s="6"/>
    </row>
    <row r="222" spans="1:24" ht="15.6">
      <c r="A222" s="444"/>
      <c r="B222" s="440"/>
      <c r="C222" s="381"/>
      <c r="D222" s="381"/>
      <c r="E222" s="381"/>
      <c r="F222" s="381"/>
      <c r="G222" s="381"/>
      <c r="H222" s="381"/>
      <c r="I222" s="381"/>
      <c r="J222" s="381"/>
      <c r="K222" s="381"/>
      <c r="L222" s="381"/>
      <c r="M222" s="493"/>
      <c r="N222" s="381"/>
      <c r="O222" s="493"/>
      <c r="P222" s="381"/>
      <c r="Q222" s="493"/>
      <c r="R222" s="381"/>
      <c r="S222" s="489"/>
      <c r="T222" s="381"/>
      <c r="U222" s="379"/>
      <c r="V222" s="435"/>
      <c r="W222" s="6"/>
    </row>
    <row r="223" spans="1:24" ht="15.6">
      <c r="A223" s="444"/>
      <c r="B223" s="440" t="s">
        <v>91</v>
      </c>
      <c r="C223" s="381"/>
      <c r="D223" s="381"/>
      <c r="E223" s="381"/>
      <c r="F223" s="381"/>
      <c r="G223" s="381"/>
      <c r="H223" s="381"/>
      <c r="I223" s="381"/>
      <c r="J223" s="381"/>
      <c r="K223" s="381"/>
      <c r="L223" s="381"/>
      <c r="M223" s="493"/>
      <c r="N223" s="381"/>
      <c r="O223" s="493"/>
      <c r="P223" s="381"/>
      <c r="Q223" s="493"/>
      <c r="R223" s="381"/>
      <c r="S223" s="489">
        <f>U33</f>
        <v>149173.22879999998</v>
      </c>
      <c r="T223" s="381"/>
      <c r="U223" s="379"/>
      <c r="V223" s="435"/>
      <c r="W223" s="6"/>
    </row>
    <row r="224" spans="1:24" ht="15.6">
      <c r="A224" s="444"/>
      <c r="B224" s="440"/>
      <c r="C224" s="381"/>
      <c r="D224" s="381"/>
      <c r="E224" s="381"/>
      <c r="F224" s="381"/>
      <c r="G224" s="381"/>
      <c r="H224" s="381"/>
      <c r="I224" s="381"/>
      <c r="J224" s="381"/>
      <c r="K224" s="381"/>
      <c r="L224" s="381"/>
      <c r="M224" s="493"/>
      <c r="N224" s="381"/>
      <c r="O224" s="493"/>
      <c r="P224" s="381"/>
      <c r="Q224" s="493"/>
      <c r="R224" s="381"/>
      <c r="S224" s="489"/>
      <c r="T224" s="381"/>
      <c r="U224" s="379"/>
      <c r="V224" s="435"/>
      <c r="W224" s="6"/>
    </row>
    <row r="225" spans="1:23" ht="15.6">
      <c r="A225" s="444"/>
      <c r="B225" s="440" t="s">
        <v>92</v>
      </c>
      <c r="C225" s="381"/>
      <c r="D225" s="381"/>
      <c r="E225" s="381"/>
      <c r="F225" s="381"/>
      <c r="G225" s="381"/>
      <c r="H225" s="381"/>
      <c r="I225" s="381"/>
      <c r="J225" s="381"/>
      <c r="K225" s="381"/>
      <c r="L225" s="381"/>
      <c r="M225" s="493"/>
      <c r="N225" s="381"/>
      <c r="O225" s="493"/>
      <c r="P225" s="381"/>
      <c r="Q225" s="493"/>
      <c r="R225" s="381"/>
      <c r="S225" s="489">
        <f>S221/S223</f>
        <v>0.99999846621272581</v>
      </c>
      <c r="T225" s="381"/>
      <c r="U225" s="379"/>
      <c r="V225" s="435"/>
      <c r="W225" s="6"/>
    </row>
    <row r="226" spans="1:23" ht="15.6">
      <c r="A226" s="444"/>
      <c r="B226" s="379"/>
      <c r="C226" s="379"/>
      <c r="D226" s="379"/>
      <c r="E226" s="379"/>
      <c r="F226" s="379"/>
      <c r="G226" s="379"/>
      <c r="H226" s="379"/>
      <c r="I226" s="379"/>
      <c r="J226" s="379"/>
      <c r="K226" s="379"/>
      <c r="L226" s="379"/>
      <c r="M226" s="380"/>
      <c r="N226" s="379"/>
      <c r="O226" s="379"/>
      <c r="P226" s="379"/>
      <c r="Q226" s="440"/>
      <c r="R226" s="497"/>
      <c r="S226" s="441"/>
      <c r="T226" s="497"/>
      <c r="U226" s="466"/>
      <c r="V226" s="410"/>
      <c r="W226" s="6"/>
    </row>
    <row r="227" spans="1:23" ht="15.6">
      <c r="A227" s="353"/>
      <c r="B227" s="494" t="s">
        <v>127</v>
      </c>
      <c r="C227" s="495"/>
      <c r="D227" s="495"/>
      <c r="E227" s="495"/>
      <c r="F227" s="495"/>
      <c r="G227" s="495"/>
      <c r="H227" s="495"/>
      <c r="I227" s="495"/>
      <c r="J227" s="495"/>
      <c r="K227" s="495"/>
      <c r="L227" s="495"/>
      <c r="M227" s="363"/>
      <c r="N227" s="364"/>
      <c r="O227" s="494"/>
      <c r="P227" s="443"/>
      <c r="Q227" s="443"/>
      <c r="R227" s="443"/>
      <c r="S227" s="496"/>
      <c r="T227" s="443"/>
      <c r="U227" s="443"/>
      <c r="V227" s="355"/>
      <c r="W227" s="6"/>
    </row>
    <row r="228" spans="1:23" ht="15.6">
      <c r="A228" s="353"/>
      <c r="B228" s="287" t="s">
        <v>128</v>
      </c>
      <c r="C228" s="354"/>
      <c r="D228" s="354"/>
      <c r="E228" s="354"/>
      <c r="F228" s="354"/>
      <c r="G228" s="354"/>
      <c r="H228" s="354"/>
      <c r="I228" s="354"/>
      <c r="J228" s="354"/>
      <c r="K228" s="354"/>
      <c r="L228" s="354"/>
      <c r="M228" s="290"/>
      <c r="N228" s="287"/>
      <c r="O228" s="287"/>
      <c r="P228" s="354"/>
      <c r="Q228" s="354"/>
      <c r="R228" s="317"/>
      <c r="S228" s="317"/>
      <c r="T228" s="317"/>
      <c r="U228" s="317"/>
      <c r="V228" s="355"/>
      <c r="W228" s="6"/>
    </row>
    <row r="229" spans="1:23" ht="15.6">
      <c r="A229" s="353"/>
      <c r="B229" s="287" t="s">
        <v>246</v>
      </c>
      <c r="C229" s="287"/>
      <c r="D229" s="287"/>
      <c r="E229" s="287"/>
      <c r="F229" s="287"/>
      <c r="G229" s="287"/>
      <c r="H229" s="287"/>
      <c r="I229" s="287"/>
      <c r="J229" s="287"/>
      <c r="K229" s="287"/>
      <c r="L229" s="287"/>
      <c r="M229" s="287"/>
      <c r="N229" s="287"/>
      <c r="O229" s="287"/>
      <c r="P229" s="287"/>
      <c r="Q229" s="287"/>
      <c r="R229" s="287"/>
      <c r="S229" s="287"/>
      <c r="T229" s="287"/>
      <c r="U229" s="287"/>
      <c r="V229" s="355"/>
      <c r="W229" s="6"/>
    </row>
    <row r="230" spans="1:23" ht="15.6">
      <c r="A230" s="353"/>
      <c r="B230" s="287" t="s">
        <v>129</v>
      </c>
      <c r="C230" s="354"/>
      <c r="D230" s="354"/>
      <c r="E230" s="354"/>
      <c r="F230" s="354"/>
      <c r="G230" s="354"/>
      <c r="H230" s="354"/>
      <c r="I230" s="354"/>
      <c r="J230" s="354"/>
      <c r="K230" s="354"/>
      <c r="L230" s="354"/>
      <c r="M230" s="290"/>
      <c r="N230" s="287"/>
      <c r="O230" s="287"/>
      <c r="P230" s="354"/>
      <c r="Q230" s="354"/>
      <c r="R230" s="317"/>
      <c r="S230" s="317"/>
      <c r="T230" s="317"/>
      <c r="U230" s="317"/>
      <c r="V230" s="355"/>
      <c r="W230" s="6"/>
    </row>
    <row r="231" spans="1:23" ht="15.6">
      <c r="A231" s="353"/>
      <c r="B231" s="287"/>
      <c r="C231" s="354"/>
      <c r="D231" s="354"/>
      <c r="E231" s="354"/>
      <c r="F231" s="354"/>
      <c r="G231" s="354"/>
      <c r="H231" s="354"/>
      <c r="I231" s="354"/>
      <c r="J231" s="354"/>
      <c r="K231" s="354"/>
      <c r="L231" s="354"/>
      <c r="M231" s="290"/>
      <c r="N231" s="287"/>
      <c r="O231" s="287"/>
      <c r="P231" s="354"/>
      <c r="Q231" s="354"/>
      <c r="R231" s="317"/>
      <c r="S231" s="317"/>
      <c r="T231" s="317"/>
      <c r="U231" s="317"/>
      <c r="V231" s="355"/>
      <c r="W231" s="6"/>
    </row>
    <row r="232" spans="1:23" ht="15.6">
      <c r="A232" s="353"/>
      <c r="B232" s="287"/>
      <c r="C232" s="354"/>
      <c r="D232" s="354"/>
      <c r="E232" s="354"/>
      <c r="F232" s="354"/>
      <c r="G232" s="354"/>
      <c r="H232" s="354"/>
      <c r="I232" s="354"/>
      <c r="J232" s="354"/>
      <c r="K232" s="354"/>
      <c r="L232" s="354"/>
      <c r="M232" s="290"/>
      <c r="N232" s="287"/>
      <c r="O232" s="287"/>
      <c r="P232" s="354"/>
      <c r="Q232" s="354"/>
      <c r="R232" s="317"/>
      <c r="S232" s="317"/>
      <c r="T232" s="317"/>
      <c r="U232" s="317"/>
      <c r="V232" s="355"/>
      <c r="W232" s="6"/>
    </row>
    <row r="233" spans="1:23" ht="16.2" thickBot="1">
      <c r="A233" s="353"/>
      <c r="B233" s="287" t="str">
        <f>+B160</f>
        <v>PPAF3 INVESTOR REPORT QUARTER ENDING DECEMBER 2012</v>
      </c>
      <c r="C233" s="354"/>
      <c r="D233" s="354"/>
      <c r="E233" s="354"/>
      <c r="F233" s="354"/>
      <c r="G233" s="354"/>
      <c r="H233" s="354"/>
      <c r="I233" s="354"/>
      <c r="J233" s="354"/>
      <c r="K233" s="354"/>
      <c r="L233" s="354"/>
      <c r="M233" s="290"/>
      <c r="N233" s="287"/>
      <c r="O233" s="287"/>
      <c r="P233" s="354"/>
      <c r="Q233" s="354"/>
      <c r="R233" s="317"/>
      <c r="S233" s="317"/>
      <c r="T233" s="317"/>
      <c r="U233" s="317"/>
      <c r="V233" s="356"/>
      <c r="W233" s="6"/>
    </row>
    <row r="234" spans="1:2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row>
  </sheetData>
  <hyperlinks>
    <hyperlink ref="I9" r:id="rId1"/>
    <hyperlink ref="K187"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21" man="1"/>
    <brk id="109" max="16383" man="1"/>
    <brk id="160" max="21" man="1"/>
    <brk id="239" man="1"/>
  </rowBreaks>
  <colBreaks count="1" manualBreakCount="1">
    <brk id="23" max="1048575" man="1"/>
  </colBreaks>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tint="-0.499984740745262"/>
  </sheetPr>
  <dimension ref="A1:Y234"/>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38" t="s">
        <v>223</v>
      </c>
      <c r="B1" s="285" t="s">
        <v>123</v>
      </c>
      <c r="C1" s="239"/>
      <c r="D1" s="239"/>
      <c r="E1" s="239"/>
      <c r="F1" s="239"/>
      <c r="G1" s="239"/>
      <c r="H1" s="239"/>
      <c r="I1" s="239"/>
      <c r="J1" s="239"/>
      <c r="K1" s="239"/>
      <c r="L1" s="239"/>
      <c r="M1" s="240"/>
      <c r="N1" s="240"/>
      <c r="O1" s="240"/>
      <c r="P1" s="240"/>
      <c r="Q1" s="240"/>
      <c r="R1" s="240"/>
      <c r="S1" s="240"/>
      <c r="T1" s="240"/>
      <c r="U1" s="240"/>
      <c r="V1" s="241"/>
      <c r="W1" s="6"/>
    </row>
    <row r="2" spans="1:23" ht="15.6">
      <c r="A2" s="242"/>
      <c r="B2" s="243"/>
      <c r="C2" s="243"/>
      <c r="D2" s="243"/>
      <c r="E2" s="243"/>
      <c r="F2" s="243"/>
      <c r="G2" s="243"/>
      <c r="H2" s="243"/>
      <c r="I2" s="243"/>
      <c r="J2" s="243"/>
      <c r="K2" s="243"/>
      <c r="L2" s="243"/>
      <c r="M2" s="244"/>
      <c r="N2" s="244"/>
      <c r="O2" s="244"/>
      <c r="P2" s="244"/>
      <c r="Q2" s="244"/>
      <c r="R2" s="244"/>
      <c r="S2" s="244"/>
      <c r="T2" s="244"/>
      <c r="U2" s="244"/>
      <c r="V2" s="245"/>
      <c r="W2" s="6"/>
    </row>
    <row r="3" spans="1:23" ht="15.6">
      <c r="A3" s="246"/>
      <c r="B3" s="247" t="s">
        <v>125</v>
      </c>
      <c r="C3" s="244"/>
      <c r="D3" s="244"/>
      <c r="E3" s="244"/>
      <c r="F3" s="244"/>
      <c r="G3" s="244"/>
      <c r="H3" s="244"/>
      <c r="I3" s="244"/>
      <c r="J3" s="244"/>
      <c r="K3" s="244"/>
      <c r="L3" s="244"/>
      <c r="M3" s="244"/>
      <c r="N3" s="244"/>
      <c r="O3" s="244"/>
      <c r="P3" s="244"/>
      <c r="Q3" s="244"/>
      <c r="R3" s="244"/>
      <c r="S3" s="244"/>
      <c r="T3" s="244"/>
      <c r="U3" s="244"/>
      <c r="V3" s="245"/>
      <c r="W3" s="6"/>
    </row>
    <row r="4" spans="1:23" ht="15.6">
      <c r="A4" s="242"/>
      <c r="B4" s="243"/>
      <c r="C4" s="243"/>
      <c r="D4" s="243"/>
      <c r="E4" s="243"/>
      <c r="F4" s="243"/>
      <c r="G4" s="243"/>
      <c r="H4" s="243"/>
      <c r="I4" s="243"/>
      <c r="J4" s="243"/>
      <c r="K4" s="243"/>
      <c r="L4" s="243"/>
      <c r="M4" s="244"/>
      <c r="N4" s="244"/>
      <c r="O4" s="244"/>
      <c r="P4" s="244"/>
      <c r="Q4" s="244"/>
      <c r="R4" s="244"/>
      <c r="S4" s="244"/>
      <c r="T4" s="244"/>
      <c r="U4" s="244"/>
      <c r="V4" s="245"/>
      <c r="W4" s="6"/>
    </row>
    <row r="5" spans="1:23" ht="16.2">
      <c r="A5" s="242"/>
      <c r="B5" s="286" t="s">
        <v>0</v>
      </c>
      <c r="C5" s="248"/>
      <c r="D5" s="248"/>
      <c r="E5" s="248"/>
      <c r="F5" s="248"/>
      <c r="G5" s="248"/>
      <c r="H5" s="248"/>
      <c r="I5" s="248"/>
      <c r="J5" s="248"/>
      <c r="K5" s="248"/>
      <c r="L5" s="248"/>
      <c r="M5" s="244"/>
      <c r="N5" s="244"/>
      <c r="O5" s="244"/>
      <c r="P5" s="244"/>
      <c r="Q5" s="244"/>
      <c r="R5" s="244"/>
      <c r="S5" s="244"/>
      <c r="T5" s="244"/>
      <c r="U5" s="244"/>
      <c r="V5" s="245"/>
      <c r="W5" s="6"/>
    </row>
    <row r="6" spans="1:23" ht="16.2">
      <c r="A6" s="242"/>
      <c r="B6" s="286" t="s">
        <v>1</v>
      </c>
      <c r="C6" s="248"/>
      <c r="D6" s="248"/>
      <c r="E6" s="248"/>
      <c r="F6" s="248"/>
      <c r="G6" s="248"/>
      <c r="H6" s="248"/>
      <c r="I6" s="248"/>
      <c r="J6" s="248"/>
      <c r="K6" s="248"/>
      <c r="L6" s="248"/>
      <c r="M6" s="244"/>
      <c r="N6" s="244"/>
      <c r="O6" s="244"/>
      <c r="P6" s="244"/>
      <c r="Q6" s="244"/>
      <c r="R6" s="244"/>
      <c r="S6" s="244"/>
      <c r="T6" s="244"/>
      <c r="U6" s="244"/>
      <c r="V6" s="245"/>
      <c r="W6" s="6"/>
    </row>
    <row r="7" spans="1:23" ht="16.2">
      <c r="A7" s="242"/>
      <c r="B7" s="286" t="s">
        <v>2</v>
      </c>
      <c r="C7" s="248"/>
      <c r="D7" s="248"/>
      <c r="E7" s="248"/>
      <c r="F7" s="248"/>
      <c r="G7" s="248"/>
      <c r="H7" s="248"/>
      <c r="I7" s="248"/>
      <c r="J7" s="248"/>
      <c r="K7" s="248"/>
      <c r="L7" s="248"/>
      <c r="M7" s="244"/>
      <c r="N7" s="244"/>
      <c r="O7" s="244"/>
      <c r="P7" s="244"/>
      <c r="Q7" s="244"/>
      <c r="R7" s="244"/>
      <c r="S7" s="244"/>
      <c r="T7" s="244"/>
      <c r="U7" s="244"/>
      <c r="V7" s="245"/>
      <c r="W7" s="6"/>
    </row>
    <row r="8" spans="1:23" ht="16.2">
      <c r="A8" s="242"/>
      <c r="B8" s="249"/>
      <c r="C8" s="248"/>
      <c r="D8" s="248"/>
      <c r="E8" s="248"/>
      <c r="F8" s="248"/>
      <c r="G8" s="248"/>
      <c r="H8" s="248"/>
      <c r="I8" s="248"/>
      <c r="J8" s="248"/>
      <c r="K8" s="248"/>
      <c r="L8" s="248"/>
      <c r="M8" s="244"/>
      <c r="N8" s="244"/>
      <c r="O8" s="244"/>
      <c r="P8" s="244"/>
      <c r="Q8" s="244"/>
      <c r="R8" s="244"/>
      <c r="S8" s="244"/>
      <c r="T8" s="244"/>
      <c r="U8" s="244"/>
      <c r="V8" s="245"/>
      <c r="W8" s="6"/>
    </row>
    <row r="9" spans="1:23" ht="18">
      <c r="A9" s="242"/>
      <c r="B9" s="250" t="s">
        <v>194</v>
      </c>
      <c r="C9" s="248"/>
      <c r="D9" s="248"/>
      <c r="E9" s="248"/>
      <c r="F9" s="248"/>
      <c r="G9" s="248"/>
      <c r="H9" s="248"/>
      <c r="I9" s="251" t="s">
        <v>195</v>
      </c>
      <c r="J9" s="248"/>
      <c r="K9" s="248"/>
      <c r="L9" s="248"/>
      <c r="M9" s="244"/>
      <c r="N9" s="244"/>
      <c r="O9" s="244"/>
      <c r="P9" s="244"/>
      <c r="Q9" s="244"/>
      <c r="R9" s="244"/>
      <c r="S9" s="244"/>
      <c r="T9" s="244"/>
      <c r="U9" s="244"/>
      <c r="V9" s="245"/>
      <c r="W9" s="6"/>
    </row>
    <row r="10" spans="1:23" ht="16.2">
      <c r="A10" s="242"/>
      <c r="B10" s="248"/>
      <c r="C10" s="248"/>
      <c r="D10" s="248"/>
      <c r="E10" s="248"/>
      <c r="F10" s="248"/>
      <c r="G10" s="248"/>
      <c r="H10" s="248"/>
      <c r="I10" s="248"/>
      <c r="J10" s="248"/>
      <c r="K10" s="248"/>
      <c r="L10" s="248"/>
      <c r="M10" s="252"/>
      <c r="N10" s="252"/>
      <c r="O10" s="244"/>
      <c r="P10" s="244"/>
      <c r="Q10" s="244"/>
      <c r="R10" s="244"/>
      <c r="S10" s="244"/>
      <c r="T10" s="244"/>
      <c r="U10" s="244"/>
      <c r="V10" s="245"/>
      <c r="W10" s="6"/>
    </row>
    <row r="11" spans="1:23" ht="15.6">
      <c r="A11" s="242"/>
      <c r="B11" s="287" t="s">
        <v>3</v>
      </c>
      <c r="C11" s="252"/>
      <c r="D11" s="252"/>
      <c r="E11" s="252"/>
      <c r="F11" s="252"/>
      <c r="G11" s="252"/>
      <c r="H11" s="252"/>
      <c r="I11" s="252"/>
      <c r="J11" s="252"/>
      <c r="K11" s="252"/>
      <c r="L11" s="252"/>
      <c r="M11" s="244"/>
      <c r="N11" s="244"/>
      <c r="O11" s="244"/>
      <c r="P11" s="244"/>
      <c r="Q11" s="244"/>
      <c r="R11" s="244"/>
      <c r="S11" s="244"/>
      <c r="T11" s="244"/>
      <c r="U11" s="244"/>
      <c r="V11" s="245"/>
      <c r="W11" s="6"/>
    </row>
    <row r="12" spans="1:23" ht="16.2" thickBot="1">
      <c r="A12" s="242"/>
      <c r="B12" s="252"/>
      <c r="C12" s="252"/>
      <c r="D12" s="252"/>
      <c r="E12" s="252"/>
      <c r="F12" s="252"/>
      <c r="G12" s="252"/>
      <c r="H12" s="252"/>
      <c r="I12" s="252"/>
      <c r="J12" s="252"/>
      <c r="K12" s="252"/>
      <c r="L12" s="252"/>
      <c r="M12" s="244"/>
      <c r="N12" s="244"/>
      <c r="O12" s="244"/>
      <c r="P12" s="244"/>
      <c r="Q12" s="244"/>
      <c r="R12" s="244"/>
      <c r="S12" s="244"/>
      <c r="T12" s="244"/>
      <c r="U12" s="244"/>
      <c r="V12" s="245"/>
      <c r="W12" s="6"/>
    </row>
    <row r="13" spans="1:23" ht="15.6">
      <c r="A13" s="238"/>
      <c r="B13" s="240"/>
      <c r="C13" s="240"/>
      <c r="D13" s="240"/>
      <c r="E13" s="240"/>
      <c r="F13" s="240"/>
      <c r="G13" s="240"/>
      <c r="H13" s="240"/>
      <c r="I13" s="240"/>
      <c r="J13" s="240"/>
      <c r="K13" s="240"/>
      <c r="L13" s="240"/>
      <c r="M13" s="240"/>
      <c r="N13" s="240"/>
      <c r="O13" s="240"/>
      <c r="P13" s="240"/>
      <c r="Q13" s="240"/>
      <c r="R13" s="240"/>
      <c r="S13" s="240"/>
      <c r="T13" s="240"/>
      <c r="U13" s="240"/>
      <c r="V13" s="241"/>
      <c r="W13" s="6"/>
    </row>
    <row r="14" spans="1:23" ht="15.6">
      <c r="A14" s="242"/>
      <c r="B14" s="287" t="s">
        <v>4</v>
      </c>
      <c r="C14" s="253"/>
      <c r="D14" s="253"/>
      <c r="E14" s="253"/>
      <c r="F14" s="253"/>
      <c r="G14" s="253"/>
      <c r="H14" s="253"/>
      <c r="I14" s="253"/>
      <c r="J14" s="253"/>
      <c r="K14" s="253"/>
      <c r="L14" s="253"/>
      <c r="M14" s="288"/>
      <c r="N14" s="288"/>
      <c r="O14" s="288"/>
      <c r="P14" s="288"/>
      <c r="Q14" s="288"/>
      <c r="R14" s="288"/>
      <c r="S14" s="288"/>
      <c r="T14" s="288"/>
      <c r="U14" s="289" t="s">
        <v>126</v>
      </c>
      <c r="V14" s="245"/>
      <c r="W14" s="6"/>
    </row>
    <row r="15" spans="1:23" ht="15.6">
      <c r="A15" s="242"/>
      <c r="B15" s="287" t="s">
        <v>5</v>
      </c>
      <c r="C15" s="253"/>
      <c r="D15" s="253"/>
      <c r="E15" s="253"/>
      <c r="F15" s="253"/>
      <c r="G15" s="253"/>
      <c r="H15" s="253"/>
      <c r="I15" s="253"/>
      <c r="J15" s="253"/>
      <c r="K15" s="253"/>
      <c r="L15" s="253"/>
      <c r="M15" s="290" t="s">
        <v>93</v>
      </c>
      <c r="N15" s="291">
        <v>0.1492</v>
      </c>
      <c r="O15" s="290" t="s">
        <v>99</v>
      </c>
      <c r="P15" s="291">
        <v>5.4399999999999997E-2</v>
      </c>
      <c r="Q15" s="290" t="s">
        <v>102</v>
      </c>
      <c r="R15" s="291">
        <v>0.48899999999999999</v>
      </c>
      <c r="S15" s="290" t="s">
        <v>108</v>
      </c>
      <c r="T15" s="291">
        <v>0.30740000000000001</v>
      </c>
      <c r="U15" s="289"/>
      <c r="V15" s="254"/>
      <c r="W15" s="6"/>
    </row>
    <row r="16" spans="1:23" ht="15.6">
      <c r="A16" s="242"/>
      <c r="B16" s="287" t="s">
        <v>6</v>
      </c>
      <c r="C16" s="253"/>
      <c r="D16" s="253"/>
      <c r="E16" s="253"/>
      <c r="F16" s="253"/>
      <c r="G16" s="253"/>
      <c r="H16" s="253"/>
      <c r="I16" s="253"/>
      <c r="J16" s="253"/>
      <c r="K16" s="253"/>
      <c r="L16" s="253"/>
      <c r="M16" s="290" t="s">
        <v>93</v>
      </c>
      <c r="N16" s="291">
        <f>+N198/S221</f>
        <v>1.4373529741234457E-2</v>
      </c>
      <c r="O16" s="290" t="s">
        <v>99</v>
      </c>
      <c r="P16" s="291">
        <f>+S198/S221</f>
        <v>2.695474403495015E-3</v>
      </c>
      <c r="Q16" s="290" t="s">
        <v>102</v>
      </c>
      <c r="R16" s="291">
        <f>+N211/S221</f>
        <v>0.97336031141480905</v>
      </c>
      <c r="S16" s="290" t="s">
        <v>108</v>
      </c>
      <c r="T16" s="291">
        <f>+S211/S221</f>
        <v>9.5706844404615209E-3</v>
      </c>
      <c r="U16" s="289"/>
      <c r="V16" s="254"/>
      <c r="W16" s="6"/>
    </row>
    <row r="17" spans="1:23" ht="15.6">
      <c r="A17" s="242"/>
      <c r="B17" s="287" t="s">
        <v>7</v>
      </c>
      <c r="C17" s="253"/>
      <c r="D17" s="253"/>
      <c r="E17" s="253"/>
      <c r="F17" s="253"/>
      <c r="G17" s="253"/>
      <c r="H17" s="253"/>
      <c r="I17" s="253"/>
      <c r="J17" s="253"/>
      <c r="K17" s="253"/>
      <c r="L17" s="253"/>
      <c r="M17" s="288"/>
      <c r="N17" s="288"/>
      <c r="O17" s="288"/>
      <c r="P17" s="288"/>
      <c r="Q17" s="288"/>
      <c r="R17" s="288"/>
      <c r="S17" s="288"/>
      <c r="T17" s="288"/>
      <c r="U17" s="292">
        <v>38491</v>
      </c>
      <c r="V17" s="245"/>
      <c r="W17" s="6"/>
    </row>
    <row r="18" spans="1:23" ht="15.6">
      <c r="A18" s="242"/>
      <c r="B18" s="287" t="s">
        <v>8</v>
      </c>
      <c r="C18" s="253"/>
      <c r="D18" s="253"/>
      <c r="E18" s="253"/>
      <c r="F18" s="253"/>
      <c r="G18" s="253"/>
      <c r="H18" s="253"/>
      <c r="I18" s="253"/>
      <c r="J18" s="253"/>
      <c r="K18" s="253"/>
      <c r="L18" s="253"/>
      <c r="M18" s="288"/>
      <c r="N18" s="288"/>
      <c r="O18" s="288"/>
      <c r="P18" s="288"/>
      <c r="Q18" s="288"/>
      <c r="R18" s="288"/>
      <c r="S18" s="288"/>
      <c r="T18" s="288"/>
      <c r="U18" s="292">
        <v>41386</v>
      </c>
      <c r="V18" s="245"/>
      <c r="W18" s="6"/>
    </row>
    <row r="19" spans="1:23" ht="15.6">
      <c r="A19" s="242"/>
      <c r="B19" s="288"/>
      <c r="C19" s="244"/>
      <c r="D19" s="244"/>
      <c r="E19" s="244"/>
      <c r="F19" s="244"/>
      <c r="G19" s="244"/>
      <c r="H19" s="244"/>
      <c r="I19" s="244"/>
      <c r="J19" s="244"/>
      <c r="K19" s="244"/>
      <c r="L19" s="244"/>
      <c r="M19" s="244"/>
      <c r="N19" s="244"/>
      <c r="O19" s="244"/>
      <c r="P19" s="244"/>
      <c r="Q19" s="244"/>
      <c r="R19" s="244"/>
      <c r="S19" s="244"/>
      <c r="T19" s="244"/>
      <c r="U19" s="255"/>
      <c r="V19" s="245"/>
      <c r="W19" s="6"/>
    </row>
    <row r="20" spans="1:23" ht="15.6">
      <c r="A20" s="242"/>
      <c r="B20" s="293" t="s">
        <v>9</v>
      </c>
      <c r="C20" s="244"/>
      <c r="D20" s="244"/>
      <c r="E20" s="244"/>
      <c r="F20" s="244"/>
      <c r="G20" s="244"/>
      <c r="H20" s="244"/>
      <c r="I20" s="244"/>
      <c r="J20" s="244"/>
      <c r="K20" s="244"/>
      <c r="L20" s="244"/>
      <c r="M20" s="244"/>
      <c r="N20" s="244"/>
      <c r="O20" s="244"/>
      <c r="P20" s="244"/>
      <c r="Q20" s="244"/>
      <c r="R20" s="244"/>
      <c r="S20" s="255"/>
      <c r="T20" s="244"/>
      <c r="U20" s="249"/>
      <c r="V20" s="245"/>
      <c r="W20" s="6"/>
    </row>
    <row r="21" spans="1:23" ht="15.6">
      <c r="A21" s="242"/>
      <c r="B21" s="244"/>
      <c r="C21" s="244"/>
      <c r="D21" s="244"/>
      <c r="E21" s="244"/>
      <c r="F21" s="244"/>
      <c r="G21" s="244"/>
      <c r="H21" s="244"/>
      <c r="I21" s="244"/>
      <c r="J21" s="244"/>
      <c r="K21" s="244"/>
      <c r="L21" s="244"/>
      <c r="M21" s="244"/>
      <c r="N21" s="244"/>
      <c r="O21" s="244"/>
      <c r="P21" s="244"/>
      <c r="Q21" s="244"/>
      <c r="R21" s="244"/>
      <c r="S21" s="244"/>
      <c r="T21" s="244"/>
      <c r="U21" s="256"/>
      <c r="V21" s="245"/>
      <c r="W21" s="6"/>
    </row>
    <row r="22" spans="1:23" ht="15.6">
      <c r="A22" s="230"/>
      <c r="B22" s="231"/>
      <c r="C22" s="232" t="s">
        <v>130</v>
      </c>
      <c r="D22" s="232"/>
      <c r="E22" s="232" t="s">
        <v>131</v>
      </c>
      <c r="F22" s="232"/>
      <c r="G22" s="232" t="s">
        <v>132</v>
      </c>
      <c r="H22" s="232"/>
      <c r="I22" s="232" t="s">
        <v>133</v>
      </c>
      <c r="J22" s="232"/>
      <c r="K22" s="232" t="s">
        <v>134</v>
      </c>
      <c r="L22" s="232"/>
      <c r="M22" s="233" t="s">
        <v>135</v>
      </c>
      <c r="N22" s="233"/>
      <c r="O22" s="233" t="s">
        <v>136</v>
      </c>
      <c r="P22" s="233"/>
      <c r="Q22" s="233" t="s">
        <v>137</v>
      </c>
      <c r="R22" s="233"/>
      <c r="S22" s="235"/>
      <c r="T22" s="236"/>
      <c r="U22" s="236"/>
      <c r="V22" s="237"/>
      <c r="W22" s="6"/>
    </row>
    <row r="23" spans="1:23" ht="15.6">
      <c r="A23" s="257"/>
      <c r="B23" s="294" t="s">
        <v>10</v>
      </c>
      <c r="C23" s="295" t="s">
        <v>96</v>
      </c>
      <c r="D23" s="295"/>
      <c r="E23" s="295" t="s">
        <v>96</v>
      </c>
      <c r="F23" s="295"/>
      <c r="G23" s="295" t="s">
        <v>138</v>
      </c>
      <c r="H23" s="295"/>
      <c r="I23" s="295" t="s">
        <v>138</v>
      </c>
      <c r="J23" s="295"/>
      <c r="K23" s="295" t="s">
        <v>104</v>
      </c>
      <c r="L23" s="296"/>
      <c r="M23" s="297" t="s">
        <v>104</v>
      </c>
      <c r="N23" s="297"/>
      <c r="O23" s="297" t="s">
        <v>109</v>
      </c>
      <c r="P23" s="297"/>
      <c r="Q23" s="297" t="s">
        <v>109</v>
      </c>
      <c r="R23" s="258"/>
      <c r="S23" s="258"/>
      <c r="T23" s="259"/>
      <c r="U23" s="259"/>
      <c r="V23" s="260"/>
      <c r="W23" s="6"/>
    </row>
    <row r="24" spans="1:23" ht="15.6">
      <c r="A24" s="378"/>
      <c r="B24" s="379" t="s">
        <v>11</v>
      </c>
      <c r="C24" s="380" t="s">
        <v>97</v>
      </c>
      <c r="D24" s="380"/>
      <c r="E24" s="380" t="s">
        <v>97</v>
      </c>
      <c r="F24" s="380"/>
      <c r="G24" s="380" t="s">
        <v>139</v>
      </c>
      <c r="H24" s="380"/>
      <c r="I24" s="380" t="s">
        <v>139</v>
      </c>
      <c r="J24" s="380"/>
      <c r="K24" s="380" t="s">
        <v>105</v>
      </c>
      <c r="L24" s="381"/>
      <c r="M24" s="382" t="s">
        <v>105</v>
      </c>
      <c r="N24" s="382"/>
      <c r="O24" s="382" t="s">
        <v>110</v>
      </c>
      <c r="P24" s="382"/>
      <c r="Q24" s="382" t="s">
        <v>110</v>
      </c>
      <c r="R24" s="383"/>
      <c r="S24" s="383"/>
      <c r="T24" s="384"/>
      <c r="U24" s="384"/>
      <c r="V24" s="385"/>
      <c r="W24" s="6"/>
    </row>
    <row r="25" spans="1:23" ht="15.6">
      <c r="A25" s="378"/>
      <c r="B25" s="386" t="s">
        <v>12</v>
      </c>
      <c r="C25" s="381" t="s">
        <v>284</v>
      </c>
      <c r="D25" s="381"/>
      <c r="E25" s="381" t="s">
        <v>284</v>
      </c>
      <c r="F25" s="381"/>
      <c r="G25" s="381" t="s">
        <v>138</v>
      </c>
      <c r="H25" s="381"/>
      <c r="I25" s="381" t="s">
        <v>138</v>
      </c>
      <c r="J25" s="386"/>
      <c r="K25" s="381" t="s">
        <v>104</v>
      </c>
      <c r="L25" s="386"/>
      <c r="M25" s="387" t="s">
        <v>104</v>
      </c>
      <c r="N25" s="382"/>
      <c r="O25" s="387" t="s">
        <v>109</v>
      </c>
      <c r="P25" s="382"/>
      <c r="Q25" s="387" t="s">
        <v>109</v>
      </c>
      <c r="R25" s="388"/>
      <c r="S25" s="388"/>
      <c r="T25" s="389"/>
      <c r="U25" s="384"/>
      <c r="V25" s="385"/>
      <c r="W25" s="6"/>
    </row>
    <row r="26" spans="1:23" ht="15.6">
      <c r="A26" s="378"/>
      <c r="B26" s="386" t="s">
        <v>13</v>
      </c>
      <c r="C26" s="381" t="s">
        <v>139</v>
      </c>
      <c r="D26" s="381"/>
      <c r="E26" s="381" t="s">
        <v>139</v>
      </c>
      <c r="F26" s="381"/>
      <c r="G26" s="381" t="s">
        <v>139</v>
      </c>
      <c r="H26" s="381"/>
      <c r="I26" s="381" t="s">
        <v>139</v>
      </c>
      <c r="J26" s="386"/>
      <c r="K26" s="381" t="s">
        <v>280</v>
      </c>
      <c r="L26" s="386"/>
      <c r="M26" s="387" t="s">
        <v>280</v>
      </c>
      <c r="N26" s="382"/>
      <c r="O26" s="387" t="s">
        <v>110</v>
      </c>
      <c r="P26" s="382"/>
      <c r="Q26" s="387" t="s">
        <v>110</v>
      </c>
      <c r="R26" s="388"/>
      <c r="S26" s="388"/>
      <c r="T26" s="389"/>
      <c r="U26" s="384"/>
      <c r="V26" s="385"/>
      <c r="W26" s="6"/>
    </row>
    <row r="27" spans="1:23" ht="15.6">
      <c r="A27" s="378"/>
      <c r="B27" s="379" t="s">
        <v>14</v>
      </c>
      <c r="C27" s="380" t="s">
        <v>140</v>
      </c>
      <c r="D27" s="379"/>
      <c r="E27" s="380" t="s">
        <v>141</v>
      </c>
      <c r="F27" s="379"/>
      <c r="G27" s="380" t="s">
        <v>142</v>
      </c>
      <c r="H27" s="379"/>
      <c r="I27" s="380" t="s">
        <v>258</v>
      </c>
      <c r="J27" s="379"/>
      <c r="K27" s="380" t="s">
        <v>143</v>
      </c>
      <c r="L27" s="379"/>
      <c r="M27" s="379" t="s">
        <v>144</v>
      </c>
      <c r="N27" s="382"/>
      <c r="O27" s="379" t="s">
        <v>145</v>
      </c>
      <c r="P27" s="382"/>
      <c r="Q27" s="379" t="s">
        <v>146</v>
      </c>
      <c r="R27" s="383"/>
      <c r="S27" s="390"/>
      <c r="T27" s="384"/>
      <c r="U27" s="384"/>
      <c r="V27" s="385"/>
      <c r="W27" s="6"/>
    </row>
    <row r="28" spans="1:23" ht="15.6">
      <c r="A28" s="378"/>
      <c r="B28" s="379" t="s">
        <v>147</v>
      </c>
      <c r="C28" s="391">
        <v>146000</v>
      </c>
      <c r="D28" s="380"/>
      <c r="E28" s="392">
        <v>259500</v>
      </c>
      <c r="F28" s="380"/>
      <c r="G28" s="391">
        <v>16000</v>
      </c>
      <c r="H28" s="380"/>
      <c r="I28" s="392">
        <v>35500</v>
      </c>
      <c r="J28" s="379"/>
      <c r="K28" s="391">
        <v>18000</v>
      </c>
      <c r="L28" s="379"/>
      <c r="M28" s="392">
        <v>33000</v>
      </c>
      <c r="N28" s="393"/>
      <c r="O28" s="394">
        <v>24500</v>
      </c>
      <c r="P28" s="394"/>
      <c r="Q28" s="392">
        <v>30000</v>
      </c>
      <c r="R28" s="395"/>
      <c r="S28" s="395"/>
      <c r="T28" s="396"/>
      <c r="U28" s="395"/>
      <c r="V28" s="397"/>
      <c r="W28" s="6"/>
    </row>
    <row r="29" spans="1:23" ht="15.6">
      <c r="A29" s="378"/>
      <c r="B29" s="379" t="s">
        <v>15</v>
      </c>
      <c r="C29" s="391">
        <f>C28*C35</f>
        <v>29560.970399999998</v>
      </c>
      <c r="D29" s="398"/>
      <c r="E29" s="392">
        <f>E28*E35</f>
        <v>52541.587800000001</v>
      </c>
      <c r="F29" s="398"/>
      <c r="G29" s="391">
        <f>G28*G35</f>
        <v>10612.339199999999</v>
      </c>
      <c r="H29" s="398"/>
      <c r="I29" s="392">
        <f>I28*I35</f>
        <v>23546.1276</v>
      </c>
      <c r="J29" s="399"/>
      <c r="K29" s="391">
        <f>K28*K35</f>
        <v>11938.881599999999</v>
      </c>
      <c r="L29" s="399"/>
      <c r="M29" s="392">
        <f>M28*M35</f>
        <v>21887.9496</v>
      </c>
      <c r="N29" s="393"/>
      <c r="O29" s="391">
        <f>O28*O35</f>
        <v>16250.144399999999</v>
      </c>
      <c r="P29" s="394"/>
      <c r="Q29" s="392">
        <f>Q28*Q35</f>
        <v>19898.135999999999</v>
      </c>
      <c r="R29" s="400"/>
      <c r="S29" s="395"/>
      <c r="T29" s="396"/>
      <c r="U29" s="395"/>
      <c r="V29" s="397"/>
      <c r="W29" s="6"/>
    </row>
    <row r="30" spans="1:23" ht="15.6">
      <c r="A30" s="401"/>
      <c r="B30" s="386" t="s">
        <v>148</v>
      </c>
      <c r="C30" s="415">
        <f>C34*C28</f>
        <v>28304.348399999999</v>
      </c>
      <c r="D30" s="505"/>
      <c r="E30" s="406">
        <f>E34*E28</f>
        <v>50308.071299999996</v>
      </c>
      <c r="F30" s="505"/>
      <c r="G30" s="415">
        <f>G34*G28</f>
        <v>10161.273599999999</v>
      </c>
      <c r="H30" s="505"/>
      <c r="I30" s="406">
        <f>I34*I28</f>
        <v>22545.325799999999</v>
      </c>
      <c r="J30" s="506"/>
      <c r="K30" s="415">
        <f>K34*K28</f>
        <v>11431.432799999999</v>
      </c>
      <c r="L30" s="399"/>
      <c r="M30" s="406">
        <f>M34*M28</f>
        <v>20957.626799999998</v>
      </c>
      <c r="N30" s="407"/>
      <c r="O30" s="415">
        <f>O34*O28</f>
        <v>15559.450199999999</v>
      </c>
      <c r="P30" s="408"/>
      <c r="Q30" s="406">
        <f>Q34*Q28</f>
        <v>19052.387999999999</v>
      </c>
      <c r="R30" s="408"/>
      <c r="S30" s="408"/>
      <c r="T30" s="409"/>
      <c r="U30" s="408"/>
      <c r="V30" s="410"/>
      <c r="W30" s="6"/>
    </row>
    <row r="31" spans="1:23" ht="15.6">
      <c r="A31" s="401"/>
      <c r="B31" s="379" t="s">
        <v>260</v>
      </c>
      <c r="C31" s="391">
        <v>146000</v>
      </c>
      <c r="D31" s="398"/>
      <c r="E31" s="391">
        <v>178000</v>
      </c>
      <c r="F31" s="391"/>
      <c r="G31" s="391">
        <v>16000</v>
      </c>
      <c r="H31" s="391"/>
      <c r="I31" s="391">
        <v>24500</v>
      </c>
      <c r="J31" s="412"/>
      <c r="K31" s="391">
        <v>18000</v>
      </c>
      <c r="L31" s="412"/>
      <c r="M31" s="391">
        <v>22500</v>
      </c>
      <c r="N31" s="414"/>
      <c r="O31" s="391">
        <v>24500</v>
      </c>
      <c r="P31" s="415"/>
      <c r="Q31" s="391">
        <v>20500</v>
      </c>
      <c r="R31" s="408"/>
      <c r="S31" s="408"/>
      <c r="T31" s="409"/>
      <c r="U31" s="394">
        <f>+Q31+O31+M31+K31+I31+G31+E31+C31</f>
        <v>450000</v>
      </c>
      <c r="V31" s="410"/>
      <c r="W31" s="6"/>
    </row>
    <row r="32" spans="1:23" ht="15.6">
      <c r="A32" s="401"/>
      <c r="B32" s="379" t="s">
        <v>261</v>
      </c>
      <c r="C32" s="391">
        <f>C28*C35</f>
        <v>29560.970399999998</v>
      </c>
      <c r="D32" s="398"/>
      <c r="E32" s="391">
        <f>E31*E35</f>
        <v>36040.087200000002</v>
      </c>
      <c r="F32" s="391"/>
      <c r="G32" s="391">
        <f>G28*G35</f>
        <v>10612.339199999999</v>
      </c>
      <c r="H32" s="391"/>
      <c r="I32" s="391">
        <f>I31*I35</f>
        <v>16250.144399999999</v>
      </c>
      <c r="J32" s="412"/>
      <c r="K32" s="391">
        <f>K28*K35</f>
        <v>11938.881599999999</v>
      </c>
      <c r="L32" s="412"/>
      <c r="M32" s="391">
        <f>M31*M35</f>
        <v>14923.601999999999</v>
      </c>
      <c r="N32" s="414"/>
      <c r="O32" s="391">
        <f>O28*O35</f>
        <v>16250.144399999999</v>
      </c>
      <c r="P32" s="415"/>
      <c r="Q32" s="391">
        <f>Q31*Q35</f>
        <v>13597.059599999999</v>
      </c>
      <c r="R32" s="391"/>
      <c r="S32" s="408"/>
      <c r="T32" s="409"/>
      <c r="U32" s="394">
        <f>+Q32+O32+M32+K32+I32+G32+E32+C32</f>
        <v>149173.22879999998</v>
      </c>
      <c r="V32" s="410"/>
      <c r="W32" s="6"/>
    </row>
    <row r="33" spans="1:23" ht="15.6">
      <c r="A33" s="401"/>
      <c r="B33" s="386" t="s">
        <v>262</v>
      </c>
      <c r="C33" s="415">
        <f>C34*C28</f>
        <v>28304.348399999999</v>
      </c>
      <c r="D33" s="415"/>
      <c r="E33" s="415">
        <f>E34*E31</f>
        <v>34508.0412</v>
      </c>
      <c r="F33" s="415"/>
      <c r="G33" s="415">
        <f>G34*G28</f>
        <v>10161.273599999999</v>
      </c>
      <c r="H33" s="415"/>
      <c r="I33" s="415">
        <f>I34*I31</f>
        <v>15559.450199999999</v>
      </c>
      <c r="J33" s="414"/>
      <c r="K33" s="415">
        <f>K34*K28</f>
        <v>11431.432799999999</v>
      </c>
      <c r="L33" s="414"/>
      <c r="M33" s="415">
        <f>M34*M31</f>
        <v>14289.290999999999</v>
      </c>
      <c r="N33" s="414"/>
      <c r="O33" s="415">
        <f>O34*O28</f>
        <v>15559.450199999999</v>
      </c>
      <c r="P33" s="415"/>
      <c r="Q33" s="415">
        <f>Q34*Q31</f>
        <v>13019.131799999999</v>
      </c>
      <c r="R33" s="408"/>
      <c r="S33" s="408"/>
      <c r="T33" s="409"/>
      <c r="U33" s="408">
        <f>+Q33+O33+M33+K33+I33+G33+E33+C33</f>
        <v>142832.41919999997</v>
      </c>
      <c r="V33" s="410"/>
      <c r="W33" s="6"/>
    </row>
    <row r="34" spans="1:23" ht="15.6">
      <c r="A34" s="401"/>
      <c r="B34" s="468" t="s">
        <v>149</v>
      </c>
      <c r="C34" s="507">
        <v>0.19386539999999999</v>
      </c>
      <c r="D34" s="507"/>
      <c r="E34" s="507">
        <v>0.19386539999999999</v>
      </c>
      <c r="F34" s="507"/>
      <c r="G34" s="507">
        <v>0.63507959999999997</v>
      </c>
      <c r="H34" s="507"/>
      <c r="I34" s="507">
        <v>0.63507959999999997</v>
      </c>
      <c r="J34" s="507"/>
      <c r="K34" s="507">
        <v>0.63507959999999997</v>
      </c>
      <c r="L34" s="507"/>
      <c r="M34" s="507">
        <v>0.63507959999999997</v>
      </c>
      <c r="N34" s="507"/>
      <c r="O34" s="507">
        <v>0.63507959999999997</v>
      </c>
      <c r="P34" s="507"/>
      <c r="Q34" s="507">
        <v>0.63507959999999997</v>
      </c>
      <c r="R34" s="508"/>
      <c r="S34" s="420"/>
      <c r="T34" s="421"/>
      <c r="U34" s="420"/>
      <c r="V34" s="385"/>
      <c r="W34" s="6"/>
    </row>
    <row r="35" spans="1:23" ht="15.6">
      <c r="A35" s="401"/>
      <c r="B35" s="468" t="s">
        <v>150</v>
      </c>
      <c r="C35" s="507">
        <v>0.2024724</v>
      </c>
      <c r="D35" s="507"/>
      <c r="E35" s="507">
        <v>0.2024724</v>
      </c>
      <c r="F35" s="507"/>
      <c r="G35" s="507">
        <v>0.66327119999999995</v>
      </c>
      <c r="H35" s="507"/>
      <c r="I35" s="507">
        <v>0.66327119999999995</v>
      </c>
      <c r="J35" s="507"/>
      <c r="K35" s="507">
        <v>0.66327119999999995</v>
      </c>
      <c r="L35" s="507"/>
      <c r="M35" s="507">
        <v>0.66327119999999995</v>
      </c>
      <c r="N35" s="507"/>
      <c r="O35" s="507">
        <v>0.66327119999999995</v>
      </c>
      <c r="P35" s="507"/>
      <c r="Q35" s="507">
        <v>0.66327119999999995</v>
      </c>
      <c r="R35" s="508"/>
      <c r="S35" s="420"/>
      <c r="T35" s="421"/>
      <c r="U35" s="420"/>
      <c r="V35" s="385"/>
      <c r="W35" s="6"/>
    </row>
    <row r="36" spans="1:23" ht="15.6">
      <c r="A36" s="378"/>
      <c r="B36" s="379" t="s">
        <v>153</v>
      </c>
      <c r="C36" s="380" t="s">
        <v>163</v>
      </c>
      <c r="D36" s="380"/>
      <c r="E36" s="380" t="s">
        <v>163</v>
      </c>
      <c r="F36" s="380"/>
      <c r="G36" s="380" t="s">
        <v>164</v>
      </c>
      <c r="H36" s="380"/>
      <c r="I36" s="380" t="s">
        <v>164</v>
      </c>
      <c r="J36" s="380"/>
      <c r="K36" s="380" t="s">
        <v>106</v>
      </c>
      <c r="L36" s="380"/>
      <c r="M36" s="380" t="s">
        <v>165</v>
      </c>
      <c r="N36" s="380"/>
      <c r="O36" s="380" t="s">
        <v>166</v>
      </c>
      <c r="P36" s="380"/>
      <c r="Q36" s="380" t="s">
        <v>167</v>
      </c>
      <c r="R36" s="380"/>
      <c r="S36" s="380"/>
      <c r="T36" s="379"/>
      <c r="U36" s="424"/>
      <c r="V36" s="410"/>
      <c r="W36" s="6"/>
    </row>
    <row r="37" spans="1:23" ht="15.6">
      <c r="A37" s="378"/>
      <c r="B37" s="379" t="s">
        <v>151</v>
      </c>
      <c r="C37" s="509">
        <v>9.5125000000000001E-3</v>
      </c>
      <c r="D37" s="509"/>
      <c r="E37" s="509">
        <v>6.3499999999999997E-3</v>
      </c>
      <c r="F37" s="509"/>
      <c r="G37" s="509">
        <v>1.1712500000000001E-2</v>
      </c>
      <c r="H37" s="509"/>
      <c r="I37" s="509">
        <v>8.5500000000000003E-3</v>
      </c>
      <c r="J37" s="509"/>
      <c r="K37" s="509">
        <v>1.7112499999999999E-2</v>
      </c>
      <c r="L37" s="509"/>
      <c r="M37" s="509">
        <v>1.3350000000000001E-2</v>
      </c>
      <c r="N37" s="509"/>
      <c r="O37" s="509">
        <v>2.4112499999999999E-2</v>
      </c>
      <c r="P37" s="509"/>
      <c r="Q37" s="509">
        <v>1.9949999999999999E-2</v>
      </c>
      <c r="R37" s="427"/>
      <c r="S37" s="509"/>
      <c r="T37" s="379"/>
      <c r="U37" s="380"/>
      <c r="V37" s="410"/>
      <c r="W37" s="6"/>
    </row>
    <row r="38" spans="1:23" ht="15.6">
      <c r="A38" s="378"/>
      <c r="B38" s="379" t="s">
        <v>152</v>
      </c>
      <c r="C38" s="509">
        <v>9.7874999999999993E-3</v>
      </c>
      <c r="D38" s="509"/>
      <c r="E38" s="509">
        <v>6.4999999999999997E-3</v>
      </c>
      <c r="F38" s="509"/>
      <c r="G38" s="509">
        <v>1.19875E-2</v>
      </c>
      <c r="H38" s="509"/>
      <c r="I38" s="509">
        <v>8.6999999999999994E-3</v>
      </c>
      <c r="J38" s="509"/>
      <c r="K38" s="509">
        <v>1.73875E-2</v>
      </c>
      <c r="L38" s="509"/>
      <c r="M38" s="509">
        <v>1.35E-2</v>
      </c>
      <c r="N38" s="509"/>
      <c r="O38" s="509">
        <v>2.4387499999999999E-2</v>
      </c>
      <c r="P38" s="509"/>
      <c r="Q38" s="509">
        <v>2.01E-2</v>
      </c>
      <c r="R38" s="427"/>
      <c r="S38" s="509"/>
      <c r="T38" s="379"/>
      <c r="U38" s="424"/>
      <c r="V38" s="410"/>
      <c r="W38" s="6"/>
    </row>
    <row r="39" spans="1:23" ht="15.6">
      <c r="A39" s="378"/>
      <c r="B39" s="379" t="s">
        <v>263</v>
      </c>
      <c r="C39" s="380" t="s">
        <v>163</v>
      </c>
      <c r="D39" s="379"/>
      <c r="E39" s="380" t="s">
        <v>228</v>
      </c>
      <c r="F39" s="379"/>
      <c r="G39" s="380" t="s">
        <v>164</v>
      </c>
      <c r="H39" s="379"/>
      <c r="I39" s="380" t="s">
        <v>226</v>
      </c>
      <c r="J39" s="379"/>
      <c r="K39" s="380" t="s">
        <v>106</v>
      </c>
      <c r="L39" s="379"/>
      <c r="M39" s="380" t="s">
        <v>227</v>
      </c>
      <c r="N39" s="379"/>
      <c r="O39" s="380" t="s">
        <v>166</v>
      </c>
      <c r="P39" s="380"/>
      <c r="Q39" s="380" t="s">
        <v>229</v>
      </c>
      <c r="R39" s="427"/>
      <c r="S39" s="509"/>
      <c r="T39" s="379"/>
      <c r="U39" s="424"/>
      <c r="V39" s="410"/>
      <c r="W39" s="6"/>
    </row>
    <row r="40" spans="1:23" ht="15.6">
      <c r="A40" s="378"/>
      <c r="B40" s="379" t="s">
        <v>264</v>
      </c>
      <c r="C40" s="509">
        <f>+C37</f>
        <v>9.5125000000000001E-3</v>
      </c>
      <c r="D40" s="509"/>
      <c r="E40" s="509">
        <v>1.00885E-2</v>
      </c>
      <c r="F40" s="509"/>
      <c r="G40" s="509">
        <f>+G37</f>
        <v>1.1712500000000001E-2</v>
      </c>
      <c r="H40" s="509"/>
      <c r="I40" s="509">
        <v>1.24455E-2</v>
      </c>
      <c r="J40" s="509"/>
      <c r="K40" s="509">
        <f>+K37</f>
        <v>1.7112499999999999E-2</v>
      </c>
      <c r="L40" s="510"/>
      <c r="M40" s="509">
        <v>1.7672899999999998E-2</v>
      </c>
      <c r="N40" s="510"/>
      <c r="O40" s="509">
        <f>+O37</f>
        <v>2.4112499999999999E-2</v>
      </c>
      <c r="P40" s="509"/>
      <c r="Q40" s="509">
        <v>2.49389E-2</v>
      </c>
      <c r="R40" s="427"/>
      <c r="S40" s="509"/>
      <c r="T40" s="379"/>
      <c r="U40" s="427">
        <f>SUMPRODUCT(C40:Q40,C32:Q32)/U32</f>
        <v>1.454887124710838E-2</v>
      </c>
      <c r="V40" s="410"/>
      <c r="W40" s="6"/>
    </row>
    <row r="41" spans="1:23" ht="15.6">
      <c r="A41" s="378"/>
      <c r="B41" s="379" t="s">
        <v>265</v>
      </c>
      <c r="C41" s="509">
        <f>+C38</f>
        <v>9.7874999999999993E-3</v>
      </c>
      <c r="D41" s="509"/>
      <c r="E41" s="509">
        <v>1.0363499999999999E-2</v>
      </c>
      <c r="F41" s="509"/>
      <c r="G41" s="509">
        <f>+G38</f>
        <v>1.19875E-2</v>
      </c>
      <c r="H41" s="509"/>
      <c r="I41" s="509">
        <v>1.2720499999999999E-2</v>
      </c>
      <c r="J41" s="509"/>
      <c r="K41" s="509">
        <f>+K38</f>
        <v>1.73875E-2</v>
      </c>
      <c r="L41" s="510"/>
      <c r="M41" s="509">
        <v>1.7947899999999999E-2</v>
      </c>
      <c r="N41" s="510"/>
      <c r="O41" s="509">
        <f>+O38</f>
        <v>2.4387499999999999E-2</v>
      </c>
      <c r="P41" s="509"/>
      <c r="Q41" s="509">
        <v>2.5213900000000001E-2</v>
      </c>
      <c r="R41" s="427"/>
      <c r="S41" s="509"/>
      <c r="T41" s="379"/>
      <c r="U41" s="424"/>
      <c r="V41" s="410"/>
      <c r="W41" s="6"/>
    </row>
    <row r="42" spans="1:23" ht="15.6">
      <c r="A42" s="378"/>
      <c r="B42" s="379" t="s">
        <v>17</v>
      </c>
      <c r="C42" s="429">
        <v>39918</v>
      </c>
      <c r="D42" s="429"/>
      <c r="E42" s="429">
        <v>39918</v>
      </c>
      <c r="F42" s="429"/>
      <c r="G42" s="429">
        <v>39918</v>
      </c>
      <c r="H42" s="429"/>
      <c r="I42" s="429">
        <v>39918</v>
      </c>
      <c r="J42" s="429"/>
      <c r="K42" s="429">
        <v>39918</v>
      </c>
      <c r="L42" s="429"/>
      <c r="M42" s="429">
        <v>39918</v>
      </c>
      <c r="N42" s="429"/>
      <c r="O42" s="429">
        <v>39918</v>
      </c>
      <c r="P42" s="429"/>
      <c r="Q42" s="429">
        <v>39918</v>
      </c>
      <c r="R42" s="380"/>
      <c r="S42" s="380"/>
      <c r="T42" s="379"/>
      <c r="U42" s="424"/>
      <c r="V42" s="410"/>
      <c r="W42" s="6"/>
    </row>
    <row r="43" spans="1:23" ht="15.6">
      <c r="A43" s="378"/>
      <c r="B43" s="379" t="s">
        <v>18</v>
      </c>
      <c r="C43" s="429">
        <v>40283</v>
      </c>
      <c r="D43" s="430"/>
      <c r="E43" s="429">
        <v>40283</v>
      </c>
      <c r="F43" s="430"/>
      <c r="G43" s="429">
        <v>40283</v>
      </c>
      <c r="H43" s="430"/>
      <c r="I43" s="429">
        <v>40283</v>
      </c>
      <c r="J43" s="430"/>
      <c r="K43" s="429">
        <v>40283</v>
      </c>
      <c r="L43" s="430"/>
      <c r="M43" s="429">
        <v>40283</v>
      </c>
      <c r="N43" s="430"/>
      <c r="O43" s="429">
        <v>40283</v>
      </c>
      <c r="P43" s="429"/>
      <c r="Q43" s="429">
        <v>40283</v>
      </c>
      <c r="R43" s="380"/>
      <c r="S43" s="380"/>
      <c r="T43" s="424"/>
      <c r="U43" s="424"/>
      <c r="V43" s="410"/>
      <c r="W43" s="6"/>
    </row>
    <row r="44" spans="1:23" ht="15.6">
      <c r="A44" s="378"/>
      <c r="B44" s="379" t="s">
        <v>154</v>
      </c>
      <c r="C44" s="380" t="s">
        <v>163</v>
      </c>
      <c r="D44" s="380"/>
      <c r="E44" s="380" t="s">
        <v>163</v>
      </c>
      <c r="F44" s="380"/>
      <c r="G44" s="380" t="s">
        <v>164</v>
      </c>
      <c r="H44" s="380"/>
      <c r="I44" s="380" t="s">
        <v>164</v>
      </c>
      <c r="J44" s="380"/>
      <c r="K44" s="380" t="s">
        <v>106</v>
      </c>
      <c r="L44" s="380"/>
      <c r="M44" s="380" t="s">
        <v>165</v>
      </c>
      <c r="N44" s="380"/>
      <c r="O44" s="380" t="s">
        <v>166</v>
      </c>
      <c r="P44" s="380"/>
      <c r="Q44" s="380" t="s">
        <v>167</v>
      </c>
      <c r="R44" s="380"/>
      <c r="S44" s="380"/>
      <c r="T44" s="424"/>
      <c r="U44" s="424"/>
      <c r="V44" s="410"/>
      <c r="W44" s="6"/>
    </row>
    <row r="45" spans="1:23" ht="15.6">
      <c r="A45" s="378"/>
      <c r="B45" s="379" t="s">
        <v>266</v>
      </c>
      <c r="C45" s="380" t="s">
        <v>163</v>
      </c>
      <c r="D45" s="379"/>
      <c r="E45" s="380" t="s">
        <v>228</v>
      </c>
      <c r="F45" s="379"/>
      <c r="G45" s="380" t="s">
        <v>164</v>
      </c>
      <c r="H45" s="379"/>
      <c r="I45" s="380" t="s">
        <v>226</v>
      </c>
      <c r="J45" s="379"/>
      <c r="K45" s="380" t="s">
        <v>106</v>
      </c>
      <c r="L45" s="379"/>
      <c r="M45" s="380" t="s">
        <v>227</v>
      </c>
      <c r="N45" s="379"/>
      <c r="O45" s="380" t="s">
        <v>166</v>
      </c>
      <c r="P45" s="380"/>
      <c r="Q45" s="380" t="s">
        <v>229</v>
      </c>
      <c r="R45" s="380"/>
      <c r="S45" s="380"/>
      <c r="T45" s="424"/>
      <c r="U45" s="424"/>
      <c r="V45" s="410"/>
      <c r="W45" s="6"/>
    </row>
    <row r="46" spans="1:23" ht="15.6">
      <c r="A46" s="378"/>
      <c r="B46" s="379"/>
      <c r="C46" s="379"/>
      <c r="D46" s="379"/>
      <c r="E46" s="379"/>
      <c r="F46" s="379"/>
      <c r="G46" s="379"/>
      <c r="H46" s="379"/>
      <c r="I46" s="379"/>
      <c r="J46" s="379"/>
      <c r="K46" s="379"/>
      <c r="L46" s="379"/>
      <c r="M46" s="431"/>
      <c r="N46" s="431"/>
      <c r="O46" s="379"/>
      <c r="P46" s="431"/>
      <c r="Q46" s="431"/>
      <c r="R46" s="431"/>
      <c r="S46" s="431"/>
      <c r="T46" s="431"/>
      <c r="U46" s="431"/>
      <c r="V46" s="410"/>
      <c r="W46" s="6"/>
    </row>
    <row r="47" spans="1:23" ht="15.6">
      <c r="A47" s="378"/>
      <c r="B47" s="379" t="s">
        <v>201</v>
      </c>
      <c r="C47" s="379"/>
      <c r="D47" s="379"/>
      <c r="E47" s="379"/>
      <c r="F47" s="379"/>
      <c r="G47" s="379"/>
      <c r="H47" s="379"/>
      <c r="I47" s="379"/>
      <c r="J47" s="379"/>
      <c r="K47" s="379"/>
      <c r="L47" s="379"/>
      <c r="M47" s="379"/>
      <c r="N47" s="379"/>
      <c r="O47" s="379"/>
      <c r="P47" s="379"/>
      <c r="Q47" s="379"/>
      <c r="R47" s="379"/>
      <c r="S47" s="379"/>
      <c r="T47" s="379"/>
      <c r="U47" s="427">
        <f>SUM(G31:Q31)/(C31+E31)</f>
        <v>0.3888888888888889</v>
      </c>
      <c r="V47" s="410"/>
      <c r="W47" s="6"/>
    </row>
    <row r="48" spans="1:23" ht="15.6">
      <c r="A48" s="378"/>
      <c r="B48" s="379" t="s">
        <v>202</v>
      </c>
      <c r="C48" s="379"/>
      <c r="D48" s="379"/>
      <c r="E48" s="379"/>
      <c r="F48" s="379"/>
      <c r="G48" s="379"/>
      <c r="H48" s="379"/>
      <c r="I48" s="379"/>
      <c r="J48" s="379"/>
      <c r="K48" s="379"/>
      <c r="L48" s="379"/>
      <c r="M48" s="379"/>
      <c r="N48" s="379"/>
      <c r="O48" s="379"/>
      <c r="P48" s="379"/>
      <c r="Q48" s="379"/>
      <c r="R48" s="379"/>
      <c r="S48" s="379"/>
      <c r="T48" s="379"/>
      <c r="U48" s="427">
        <f>SUM(F33:Q33)/(C33+E33)</f>
        <v>1.2739529591149326</v>
      </c>
      <c r="V48" s="410"/>
      <c r="W48" s="6"/>
    </row>
    <row r="49" spans="1:23" ht="15.6">
      <c r="A49" s="378"/>
      <c r="B49" s="379" t="s">
        <v>203</v>
      </c>
      <c r="C49" s="379"/>
      <c r="D49" s="379"/>
      <c r="E49" s="379"/>
      <c r="F49" s="379"/>
      <c r="G49" s="379"/>
      <c r="H49" s="379"/>
      <c r="I49" s="379"/>
      <c r="J49" s="379"/>
      <c r="K49" s="379"/>
      <c r="L49" s="379"/>
      <c r="M49" s="379"/>
      <c r="N49" s="379"/>
      <c r="O49" s="379"/>
      <c r="P49" s="379"/>
      <c r="Q49" s="379"/>
      <c r="R49" s="379"/>
      <c r="S49" s="380" t="s">
        <v>95</v>
      </c>
      <c r="T49" s="380" t="s">
        <v>117</v>
      </c>
      <c r="U49" s="394">
        <v>99000</v>
      </c>
      <c r="V49" s="410"/>
      <c r="W49" s="6"/>
    </row>
    <row r="50" spans="1:23" ht="15.6">
      <c r="A50" s="378"/>
      <c r="B50" s="379"/>
      <c r="C50" s="379"/>
      <c r="D50" s="379"/>
      <c r="E50" s="379"/>
      <c r="F50" s="379"/>
      <c r="G50" s="379"/>
      <c r="H50" s="379"/>
      <c r="I50" s="379"/>
      <c r="J50" s="379"/>
      <c r="K50" s="379"/>
      <c r="L50" s="379"/>
      <c r="M50" s="379"/>
      <c r="N50" s="379"/>
      <c r="O50" s="379"/>
      <c r="P50" s="379"/>
      <c r="Q50" s="379"/>
      <c r="R50" s="379"/>
      <c r="S50" s="379" t="s">
        <v>213</v>
      </c>
      <c r="T50" s="379"/>
      <c r="U50" s="432"/>
      <c r="V50" s="410"/>
      <c r="W50" s="6"/>
    </row>
    <row r="51" spans="1:23" ht="15.6">
      <c r="A51" s="378"/>
      <c r="B51" s="379" t="s">
        <v>19</v>
      </c>
      <c r="C51" s="379"/>
      <c r="D51" s="379"/>
      <c r="E51" s="379"/>
      <c r="F51" s="379"/>
      <c r="G51" s="379"/>
      <c r="H51" s="379"/>
      <c r="I51" s="379"/>
      <c r="J51" s="379"/>
      <c r="K51" s="379"/>
      <c r="L51" s="379"/>
      <c r="M51" s="379"/>
      <c r="N51" s="379"/>
      <c r="O51" s="379"/>
      <c r="P51" s="379"/>
      <c r="Q51" s="379"/>
      <c r="R51" s="379"/>
      <c r="S51" s="380"/>
      <c r="T51" s="380"/>
      <c r="U51" s="380" t="s">
        <v>118</v>
      </c>
      <c r="V51" s="410"/>
      <c r="W51" s="6"/>
    </row>
    <row r="52" spans="1:23" ht="15.6">
      <c r="A52" s="401"/>
      <c r="B52" s="386" t="s">
        <v>20</v>
      </c>
      <c r="C52" s="386"/>
      <c r="D52" s="386"/>
      <c r="E52" s="386"/>
      <c r="F52" s="386"/>
      <c r="G52" s="386"/>
      <c r="H52" s="386"/>
      <c r="I52" s="386"/>
      <c r="J52" s="386"/>
      <c r="K52" s="386"/>
      <c r="L52" s="386"/>
      <c r="M52" s="386"/>
      <c r="N52" s="386"/>
      <c r="O52" s="386"/>
      <c r="P52" s="386"/>
      <c r="Q52" s="386"/>
      <c r="R52" s="386"/>
      <c r="S52" s="433"/>
      <c r="T52" s="433"/>
      <c r="U52" s="434">
        <v>41379</v>
      </c>
      <c r="V52" s="435"/>
      <c r="W52" s="6"/>
    </row>
    <row r="53" spans="1:23" ht="15.6">
      <c r="A53" s="378"/>
      <c r="B53" s="379" t="s">
        <v>155</v>
      </c>
      <c r="C53" s="379"/>
      <c r="D53" s="379"/>
      <c r="E53" s="379"/>
      <c r="F53" s="379"/>
      <c r="G53" s="379"/>
      <c r="H53" s="379"/>
      <c r="I53" s="379"/>
      <c r="J53" s="379"/>
      <c r="K53" s="379"/>
      <c r="L53" s="379"/>
      <c r="M53" s="379"/>
      <c r="N53" s="379"/>
      <c r="O53" s="379"/>
      <c r="P53" s="379"/>
      <c r="Q53" s="424"/>
      <c r="R53" s="379">
        <f>U53-S53+1</f>
        <v>92</v>
      </c>
      <c r="S53" s="436">
        <v>41197</v>
      </c>
      <c r="T53" s="429"/>
      <c r="U53" s="436">
        <v>41288</v>
      </c>
      <c r="V53" s="410"/>
      <c r="W53" s="6"/>
    </row>
    <row r="54" spans="1:23" ht="15.6">
      <c r="A54" s="378"/>
      <c r="B54" s="379" t="s">
        <v>156</v>
      </c>
      <c r="C54" s="379"/>
      <c r="D54" s="379"/>
      <c r="E54" s="379"/>
      <c r="F54" s="379"/>
      <c r="G54" s="379"/>
      <c r="H54" s="379"/>
      <c r="I54" s="379"/>
      <c r="J54" s="379"/>
      <c r="K54" s="379"/>
      <c r="L54" s="379"/>
      <c r="M54" s="379"/>
      <c r="N54" s="379"/>
      <c r="O54" s="379"/>
      <c r="P54" s="379"/>
      <c r="Q54" s="424"/>
      <c r="R54" s="379">
        <f>U54-S54+1</f>
        <v>90</v>
      </c>
      <c r="S54" s="436">
        <v>41289</v>
      </c>
      <c r="T54" s="429"/>
      <c r="U54" s="436">
        <v>41378</v>
      </c>
      <c r="V54" s="410"/>
      <c r="W54" s="6"/>
    </row>
    <row r="55" spans="1:23" ht="15.6">
      <c r="A55" s="378"/>
      <c r="B55" s="379" t="s">
        <v>21</v>
      </c>
      <c r="C55" s="379"/>
      <c r="D55" s="379"/>
      <c r="E55" s="379"/>
      <c r="F55" s="379"/>
      <c r="G55" s="379"/>
      <c r="H55" s="379"/>
      <c r="I55" s="379"/>
      <c r="J55" s="379"/>
      <c r="K55" s="379"/>
      <c r="L55" s="379"/>
      <c r="M55" s="379"/>
      <c r="N55" s="379"/>
      <c r="O55" s="379"/>
      <c r="P55" s="379"/>
      <c r="Q55" s="379"/>
      <c r="R55" s="379"/>
      <c r="S55" s="436"/>
      <c r="T55" s="429"/>
      <c r="U55" s="436" t="s">
        <v>119</v>
      </c>
      <c r="V55" s="410"/>
      <c r="W55" s="6"/>
    </row>
    <row r="56" spans="1:23" ht="15.6">
      <c r="A56" s="378"/>
      <c r="B56" s="379" t="s">
        <v>22</v>
      </c>
      <c r="C56" s="379"/>
      <c r="D56" s="379"/>
      <c r="E56" s="379"/>
      <c r="F56" s="379"/>
      <c r="G56" s="379"/>
      <c r="H56" s="379"/>
      <c r="I56" s="379"/>
      <c r="J56" s="379"/>
      <c r="K56" s="379"/>
      <c r="L56" s="379"/>
      <c r="M56" s="379"/>
      <c r="N56" s="379"/>
      <c r="O56" s="379"/>
      <c r="P56" s="379"/>
      <c r="Q56" s="379"/>
      <c r="R56" s="379"/>
      <c r="S56" s="436"/>
      <c r="T56" s="429"/>
      <c r="U56" s="436">
        <v>41366</v>
      </c>
      <c r="V56" s="410"/>
      <c r="W56" s="6"/>
    </row>
    <row r="57" spans="1:23" ht="15.6">
      <c r="A57" s="242"/>
      <c r="B57" s="364"/>
      <c r="C57" s="364"/>
      <c r="D57" s="364"/>
      <c r="E57" s="364"/>
      <c r="F57" s="364"/>
      <c r="G57" s="364"/>
      <c r="H57" s="364"/>
      <c r="I57" s="364"/>
      <c r="J57" s="364"/>
      <c r="K57" s="364"/>
      <c r="L57" s="364"/>
      <c r="M57" s="364"/>
      <c r="N57" s="364"/>
      <c r="O57" s="364"/>
      <c r="P57" s="364"/>
      <c r="Q57" s="364"/>
      <c r="R57" s="364"/>
      <c r="S57" s="364"/>
      <c r="T57" s="364"/>
      <c r="U57" s="377"/>
      <c r="V57" s="303"/>
      <c r="W57" s="6"/>
    </row>
    <row r="58" spans="1:23" ht="15.6">
      <c r="A58" s="242"/>
      <c r="B58" s="288"/>
      <c r="C58" s="288"/>
      <c r="D58" s="288"/>
      <c r="E58" s="288"/>
      <c r="F58" s="288"/>
      <c r="G58" s="288"/>
      <c r="H58" s="288"/>
      <c r="I58" s="288"/>
      <c r="J58" s="288"/>
      <c r="K58" s="288"/>
      <c r="L58" s="288"/>
      <c r="M58" s="288"/>
      <c r="N58" s="288"/>
      <c r="O58" s="288"/>
      <c r="P58" s="288"/>
      <c r="Q58" s="288"/>
      <c r="R58" s="288"/>
      <c r="S58" s="288"/>
      <c r="T58" s="288"/>
      <c r="U58" s="302"/>
      <c r="V58" s="303"/>
      <c r="W58" s="6"/>
    </row>
    <row r="59" spans="1:23" ht="16.2" thickBot="1">
      <c r="A59" s="261"/>
      <c r="B59" s="304" t="s">
        <v>283</v>
      </c>
      <c r="C59" s="305"/>
      <c r="D59" s="305"/>
      <c r="E59" s="305"/>
      <c r="F59" s="305"/>
      <c r="G59" s="305"/>
      <c r="H59" s="305"/>
      <c r="I59" s="305"/>
      <c r="J59" s="305"/>
      <c r="K59" s="305"/>
      <c r="L59" s="305"/>
      <c r="M59" s="305"/>
      <c r="N59" s="305"/>
      <c r="O59" s="305"/>
      <c r="P59" s="305"/>
      <c r="Q59" s="305"/>
      <c r="R59" s="305"/>
      <c r="S59" s="305"/>
      <c r="T59" s="305"/>
      <c r="U59" s="306"/>
      <c r="V59" s="307"/>
      <c r="W59" s="6"/>
    </row>
    <row r="60" spans="1:23" ht="15.6">
      <c r="A60" s="230"/>
      <c r="B60" s="511" t="s">
        <v>23</v>
      </c>
      <c r="C60" s="511"/>
      <c r="D60" s="511"/>
      <c r="E60" s="511"/>
      <c r="F60" s="511"/>
      <c r="G60" s="511"/>
      <c r="H60" s="511"/>
      <c r="I60" s="511"/>
      <c r="J60" s="511"/>
      <c r="K60" s="511"/>
      <c r="L60" s="511"/>
      <c r="M60" s="231"/>
      <c r="N60" s="231"/>
      <c r="O60" s="231"/>
      <c r="P60" s="231"/>
      <c r="Q60" s="231"/>
      <c r="R60" s="231"/>
      <c r="S60" s="231"/>
      <c r="T60" s="231"/>
      <c r="U60" s="309"/>
      <c r="V60" s="237"/>
      <c r="W60" s="6"/>
    </row>
    <row r="61" spans="1:23" ht="15.6">
      <c r="A61" s="242"/>
      <c r="B61" s="252"/>
      <c r="C61" s="252"/>
      <c r="D61" s="252"/>
      <c r="E61" s="252"/>
      <c r="F61" s="252"/>
      <c r="G61" s="252"/>
      <c r="H61" s="252"/>
      <c r="I61" s="252"/>
      <c r="J61" s="252"/>
      <c r="K61" s="252"/>
      <c r="L61" s="252"/>
      <c r="M61" s="244"/>
      <c r="N61" s="244"/>
      <c r="O61" s="244"/>
      <c r="P61" s="244"/>
      <c r="Q61" s="244"/>
      <c r="R61" s="244"/>
      <c r="S61" s="244"/>
      <c r="T61" s="244"/>
      <c r="U61" s="263"/>
      <c r="V61" s="245"/>
      <c r="W61" s="6"/>
    </row>
    <row r="62" spans="1:23" s="151" customFormat="1" ht="46.8">
      <c r="A62" s="264"/>
      <c r="B62" s="512"/>
      <c r="C62" s="513"/>
      <c r="D62" s="513"/>
      <c r="E62" s="513"/>
      <c r="F62" s="513"/>
      <c r="G62" s="513"/>
      <c r="H62" s="513"/>
      <c r="I62" s="513"/>
      <c r="J62" s="513"/>
      <c r="K62" s="513" t="s">
        <v>197</v>
      </c>
      <c r="L62" s="513"/>
      <c r="M62" s="513" t="s">
        <v>98</v>
      </c>
      <c r="N62" s="513"/>
      <c r="O62" s="513" t="s">
        <v>107</v>
      </c>
      <c r="P62" s="513"/>
      <c r="Q62" s="513" t="s">
        <v>111</v>
      </c>
      <c r="R62" s="513"/>
      <c r="S62" s="513" t="s">
        <v>113</v>
      </c>
      <c r="T62" s="513"/>
      <c r="U62" s="514" t="s">
        <v>120</v>
      </c>
      <c r="V62" s="515"/>
      <c r="W62" s="150"/>
    </row>
    <row r="63" spans="1:23" ht="15.6">
      <c r="A63" s="378"/>
      <c r="B63" s="379" t="s">
        <v>24</v>
      </c>
      <c r="C63" s="440"/>
      <c r="D63" s="440"/>
      <c r="E63" s="440"/>
      <c r="F63" s="440"/>
      <c r="G63" s="440"/>
      <c r="H63" s="440"/>
      <c r="I63" s="440"/>
      <c r="J63" s="440"/>
      <c r="K63" s="440">
        <f>265+63566+3306</f>
        <v>67137</v>
      </c>
      <c r="L63" s="440"/>
      <c r="M63" s="440">
        <v>7549</v>
      </c>
      <c r="N63" s="440"/>
      <c r="O63" s="440">
        <f>149+2+29</f>
        <v>180</v>
      </c>
      <c r="P63" s="440"/>
      <c r="Q63" s="440">
        <v>0</v>
      </c>
      <c r="R63" s="440"/>
      <c r="S63" s="440">
        <v>0</v>
      </c>
      <c r="T63" s="440"/>
      <c r="U63" s="441">
        <f>+M63-O63+Q63-S63</f>
        <v>7369</v>
      </c>
      <c r="V63" s="410"/>
      <c r="W63" s="6"/>
    </row>
    <row r="64" spans="1:23" ht="15.6">
      <c r="A64" s="378"/>
      <c r="B64" s="379" t="s">
        <v>25</v>
      </c>
      <c r="C64" s="440"/>
      <c r="D64" s="440"/>
      <c r="E64" s="440"/>
      <c r="F64" s="440"/>
      <c r="G64" s="440"/>
      <c r="H64" s="440"/>
      <c r="I64" s="440"/>
      <c r="J64" s="440"/>
      <c r="K64" s="440"/>
      <c r="L64" s="440"/>
      <c r="M64" s="440"/>
      <c r="N64" s="440"/>
      <c r="O64" s="440"/>
      <c r="P64" s="440"/>
      <c r="Q64" s="440">
        <v>0</v>
      </c>
      <c r="R64" s="440"/>
      <c r="S64" s="440">
        <v>0</v>
      </c>
      <c r="T64" s="440"/>
      <c r="U64" s="441">
        <f>M64-O64</f>
        <v>0</v>
      </c>
      <c r="V64" s="410"/>
      <c r="W64" s="6"/>
    </row>
    <row r="65" spans="1:24" ht="15.6">
      <c r="A65" s="378"/>
      <c r="B65" s="379"/>
      <c r="C65" s="440"/>
      <c r="D65" s="440"/>
      <c r="E65" s="440"/>
      <c r="F65" s="440"/>
      <c r="G65" s="440"/>
      <c r="H65" s="440"/>
      <c r="I65" s="440"/>
      <c r="J65" s="440"/>
      <c r="K65" s="440"/>
      <c r="L65" s="440"/>
      <c r="M65" s="440"/>
      <c r="N65" s="440"/>
      <c r="O65" s="440"/>
      <c r="P65" s="440"/>
      <c r="Q65" s="440"/>
      <c r="R65" s="440"/>
      <c r="S65" s="440"/>
      <c r="T65" s="440"/>
      <c r="U65" s="441"/>
      <c r="V65" s="410"/>
      <c r="W65" s="6"/>
    </row>
    <row r="66" spans="1:24" ht="15.6">
      <c r="A66" s="378"/>
      <c r="B66" s="379" t="s">
        <v>26</v>
      </c>
      <c r="C66" s="440"/>
      <c r="D66" s="440"/>
      <c r="E66" s="440"/>
      <c r="F66" s="440"/>
      <c r="G66" s="440"/>
      <c r="H66" s="440"/>
      <c r="I66" s="440"/>
      <c r="J66" s="440"/>
      <c r="K66" s="440">
        <v>24470</v>
      </c>
      <c r="L66" s="440"/>
      <c r="M66" s="440">
        <v>1721</v>
      </c>
      <c r="N66" s="440"/>
      <c r="O66" s="440">
        <v>61</v>
      </c>
      <c r="P66" s="440"/>
      <c r="Q66" s="440">
        <v>0</v>
      </c>
      <c r="R66" s="440"/>
      <c r="S66" s="440">
        <f>SUM(S63:S65)</f>
        <v>0</v>
      </c>
      <c r="T66" s="440"/>
      <c r="U66" s="441">
        <f>+M66-O66+Q66-S66</f>
        <v>1660</v>
      </c>
      <c r="V66" s="410"/>
      <c r="W66" s="6"/>
    </row>
    <row r="67" spans="1:24" ht="15.6">
      <c r="A67" s="378"/>
      <c r="B67" s="379" t="s">
        <v>25</v>
      </c>
      <c r="C67" s="440"/>
      <c r="D67" s="440"/>
      <c r="E67" s="440"/>
      <c r="F67" s="440"/>
      <c r="G67" s="440"/>
      <c r="H67" s="440"/>
      <c r="I67" s="440"/>
      <c r="J67" s="440"/>
      <c r="K67" s="440"/>
      <c r="L67" s="440"/>
      <c r="M67" s="440"/>
      <c r="N67" s="440"/>
      <c r="O67" s="440"/>
      <c r="P67" s="440"/>
      <c r="Q67" s="440">
        <v>0</v>
      </c>
      <c r="R67" s="440"/>
      <c r="S67" s="440">
        <v>0</v>
      </c>
      <c r="T67" s="440"/>
      <c r="U67" s="440"/>
      <c r="V67" s="410"/>
      <c r="W67" s="6"/>
    </row>
    <row r="68" spans="1:24" ht="15.6">
      <c r="A68" s="378"/>
      <c r="B68" s="386"/>
      <c r="C68" s="440"/>
      <c r="D68" s="440"/>
      <c r="E68" s="440"/>
      <c r="F68" s="440"/>
      <c r="G68" s="440"/>
      <c r="H68" s="440"/>
      <c r="I68" s="440"/>
      <c r="J68" s="440"/>
      <c r="K68" s="440"/>
      <c r="L68" s="440"/>
      <c r="M68" s="440"/>
      <c r="N68" s="440"/>
      <c r="O68" s="442"/>
      <c r="P68" s="440"/>
      <c r="Q68" s="440"/>
      <c r="R68" s="440"/>
      <c r="S68" s="440"/>
      <c r="T68" s="440"/>
      <c r="U68" s="440"/>
      <c r="V68" s="410"/>
      <c r="W68" s="6"/>
    </row>
    <row r="69" spans="1:24" ht="15.6">
      <c r="A69" s="378"/>
      <c r="B69" s="379" t="s">
        <v>27</v>
      </c>
      <c r="C69" s="440"/>
      <c r="D69" s="440"/>
      <c r="E69" s="440"/>
      <c r="F69" s="440"/>
      <c r="G69" s="440"/>
      <c r="H69" s="440"/>
      <c r="I69" s="440"/>
      <c r="J69" s="440"/>
      <c r="K69" s="440">
        <v>220072</v>
      </c>
      <c r="L69" s="440"/>
      <c r="M69" s="440">
        <v>151589</v>
      </c>
      <c r="N69" s="440"/>
      <c r="O69" s="440">
        <f>4467+811</f>
        <v>5278</v>
      </c>
      <c r="P69" s="440"/>
      <c r="Q69" s="440">
        <v>0</v>
      </c>
      <c r="R69" s="440"/>
      <c r="S69" s="440">
        <v>0</v>
      </c>
      <c r="T69" s="440"/>
      <c r="U69" s="441">
        <f>+M69-O69+Q69-S69</f>
        <v>146311</v>
      </c>
      <c r="V69" s="410"/>
      <c r="W69" s="6"/>
    </row>
    <row r="70" spans="1:24" ht="15.6">
      <c r="A70" s="378"/>
      <c r="B70" s="379" t="s">
        <v>25</v>
      </c>
      <c r="C70" s="440"/>
      <c r="D70" s="440"/>
      <c r="E70" s="440"/>
      <c r="F70" s="440"/>
      <c r="G70" s="440"/>
      <c r="H70" s="440"/>
      <c r="I70" s="440"/>
      <c r="J70" s="440"/>
      <c r="K70" s="440"/>
      <c r="L70" s="440"/>
      <c r="M70" s="440"/>
      <c r="N70" s="440"/>
      <c r="O70" s="440"/>
      <c r="P70" s="440"/>
      <c r="Q70" s="440">
        <v>0</v>
      </c>
      <c r="R70" s="440"/>
      <c r="S70" s="440">
        <v>0</v>
      </c>
      <c r="T70" s="440"/>
      <c r="U70" s="441">
        <f>M70-O70+Q70-S70</f>
        <v>0</v>
      </c>
      <c r="V70" s="410"/>
      <c r="W70" s="6"/>
    </row>
    <row r="71" spans="1:24" ht="15.6">
      <c r="A71" s="378"/>
      <c r="B71" s="379"/>
      <c r="C71" s="440"/>
      <c r="D71" s="440"/>
      <c r="E71" s="440"/>
      <c r="F71" s="440"/>
      <c r="G71" s="440"/>
      <c r="H71" s="440"/>
      <c r="I71" s="440"/>
      <c r="J71" s="440"/>
      <c r="K71" s="440"/>
      <c r="L71" s="440"/>
      <c r="M71" s="440"/>
      <c r="N71" s="440"/>
      <c r="O71" s="440"/>
      <c r="P71" s="440"/>
      <c r="Q71" s="440"/>
      <c r="R71" s="440"/>
      <c r="S71" s="440"/>
      <c r="T71" s="440"/>
      <c r="U71" s="441"/>
      <c r="V71" s="410"/>
      <c r="W71" s="6"/>
    </row>
    <row r="72" spans="1:24" ht="15.6">
      <c r="A72" s="378"/>
      <c r="B72" s="379" t="s">
        <v>28</v>
      </c>
      <c r="C72" s="440"/>
      <c r="D72" s="440"/>
      <c r="E72" s="440"/>
      <c r="F72" s="440"/>
      <c r="G72" s="440"/>
      <c r="H72" s="440"/>
      <c r="I72" s="440"/>
      <c r="J72" s="440"/>
      <c r="K72" s="440">
        <v>138321</v>
      </c>
      <c r="L72" s="440"/>
      <c r="M72" s="440">
        <v>2058</v>
      </c>
      <c r="N72" s="440"/>
      <c r="O72" s="440">
        <f>174+17</f>
        <v>191</v>
      </c>
      <c r="P72" s="440"/>
      <c r="Q72" s="440">
        <v>0</v>
      </c>
      <c r="R72" s="440"/>
      <c r="S72" s="440">
        <v>0</v>
      </c>
      <c r="T72" s="440"/>
      <c r="U72" s="441">
        <f>+M72-O72+Q72-S72</f>
        <v>1867</v>
      </c>
      <c r="V72" s="410"/>
      <c r="W72" s="6"/>
    </row>
    <row r="73" spans="1:24" ht="15.6">
      <c r="A73" s="378"/>
      <c r="B73" s="379" t="s">
        <v>25</v>
      </c>
      <c r="C73" s="440"/>
      <c r="D73" s="440"/>
      <c r="E73" s="440"/>
      <c r="F73" s="440"/>
      <c r="G73" s="440"/>
      <c r="H73" s="440"/>
      <c r="I73" s="440"/>
      <c r="J73" s="440"/>
      <c r="K73" s="440"/>
      <c r="L73" s="440"/>
      <c r="M73" s="440"/>
      <c r="N73" s="440"/>
      <c r="O73" s="440"/>
      <c r="P73" s="440"/>
      <c r="Q73" s="440">
        <v>0</v>
      </c>
      <c r="R73" s="440"/>
      <c r="S73" s="440">
        <v>0</v>
      </c>
      <c r="T73" s="440"/>
      <c r="U73" s="441"/>
      <c r="V73" s="410"/>
      <c r="W73" s="6"/>
    </row>
    <row r="74" spans="1:24" ht="15.6">
      <c r="A74" s="378"/>
      <c r="B74" s="440"/>
      <c r="C74" s="440"/>
      <c r="D74" s="440"/>
      <c r="E74" s="440"/>
      <c r="F74" s="440"/>
      <c r="G74" s="440"/>
      <c r="H74" s="440"/>
      <c r="I74" s="440"/>
      <c r="J74" s="440"/>
      <c r="K74" s="440"/>
      <c r="L74" s="440"/>
      <c r="M74" s="440"/>
      <c r="N74" s="440"/>
      <c r="O74" s="440"/>
      <c r="P74" s="440"/>
      <c r="Q74" s="440"/>
      <c r="R74" s="440"/>
      <c r="S74" s="440"/>
      <c r="T74" s="440"/>
      <c r="U74" s="441"/>
      <c r="V74" s="410"/>
      <c r="W74" s="6"/>
    </row>
    <row r="75" spans="1:24" ht="15.6">
      <c r="A75" s="378"/>
      <c r="B75" s="379" t="s">
        <v>29</v>
      </c>
      <c r="C75" s="440"/>
      <c r="D75" s="440"/>
      <c r="E75" s="440"/>
      <c r="F75" s="440"/>
      <c r="G75" s="440"/>
      <c r="H75" s="440"/>
      <c r="I75" s="440"/>
      <c r="J75" s="440"/>
      <c r="K75" s="440">
        <f>SUM(K63:K72)</f>
        <v>450000</v>
      </c>
      <c r="L75" s="440"/>
      <c r="M75" s="440">
        <f>SUM(M63:M72)</f>
        <v>162917</v>
      </c>
      <c r="N75" s="440"/>
      <c r="O75" s="440">
        <f>SUM(O63:O73)</f>
        <v>5710</v>
      </c>
      <c r="P75" s="440"/>
      <c r="Q75" s="440">
        <f>SUM(Q63:Q73)</f>
        <v>0</v>
      </c>
      <c r="R75" s="440"/>
      <c r="S75" s="440">
        <f>SUM(S70:S74)</f>
        <v>0</v>
      </c>
      <c r="T75" s="440"/>
      <c r="U75" s="440">
        <f>SUM(U63:U73)</f>
        <v>157207</v>
      </c>
      <c r="V75" s="410"/>
      <c r="W75" s="6"/>
      <c r="X75" s="182"/>
    </row>
    <row r="76" spans="1:24" ht="15.6">
      <c r="A76" s="378"/>
      <c r="B76" s="379"/>
      <c r="C76" s="440"/>
      <c r="D76" s="440"/>
      <c r="E76" s="440"/>
      <c r="F76" s="440"/>
      <c r="G76" s="440"/>
      <c r="H76" s="440"/>
      <c r="I76" s="440"/>
      <c r="J76" s="440"/>
      <c r="K76" s="440"/>
      <c r="L76" s="440"/>
      <c r="M76" s="440"/>
      <c r="N76" s="440"/>
      <c r="O76" s="440"/>
      <c r="P76" s="440"/>
      <c r="Q76" s="440"/>
      <c r="R76" s="440"/>
      <c r="S76" s="440"/>
      <c r="T76" s="440"/>
      <c r="U76" s="440"/>
      <c r="V76" s="410"/>
      <c r="W76" s="6"/>
    </row>
    <row r="77" spans="1:24" ht="15.6">
      <c r="A77" s="378"/>
      <c r="B77" s="379" t="s">
        <v>214</v>
      </c>
      <c r="C77" s="440"/>
      <c r="D77" s="440"/>
      <c r="E77" s="440"/>
      <c r="F77" s="440"/>
      <c r="G77" s="440"/>
      <c r="H77" s="440"/>
      <c r="I77" s="440"/>
      <c r="J77" s="440"/>
      <c r="K77" s="440">
        <v>0</v>
      </c>
      <c r="L77" s="440"/>
      <c r="M77" s="440">
        <v>-13744</v>
      </c>
      <c r="N77" s="440"/>
      <c r="O77" s="440">
        <v>631</v>
      </c>
      <c r="P77" s="440"/>
      <c r="Q77" s="440"/>
      <c r="R77" s="440"/>
      <c r="S77" s="440"/>
      <c r="T77" s="440"/>
      <c r="U77" s="441">
        <f>+M77-O77</f>
        <v>-14375</v>
      </c>
      <c r="V77" s="410"/>
      <c r="W77" s="6"/>
    </row>
    <row r="78" spans="1:24" ht="15.6">
      <c r="A78" s="378"/>
      <c r="B78" s="379" t="s">
        <v>30</v>
      </c>
      <c r="C78" s="440"/>
      <c r="D78" s="440"/>
      <c r="E78" s="440"/>
      <c r="F78" s="440"/>
      <c r="G78" s="440"/>
      <c r="H78" s="440"/>
      <c r="I78" s="440"/>
      <c r="J78" s="440"/>
      <c r="K78" s="440">
        <v>0</v>
      </c>
      <c r="L78" s="440"/>
      <c r="M78" s="440">
        <v>0</v>
      </c>
      <c r="N78" s="440"/>
      <c r="O78" s="440">
        <v>0</v>
      </c>
      <c r="P78" s="440"/>
      <c r="Q78" s="440">
        <v>0</v>
      </c>
      <c r="R78" s="440"/>
      <c r="S78" s="440"/>
      <c r="T78" s="440"/>
      <c r="U78" s="440">
        <v>0</v>
      </c>
      <c r="V78" s="410"/>
      <c r="W78" s="6"/>
      <c r="X78" s="182"/>
    </row>
    <row r="79" spans="1:24" ht="15.6">
      <c r="A79" s="378"/>
      <c r="B79" s="379" t="s">
        <v>31</v>
      </c>
      <c r="C79" s="440"/>
      <c r="D79" s="440"/>
      <c r="E79" s="440"/>
      <c r="F79" s="440"/>
      <c r="G79" s="440"/>
      <c r="H79" s="440"/>
      <c r="I79" s="440"/>
      <c r="J79" s="440"/>
      <c r="K79" s="440">
        <v>0</v>
      </c>
      <c r="L79" s="440"/>
      <c r="M79" s="440">
        <v>0</v>
      </c>
      <c r="N79" s="440"/>
      <c r="O79" s="440"/>
      <c r="P79" s="440"/>
      <c r="Q79" s="440">
        <v>0</v>
      </c>
      <c r="R79" s="440"/>
      <c r="S79" s="440"/>
      <c r="T79" s="440"/>
      <c r="U79" s="440">
        <f>Q79+M79</f>
        <v>0</v>
      </c>
      <c r="V79" s="410"/>
      <c r="W79" s="6"/>
    </row>
    <row r="80" spans="1:24" ht="15.6">
      <c r="A80" s="378"/>
      <c r="B80" s="379" t="s">
        <v>16</v>
      </c>
      <c r="C80" s="440"/>
      <c r="D80" s="440"/>
      <c r="E80" s="440"/>
      <c r="F80" s="440"/>
      <c r="G80" s="440"/>
      <c r="H80" s="440"/>
      <c r="I80" s="440"/>
      <c r="J80" s="440"/>
      <c r="K80" s="440">
        <f>SUM(K75:K79)</f>
        <v>450000</v>
      </c>
      <c r="L80" s="440"/>
      <c r="M80" s="440">
        <f>SUM(M75:M79)</f>
        <v>149173</v>
      </c>
      <c r="N80" s="440"/>
      <c r="O80" s="440">
        <f>O78-O79</f>
        <v>0</v>
      </c>
      <c r="P80" s="440"/>
      <c r="Q80" s="440"/>
      <c r="R80" s="440"/>
      <c r="S80" s="440"/>
      <c r="T80" s="440"/>
      <c r="U80" s="440">
        <f>SUM(U75:U79)</f>
        <v>142832</v>
      </c>
      <c r="V80" s="410"/>
      <c r="W80" s="6"/>
    </row>
    <row r="81" spans="1:24" ht="15.6">
      <c r="A81" s="242"/>
      <c r="B81" s="437"/>
      <c r="C81" s="438"/>
      <c r="D81" s="438"/>
      <c r="E81" s="438"/>
      <c r="F81" s="438"/>
      <c r="G81" s="438"/>
      <c r="H81" s="438"/>
      <c r="I81" s="438"/>
      <c r="J81" s="438"/>
      <c r="K81" s="438"/>
      <c r="L81" s="438"/>
      <c r="M81" s="438"/>
      <c r="N81" s="438"/>
      <c r="O81" s="438"/>
      <c r="P81" s="438"/>
      <c r="Q81" s="438"/>
      <c r="R81" s="438"/>
      <c r="S81" s="439"/>
      <c r="T81" s="438"/>
      <c r="U81" s="439"/>
      <c r="V81" s="245"/>
      <c r="W81" s="6"/>
    </row>
    <row r="82" spans="1:24" ht="15.6">
      <c r="A82" s="230"/>
      <c r="B82" s="511" t="s">
        <v>32</v>
      </c>
      <c r="C82" s="511"/>
      <c r="D82" s="511"/>
      <c r="E82" s="511"/>
      <c r="F82" s="511"/>
      <c r="G82" s="511"/>
      <c r="H82" s="511"/>
      <c r="I82" s="511"/>
      <c r="J82" s="511"/>
      <c r="K82" s="511"/>
      <c r="L82" s="511"/>
      <c r="M82" s="511"/>
      <c r="N82" s="511"/>
      <c r="O82" s="511"/>
      <c r="P82" s="511"/>
      <c r="Q82" s="511"/>
      <c r="R82" s="232"/>
      <c r="S82" s="232"/>
      <c r="T82" s="232"/>
      <c r="U82" s="232" t="s">
        <v>121</v>
      </c>
      <c r="V82" s="516"/>
      <c r="W82" s="6"/>
    </row>
    <row r="83" spans="1:24" ht="15.6">
      <c r="A83" s="315"/>
      <c r="B83" s="294" t="s">
        <v>33</v>
      </c>
      <c r="C83" s="294"/>
      <c r="D83" s="294"/>
      <c r="E83" s="294"/>
      <c r="F83" s="294"/>
      <c r="G83" s="294"/>
      <c r="H83" s="294"/>
      <c r="I83" s="294"/>
      <c r="J83" s="294"/>
      <c r="K83" s="294"/>
      <c r="L83" s="294"/>
      <c r="M83" s="294"/>
      <c r="N83" s="294"/>
      <c r="O83" s="310"/>
      <c r="P83" s="294"/>
      <c r="Q83" s="294"/>
      <c r="R83" s="294"/>
      <c r="S83" s="310"/>
      <c r="T83" s="294"/>
      <c r="U83" s="311">
        <v>48849</v>
      </c>
      <c r="V83" s="298"/>
      <c r="W83" s="6"/>
    </row>
    <row r="84" spans="1:24" ht="15.6">
      <c r="A84" s="444"/>
      <c r="B84" s="379" t="s">
        <v>34</v>
      </c>
      <c r="C84" s="431"/>
      <c r="D84" s="431"/>
      <c r="E84" s="431"/>
      <c r="F84" s="431"/>
      <c r="G84" s="431"/>
      <c r="H84" s="431"/>
      <c r="I84" s="431"/>
      <c r="J84" s="431"/>
      <c r="K84" s="431"/>
      <c r="L84" s="431"/>
      <c r="M84" s="430"/>
      <c r="N84" s="379"/>
      <c r="O84" s="379"/>
      <c r="P84" s="379"/>
      <c r="Q84" s="379"/>
      <c r="R84" s="379"/>
      <c r="S84" s="440"/>
      <c r="T84" s="379"/>
      <c r="U84" s="441">
        <f>301+44+2-20</f>
        <v>327</v>
      </c>
      <c r="V84" s="410"/>
      <c r="W84" s="6"/>
    </row>
    <row r="85" spans="1:24" ht="15.6">
      <c r="A85" s="444"/>
      <c r="B85" s="379" t="s">
        <v>230</v>
      </c>
      <c r="C85" s="379"/>
      <c r="D85" s="379"/>
      <c r="E85" s="379"/>
      <c r="F85" s="379"/>
      <c r="G85" s="379"/>
      <c r="H85" s="379"/>
      <c r="I85" s="379"/>
      <c r="J85" s="379"/>
      <c r="K85" s="379"/>
      <c r="L85" s="379"/>
      <c r="M85" s="379"/>
      <c r="N85" s="379"/>
      <c r="O85" s="379"/>
      <c r="P85" s="379"/>
      <c r="Q85" s="379"/>
      <c r="R85" s="379"/>
      <c r="S85" s="440"/>
      <c r="T85" s="379"/>
      <c r="U85" s="441">
        <v>0</v>
      </c>
      <c r="V85" s="410"/>
      <c r="W85" s="6"/>
      <c r="X85" s="64"/>
    </row>
    <row r="86" spans="1:24" ht="15.6">
      <c r="A86" s="444"/>
      <c r="B86" s="379" t="s">
        <v>231</v>
      </c>
      <c r="C86" s="379"/>
      <c r="D86" s="379"/>
      <c r="E86" s="379"/>
      <c r="F86" s="379"/>
      <c r="G86" s="379"/>
      <c r="H86" s="379"/>
      <c r="I86" s="379"/>
      <c r="J86" s="379"/>
      <c r="K86" s="379"/>
      <c r="L86" s="379"/>
      <c r="M86" s="379"/>
      <c r="N86" s="379"/>
      <c r="O86" s="379"/>
      <c r="P86" s="379"/>
      <c r="Q86" s="379"/>
      <c r="R86" s="379"/>
      <c r="S86" s="440"/>
      <c r="T86" s="379"/>
      <c r="U86" s="441">
        <v>0</v>
      </c>
      <c r="V86" s="410"/>
      <c r="W86" s="6"/>
      <c r="X86" s="64"/>
    </row>
    <row r="87" spans="1:24" ht="15.6">
      <c r="A87" s="444"/>
      <c r="B87" s="379" t="s">
        <v>35</v>
      </c>
      <c r="C87" s="379"/>
      <c r="D87" s="379"/>
      <c r="E87" s="379"/>
      <c r="F87" s="379"/>
      <c r="G87" s="379"/>
      <c r="H87" s="379"/>
      <c r="I87" s="379"/>
      <c r="J87" s="379"/>
      <c r="K87" s="379"/>
      <c r="L87" s="379"/>
      <c r="M87" s="379"/>
      <c r="N87" s="379"/>
      <c r="O87" s="379"/>
      <c r="P87" s="379"/>
      <c r="Q87" s="379"/>
      <c r="R87" s="379"/>
      <c r="S87" s="440"/>
      <c r="T87" s="379"/>
      <c r="U87" s="441">
        <f>SUM(U83:U86)</f>
        <v>49176</v>
      </c>
      <c r="V87" s="410"/>
      <c r="W87" s="6"/>
      <c r="X87" s="64"/>
    </row>
    <row r="88" spans="1:24" ht="15.6">
      <c r="A88" s="444"/>
      <c r="B88" s="379"/>
      <c r="C88" s="379"/>
      <c r="D88" s="379"/>
      <c r="E88" s="379"/>
      <c r="F88" s="379"/>
      <c r="G88" s="379"/>
      <c r="H88" s="379"/>
      <c r="I88" s="379"/>
      <c r="J88" s="379"/>
      <c r="K88" s="379"/>
      <c r="L88" s="379"/>
      <c r="M88" s="379"/>
      <c r="N88" s="379"/>
      <c r="O88" s="379"/>
      <c r="P88" s="379"/>
      <c r="Q88" s="379"/>
      <c r="R88" s="379"/>
      <c r="S88" s="440"/>
      <c r="T88" s="379"/>
      <c r="U88" s="440"/>
      <c r="V88" s="410"/>
      <c r="W88" s="6"/>
    </row>
    <row r="89" spans="1:24" ht="15.6">
      <c r="A89" s="444"/>
      <c r="B89" s="446" t="s">
        <v>36</v>
      </c>
      <c r="C89" s="446"/>
      <c r="D89" s="446"/>
      <c r="E89" s="446"/>
      <c r="F89" s="446"/>
      <c r="G89" s="446"/>
      <c r="H89" s="446"/>
      <c r="I89" s="446"/>
      <c r="J89" s="446"/>
      <c r="K89" s="446"/>
      <c r="L89" s="446"/>
      <c r="M89" s="379"/>
      <c r="N89" s="379"/>
      <c r="O89" s="379"/>
      <c r="P89" s="379"/>
      <c r="Q89" s="379"/>
      <c r="R89" s="379"/>
      <c r="S89" s="440"/>
      <c r="T89" s="379"/>
      <c r="U89" s="441"/>
      <c r="V89" s="410"/>
      <c r="W89" s="6"/>
      <c r="X89" s="64"/>
    </row>
    <row r="90" spans="1:24" ht="15.6">
      <c r="A90" s="444">
        <v>1</v>
      </c>
      <c r="B90" s="379" t="s">
        <v>37</v>
      </c>
      <c r="C90" s="379"/>
      <c r="D90" s="379"/>
      <c r="E90" s="379"/>
      <c r="F90" s="379"/>
      <c r="G90" s="379"/>
      <c r="H90" s="379"/>
      <c r="I90" s="379"/>
      <c r="J90" s="379"/>
      <c r="K90" s="379"/>
      <c r="L90" s="379"/>
      <c r="M90" s="379"/>
      <c r="N90" s="379"/>
      <c r="O90" s="379"/>
      <c r="P90" s="379"/>
      <c r="Q90" s="379"/>
      <c r="R90" s="379"/>
      <c r="S90" s="379"/>
      <c r="T90" s="379"/>
      <c r="U90" s="441">
        <v>-2</v>
      </c>
      <c r="V90" s="410"/>
      <c r="W90" s="6"/>
    </row>
    <row r="91" spans="1:24" ht="15.6">
      <c r="A91" s="444">
        <f>A90+1</f>
        <v>2</v>
      </c>
      <c r="B91" s="379" t="s">
        <v>168</v>
      </c>
      <c r="C91" s="379"/>
      <c r="D91" s="379"/>
      <c r="E91" s="379"/>
      <c r="F91" s="379"/>
      <c r="G91" s="379"/>
      <c r="H91" s="379"/>
      <c r="I91" s="379"/>
      <c r="J91" s="379"/>
      <c r="K91" s="379"/>
      <c r="L91" s="379"/>
      <c r="M91" s="379"/>
      <c r="N91" s="379"/>
      <c r="O91" s="379"/>
      <c r="P91" s="379"/>
      <c r="Q91" s="379"/>
      <c r="R91" s="379"/>
      <c r="S91" s="379"/>
      <c r="T91" s="379"/>
      <c r="U91" s="441">
        <f>-147-39-2</f>
        <v>-188</v>
      </c>
      <c r="V91" s="410"/>
      <c r="W91" s="6"/>
      <c r="X91" s="64"/>
    </row>
    <row r="92" spans="1:24" ht="15.6">
      <c r="A92" s="444">
        <v>3</v>
      </c>
      <c r="B92" s="379" t="s">
        <v>38</v>
      </c>
      <c r="C92" s="379"/>
      <c r="D92" s="379"/>
      <c r="E92" s="379"/>
      <c r="F92" s="379"/>
      <c r="G92" s="379"/>
      <c r="H92" s="379"/>
      <c r="I92" s="379"/>
      <c r="J92" s="379"/>
      <c r="K92" s="379"/>
      <c r="L92" s="379"/>
      <c r="M92" s="379"/>
      <c r="N92" s="379"/>
      <c r="O92" s="379"/>
      <c r="P92" s="379"/>
      <c r="Q92" s="379"/>
      <c r="R92" s="379"/>
      <c r="S92" s="379"/>
      <c r="T92" s="379"/>
      <c r="U92" s="441">
        <v>-56</v>
      </c>
      <c r="V92" s="410"/>
      <c r="W92" s="6"/>
      <c r="X92" s="64"/>
    </row>
    <row r="93" spans="1:24" ht="15.6">
      <c r="A93" s="447" t="s">
        <v>190</v>
      </c>
      <c r="B93" s="379" t="s">
        <v>169</v>
      </c>
      <c r="C93" s="379"/>
      <c r="D93" s="379"/>
      <c r="E93" s="379"/>
      <c r="F93" s="379"/>
      <c r="G93" s="379"/>
      <c r="H93" s="379"/>
      <c r="I93" s="379"/>
      <c r="J93" s="379"/>
      <c r="K93" s="379"/>
      <c r="L93" s="379"/>
      <c r="M93" s="379"/>
      <c r="N93" s="379"/>
      <c r="O93" s="379"/>
      <c r="P93" s="379"/>
      <c r="Q93" s="379"/>
      <c r="R93" s="379"/>
      <c r="S93" s="379"/>
      <c r="T93" s="379"/>
      <c r="U93" s="441">
        <v>-69</v>
      </c>
      <c r="V93" s="410"/>
      <c r="W93" s="6"/>
      <c r="X93" s="64"/>
    </row>
    <row r="94" spans="1:24" ht="15.6">
      <c r="A94" s="447" t="s">
        <v>191</v>
      </c>
      <c r="B94" s="379" t="s">
        <v>170</v>
      </c>
      <c r="C94" s="379"/>
      <c r="D94" s="379"/>
      <c r="E94" s="379"/>
      <c r="F94" s="379"/>
      <c r="G94" s="379"/>
      <c r="H94" s="379"/>
      <c r="I94" s="379"/>
      <c r="J94" s="379"/>
      <c r="K94" s="379"/>
      <c r="L94" s="379"/>
      <c r="M94" s="379"/>
      <c r="N94" s="379"/>
      <c r="O94" s="379"/>
      <c r="P94" s="379"/>
      <c r="Q94" s="379"/>
      <c r="R94" s="379"/>
      <c r="S94" s="379"/>
      <c r="T94" s="379"/>
      <c r="U94" s="441">
        <v>-90</v>
      </c>
      <c r="V94" s="410"/>
      <c r="W94" s="6"/>
      <c r="X94" s="182"/>
    </row>
    <row r="95" spans="1:24" ht="15.6">
      <c r="A95" s="444">
        <v>5</v>
      </c>
      <c r="B95" s="379" t="s">
        <v>171</v>
      </c>
      <c r="C95" s="379"/>
      <c r="D95" s="379"/>
      <c r="E95" s="379"/>
      <c r="F95" s="379"/>
      <c r="G95" s="379"/>
      <c r="H95" s="379"/>
      <c r="I95" s="379"/>
      <c r="J95" s="379"/>
      <c r="K95" s="379"/>
      <c r="L95" s="379"/>
      <c r="M95" s="379"/>
      <c r="N95" s="379"/>
      <c r="O95" s="379"/>
      <c r="P95" s="379"/>
      <c r="Q95" s="379"/>
      <c r="R95" s="379"/>
      <c r="S95" s="379"/>
      <c r="T95" s="379"/>
      <c r="U95" s="441">
        <v>-8</v>
      </c>
      <c r="V95" s="410"/>
      <c r="W95" s="6"/>
    </row>
    <row r="96" spans="1:24" ht="15.6">
      <c r="A96" s="447" t="s">
        <v>174</v>
      </c>
      <c r="B96" s="379" t="s">
        <v>172</v>
      </c>
      <c r="C96" s="379"/>
      <c r="D96" s="379"/>
      <c r="E96" s="379"/>
      <c r="F96" s="379"/>
      <c r="G96" s="379"/>
      <c r="H96" s="379"/>
      <c r="I96" s="379"/>
      <c r="J96" s="379"/>
      <c r="K96" s="379"/>
      <c r="L96" s="379"/>
      <c r="M96" s="379"/>
      <c r="N96" s="379"/>
      <c r="O96" s="379"/>
      <c r="P96" s="379"/>
      <c r="Q96" s="379"/>
      <c r="R96" s="379"/>
      <c r="S96" s="379"/>
      <c r="T96" s="379"/>
      <c r="U96" s="441">
        <v>-31</v>
      </c>
      <c r="V96" s="410"/>
      <c r="W96" s="6"/>
      <c r="X96" s="182"/>
    </row>
    <row r="97" spans="1:24" ht="15.6">
      <c r="A97" s="447" t="s">
        <v>176</v>
      </c>
      <c r="B97" s="379" t="s">
        <v>173</v>
      </c>
      <c r="C97" s="379"/>
      <c r="D97" s="379"/>
      <c r="E97" s="379"/>
      <c r="F97" s="379"/>
      <c r="G97" s="379"/>
      <c r="H97" s="379"/>
      <c r="I97" s="379"/>
      <c r="J97" s="379"/>
      <c r="K97" s="379"/>
      <c r="L97" s="379"/>
      <c r="M97" s="379"/>
      <c r="N97" s="379"/>
      <c r="O97" s="379"/>
      <c r="P97" s="379"/>
      <c r="Q97" s="379"/>
      <c r="R97" s="379"/>
      <c r="S97" s="379"/>
      <c r="T97" s="379"/>
      <c r="U97" s="441">
        <v>-50</v>
      </c>
      <c r="V97" s="410"/>
      <c r="W97" s="119"/>
      <c r="X97" s="182"/>
    </row>
    <row r="98" spans="1:24" ht="15.6">
      <c r="A98" s="447" t="s">
        <v>178</v>
      </c>
      <c r="B98" s="379" t="s">
        <v>175</v>
      </c>
      <c r="C98" s="379"/>
      <c r="D98" s="379"/>
      <c r="E98" s="379"/>
      <c r="F98" s="379"/>
      <c r="G98" s="379"/>
      <c r="H98" s="379"/>
      <c r="I98" s="379"/>
      <c r="J98" s="379"/>
      <c r="K98" s="379"/>
      <c r="L98" s="379"/>
      <c r="M98" s="379"/>
      <c r="N98" s="379"/>
      <c r="O98" s="379"/>
      <c r="P98" s="379"/>
      <c r="Q98" s="379"/>
      <c r="R98" s="379"/>
      <c r="S98" s="379"/>
      <c r="T98" s="379"/>
      <c r="U98" s="441">
        <v>-50</v>
      </c>
      <c r="V98" s="410"/>
      <c r="W98" s="6"/>
      <c r="X98" s="182"/>
    </row>
    <row r="99" spans="1:24" ht="15.6">
      <c r="A99" s="447" t="s">
        <v>180</v>
      </c>
      <c r="B99" s="379" t="s">
        <v>177</v>
      </c>
      <c r="C99" s="379"/>
      <c r="D99" s="379"/>
      <c r="E99" s="379"/>
      <c r="F99" s="379"/>
      <c r="G99" s="379"/>
      <c r="H99" s="379"/>
      <c r="I99" s="379"/>
      <c r="J99" s="379"/>
      <c r="K99" s="379"/>
      <c r="L99" s="379"/>
      <c r="M99" s="379"/>
      <c r="N99" s="379"/>
      <c r="O99" s="379"/>
      <c r="P99" s="379"/>
      <c r="Q99" s="379"/>
      <c r="R99" s="379"/>
      <c r="S99" s="379"/>
      <c r="T99" s="379"/>
      <c r="U99" s="441">
        <v>-65</v>
      </c>
      <c r="V99" s="410"/>
      <c r="W99" s="119"/>
      <c r="X99" s="182"/>
    </row>
    <row r="100" spans="1:24" ht="15.6">
      <c r="A100" s="447" t="s">
        <v>192</v>
      </c>
      <c r="B100" s="379" t="s">
        <v>179</v>
      </c>
      <c r="C100" s="379"/>
      <c r="D100" s="379"/>
      <c r="E100" s="379"/>
      <c r="F100" s="379"/>
      <c r="G100" s="379"/>
      <c r="H100" s="379"/>
      <c r="I100" s="379"/>
      <c r="J100" s="379"/>
      <c r="K100" s="379"/>
      <c r="L100" s="379"/>
      <c r="M100" s="379"/>
      <c r="N100" s="379"/>
      <c r="O100" s="379"/>
      <c r="P100" s="379"/>
      <c r="Q100" s="379"/>
      <c r="R100" s="379"/>
      <c r="S100" s="379"/>
      <c r="T100" s="379"/>
      <c r="U100" s="441">
        <v>-97</v>
      </c>
      <c r="V100" s="410"/>
      <c r="W100" s="6"/>
      <c r="X100" s="182"/>
    </row>
    <row r="101" spans="1:24" ht="15.6">
      <c r="A101" s="447" t="s">
        <v>193</v>
      </c>
      <c r="B101" s="379" t="s">
        <v>181</v>
      </c>
      <c r="C101" s="379"/>
      <c r="D101" s="379"/>
      <c r="E101" s="379"/>
      <c r="F101" s="379"/>
      <c r="G101" s="379"/>
      <c r="H101" s="379"/>
      <c r="I101" s="379"/>
      <c r="J101" s="379"/>
      <c r="K101" s="379"/>
      <c r="L101" s="379"/>
      <c r="M101" s="379"/>
      <c r="N101" s="379"/>
      <c r="O101" s="379"/>
      <c r="P101" s="379"/>
      <c r="Q101" s="379"/>
      <c r="R101" s="379"/>
      <c r="S101" s="379"/>
      <c r="T101" s="379"/>
      <c r="U101" s="441">
        <v>-84</v>
      </c>
      <c r="V101" s="410"/>
      <c r="W101" s="119"/>
      <c r="X101" s="182"/>
    </row>
    <row r="102" spans="1:24" ht="15.6">
      <c r="A102" s="444">
        <v>9</v>
      </c>
      <c r="B102" s="379" t="s">
        <v>257</v>
      </c>
      <c r="C102" s="379"/>
      <c r="D102" s="379"/>
      <c r="E102" s="379"/>
      <c r="F102" s="379"/>
      <c r="G102" s="379"/>
      <c r="H102" s="379"/>
      <c r="I102" s="379"/>
      <c r="J102" s="379"/>
      <c r="K102" s="379"/>
      <c r="L102" s="379"/>
      <c r="M102" s="379"/>
      <c r="N102" s="379"/>
      <c r="O102" s="379"/>
      <c r="P102" s="379"/>
      <c r="Q102" s="379"/>
      <c r="R102" s="379"/>
      <c r="S102" s="379"/>
      <c r="T102" s="379"/>
      <c r="U102" s="441">
        <f>+S219-U32</f>
        <v>-6341.2287999999826</v>
      </c>
      <c r="V102" s="410"/>
      <c r="W102" s="6"/>
      <c r="X102" s="182"/>
    </row>
    <row r="103" spans="1:24" ht="15.6">
      <c r="A103" s="444">
        <v>10</v>
      </c>
      <c r="B103" s="379" t="s">
        <v>234</v>
      </c>
      <c r="C103" s="379"/>
      <c r="D103" s="379"/>
      <c r="E103" s="379"/>
      <c r="F103" s="379"/>
      <c r="G103" s="379"/>
      <c r="H103" s="379"/>
      <c r="I103" s="379"/>
      <c r="J103" s="379"/>
      <c r="K103" s="379"/>
      <c r="L103" s="379"/>
      <c r="M103" s="379"/>
      <c r="N103" s="379"/>
      <c r="O103" s="379"/>
      <c r="P103" s="379"/>
      <c r="Q103" s="379"/>
      <c r="R103" s="379"/>
      <c r="S103" s="379"/>
      <c r="T103" s="379"/>
      <c r="U103" s="441">
        <v>-40500</v>
      </c>
      <c r="V103" s="410"/>
      <c r="W103" s="6"/>
      <c r="X103" s="64"/>
    </row>
    <row r="104" spans="1:24" ht="15.6">
      <c r="A104" s="444">
        <v>11</v>
      </c>
      <c r="B104" s="379" t="s">
        <v>183</v>
      </c>
      <c r="C104" s="379"/>
      <c r="D104" s="379"/>
      <c r="E104" s="379"/>
      <c r="F104" s="379"/>
      <c r="G104" s="379"/>
      <c r="H104" s="379"/>
      <c r="I104" s="379"/>
      <c r="J104" s="379"/>
      <c r="K104" s="379"/>
      <c r="L104" s="379"/>
      <c r="M104" s="379"/>
      <c r="N104" s="379"/>
      <c r="O104" s="379"/>
      <c r="P104" s="379"/>
      <c r="Q104" s="379"/>
      <c r="R104" s="379"/>
      <c r="S104" s="379"/>
      <c r="T104" s="379"/>
      <c r="U104" s="441">
        <v>0</v>
      </c>
      <c r="V104" s="410"/>
      <c r="W104" s="6"/>
      <c r="X104" s="64"/>
    </row>
    <row r="105" spans="1:24" ht="15.6">
      <c r="A105" s="444">
        <v>12</v>
      </c>
      <c r="B105" s="379" t="s">
        <v>184</v>
      </c>
      <c r="C105" s="379"/>
      <c r="D105" s="379"/>
      <c r="E105" s="379"/>
      <c r="F105" s="379"/>
      <c r="G105" s="379"/>
      <c r="H105" s="379"/>
      <c r="I105" s="379"/>
      <c r="J105" s="379"/>
      <c r="K105" s="379"/>
      <c r="L105" s="379"/>
      <c r="M105" s="379"/>
      <c r="N105" s="379"/>
      <c r="O105" s="379"/>
      <c r="P105" s="379"/>
      <c r="Q105" s="379"/>
      <c r="R105" s="379"/>
      <c r="S105" s="379"/>
      <c r="T105" s="379"/>
      <c r="U105" s="441">
        <v>-166</v>
      </c>
      <c r="V105" s="410"/>
      <c r="W105" s="6"/>
      <c r="X105" s="182"/>
    </row>
    <row r="106" spans="1:24" ht="15.6">
      <c r="A106" s="444">
        <v>13</v>
      </c>
      <c r="B106" s="379" t="s">
        <v>40</v>
      </c>
      <c r="C106" s="379"/>
      <c r="D106" s="379"/>
      <c r="E106" s="379"/>
      <c r="F106" s="379"/>
      <c r="G106" s="379"/>
      <c r="H106" s="379"/>
      <c r="I106" s="379"/>
      <c r="J106" s="379"/>
      <c r="K106" s="379"/>
      <c r="L106" s="379"/>
      <c r="M106" s="379"/>
      <c r="N106" s="379"/>
      <c r="O106" s="379"/>
      <c r="P106" s="379"/>
      <c r="Q106" s="379"/>
      <c r="R106" s="379"/>
      <c r="S106" s="379"/>
      <c r="T106" s="379"/>
      <c r="U106" s="441">
        <f>-SUM(U87:V105)</f>
        <v>-1378.7712000000174</v>
      </c>
      <c r="V106" s="410"/>
      <c r="W106" s="6"/>
      <c r="X106" s="182"/>
    </row>
    <row r="107" spans="1:24" ht="15.6">
      <c r="A107" s="316"/>
      <c r="B107" s="443"/>
      <c r="C107" s="364"/>
      <c r="D107" s="364"/>
      <c r="E107" s="364"/>
      <c r="F107" s="364"/>
      <c r="G107" s="364"/>
      <c r="H107" s="364"/>
      <c r="I107" s="364"/>
      <c r="J107" s="364"/>
      <c r="K107" s="364"/>
      <c r="L107" s="364"/>
      <c r="M107" s="364"/>
      <c r="N107" s="364"/>
      <c r="O107" s="364"/>
      <c r="P107" s="364"/>
      <c r="Q107" s="364"/>
      <c r="R107" s="364"/>
      <c r="S107" s="360"/>
      <c r="T107" s="360"/>
      <c r="U107" s="360"/>
      <c r="V107" s="303"/>
      <c r="W107" s="6"/>
      <c r="X107" s="182"/>
    </row>
    <row r="108" spans="1:24" ht="15.6">
      <c r="A108" s="316"/>
      <c r="B108" s="317"/>
      <c r="C108" s="288"/>
      <c r="D108" s="288"/>
      <c r="E108" s="288"/>
      <c r="F108" s="288"/>
      <c r="G108" s="288"/>
      <c r="H108" s="288"/>
      <c r="I108" s="288"/>
      <c r="J108" s="288"/>
      <c r="K108" s="288"/>
      <c r="L108" s="288"/>
      <c r="M108" s="288"/>
      <c r="N108" s="288"/>
      <c r="O108" s="288"/>
      <c r="P108" s="288"/>
      <c r="Q108" s="288"/>
      <c r="R108" s="288"/>
      <c r="S108" s="318"/>
      <c r="T108" s="318"/>
      <c r="U108" s="318"/>
      <c r="V108" s="303"/>
      <c r="W108" s="6"/>
    </row>
    <row r="109" spans="1:24" ht="16.2" thickBot="1">
      <c r="A109" s="319"/>
      <c r="B109" s="304" t="str">
        <f>+B59</f>
        <v>PPAF3 INVESTOR REPORT QUARTER ENDING MARCH 2013</v>
      </c>
      <c r="C109" s="305"/>
      <c r="D109" s="305"/>
      <c r="E109" s="305"/>
      <c r="F109" s="305"/>
      <c r="G109" s="305"/>
      <c r="H109" s="305"/>
      <c r="I109" s="305"/>
      <c r="J109" s="305"/>
      <c r="K109" s="305"/>
      <c r="L109" s="305"/>
      <c r="M109" s="305"/>
      <c r="N109" s="305"/>
      <c r="O109" s="305"/>
      <c r="P109" s="305"/>
      <c r="Q109" s="305"/>
      <c r="R109" s="305"/>
      <c r="S109" s="320"/>
      <c r="T109" s="320"/>
      <c r="U109" s="320"/>
      <c r="V109" s="307"/>
      <c r="W109" s="6"/>
    </row>
    <row r="110" spans="1:24" ht="15.6">
      <c r="A110" s="238"/>
      <c r="B110" s="240"/>
      <c r="C110" s="240"/>
      <c r="D110" s="240"/>
      <c r="E110" s="240"/>
      <c r="F110" s="240"/>
      <c r="G110" s="240"/>
      <c r="H110" s="240"/>
      <c r="I110" s="240"/>
      <c r="J110" s="240"/>
      <c r="K110" s="240"/>
      <c r="L110" s="240"/>
      <c r="M110" s="240"/>
      <c r="N110" s="240"/>
      <c r="O110" s="240"/>
      <c r="P110" s="240"/>
      <c r="Q110" s="240"/>
      <c r="R110" s="240"/>
      <c r="S110" s="269"/>
      <c r="T110" s="269"/>
      <c r="U110" s="269"/>
      <c r="V110" s="241"/>
      <c r="W110" s="6"/>
    </row>
    <row r="111" spans="1:24" ht="15.6">
      <c r="A111" s="321"/>
      <c r="B111" s="517" t="s">
        <v>41</v>
      </c>
      <c r="C111" s="322"/>
      <c r="D111" s="322"/>
      <c r="E111" s="322"/>
      <c r="F111" s="322"/>
      <c r="G111" s="322"/>
      <c r="H111" s="322"/>
      <c r="I111" s="322"/>
      <c r="J111" s="322"/>
      <c r="K111" s="322"/>
      <c r="L111" s="322"/>
      <c r="M111" s="322"/>
      <c r="N111" s="322"/>
      <c r="O111" s="322"/>
      <c r="P111" s="322"/>
      <c r="Q111" s="322"/>
      <c r="R111" s="322"/>
      <c r="S111" s="322"/>
      <c r="T111" s="322"/>
      <c r="U111" s="323"/>
      <c r="V111" s="324"/>
      <c r="W111" s="6"/>
    </row>
    <row r="112" spans="1:24" ht="15.6">
      <c r="A112" s="270"/>
      <c r="B112" s="271"/>
      <c r="C112" s="271"/>
      <c r="D112" s="271"/>
      <c r="E112" s="271"/>
      <c r="F112" s="271"/>
      <c r="G112" s="271"/>
      <c r="H112" s="271"/>
      <c r="I112" s="271"/>
      <c r="J112" s="271"/>
      <c r="K112" s="271"/>
      <c r="L112" s="271"/>
      <c r="M112" s="271"/>
      <c r="N112" s="271"/>
      <c r="O112" s="271"/>
      <c r="P112" s="271"/>
      <c r="Q112" s="271"/>
      <c r="R112" s="271"/>
      <c r="S112" s="271"/>
      <c r="T112" s="271"/>
      <c r="U112" s="272"/>
      <c r="V112" s="273"/>
      <c r="W112" s="6"/>
    </row>
    <row r="113" spans="1:24" ht="15.6">
      <c r="A113" s="242"/>
      <c r="B113" s="274" t="s">
        <v>42</v>
      </c>
      <c r="C113" s="252"/>
      <c r="D113" s="252"/>
      <c r="E113" s="252"/>
      <c r="F113" s="252"/>
      <c r="G113" s="252"/>
      <c r="H113" s="252"/>
      <c r="I113" s="252"/>
      <c r="J113" s="252"/>
      <c r="K113" s="252"/>
      <c r="L113" s="252"/>
      <c r="M113" s="244"/>
      <c r="N113" s="244"/>
      <c r="O113" s="244"/>
      <c r="P113" s="244"/>
      <c r="Q113" s="244"/>
      <c r="R113" s="244"/>
      <c r="S113" s="244"/>
      <c r="T113" s="244"/>
      <c r="U113" s="263"/>
      <c r="V113" s="245"/>
      <c r="W113" s="6"/>
    </row>
    <row r="114" spans="1:24" ht="15.6">
      <c r="A114" s="378"/>
      <c r="B114" s="379" t="s">
        <v>43</v>
      </c>
      <c r="C114" s="379"/>
      <c r="D114" s="379"/>
      <c r="E114" s="379"/>
      <c r="F114" s="379"/>
      <c r="G114" s="379"/>
      <c r="H114" s="379"/>
      <c r="I114" s="379"/>
      <c r="J114" s="379"/>
      <c r="K114" s="379"/>
      <c r="L114" s="379"/>
      <c r="M114" s="379"/>
      <c r="N114" s="379"/>
      <c r="O114" s="379"/>
      <c r="P114" s="379"/>
      <c r="Q114" s="379"/>
      <c r="R114" s="379"/>
      <c r="S114" s="379"/>
      <c r="T114" s="379"/>
      <c r="U114" s="441">
        <v>40500</v>
      </c>
      <c r="V114" s="410"/>
      <c r="W114" s="6"/>
    </row>
    <row r="115" spans="1:24" ht="15.6">
      <c r="A115" s="378"/>
      <c r="B115" s="379" t="s">
        <v>240</v>
      </c>
      <c r="C115" s="379"/>
      <c r="D115" s="379"/>
      <c r="E115" s="379"/>
      <c r="F115" s="379"/>
      <c r="G115" s="379"/>
      <c r="H115" s="379"/>
      <c r="I115" s="379"/>
      <c r="J115" s="379"/>
      <c r="K115" s="379"/>
      <c r="L115" s="379"/>
      <c r="M115" s="379"/>
      <c r="N115" s="379"/>
      <c r="O115" s="379"/>
      <c r="P115" s="379"/>
      <c r="Q115" s="379"/>
      <c r="R115" s="379"/>
      <c r="S115" s="379"/>
      <c r="T115" s="379"/>
      <c r="U115" s="441">
        <v>40500</v>
      </c>
      <c r="V115" s="410"/>
      <c r="W115" s="6"/>
    </row>
    <row r="116" spans="1:24" ht="15.6">
      <c r="A116" s="378"/>
      <c r="B116" s="379" t="s">
        <v>241</v>
      </c>
      <c r="C116" s="379"/>
      <c r="D116" s="379"/>
      <c r="E116" s="379"/>
      <c r="F116" s="379"/>
      <c r="G116" s="379"/>
      <c r="H116" s="379"/>
      <c r="I116" s="379"/>
      <c r="J116" s="379"/>
      <c r="K116" s="379"/>
      <c r="L116" s="379"/>
      <c r="M116" s="379"/>
      <c r="N116" s="379"/>
      <c r="O116" s="379"/>
      <c r="P116" s="379"/>
      <c r="Q116" s="379"/>
      <c r="R116" s="379"/>
      <c r="S116" s="379"/>
      <c r="T116" s="379"/>
      <c r="U116" s="441">
        <v>0</v>
      </c>
      <c r="V116" s="410"/>
      <c r="W116" s="6"/>
    </row>
    <row r="117" spans="1:24" ht="15.6">
      <c r="A117" s="378"/>
      <c r="B117" s="379" t="s">
        <v>209</v>
      </c>
      <c r="C117" s="379"/>
      <c r="D117" s="379"/>
      <c r="E117" s="379"/>
      <c r="F117" s="379"/>
      <c r="G117" s="379"/>
      <c r="H117" s="379"/>
      <c r="I117" s="379"/>
      <c r="J117" s="379"/>
      <c r="K117" s="379"/>
      <c r="L117" s="379"/>
      <c r="M117" s="379"/>
      <c r="N117" s="379"/>
      <c r="O117" s="379"/>
      <c r="P117" s="379"/>
      <c r="Q117" s="379"/>
      <c r="R117" s="379"/>
      <c r="S117" s="379"/>
      <c r="T117" s="379"/>
      <c r="U117" s="441">
        <v>0</v>
      </c>
      <c r="V117" s="410"/>
      <c r="W117" s="6"/>
    </row>
    <row r="118" spans="1:24" ht="15.6">
      <c r="A118" s="378"/>
      <c r="B118" s="379" t="s">
        <v>210</v>
      </c>
      <c r="C118" s="379"/>
      <c r="D118" s="379"/>
      <c r="E118" s="379"/>
      <c r="F118" s="379"/>
      <c r="G118" s="379"/>
      <c r="H118" s="379"/>
      <c r="I118" s="379"/>
      <c r="J118" s="379"/>
      <c r="K118" s="379"/>
      <c r="L118" s="379"/>
      <c r="M118" s="379"/>
      <c r="N118" s="379"/>
      <c r="O118" s="379"/>
      <c r="P118" s="379"/>
      <c r="Q118" s="379"/>
      <c r="R118" s="379"/>
      <c r="S118" s="379"/>
      <c r="T118" s="379"/>
      <c r="U118" s="441">
        <v>0</v>
      </c>
      <c r="V118" s="410"/>
      <c r="W118" s="6"/>
    </row>
    <row r="119" spans="1:24" ht="15.6">
      <c r="A119" s="378"/>
      <c r="B119" s="379" t="s">
        <v>211</v>
      </c>
      <c r="C119" s="379"/>
      <c r="D119" s="379"/>
      <c r="E119" s="379"/>
      <c r="F119" s="379"/>
      <c r="G119" s="379"/>
      <c r="H119" s="379"/>
      <c r="I119" s="379"/>
      <c r="J119" s="379"/>
      <c r="K119" s="379"/>
      <c r="L119" s="379"/>
      <c r="M119" s="379"/>
      <c r="N119" s="379"/>
      <c r="O119" s="379"/>
      <c r="P119" s="379"/>
      <c r="Q119" s="379"/>
      <c r="R119" s="379"/>
      <c r="S119" s="379"/>
      <c r="T119" s="379"/>
      <c r="U119" s="441">
        <v>0</v>
      </c>
      <c r="V119" s="410"/>
      <c r="W119" s="6"/>
    </row>
    <row r="120" spans="1:24" ht="15.6">
      <c r="A120" s="378"/>
      <c r="B120" s="379" t="s">
        <v>212</v>
      </c>
      <c r="C120" s="379"/>
      <c r="D120" s="379"/>
      <c r="E120" s="379"/>
      <c r="F120" s="379"/>
      <c r="G120" s="379"/>
      <c r="H120" s="379"/>
      <c r="I120" s="379"/>
      <c r="J120" s="379"/>
      <c r="K120" s="379"/>
      <c r="L120" s="379"/>
      <c r="M120" s="379"/>
      <c r="N120" s="379"/>
      <c r="O120" s="379"/>
      <c r="P120" s="379"/>
      <c r="Q120" s="379"/>
      <c r="R120" s="379"/>
      <c r="S120" s="379"/>
      <c r="T120" s="379"/>
      <c r="U120" s="441">
        <v>0</v>
      </c>
      <c r="V120" s="410"/>
      <c r="W120" s="6"/>
    </row>
    <row r="121" spans="1:24" ht="15.6">
      <c r="A121" s="378"/>
      <c r="B121" s="379" t="s">
        <v>242</v>
      </c>
      <c r="C121" s="379"/>
      <c r="D121" s="379"/>
      <c r="E121" s="379"/>
      <c r="F121" s="379"/>
      <c r="G121" s="379"/>
      <c r="H121" s="379"/>
      <c r="I121" s="379"/>
      <c r="J121" s="379"/>
      <c r="K121" s="379"/>
      <c r="L121" s="379"/>
      <c r="M121" s="379"/>
      <c r="N121" s="379"/>
      <c r="O121" s="379"/>
      <c r="P121" s="379"/>
      <c r="Q121" s="379"/>
      <c r="R121" s="379"/>
      <c r="S121" s="379"/>
      <c r="T121" s="379"/>
      <c r="U121" s="441">
        <v>0</v>
      </c>
      <c r="V121" s="410"/>
      <c r="W121" s="6"/>
    </row>
    <row r="122" spans="1:24" ht="15.6">
      <c r="A122" s="378"/>
      <c r="B122" s="379" t="s">
        <v>45</v>
      </c>
      <c r="C122" s="379"/>
      <c r="D122" s="379"/>
      <c r="E122" s="379"/>
      <c r="F122" s="379"/>
      <c r="G122" s="379"/>
      <c r="H122" s="379"/>
      <c r="I122" s="379"/>
      <c r="J122" s="379"/>
      <c r="K122" s="379"/>
      <c r="L122" s="379"/>
      <c r="M122" s="379"/>
      <c r="N122" s="379"/>
      <c r="O122" s="379"/>
      <c r="P122" s="379"/>
      <c r="Q122" s="379"/>
      <c r="R122" s="379"/>
      <c r="S122" s="379"/>
      <c r="T122" s="379"/>
      <c r="U122" s="441">
        <f>SUM(U115:U121)</f>
        <v>40500</v>
      </c>
      <c r="V122" s="410"/>
      <c r="W122" s="6"/>
    </row>
    <row r="123" spans="1:24" ht="15.6">
      <c r="A123" s="242"/>
      <c r="B123" s="438"/>
      <c r="C123" s="438"/>
      <c r="D123" s="438"/>
      <c r="E123" s="438"/>
      <c r="F123" s="438"/>
      <c r="G123" s="438"/>
      <c r="H123" s="438"/>
      <c r="I123" s="438"/>
      <c r="J123" s="438"/>
      <c r="K123" s="438"/>
      <c r="L123" s="438"/>
      <c r="M123" s="438"/>
      <c r="N123" s="438"/>
      <c r="O123" s="438"/>
      <c r="P123" s="438"/>
      <c r="Q123" s="438"/>
      <c r="R123" s="438"/>
      <c r="S123" s="438"/>
      <c r="T123" s="438"/>
      <c r="U123" s="448"/>
      <c r="V123" s="245"/>
      <c r="W123" s="6"/>
    </row>
    <row r="124" spans="1:24" ht="15.6">
      <c r="A124" s="242"/>
      <c r="B124" s="274" t="s">
        <v>46</v>
      </c>
      <c r="C124" s="252"/>
      <c r="D124" s="252"/>
      <c r="E124" s="252"/>
      <c r="F124" s="252"/>
      <c r="G124" s="252"/>
      <c r="H124" s="252"/>
      <c r="I124" s="252"/>
      <c r="J124" s="252"/>
      <c r="K124" s="252"/>
      <c r="L124" s="252"/>
      <c r="M124" s="244"/>
      <c r="N124" s="244"/>
      <c r="O124" s="244"/>
      <c r="P124" s="275"/>
      <c r="Q124" s="244"/>
      <c r="R124" s="244"/>
      <c r="S124" s="244"/>
      <c r="T124" s="244"/>
      <c r="U124" s="276"/>
      <c r="V124" s="245"/>
      <c r="W124" s="6"/>
    </row>
    <row r="125" spans="1:24" ht="15.6">
      <c r="A125" s="230"/>
      <c r="B125" s="511"/>
      <c r="C125" s="232" t="s">
        <v>185</v>
      </c>
      <c r="D125" s="232"/>
      <c r="E125" s="232" t="s">
        <v>99</v>
      </c>
      <c r="F125" s="232"/>
      <c r="G125" s="232" t="s">
        <v>102</v>
      </c>
      <c r="H125" s="232"/>
      <c r="I125" s="232" t="s">
        <v>108</v>
      </c>
      <c r="J125" s="232"/>
      <c r="K125" s="232"/>
      <c r="L125" s="232"/>
      <c r="M125" s="232"/>
      <c r="N125" s="232"/>
      <c r="O125" s="232"/>
      <c r="P125" s="326"/>
      <c r="Q125" s="326"/>
      <c r="R125" s="231"/>
      <c r="S125" s="231"/>
      <c r="T125" s="231"/>
      <c r="U125" s="309"/>
      <c r="V125" s="237"/>
      <c r="W125" s="6"/>
    </row>
    <row r="126" spans="1:24" ht="15.6">
      <c r="A126" s="257"/>
      <c r="B126" s="294" t="s">
        <v>122</v>
      </c>
      <c r="C126" s="310">
        <f>+N199-'Dec 12'!N199</f>
        <v>-44</v>
      </c>
      <c r="D126" s="294"/>
      <c r="E126" s="310">
        <f>+S199-'Dec 12'!S199</f>
        <v>-16</v>
      </c>
      <c r="F126" s="294"/>
      <c r="G126" s="310">
        <f>+'March 13'!N212-'Dec 12'!N212</f>
        <v>669</v>
      </c>
      <c r="H126" s="294"/>
      <c r="I126" s="310">
        <f>+S212-'Dec 12'!S212</f>
        <v>22</v>
      </c>
      <c r="J126" s="294"/>
      <c r="K126" s="294"/>
      <c r="L126" s="294"/>
      <c r="M126" s="294"/>
      <c r="N126" s="294"/>
      <c r="O126" s="294"/>
      <c r="P126" s="325"/>
      <c r="Q126" s="325"/>
      <c r="R126" s="294"/>
      <c r="S126" s="294"/>
      <c r="T126" s="294"/>
      <c r="U126" s="311">
        <f>SUM(C126:I126)</f>
        <v>631</v>
      </c>
      <c r="V126" s="298"/>
      <c r="W126" s="6"/>
      <c r="X126" s="182"/>
    </row>
    <row r="127" spans="1:24" ht="15.6">
      <c r="A127" s="378"/>
      <c r="B127" s="379" t="s">
        <v>47</v>
      </c>
      <c r="C127" s="379">
        <v>29</v>
      </c>
      <c r="D127" s="379"/>
      <c r="E127" s="379">
        <v>0</v>
      </c>
      <c r="F127" s="379"/>
      <c r="G127" s="379">
        <v>810</v>
      </c>
      <c r="H127" s="379"/>
      <c r="I127" s="440">
        <v>17</v>
      </c>
      <c r="J127" s="379"/>
      <c r="K127" s="379"/>
      <c r="L127" s="379"/>
      <c r="M127" s="379"/>
      <c r="N127" s="379"/>
      <c r="O127" s="379"/>
      <c r="P127" s="450"/>
      <c r="Q127" s="450"/>
      <c r="R127" s="379"/>
      <c r="S127" s="379"/>
      <c r="T127" s="379"/>
      <c r="U127" s="441">
        <f>SUM(C127:I127)</f>
        <v>856</v>
      </c>
      <c r="V127" s="410"/>
      <c r="W127" s="6"/>
    </row>
    <row r="128" spans="1:24" ht="15.6">
      <c r="A128" s="242"/>
      <c r="B128" s="364" t="s">
        <v>48</v>
      </c>
      <c r="C128" s="364"/>
      <c r="D128" s="364"/>
      <c r="E128" s="364"/>
      <c r="F128" s="364"/>
      <c r="G128" s="364"/>
      <c r="H128" s="364"/>
      <c r="I128" s="364"/>
      <c r="J128" s="364"/>
      <c r="K128" s="364"/>
      <c r="L128" s="364"/>
      <c r="M128" s="364"/>
      <c r="N128" s="364"/>
      <c r="O128" s="364"/>
      <c r="P128" s="364"/>
      <c r="Q128" s="364"/>
      <c r="R128" s="364"/>
      <c r="S128" s="364"/>
      <c r="T128" s="364"/>
      <c r="U128" s="449">
        <f>SUM(U126:U127)</f>
        <v>1487</v>
      </c>
      <c r="V128" s="303"/>
      <c r="W128" s="6"/>
      <c r="X128" s="182"/>
    </row>
    <row r="129" spans="1:25" ht="15.6">
      <c r="A129" s="242"/>
      <c r="B129" s="274" t="s">
        <v>49</v>
      </c>
      <c r="C129" s="252"/>
      <c r="D129" s="252"/>
      <c r="E129" s="252"/>
      <c r="F129" s="252"/>
      <c r="G129" s="252"/>
      <c r="H129" s="252"/>
      <c r="I129" s="252"/>
      <c r="J129" s="252"/>
      <c r="K129" s="252"/>
      <c r="L129" s="252"/>
      <c r="M129" s="244"/>
      <c r="N129" s="244"/>
      <c r="O129" s="244"/>
      <c r="P129" s="244"/>
      <c r="Q129" s="244"/>
      <c r="R129" s="244"/>
      <c r="S129" s="244"/>
      <c r="T129" s="244"/>
      <c r="U129" s="263"/>
      <c r="V129" s="245"/>
      <c r="W129" s="6"/>
    </row>
    <row r="130" spans="1:25" ht="15.6">
      <c r="A130" s="444"/>
      <c r="B130" s="379" t="s">
        <v>50</v>
      </c>
      <c r="C130" s="386"/>
      <c r="D130" s="386"/>
      <c r="E130" s="386"/>
      <c r="F130" s="386"/>
      <c r="G130" s="386"/>
      <c r="H130" s="386"/>
      <c r="I130" s="386"/>
      <c r="J130" s="386"/>
      <c r="K130" s="386"/>
      <c r="L130" s="386"/>
      <c r="M130" s="379"/>
      <c r="N130" s="379"/>
      <c r="O130" s="379"/>
      <c r="P130" s="379"/>
      <c r="Q130" s="379"/>
      <c r="R130" s="379"/>
      <c r="S130" s="379"/>
      <c r="T130" s="379"/>
      <c r="U130" s="441">
        <f>U75+U77</f>
        <v>142832</v>
      </c>
      <c r="V130" s="410"/>
      <c r="W130" s="6"/>
      <c r="X130" s="182"/>
    </row>
    <row r="131" spans="1:25" ht="15.6">
      <c r="A131" s="444"/>
      <c r="B131" s="379" t="s">
        <v>51</v>
      </c>
      <c r="C131" s="386"/>
      <c r="D131" s="386"/>
      <c r="E131" s="386"/>
      <c r="F131" s="386"/>
      <c r="G131" s="386"/>
      <c r="H131" s="386"/>
      <c r="I131" s="386"/>
      <c r="J131" s="386"/>
      <c r="K131" s="386"/>
      <c r="L131" s="386"/>
      <c r="M131" s="379"/>
      <c r="N131" s="379"/>
      <c r="O131" s="379"/>
      <c r="P131" s="379"/>
      <c r="Q131" s="379"/>
      <c r="R131" s="379"/>
      <c r="S131" s="379"/>
      <c r="T131" s="379"/>
      <c r="U131" s="441">
        <v>0</v>
      </c>
      <c r="V131" s="410"/>
      <c r="W131" s="6"/>
      <c r="Y131" s="182"/>
    </row>
    <row r="132" spans="1:25" ht="15.6">
      <c r="A132" s="444"/>
      <c r="B132" s="379" t="s">
        <v>52</v>
      </c>
      <c r="C132" s="386"/>
      <c r="D132" s="386"/>
      <c r="E132" s="386"/>
      <c r="F132" s="386"/>
      <c r="G132" s="386"/>
      <c r="H132" s="386"/>
      <c r="I132" s="386"/>
      <c r="J132" s="386"/>
      <c r="K132" s="386"/>
      <c r="L132" s="386"/>
      <c r="M132" s="379"/>
      <c r="N132" s="379"/>
      <c r="O132" s="379"/>
      <c r="P132" s="379"/>
      <c r="Q132" s="379"/>
      <c r="R132" s="379"/>
      <c r="S132" s="379"/>
      <c r="T132" s="379"/>
      <c r="U132" s="441">
        <f>+U130+U131</f>
        <v>142832</v>
      </c>
      <c r="V132" s="410"/>
      <c r="W132" s="6"/>
    </row>
    <row r="133" spans="1:25" ht="15.6">
      <c r="A133" s="444"/>
      <c r="B133" s="379" t="s">
        <v>53</v>
      </c>
      <c r="C133" s="386"/>
      <c r="D133" s="386"/>
      <c r="E133" s="386"/>
      <c r="F133" s="386"/>
      <c r="G133" s="386"/>
      <c r="H133" s="386"/>
      <c r="I133" s="386"/>
      <c r="J133" s="386"/>
      <c r="K133" s="386"/>
      <c r="L133" s="386"/>
      <c r="M133" s="379"/>
      <c r="N133" s="379"/>
      <c r="O133" s="379"/>
      <c r="P133" s="379"/>
      <c r="Q133" s="379"/>
      <c r="R133" s="379"/>
      <c r="S133" s="379"/>
      <c r="T133" s="379"/>
      <c r="U133" s="441">
        <f>U80</f>
        <v>142832</v>
      </c>
      <c r="V133" s="410"/>
      <c r="W133" s="6"/>
      <c r="X133" s="64"/>
    </row>
    <row r="134" spans="1:25" ht="15.6">
      <c r="A134" s="242"/>
      <c r="B134" s="438"/>
      <c r="C134" s="438"/>
      <c r="D134" s="438"/>
      <c r="E134" s="438"/>
      <c r="F134" s="438"/>
      <c r="G134" s="438"/>
      <c r="H134" s="438"/>
      <c r="I134" s="438"/>
      <c r="J134" s="438"/>
      <c r="K134" s="438"/>
      <c r="L134" s="438"/>
      <c r="M134" s="438"/>
      <c r="N134" s="438"/>
      <c r="O134" s="438"/>
      <c r="P134" s="438"/>
      <c r="Q134" s="438"/>
      <c r="R134" s="438"/>
      <c r="S134" s="438"/>
      <c r="T134" s="438"/>
      <c r="U134" s="451"/>
      <c r="V134" s="245"/>
      <c r="W134" s="6"/>
    </row>
    <row r="135" spans="1:25" ht="15.6">
      <c r="A135" s="242"/>
      <c r="B135" s="274" t="s">
        <v>54</v>
      </c>
      <c r="C135" s="247"/>
      <c r="D135" s="247"/>
      <c r="E135" s="247"/>
      <c r="F135" s="247"/>
      <c r="G135" s="247"/>
      <c r="H135" s="247"/>
      <c r="I135" s="247"/>
      <c r="J135" s="247"/>
      <c r="K135" s="247"/>
      <c r="L135" s="247"/>
      <c r="M135" s="247"/>
      <c r="N135" s="247"/>
      <c r="O135" s="247"/>
      <c r="P135" s="247"/>
      <c r="Q135" s="277" t="s">
        <v>112</v>
      </c>
      <c r="R135" s="278"/>
      <c r="S135" s="277" t="s">
        <v>114</v>
      </c>
      <c r="T135" s="247"/>
      <c r="U135" s="279" t="s">
        <v>90</v>
      </c>
      <c r="V135" s="245"/>
      <c r="W135" s="6"/>
    </row>
    <row r="136" spans="1:25" ht="15.6">
      <c r="A136" s="378"/>
      <c r="B136" s="379" t="s">
        <v>55</v>
      </c>
      <c r="C136" s="379"/>
      <c r="D136" s="379"/>
      <c r="E136" s="379"/>
      <c r="F136" s="379"/>
      <c r="G136" s="379"/>
      <c r="H136" s="379"/>
      <c r="I136" s="379"/>
      <c r="J136" s="379"/>
      <c r="K136" s="379"/>
      <c r="L136" s="379"/>
      <c r="M136" s="379"/>
      <c r="N136" s="379"/>
      <c r="O136" s="379"/>
      <c r="P136" s="379"/>
      <c r="Q136" s="441">
        <v>0</v>
      </c>
      <c r="R136" s="379"/>
      <c r="S136" s="453" t="s">
        <v>115</v>
      </c>
      <c r="T136" s="379"/>
      <c r="U136" s="441">
        <f>Q136</f>
        <v>0</v>
      </c>
      <c r="V136" s="385"/>
      <c r="W136" s="6"/>
    </row>
    <row r="137" spans="1:25" ht="15.6">
      <c r="A137" s="378"/>
      <c r="B137" s="379" t="s">
        <v>56</v>
      </c>
      <c r="C137" s="379"/>
      <c r="D137" s="379"/>
      <c r="E137" s="379"/>
      <c r="F137" s="379"/>
      <c r="G137" s="379"/>
      <c r="H137" s="379"/>
      <c r="I137" s="379"/>
      <c r="J137" s="379"/>
      <c r="K137" s="379"/>
      <c r="L137" s="379"/>
      <c r="M137" s="379"/>
      <c r="N137" s="379"/>
      <c r="O137" s="379"/>
      <c r="P137" s="379"/>
      <c r="Q137" s="441">
        <f>+'Dec 12'!Q139</f>
        <v>4229</v>
      </c>
      <c r="R137" s="379"/>
      <c r="S137" s="453" t="s">
        <v>115</v>
      </c>
      <c r="T137" s="379"/>
      <c r="U137" s="441">
        <f>Q137</f>
        <v>4229</v>
      </c>
      <c r="V137" s="385"/>
      <c r="W137" s="6"/>
    </row>
    <row r="138" spans="1:25" ht="15.6">
      <c r="A138" s="378"/>
      <c r="B138" s="379" t="s">
        <v>57</v>
      </c>
      <c r="C138" s="379"/>
      <c r="D138" s="379"/>
      <c r="E138" s="379"/>
      <c r="F138" s="379"/>
      <c r="G138" s="379"/>
      <c r="H138" s="379"/>
      <c r="I138" s="379"/>
      <c r="J138" s="379"/>
      <c r="K138" s="379"/>
      <c r="L138" s="379"/>
      <c r="M138" s="379"/>
      <c r="N138" s="379"/>
      <c r="O138" s="379"/>
      <c r="P138" s="379"/>
      <c r="Q138" s="441">
        <v>0</v>
      </c>
      <c r="R138" s="379"/>
      <c r="S138" s="453" t="s">
        <v>115</v>
      </c>
      <c r="T138" s="379"/>
      <c r="U138" s="441">
        <f>Q138</f>
        <v>0</v>
      </c>
      <c r="V138" s="385"/>
      <c r="W138" s="6"/>
    </row>
    <row r="139" spans="1:25" ht="15.6">
      <c r="A139" s="378"/>
      <c r="B139" s="379" t="s">
        <v>58</v>
      </c>
      <c r="C139" s="379"/>
      <c r="D139" s="379"/>
      <c r="E139" s="379"/>
      <c r="F139" s="379"/>
      <c r="G139" s="379"/>
      <c r="H139" s="379"/>
      <c r="I139" s="379"/>
      <c r="J139" s="379"/>
      <c r="K139" s="379"/>
      <c r="L139" s="379"/>
      <c r="M139" s="379"/>
      <c r="N139" s="379"/>
      <c r="O139" s="379"/>
      <c r="P139" s="379"/>
      <c r="Q139" s="441">
        <f>SUM(Q137:Q138)</f>
        <v>4229</v>
      </c>
      <c r="R139" s="379"/>
      <c r="S139" s="453" t="s">
        <v>115</v>
      </c>
      <c r="T139" s="379"/>
      <c r="U139" s="441">
        <f>Q139</f>
        <v>4229</v>
      </c>
      <c r="V139" s="385"/>
      <c r="W139" s="6"/>
    </row>
    <row r="140" spans="1:25" ht="15.6">
      <c r="A140" s="378"/>
      <c r="B140" s="379" t="s">
        <v>215</v>
      </c>
      <c r="C140" s="379"/>
      <c r="D140" s="379"/>
      <c r="E140" s="379"/>
      <c r="F140" s="379"/>
      <c r="G140" s="379"/>
      <c r="H140" s="379"/>
      <c r="I140" s="379"/>
      <c r="J140" s="379"/>
      <c r="K140" s="379"/>
      <c r="L140" s="379"/>
      <c r="M140" s="379"/>
      <c r="N140" s="379"/>
      <c r="O140" s="379"/>
      <c r="P140" s="379"/>
      <c r="Q140" s="441"/>
      <c r="R140" s="379"/>
      <c r="S140" s="453"/>
      <c r="T140" s="379"/>
      <c r="U140" s="441"/>
      <c r="V140" s="385"/>
      <c r="W140" s="6"/>
    </row>
    <row r="141" spans="1:25" ht="15.6">
      <c r="A141" s="378"/>
      <c r="B141" s="454"/>
      <c r="C141" s="454"/>
      <c r="D141" s="454"/>
      <c r="E141" s="454"/>
      <c r="F141" s="454"/>
      <c r="G141" s="454"/>
      <c r="H141" s="454"/>
      <c r="I141" s="454"/>
      <c r="J141" s="454"/>
      <c r="K141" s="454"/>
      <c r="L141" s="454"/>
      <c r="M141" s="454"/>
      <c r="N141" s="454"/>
      <c r="O141" s="454"/>
      <c r="P141" s="454"/>
      <c r="Q141" s="454"/>
      <c r="R141" s="454"/>
      <c r="S141" s="454"/>
      <c r="T141" s="454"/>
      <c r="U141" s="454"/>
      <c r="V141" s="385"/>
      <c r="W141" s="6"/>
    </row>
    <row r="142" spans="1:25" ht="15.6">
      <c r="A142" s="242"/>
      <c r="B142" s="452"/>
      <c r="C142" s="452"/>
      <c r="D142" s="452"/>
      <c r="E142" s="452"/>
      <c r="F142" s="452"/>
      <c r="G142" s="452"/>
      <c r="H142" s="452"/>
      <c r="I142" s="452"/>
      <c r="J142" s="452"/>
      <c r="K142" s="452"/>
      <c r="L142" s="452"/>
      <c r="M142" s="452"/>
      <c r="N142" s="452"/>
      <c r="O142" s="452"/>
      <c r="P142" s="452"/>
      <c r="Q142" s="452"/>
      <c r="R142" s="452"/>
      <c r="S142" s="452"/>
      <c r="T142" s="452"/>
      <c r="U142" s="452"/>
      <c r="V142" s="284"/>
      <c r="W142" s="6"/>
    </row>
    <row r="143" spans="1:25" ht="15.6">
      <c r="A143" s="230"/>
      <c r="B143" s="511" t="s">
        <v>59</v>
      </c>
      <c r="C143" s="518"/>
      <c r="D143" s="518"/>
      <c r="E143" s="518"/>
      <c r="F143" s="518"/>
      <c r="G143" s="518"/>
      <c r="H143" s="518"/>
      <c r="I143" s="518"/>
      <c r="J143" s="518"/>
      <c r="K143" s="518"/>
      <c r="L143" s="518"/>
      <c r="M143" s="518"/>
      <c r="N143" s="518"/>
      <c r="O143" s="518"/>
      <c r="P143" s="519"/>
      <c r="Q143" s="519"/>
      <c r="R143" s="519"/>
      <c r="S143" s="519">
        <v>41361</v>
      </c>
      <c r="T143" s="231"/>
      <c r="U143" s="231"/>
      <c r="V143" s="237"/>
      <c r="W143" s="6"/>
    </row>
    <row r="144" spans="1:25" ht="15.6">
      <c r="A144" s="281"/>
      <c r="B144" s="294" t="s">
        <v>60</v>
      </c>
      <c r="C144" s="329"/>
      <c r="D144" s="329"/>
      <c r="E144" s="329"/>
      <c r="F144" s="329"/>
      <c r="G144" s="329"/>
      <c r="H144" s="329"/>
      <c r="I144" s="329"/>
      <c r="J144" s="329"/>
      <c r="K144" s="329"/>
      <c r="L144" s="329"/>
      <c r="M144" s="329"/>
      <c r="N144" s="329"/>
      <c r="O144" s="329"/>
      <c r="P144" s="300"/>
      <c r="Q144" s="300"/>
      <c r="R144" s="300"/>
      <c r="S144" s="299">
        <v>0.10630000000000001</v>
      </c>
      <c r="T144" s="294"/>
      <c r="U144" s="294"/>
      <c r="V144" s="260"/>
      <c r="W144" s="6"/>
    </row>
    <row r="145" spans="1:23" ht="15.6">
      <c r="A145" s="458"/>
      <c r="B145" s="379" t="s">
        <v>61</v>
      </c>
      <c r="C145" s="459"/>
      <c r="D145" s="459"/>
      <c r="E145" s="459"/>
      <c r="F145" s="459"/>
      <c r="G145" s="459"/>
      <c r="H145" s="459"/>
      <c r="I145" s="459"/>
      <c r="J145" s="459"/>
      <c r="K145" s="459"/>
      <c r="L145" s="459"/>
      <c r="M145" s="459"/>
      <c r="N145" s="459"/>
      <c r="O145" s="459"/>
      <c r="P145" s="433"/>
      <c r="Q145" s="433"/>
      <c r="R145" s="433"/>
      <c r="S145" s="427">
        <v>5.2200000000000003E-2</v>
      </c>
      <c r="T145" s="427"/>
      <c r="U145" s="379"/>
      <c r="V145" s="385"/>
      <c r="W145" s="6"/>
    </row>
    <row r="146" spans="1:23" ht="15.6">
      <c r="A146" s="458"/>
      <c r="B146" s="379" t="s">
        <v>62</v>
      </c>
      <c r="C146" s="459"/>
      <c r="D146" s="459"/>
      <c r="E146" s="459"/>
      <c r="F146" s="459"/>
      <c r="G146" s="459"/>
      <c r="H146" s="459"/>
      <c r="I146" s="459"/>
      <c r="J146" s="459"/>
      <c r="K146" s="459"/>
      <c r="L146" s="459"/>
      <c r="M146" s="459"/>
      <c r="N146" s="459"/>
      <c r="O146" s="459"/>
      <c r="P146" s="433"/>
      <c r="Q146" s="433"/>
      <c r="R146" s="433"/>
      <c r="S146" s="427">
        <f>S144-S145</f>
        <v>5.4100000000000002E-2</v>
      </c>
      <c r="T146" s="379"/>
      <c r="U146" s="379"/>
      <c r="V146" s="385"/>
      <c r="W146" s="6"/>
    </row>
    <row r="147" spans="1:23" ht="15.6">
      <c r="A147" s="458"/>
      <c r="B147" s="379" t="s">
        <v>63</v>
      </c>
      <c r="C147" s="459"/>
      <c r="D147" s="459"/>
      <c r="E147" s="459"/>
      <c r="F147" s="459"/>
      <c r="G147" s="459"/>
      <c r="H147" s="459"/>
      <c r="I147" s="459"/>
      <c r="J147" s="459"/>
      <c r="K147" s="459"/>
      <c r="L147" s="459"/>
      <c r="M147" s="459"/>
      <c r="N147" s="459"/>
      <c r="O147" s="459"/>
      <c r="P147" s="433"/>
      <c r="Q147" s="433"/>
      <c r="R147" s="433"/>
      <c r="S147" s="427">
        <v>9.1469999999999996E-2</v>
      </c>
      <c r="T147" s="379"/>
      <c r="U147" s="379"/>
      <c r="V147" s="385"/>
      <c r="W147" s="6"/>
    </row>
    <row r="148" spans="1:23" ht="15.6">
      <c r="A148" s="458"/>
      <c r="B148" s="379" t="s">
        <v>64</v>
      </c>
      <c r="C148" s="459"/>
      <c r="D148" s="459"/>
      <c r="E148" s="459"/>
      <c r="F148" s="459"/>
      <c r="G148" s="459"/>
      <c r="H148" s="459"/>
      <c r="I148" s="459"/>
      <c r="J148" s="459"/>
      <c r="K148" s="459"/>
      <c r="L148" s="459"/>
      <c r="M148" s="459"/>
      <c r="N148" s="459"/>
      <c r="O148" s="459"/>
      <c r="P148" s="433"/>
      <c r="Q148" s="433"/>
      <c r="R148" s="433"/>
      <c r="S148" s="427">
        <f>+U40</f>
        <v>1.454887124710838E-2</v>
      </c>
      <c r="T148" s="379"/>
      <c r="U148" s="379"/>
      <c r="V148" s="385"/>
      <c r="W148" s="6"/>
    </row>
    <row r="149" spans="1:23" ht="15.6">
      <c r="A149" s="458"/>
      <c r="B149" s="379" t="s">
        <v>65</v>
      </c>
      <c r="C149" s="459"/>
      <c r="D149" s="459"/>
      <c r="E149" s="459"/>
      <c r="F149" s="459"/>
      <c r="G149" s="459"/>
      <c r="H149" s="459"/>
      <c r="I149" s="459"/>
      <c r="J149" s="459"/>
      <c r="K149" s="459"/>
      <c r="L149" s="459"/>
      <c r="M149" s="459"/>
      <c r="N149" s="459"/>
      <c r="O149" s="459"/>
      <c r="P149" s="433"/>
      <c r="Q149" s="433"/>
      <c r="R149" s="433"/>
      <c r="S149" s="427">
        <f>S147-S148</f>
        <v>7.6921128752891615E-2</v>
      </c>
      <c r="T149" s="379"/>
      <c r="U149" s="379"/>
      <c r="V149" s="385"/>
      <c r="W149" s="6"/>
    </row>
    <row r="150" spans="1:23" ht="15.6">
      <c r="A150" s="458"/>
      <c r="B150" s="379" t="s">
        <v>204</v>
      </c>
      <c r="C150" s="459"/>
      <c r="D150" s="459"/>
      <c r="E150" s="459"/>
      <c r="F150" s="459"/>
      <c r="G150" s="459"/>
      <c r="H150" s="459"/>
      <c r="I150" s="459"/>
      <c r="J150" s="459"/>
      <c r="K150" s="459"/>
      <c r="L150" s="459"/>
      <c r="M150" s="459"/>
      <c r="N150" s="459"/>
      <c r="O150" s="459"/>
      <c r="P150" s="433"/>
      <c r="Q150" s="433"/>
      <c r="R150" s="433"/>
      <c r="S150" s="429">
        <v>49780</v>
      </c>
      <c r="T150" s="379"/>
      <c r="U150" s="379"/>
      <c r="V150" s="385"/>
      <c r="W150" s="6"/>
    </row>
    <row r="151" spans="1:23" ht="15.6">
      <c r="A151" s="458"/>
      <c r="B151" s="379" t="s">
        <v>205</v>
      </c>
      <c r="C151" s="459"/>
      <c r="D151" s="459"/>
      <c r="E151" s="459"/>
      <c r="F151" s="459"/>
      <c r="G151" s="459"/>
      <c r="H151" s="459"/>
      <c r="I151" s="459"/>
      <c r="J151" s="459"/>
      <c r="K151" s="459"/>
      <c r="L151" s="459"/>
      <c r="M151" s="459"/>
      <c r="N151" s="459"/>
      <c r="O151" s="459"/>
      <c r="P151" s="433"/>
      <c r="Q151" s="433"/>
      <c r="R151" s="433"/>
      <c r="S151" s="429">
        <v>49780</v>
      </c>
      <c r="T151" s="379"/>
      <c r="U151" s="379"/>
      <c r="V151" s="385"/>
      <c r="W151" s="6"/>
    </row>
    <row r="152" spans="1:23" ht="15.6">
      <c r="A152" s="458"/>
      <c r="B152" s="379" t="s">
        <v>206</v>
      </c>
      <c r="C152" s="459"/>
      <c r="D152" s="459"/>
      <c r="E152" s="459"/>
      <c r="F152" s="459"/>
      <c r="G152" s="459"/>
      <c r="H152" s="459"/>
      <c r="I152" s="459"/>
      <c r="J152" s="459"/>
      <c r="K152" s="459"/>
      <c r="L152" s="459"/>
      <c r="M152" s="459"/>
      <c r="N152" s="459"/>
      <c r="O152" s="459"/>
      <c r="P152" s="433"/>
      <c r="Q152" s="433"/>
      <c r="R152" s="433"/>
      <c r="S152" s="429">
        <v>49780</v>
      </c>
      <c r="T152" s="379"/>
      <c r="U152" s="379"/>
      <c r="V152" s="385"/>
      <c r="W152" s="6"/>
    </row>
    <row r="153" spans="1:23" ht="15.6">
      <c r="A153" s="458"/>
      <c r="B153" s="379" t="s">
        <v>207</v>
      </c>
      <c r="C153" s="459"/>
      <c r="D153" s="459"/>
      <c r="E153" s="459"/>
      <c r="F153" s="459"/>
      <c r="G153" s="459"/>
      <c r="H153" s="459"/>
      <c r="I153" s="459"/>
      <c r="J153" s="459"/>
      <c r="K153" s="459"/>
      <c r="L153" s="459"/>
      <c r="M153" s="459"/>
      <c r="N153" s="459"/>
      <c r="O153" s="459"/>
      <c r="P153" s="433"/>
      <c r="Q153" s="433"/>
      <c r="R153" s="433"/>
      <c r="S153" s="429">
        <v>49780</v>
      </c>
      <c r="T153" s="379"/>
      <c r="U153" s="379"/>
      <c r="V153" s="385"/>
      <c r="W153" s="6"/>
    </row>
    <row r="154" spans="1:23" ht="15.6">
      <c r="A154" s="458"/>
      <c r="B154" s="379" t="s">
        <v>221</v>
      </c>
      <c r="C154" s="459"/>
      <c r="D154" s="459"/>
      <c r="E154" s="459"/>
      <c r="F154" s="459"/>
      <c r="G154" s="459"/>
      <c r="H154" s="459"/>
      <c r="I154" s="459"/>
      <c r="J154" s="459"/>
      <c r="K154" s="459"/>
      <c r="L154" s="459"/>
      <c r="M154" s="459"/>
      <c r="N154" s="459"/>
      <c r="O154" s="459"/>
      <c r="P154" s="433"/>
      <c r="Q154" s="433"/>
      <c r="R154" s="433"/>
      <c r="S154" s="432">
        <v>111.34</v>
      </c>
      <c r="T154" s="379"/>
      <c r="U154" s="379"/>
      <c r="V154" s="385"/>
      <c r="W154" s="6"/>
    </row>
    <row r="155" spans="1:23" ht="15.6">
      <c r="A155" s="458"/>
      <c r="B155" s="379" t="s">
        <v>222</v>
      </c>
      <c r="C155" s="459"/>
      <c r="D155" s="459"/>
      <c r="E155" s="459"/>
      <c r="F155" s="459"/>
      <c r="G155" s="459"/>
      <c r="H155" s="459"/>
      <c r="I155" s="459"/>
      <c r="J155" s="459"/>
      <c r="K155" s="459"/>
      <c r="L155" s="459"/>
      <c r="M155" s="459"/>
      <c r="N155" s="459"/>
      <c r="O155" s="459"/>
      <c r="P155" s="433"/>
      <c r="Q155" s="433"/>
      <c r="R155" s="433"/>
      <c r="S155" s="432">
        <v>151.58000000000001</v>
      </c>
      <c r="T155" s="379"/>
      <c r="U155" s="379"/>
      <c r="V155" s="385"/>
      <c r="W155" s="6"/>
    </row>
    <row r="156" spans="1:23" ht="15.6">
      <c r="A156" s="458" t="s">
        <v>223</v>
      </c>
      <c r="B156" s="379" t="s">
        <v>66</v>
      </c>
      <c r="C156" s="459"/>
      <c r="D156" s="459"/>
      <c r="E156" s="459"/>
      <c r="F156" s="459"/>
      <c r="G156" s="459"/>
      <c r="H156" s="459"/>
      <c r="I156" s="459"/>
      <c r="J156" s="459"/>
      <c r="K156" s="459"/>
      <c r="L156" s="459"/>
      <c r="M156" s="459"/>
      <c r="N156" s="459"/>
      <c r="O156" s="459"/>
      <c r="P156" s="433"/>
      <c r="Q156" s="433"/>
      <c r="R156" s="433"/>
      <c r="S156" s="427">
        <v>3.2500000000000001E-2</v>
      </c>
      <c r="T156" s="379"/>
      <c r="U156" s="379"/>
      <c r="V156" s="385"/>
      <c r="W156" s="6"/>
    </row>
    <row r="157" spans="1:23" ht="15.6">
      <c r="A157" s="458"/>
      <c r="B157" s="379" t="s">
        <v>67</v>
      </c>
      <c r="C157" s="459"/>
      <c r="D157" s="459"/>
      <c r="E157" s="459"/>
      <c r="F157" s="459"/>
      <c r="G157" s="459"/>
      <c r="H157" s="459"/>
      <c r="I157" s="459"/>
      <c r="J157" s="459"/>
      <c r="K157" s="459"/>
      <c r="L157" s="459"/>
      <c r="M157" s="459"/>
      <c r="N157" s="459"/>
      <c r="O157" s="459"/>
      <c r="P157" s="433"/>
      <c r="Q157" s="433"/>
      <c r="R157" s="433"/>
      <c r="S157" s="427">
        <v>0.2873</v>
      </c>
      <c r="T157" s="379"/>
      <c r="U157" s="379"/>
      <c r="V157" s="385"/>
      <c r="W157" s="6"/>
    </row>
    <row r="158" spans="1:23" ht="15.6">
      <c r="A158" s="280"/>
      <c r="B158" s="364"/>
      <c r="C158" s="364"/>
      <c r="D158" s="364"/>
      <c r="E158" s="364"/>
      <c r="F158" s="364"/>
      <c r="G158" s="364"/>
      <c r="H158" s="364"/>
      <c r="I158" s="364"/>
      <c r="J158" s="364"/>
      <c r="K158" s="364"/>
      <c r="L158" s="364"/>
      <c r="M158" s="364"/>
      <c r="N158" s="364"/>
      <c r="O158" s="364"/>
      <c r="P158" s="364"/>
      <c r="Q158" s="364"/>
      <c r="R158" s="455"/>
      <c r="S158" s="456"/>
      <c r="T158" s="364"/>
      <c r="U158" s="457"/>
      <c r="V158" s="245"/>
      <c r="W158" s="6"/>
    </row>
    <row r="159" spans="1:23" ht="15.6">
      <c r="A159" s="280"/>
      <c r="B159" s="288"/>
      <c r="C159" s="288"/>
      <c r="D159" s="288"/>
      <c r="E159" s="288"/>
      <c r="F159" s="288"/>
      <c r="G159" s="288"/>
      <c r="H159" s="288"/>
      <c r="I159" s="288"/>
      <c r="J159" s="288"/>
      <c r="K159" s="288"/>
      <c r="L159" s="288"/>
      <c r="M159" s="288"/>
      <c r="N159" s="288"/>
      <c r="O159" s="288"/>
      <c r="P159" s="288"/>
      <c r="Q159" s="288"/>
      <c r="R159" s="331"/>
      <c r="S159" s="332"/>
      <c r="T159" s="288"/>
      <c r="U159" s="333"/>
      <c r="V159" s="245"/>
      <c r="W159" s="6"/>
    </row>
    <row r="160" spans="1:23" ht="16.2" thickBot="1">
      <c r="A160" s="282"/>
      <c r="B160" s="304" t="str">
        <f>+B109</f>
        <v>PPAF3 INVESTOR REPORT QUARTER ENDING MARCH 2013</v>
      </c>
      <c r="C160" s="305"/>
      <c r="D160" s="305"/>
      <c r="E160" s="305"/>
      <c r="F160" s="305"/>
      <c r="G160" s="305"/>
      <c r="H160" s="305"/>
      <c r="I160" s="305"/>
      <c r="J160" s="305"/>
      <c r="K160" s="305"/>
      <c r="L160" s="305"/>
      <c r="M160" s="305"/>
      <c r="N160" s="305"/>
      <c r="O160" s="305"/>
      <c r="P160" s="305"/>
      <c r="Q160" s="305"/>
      <c r="R160" s="334"/>
      <c r="S160" s="335"/>
      <c r="T160" s="305"/>
      <c r="U160" s="336"/>
      <c r="V160" s="262"/>
      <c r="W160" s="6"/>
    </row>
    <row r="161" spans="1:23" ht="15.6">
      <c r="A161" s="337"/>
      <c r="B161" s="520" t="s">
        <v>68</v>
      </c>
      <c r="C161" s="521"/>
      <c r="D161" s="521"/>
      <c r="E161" s="521"/>
      <c r="F161" s="521"/>
      <c r="G161" s="521"/>
      <c r="H161" s="521"/>
      <c r="I161" s="521"/>
      <c r="J161" s="521"/>
      <c r="K161" s="521"/>
      <c r="L161" s="521"/>
      <c r="M161" s="522"/>
      <c r="N161" s="521"/>
      <c r="O161" s="522"/>
      <c r="P161" s="521"/>
      <c r="Q161" s="522"/>
      <c r="R161" s="521" t="s">
        <v>94</v>
      </c>
      <c r="S161" s="522" t="s">
        <v>116</v>
      </c>
      <c r="T161" s="340"/>
      <c r="U161" s="340"/>
      <c r="V161" s="341"/>
      <c r="W161" s="6"/>
    </row>
    <row r="162" spans="1:23" ht="15.6">
      <c r="A162" s="283"/>
      <c r="B162" s="294" t="s">
        <v>216</v>
      </c>
      <c r="C162" s="310"/>
      <c r="D162" s="310"/>
      <c r="E162" s="310"/>
      <c r="F162" s="310"/>
      <c r="G162" s="310"/>
      <c r="H162" s="310"/>
      <c r="I162" s="310"/>
      <c r="J162" s="310"/>
      <c r="K162" s="310"/>
      <c r="L162" s="310"/>
      <c r="M162" s="310"/>
      <c r="N162" s="310"/>
      <c r="O162" s="294"/>
      <c r="P162" s="294"/>
      <c r="Q162" s="294"/>
      <c r="R162" s="310">
        <v>751</v>
      </c>
      <c r="S162" s="311">
        <v>19439</v>
      </c>
      <c r="T162" s="311"/>
      <c r="U162" s="330"/>
      <c r="V162" s="342"/>
      <c r="W162" s="6"/>
    </row>
    <row r="163" spans="1:23" ht="15.6">
      <c r="A163" s="465"/>
      <c r="B163" s="379" t="s">
        <v>217</v>
      </c>
      <c r="C163" s="440"/>
      <c r="D163" s="440"/>
      <c r="E163" s="440"/>
      <c r="F163" s="440"/>
      <c r="G163" s="440"/>
      <c r="H163" s="440"/>
      <c r="I163" s="440"/>
      <c r="J163" s="440"/>
      <c r="K163" s="440"/>
      <c r="L163" s="440"/>
      <c r="M163" s="440"/>
      <c r="N163" s="440"/>
      <c r="O163" s="379"/>
      <c r="P163" s="379"/>
      <c r="Q163" s="379"/>
      <c r="R163" s="545">
        <v>7</v>
      </c>
      <c r="S163" s="546">
        <v>34</v>
      </c>
      <c r="T163" s="441"/>
      <c r="U163" s="466"/>
      <c r="V163" s="467"/>
      <c r="W163" s="6"/>
    </row>
    <row r="164" spans="1:23" ht="15.6">
      <c r="A164" s="465"/>
      <c r="B164" s="379" t="s">
        <v>218</v>
      </c>
      <c r="C164" s="440"/>
      <c r="D164" s="440"/>
      <c r="E164" s="440"/>
      <c r="F164" s="440"/>
      <c r="G164" s="440"/>
      <c r="H164" s="440"/>
      <c r="I164" s="440"/>
      <c r="J164" s="440"/>
      <c r="K164" s="440"/>
      <c r="L164" s="440"/>
      <c r="M164" s="440"/>
      <c r="N164" s="440"/>
      <c r="O164" s="379"/>
      <c r="P164" s="379"/>
      <c r="Q164" s="379"/>
      <c r="R164" s="545">
        <v>123</v>
      </c>
      <c r="S164" s="546">
        <v>119</v>
      </c>
      <c r="T164" s="441"/>
      <c r="U164" s="466"/>
      <c r="V164" s="467"/>
      <c r="W164" s="6"/>
    </row>
    <row r="165" spans="1:23" ht="15.6">
      <c r="A165" s="465"/>
      <c r="B165" s="379" t="s">
        <v>219</v>
      </c>
      <c r="C165" s="440"/>
      <c r="D165" s="440"/>
      <c r="E165" s="440"/>
      <c r="F165" s="440"/>
      <c r="G165" s="440"/>
      <c r="H165" s="440"/>
      <c r="I165" s="440"/>
      <c r="J165" s="440"/>
      <c r="K165" s="440"/>
      <c r="L165" s="440"/>
      <c r="M165" s="440"/>
      <c r="N165" s="440"/>
      <c r="O165" s="379"/>
      <c r="P165" s="379"/>
      <c r="Q165" s="379"/>
      <c r="R165" s="545">
        <v>103</v>
      </c>
      <c r="S165" s="546">
        <v>283</v>
      </c>
      <c r="T165" s="441"/>
      <c r="U165" s="466"/>
      <c r="V165" s="467"/>
      <c r="W165" s="6"/>
    </row>
    <row r="166" spans="1:23" ht="15.6">
      <c r="A166" s="465"/>
      <c r="B166" s="379" t="s">
        <v>90</v>
      </c>
      <c r="C166" s="440"/>
      <c r="D166" s="440"/>
      <c r="E166" s="440"/>
      <c r="F166" s="440"/>
      <c r="G166" s="440"/>
      <c r="H166" s="440"/>
      <c r="I166" s="440"/>
      <c r="J166" s="440"/>
      <c r="K166" s="440"/>
      <c r="L166" s="440"/>
      <c r="M166" s="440"/>
      <c r="N166" s="440"/>
      <c r="O166" s="379"/>
      <c r="P166" s="379"/>
      <c r="Q166" s="379"/>
      <c r="R166" s="547">
        <f>SUM(R162:R165)</f>
        <v>984</v>
      </c>
      <c r="S166" s="546">
        <f>SUM(S162:S165)</f>
        <v>19875</v>
      </c>
      <c r="T166" s="441"/>
      <c r="U166" s="466"/>
      <c r="V166" s="467"/>
      <c r="W166" s="6"/>
    </row>
    <row r="167" spans="1:23" ht="15.6">
      <c r="A167" s="465"/>
      <c r="B167" s="379"/>
      <c r="C167" s="440"/>
      <c r="D167" s="440"/>
      <c r="E167" s="440"/>
      <c r="F167" s="440"/>
      <c r="G167" s="440"/>
      <c r="H167" s="440"/>
      <c r="I167" s="440"/>
      <c r="J167" s="440"/>
      <c r="K167" s="440"/>
      <c r="L167" s="440"/>
      <c r="M167" s="440"/>
      <c r="N167" s="440"/>
      <c r="O167" s="379"/>
      <c r="P167" s="379"/>
      <c r="Q167" s="379"/>
      <c r="R167" s="545"/>
      <c r="S167" s="546"/>
      <c r="T167" s="441"/>
      <c r="U167" s="466"/>
      <c r="V167" s="467"/>
      <c r="W167" s="6"/>
    </row>
    <row r="168" spans="1:23" ht="15.6">
      <c r="A168" s="465"/>
      <c r="B168" s="379" t="s">
        <v>220</v>
      </c>
      <c r="C168" s="440"/>
      <c r="D168" s="440"/>
      <c r="E168" s="440"/>
      <c r="F168" s="440"/>
      <c r="G168" s="440"/>
      <c r="H168" s="440"/>
      <c r="I168" s="440"/>
      <c r="J168" s="440"/>
      <c r="K168" s="440"/>
      <c r="L168" s="440"/>
      <c r="M168" s="440"/>
      <c r="N168" s="440"/>
      <c r="O168" s="379"/>
      <c r="P168" s="379"/>
      <c r="Q168" s="379"/>
      <c r="R168" s="545">
        <v>0</v>
      </c>
      <c r="S168" s="546">
        <v>0</v>
      </c>
      <c r="T168" s="441"/>
      <c r="U168" s="466"/>
      <c r="V168" s="467"/>
      <c r="W168" s="6"/>
    </row>
    <row r="169" spans="1:23" ht="15.6">
      <c r="A169" s="465"/>
      <c r="B169" s="379" t="s">
        <v>224</v>
      </c>
      <c r="C169" s="440"/>
      <c r="D169" s="440"/>
      <c r="E169" s="440"/>
      <c r="F169" s="440"/>
      <c r="G169" s="440"/>
      <c r="H169" s="440"/>
      <c r="I169" s="440"/>
      <c r="J169" s="440"/>
      <c r="K169" s="440"/>
      <c r="L169" s="440"/>
      <c r="M169" s="440"/>
      <c r="N169" s="440"/>
      <c r="O169" s="379"/>
      <c r="P169" s="379"/>
      <c r="Q169" s="379"/>
      <c r="R169" s="545">
        <v>5</v>
      </c>
      <c r="S169" s="546">
        <v>142</v>
      </c>
      <c r="T169" s="441"/>
      <c r="U169" s="466"/>
      <c r="V169" s="467"/>
      <c r="W169" s="6"/>
    </row>
    <row r="170" spans="1:23" ht="15.6">
      <c r="A170" s="465"/>
      <c r="B170" s="468" t="s">
        <v>69</v>
      </c>
      <c r="C170" s="469"/>
      <c r="D170" s="469"/>
      <c r="E170" s="469"/>
      <c r="F170" s="469"/>
      <c r="G170" s="469"/>
      <c r="H170" s="469"/>
      <c r="I170" s="469"/>
      <c r="J170" s="469"/>
      <c r="K170" s="469"/>
      <c r="L170" s="469"/>
      <c r="M170" s="469"/>
      <c r="N170" s="469"/>
      <c r="O170" s="454"/>
      <c r="P170" s="454"/>
      <c r="Q170" s="454"/>
      <c r="R170" s="539"/>
      <c r="S170" s="540">
        <v>0</v>
      </c>
      <c r="T170" s="454"/>
      <c r="U170" s="470"/>
      <c r="V170" s="471"/>
      <c r="W170" s="6"/>
    </row>
    <row r="171" spans="1:23" ht="15.6">
      <c r="A171" s="465"/>
      <c r="B171" s="468" t="s">
        <v>70</v>
      </c>
      <c r="C171" s="469"/>
      <c r="D171" s="469"/>
      <c r="E171" s="469"/>
      <c r="F171" s="469"/>
      <c r="G171" s="469"/>
      <c r="H171" s="469"/>
      <c r="I171" s="469"/>
      <c r="J171" s="469"/>
      <c r="K171" s="469"/>
      <c r="L171" s="469"/>
      <c r="M171" s="469"/>
      <c r="N171" s="469"/>
      <c r="O171" s="454"/>
      <c r="P171" s="454"/>
      <c r="Q171" s="454"/>
      <c r="R171" s="539"/>
      <c r="S171" s="540">
        <f>Q75</f>
        <v>0</v>
      </c>
      <c r="T171" s="454"/>
      <c r="U171" s="470"/>
      <c r="V171" s="471"/>
      <c r="W171" s="6"/>
    </row>
    <row r="172" spans="1:23" ht="15.6">
      <c r="A172" s="472"/>
      <c r="B172" s="468" t="s">
        <v>71</v>
      </c>
      <c r="C172" s="469"/>
      <c r="D172" s="469"/>
      <c r="E172" s="469"/>
      <c r="F172" s="469"/>
      <c r="G172" s="469"/>
      <c r="H172" s="469"/>
      <c r="I172" s="469"/>
      <c r="J172" s="469"/>
      <c r="K172" s="469"/>
      <c r="L172" s="469"/>
      <c r="M172" s="473"/>
      <c r="N172" s="473"/>
      <c r="O172" s="473"/>
      <c r="P172" s="454"/>
      <c r="Q172" s="454"/>
      <c r="R172" s="379"/>
      <c r="S172" s="500"/>
      <c r="T172" s="454"/>
      <c r="U172" s="470"/>
      <c r="V172" s="474"/>
      <c r="W172" s="6"/>
    </row>
    <row r="173" spans="1:23" ht="15.6">
      <c r="A173" s="465"/>
      <c r="B173" s="379" t="s">
        <v>72</v>
      </c>
      <c r="C173" s="469"/>
      <c r="D173" s="469"/>
      <c r="E173" s="469"/>
      <c r="F173" s="469"/>
      <c r="G173" s="469"/>
      <c r="H173" s="469"/>
      <c r="I173" s="469"/>
      <c r="J173" s="469"/>
      <c r="K173" s="469"/>
      <c r="L173" s="469"/>
      <c r="M173" s="469"/>
      <c r="N173" s="469"/>
      <c r="O173" s="469"/>
      <c r="P173" s="454"/>
      <c r="Q173" s="454"/>
      <c r="R173" s="379"/>
      <c r="S173" s="546">
        <f>U128</f>
        <v>1487</v>
      </c>
      <c r="T173" s="454"/>
      <c r="U173" s="470"/>
      <c r="V173" s="474"/>
      <c r="W173" s="6"/>
    </row>
    <row r="174" spans="1:23" ht="15.6">
      <c r="A174" s="465"/>
      <c r="B174" s="379" t="s">
        <v>73</v>
      </c>
      <c r="C174" s="469"/>
      <c r="D174" s="469"/>
      <c r="E174" s="469"/>
      <c r="F174" s="469"/>
      <c r="G174" s="469"/>
      <c r="H174" s="469"/>
      <c r="I174" s="469"/>
      <c r="J174" s="469"/>
      <c r="K174" s="469"/>
      <c r="L174" s="469"/>
      <c r="M174" s="469"/>
      <c r="N174" s="469"/>
      <c r="O174" s="469"/>
      <c r="P174" s="454"/>
      <c r="Q174" s="454"/>
      <c r="R174" s="379"/>
      <c r="S174" s="546">
        <f>'Dec 12'!S174+S173</f>
        <v>84697</v>
      </c>
      <c r="T174" s="454"/>
      <c r="U174" s="470"/>
      <c r="V174" s="474"/>
      <c r="W174" s="6"/>
    </row>
    <row r="175" spans="1:23" ht="15.6">
      <c r="A175" s="465"/>
      <c r="B175" s="379" t="s">
        <v>74</v>
      </c>
      <c r="C175" s="469"/>
      <c r="D175" s="469"/>
      <c r="E175" s="469"/>
      <c r="F175" s="469"/>
      <c r="G175" s="469"/>
      <c r="H175" s="469"/>
      <c r="I175" s="469"/>
      <c r="J175" s="469"/>
      <c r="K175" s="469"/>
      <c r="L175" s="469"/>
      <c r="M175" s="469"/>
      <c r="N175" s="469"/>
      <c r="O175" s="469"/>
      <c r="P175" s="454"/>
      <c r="Q175" s="454"/>
      <c r="R175" s="379"/>
      <c r="S175" s="546">
        <f>'Dec 12'!S175+544</f>
        <v>20331</v>
      </c>
      <c r="T175" s="454"/>
      <c r="U175" s="470"/>
      <c r="V175" s="474"/>
      <c r="W175" s="6"/>
    </row>
    <row r="176" spans="1:23" ht="15.6">
      <c r="A176" s="465"/>
      <c r="B176" s="473"/>
      <c r="C176" s="469"/>
      <c r="D176" s="469"/>
      <c r="E176" s="469"/>
      <c r="F176" s="469"/>
      <c r="G176" s="469"/>
      <c r="H176" s="469"/>
      <c r="I176" s="469"/>
      <c r="J176" s="469"/>
      <c r="K176" s="469"/>
      <c r="L176" s="469"/>
      <c r="M176" s="469"/>
      <c r="N176" s="469"/>
      <c r="O176" s="469"/>
      <c r="P176" s="454"/>
      <c r="Q176" s="454"/>
      <c r="R176" s="379"/>
      <c r="S176" s="546"/>
      <c r="T176" s="454"/>
      <c r="U176" s="470"/>
      <c r="V176" s="474"/>
      <c r="W176" s="6"/>
    </row>
    <row r="177" spans="1:23" ht="15.6">
      <c r="A177" s="472"/>
      <c r="B177" s="468" t="s">
        <v>259</v>
      </c>
      <c r="C177" s="469"/>
      <c r="D177" s="469"/>
      <c r="E177" s="469"/>
      <c r="F177" s="469"/>
      <c r="G177" s="469"/>
      <c r="H177" s="469"/>
      <c r="I177" s="469"/>
      <c r="J177" s="469"/>
      <c r="K177" s="469"/>
      <c r="L177" s="469"/>
      <c r="M177" s="473"/>
      <c r="N177" s="473"/>
      <c r="O177" s="473"/>
      <c r="P177" s="454"/>
      <c r="Q177" s="454"/>
      <c r="R177" s="379"/>
      <c r="S177" s="548"/>
      <c r="T177" s="454"/>
      <c r="U177" s="470"/>
      <c r="V177" s="474"/>
      <c r="W177" s="6"/>
    </row>
    <row r="178" spans="1:23" ht="15.6">
      <c r="A178" s="472"/>
      <c r="B178" s="379" t="s">
        <v>254</v>
      </c>
      <c r="C178" s="469"/>
      <c r="D178" s="469"/>
      <c r="E178" s="469"/>
      <c r="F178" s="469"/>
      <c r="G178" s="469"/>
      <c r="H178" s="469"/>
      <c r="I178" s="469"/>
      <c r="J178" s="469"/>
      <c r="K178" s="469"/>
      <c r="L178" s="469"/>
      <c r="M178" s="473"/>
      <c r="N178" s="473"/>
      <c r="O178" s="473"/>
      <c r="P178" s="454"/>
      <c r="Q178" s="454"/>
      <c r="R178" s="379"/>
      <c r="S178" s="548">
        <v>0</v>
      </c>
      <c r="T178" s="454"/>
      <c r="U178" s="470"/>
      <c r="V178" s="474"/>
      <c r="W178" s="6"/>
    </row>
    <row r="179" spans="1:23" ht="15.6">
      <c r="A179" s="465"/>
      <c r="B179" s="379" t="s">
        <v>75</v>
      </c>
      <c r="C179" s="469"/>
      <c r="D179" s="469"/>
      <c r="E179" s="469"/>
      <c r="F179" s="469"/>
      <c r="G179" s="469"/>
      <c r="H179" s="469"/>
      <c r="I179" s="469"/>
      <c r="J179" s="469"/>
      <c r="K179" s="469"/>
      <c r="L179" s="469"/>
      <c r="M179" s="475"/>
      <c r="N179" s="475"/>
      <c r="O179" s="476"/>
      <c r="P179" s="454"/>
      <c r="Q179" s="454"/>
      <c r="R179" s="379"/>
      <c r="S179" s="549">
        <v>0</v>
      </c>
      <c r="T179" s="454"/>
      <c r="U179" s="470"/>
      <c r="V179" s="474"/>
      <c r="W179" s="6"/>
    </row>
    <row r="180" spans="1:23" ht="15.6">
      <c r="A180" s="465"/>
      <c r="B180" s="379" t="s">
        <v>76</v>
      </c>
      <c r="C180" s="469"/>
      <c r="D180" s="469"/>
      <c r="E180" s="469"/>
      <c r="F180" s="469"/>
      <c r="G180" s="469"/>
      <c r="H180" s="469"/>
      <c r="I180" s="469"/>
      <c r="J180" s="469"/>
      <c r="K180" s="469"/>
      <c r="L180" s="469"/>
      <c r="M180" s="475"/>
      <c r="N180" s="475"/>
      <c r="O180" s="476"/>
      <c r="P180" s="454"/>
      <c r="Q180" s="454"/>
      <c r="R180" s="379"/>
      <c r="S180" s="548">
        <v>0</v>
      </c>
      <c r="T180" s="454"/>
      <c r="U180" s="470"/>
      <c r="V180" s="474"/>
      <c r="W180" s="6"/>
    </row>
    <row r="181" spans="1:23" ht="15.6">
      <c r="A181" s="465"/>
      <c r="B181" s="473"/>
      <c r="C181" s="469"/>
      <c r="D181" s="469"/>
      <c r="E181" s="469"/>
      <c r="F181" s="469"/>
      <c r="G181" s="469"/>
      <c r="H181" s="469"/>
      <c r="I181" s="469"/>
      <c r="J181" s="469"/>
      <c r="K181" s="469"/>
      <c r="L181" s="469"/>
      <c r="M181" s="477"/>
      <c r="N181" s="475"/>
      <c r="O181" s="476"/>
      <c r="P181" s="454"/>
      <c r="Q181" s="454"/>
      <c r="R181" s="379"/>
      <c r="S181" s="537"/>
      <c r="T181" s="454"/>
      <c r="U181" s="470"/>
      <c r="V181" s="474"/>
      <c r="W181" s="6"/>
    </row>
    <row r="182" spans="1:23" ht="15.6">
      <c r="A182" s="465"/>
      <c r="B182" s="468" t="s">
        <v>77</v>
      </c>
      <c r="C182" s="469"/>
      <c r="D182" s="469"/>
      <c r="E182" s="469"/>
      <c r="F182" s="469"/>
      <c r="G182" s="469"/>
      <c r="H182" s="469"/>
      <c r="I182" s="469"/>
      <c r="J182" s="469"/>
      <c r="K182" s="469"/>
      <c r="L182" s="469"/>
      <c r="M182" s="469"/>
      <c r="N182" s="477"/>
      <c r="O182" s="475"/>
      <c r="P182" s="476"/>
      <c r="Q182" s="454"/>
      <c r="R182" s="380"/>
      <c r="S182" s="538"/>
      <c r="T182" s="478"/>
      <c r="U182" s="390"/>
      <c r="V182" s="479"/>
      <c r="W182" s="6"/>
    </row>
    <row r="183" spans="1:23" ht="15.6">
      <c r="A183" s="465"/>
      <c r="B183" s="379" t="s">
        <v>78</v>
      </c>
      <c r="C183" s="469"/>
      <c r="D183" s="469"/>
      <c r="E183" s="469"/>
      <c r="F183" s="469"/>
      <c r="G183" s="469"/>
      <c r="H183" s="469"/>
      <c r="I183" s="469"/>
      <c r="J183" s="469"/>
      <c r="K183" s="469"/>
      <c r="L183" s="469"/>
      <c r="M183" s="469"/>
      <c r="N183" s="477"/>
      <c r="O183" s="475"/>
      <c r="P183" s="476"/>
      <c r="Q183" s="454"/>
      <c r="R183" s="380"/>
      <c r="S183" s="550">
        <v>1</v>
      </c>
      <c r="T183" s="480"/>
      <c r="U183" s="390"/>
      <c r="V183" s="479"/>
      <c r="W183" s="6"/>
    </row>
    <row r="184" spans="1:23" ht="15.6">
      <c r="A184" s="465"/>
      <c r="B184" s="379" t="s">
        <v>75</v>
      </c>
      <c r="C184" s="469"/>
      <c r="D184" s="469"/>
      <c r="E184" s="469"/>
      <c r="F184" s="469"/>
      <c r="G184" s="469"/>
      <c r="H184" s="469"/>
      <c r="I184" s="469"/>
      <c r="J184" s="469"/>
      <c r="K184" s="469"/>
      <c r="L184" s="469"/>
      <c r="M184" s="469"/>
      <c r="N184" s="477"/>
      <c r="O184" s="475"/>
      <c r="P184" s="476"/>
      <c r="Q184" s="454"/>
      <c r="R184" s="380"/>
      <c r="S184" s="550">
        <v>0.99</v>
      </c>
      <c r="T184" s="480"/>
      <c r="U184" s="390"/>
      <c r="V184" s="479"/>
      <c r="W184" s="6"/>
    </row>
    <row r="185" spans="1:23" ht="15.6">
      <c r="A185" s="465"/>
      <c r="B185" s="379" t="s">
        <v>79</v>
      </c>
      <c r="C185" s="469"/>
      <c r="D185" s="469"/>
      <c r="E185" s="469"/>
      <c r="F185" s="469"/>
      <c r="G185" s="469"/>
      <c r="H185" s="469"/>
      <c r="I185" s="469"/>
      <c r="J185" s="469"/>
      <c r="K185" s="469"/>
      <c r="L185" s="469"/>
      <c r="M185" s="469"/>
      <c r="N185" s="477"/>
      <c r="O185" s="475"/>
      <c r="P185" s="476"/>
      <c r="Q185" s="454"/>
      <c r="R185" s="380"/>
      <c r="S185" s="550">
        <v>72</v>
      </c>
      <c r="T185" s="480"/>
      <c r="U185" s="390"/>
      <c r="V185" s="479"/>
      <c r="W185" s="6"/>
    </row>
    <row r="186" spans="1:23" ht="15.6">
      <c r="A186" s="465"/>
      <c r="B186" s="473"/>
      <c r="C186" s="469"/>
      <c r="D186" s="469"/>
      <c r="E186" s="469"/>
      <c r="F186" s="469"/>
      <c r="G186" s="469"/>
      <c r="H186" s="469"/>
      <c r="I186" s="469"/>
      <c r="J186" s="469"/>
      <c r="K186" s="469"/>
      <c r="L186" s="469"/>
      <c r="M186" s="477"/>
      <c r="N186" s="475"/>
      <c r="O186" s="476"/>
      <c r="P186" s="454"/>
      <c r="Q186" s="454"/>
      <c r="R186" s="454"/>
      <c r="S186" s="537"/>
      <c r="T186" s="454"/>
      <c r="U186" s="470"/>
      <c r="V186" s="474"/>
      <c r="W186" s="6"/>
    </row>
    <row r="187" spans="1:23" ht="17.399999999999999">
      <c r="A187" s="465"/>
      <c r="B187" s="482" t="s">
        <v>196</v>
      </c>
      <c r="C187" s="469"/>
      <c r="D187" s="469"/>
      <c r="E187" s="469"/>
      <c r="F187" s="469"/>
      <c r="G187" s="469"/>
      <c r="H187" s="469"/>
      <c r="I187" s="469"/>
      <c r="J187" s="469"/>
      <c r="K187" s="483" t="s">
        <v>195</v>
      </c>
      <c r="L187" s="469"/>
      <c r="M187" s="477"/>
      <c r="N187" s="475"/>
      <c r="O187" s="476"/>
      <c r="P187" s="454"/>
      <c r="Q187" s="454"/>
      <c r="R187" s="454"/>
      <c r="S187" s="481"/>
      <c r="T187" s="454"/>
      <c r="U187" s="470"/>
      <c r="V187" s="474"/>
      <c r="W187" s="6"/>
    </row>
    <row r="188" spans="1:23" ht="15.6">
      <c r="A188" s="242"/>
      <c r="B188" s="460"/>
      <c r="C188" s="461"/>
      <c r="D188" s="461"/>
      <c r="E188" s="461"/>
      <c r="F188" s="461"/>
      <c r="G188" s="461"/>
      <c r="H188" s="461"/>
      <c r="I188" s="461"/>
      <c r="J188" s="461"/>
      <c r="K188" s="461"/>
      <c r="L188" s="461"/>
      <c r="M188" s="462"/>
      <c r="N188" s="461"/>
      <c r="O188" s="462"/>
      <c r="P188" s="461"/>
      <c r="Q188" s="462"/>
      <c r="R188" s="461"/>
      <c r="S188" s="462"/>
      <c r="T188" s="461"/>
      <c r="U188" s="463"/>
      <c r="V188" s="464"/>
      <c r="W188" s="6"/>
    </row>
    <row r="189" spans="1:23" ht="15.6">
      <c r="A189" s="348"/>
      <c r="B189" s="525" t="s">
        <v>80</v>
      </c>
      <c r="C189" s="343"/>
      <c r="D189" s="343"/>
      <c r="E189" s="343"/>
      <c r="F189" s="343"/>
      <c r="G189" s="343"/>
      <c r="H189" s="343"/>
      <c r="I189" s="343"/>
      <c r="J189" s="343"/>
      <c r="K189" s="343"/>
      <c r="L189" s="343"/>
      <c r="M189" s="525" t="s">
        <v>100</v>
      </c>
      <c r="N189" s="526"/>
      <c r="O189" s="527"/>
      <c r="P189" s="526"/>
      <c r="Q189" s="525"/>
      <c r="R189" s="525" t="s">
        <v>26</v>
      </c>
      <c r="S189" s="527"/>
      <c r="T189" s="526"/>
      <c r="U189" s="346"/>
      <c r="V189" s="528"/>
      <c r="W189" s="6"/>
    </row>
    <row r="190" spans="1:23" ht="15.6">
      <c r="A190" s="365"/>
      <c r="B190" s="366"/>
      <c r="C190" s="529"/>
      <c r="D190" s="529"/>
      <c r="E190" s="529"/>
      <c r="F190" s="529"/>
      <c r="G190" s="529"/>
      <c r="H190" s="529"/>
      <c r="I190" s="529"/>
      <c r="J190" s="529"/>
      <c r="K190" s="529"/>
      <c r="L190" s="529" t="s">
        <v>94</v>
      </c>
      <c r="M190" s="530" t="s">
        <v>101</v>
      </c>
      <c r="N190" s="529" t="s">
        <v>103</v>
      </c>
      <c r="O190" s="530" t="s">
        <v>101</v>
      </c>
      <c r="P190" s="530"/>
      <c r="Q190" s="529" t="s">
        <v>94</v>
      </c>
      <c r="R190" s="530" t="s">
        <v>101</v>
      </c>
      <c r="S190" s="529" t="s">
        <v>103</v>
      </c>
      <c r="T190" s="530" t="s">
        <v>101</v>
      </c>
      <c r="U190" s="369"/>
      <c r="V190" s="531"/>
      <c r="W190" s="6"/>
    </row>
    <row r="191" spans="1:23" ht="15.6">
      <c r="A191" s="316"/>
      <c r="B191" s="360" t="s">
        <v>81</v>
      </c>
      <c r="C191" s="361"/>
      <c r="D191" s="361"/>
      <c r="E191" s="361"/>
      <c r="F191" s="361"/>
      <c r="G191" s="361"/>
      <c r="H191" s="361"/>
      <c r="I191" s="361"/>
      <c r="J191" s="361"/>
      <c r="K191" s="361"/>
      <c r="L191" s="361">
        <v>419</v>
      </c>
      <c r="M191" s="362">
        <f t="shared" ref="M191:M197" si="0">+L191/$L$198</f>
        <v>0.71137521222410871</v>
      </c>
      <c r="N191" s="361">
        <v>1680</v>
      </c>
      <c r="O191" s="362">
        <f t="shared" ref="O191:O197" si="1">N191/$N$198</f>
        <v>0.81831466147101806</v>
      </c>
      <c r="P191" s="363"/>
      <c r="Q191" s="361">
        <v>124</v>
      </c>
      <c r="R191" s="362">
        <f t="shared" ref="R191:R197" si="2">+Q191/$Q$198</f>
        <v>0.37689969604863222</v>
      </c>
      <c r="S191" s="361">
        <v>219</v>
      </c>
      <c r="T191" s="362">
        <f>+S191/$S$198</f>
        <v>0.5688311688311688</v>
      </c>
      <c r="U191" s="364"/>
      <c r="V191" s="312"/>
      <c r="W191" s="6"/>
    </row>
    <row r="192" spans="1:23" ht="15.6">
      <c r="A192" s="444"/>
      <c r="B192" s="440" t="s">
        <v>82</v>
      </c>
      <c r="C192" s="489"/>
      <c r="D192" s="489"/>
      <c r="E192" s="489"/>
      <c r="F192" s="489"/>
      <c r="G192" s="489"/>
      <c r="H192" s="489"/>
      <c r="I192" s="489"/>
      <c r="J192" s="489"/>
      <c r="K192" s="489"/>
      <c r="L192" s="489">
        <v>10</v>
      </c>
      <c r="M192" s="427">
        <f t="shared" si="0"/>
        <v>1.6977928692699491E-2</v>
      </c>
      <c r="N192" s="489">
        <v>23</v>
      </c>
      <c r="O192" s="427">
        <f t="shared" si="1"/>
        <v>1.1203117389186557E-2</v>
      </c>
      <c r="P192" s="381"/>
      <c r="Q192" s="489">
        <v>10</v>
      </c>
      <c r="R192" s="427">
        <f t="shared" si="2"/>
        <v>3.0395136778115502E-2</v>
      </c>
      <c r="S192" s="489">
        <v>2</v>
      </c>
      <c r="T192" s="427">
        <f t="shared" ref="T192:T197" si="3">+S192/$S$198</f>
        <v>5.1948051948051948E-3</v>
      </c>
      <c r="U192" s="379"/>
      <c r="V192" s="435"/>
      <c r="W192" s="6"/>
    </row>
    <row r="193" spans="1:24" ht="15.6">
      <c r="A193" s="444"/>
      <c r="B193" s="440" t="s">
        <v>83</v>
      </c>
      <c r="C193" s="489"/>
      <c r="D193" s="489"/>
      <c r="E193" s="489"/>
      <c r="F193" s="489"/>
      <c r="G193" s="489"/>
      <c r="H193" s="489"/>
      <c r="I193" s="489"/>
      <c r="J193" s="489"/>
      <c r="K193" s="489"/>
      <c r="L193" s="489">
        <v>15</v>
      </c>
      <c r="M193" s="427">
        <f t="shared" si="0"/>
        <v>2.5466893039049237E-2</v>
      </c>
      <c r="N193" s="489">
        <v>26</v>
      </c>
      <c r="O193" s="427">
        <f t="shared" si="1"/>
        <v>1.2664393570384803E-2</v>
      </c>
      <c r="P193" s="381"/>
      <c r="Q193" s="489">
        <v>13</v>
      </c>
      <c r="R193" s="427">
        <f t="shared" si="2"/>
        <v>3.9513677811550151E-2</v>
      </c>
      <c r="S193" s="489">
        <v>3</v>
      </c>
      <c r="T193" s="427">
        <f t="shared" si="3"/>
        <v>7.7922077922077922E-3</v>
      </c>
      <c r="U193" s="379"/>
      <c r="V193" s="435"/>
      <c r="W193" s="6"/>
    </row>
    <row r="194" spans="1:24" ht="15.6">
      <c r="A194" s="444"/>
      <c r="B194" s="440" t="s">
        <v>186</v>
      </c>
      <c r="C194" s="489"/>
      <c r="D194" s="489"/>
      <c r="E194" s="489"/>
      <c r="F194" s="489"/>
      <c r="G194" s="489"/>
      <c r="H194" s="489"/>
      <c r="I194" s="489"/>
      <c r="J194" s="489"/>
      <c r="K194" s="489"/>
      <c r="L194" s="489">
        <v>14</v>
      </c>
      <c r="M194" s="427">
        <f t="shared" si="0"/>
        <v>2.3769100169779286E-2</v>
      </c>
      <c r="N194" s="489">
        <v>34</v>
      </c>
      <c r="O194" s="427">
        <f t="shared" si="1"/>
        <v>1.6561130053580127E-2</v>
      </c>
      <c r="P194" s="381"/>
      <c r="Q194" s="489">
        <v>20</v>
      </c>
      <c r="R194" s="427">
        <f t="shared" si="2"/>
        <v>6.0790273556231005E-2</v>
      </c>
      <c r="S194" s="489">
        <v>15</v>
      </c>
      <c r="T194" s="427">
        <f t="shared" si="3"/>
        <v>3.896103896103896E-2</v>
      </c>
      <c r="U194" s="379"/>
      <c r="V194" s="435"/>
      <c r="W194" s="6"/>
    </row>
    <row r="195" spans="1:24" ht="15.6">
      <c r="A195" s="444"/>
      <c r="B195" s="440" t="s">
        <v>187</v>
      </c>
      <c r="C195" s="489"/>
      <c r="D195" s="489"/>
      <c r="E195" s="489"/>
      <c r="F195" s="489"/>
      <c r="G195" s="489"/>
      <c r="H195" s="489"/>
      <c r="I195" s="489"/>
      <c r="J195" s="489"/>
      <c r="K195" s="489"/>
      <c r="L195" s="489">
        <v>18</v>
      </c>
      <c r="M195" s="427">
        <f t="shared" si="0"/>
        <v>3.0560271646859084E-2</v>
      </c>
      <c r="N195" s="489">
        <v>13</v>
      </c>
      <c r="O195" s="427">
        <f t="shared" si="1"/>
        <v>6.3321967851924016E-3</v>
      </c>
      <c r="P195" s="381"/>
      <c r="Q195" s="489">
        <v>22</v>
      </c>
      <c r="R195" s="427">
        <f t="shared" si="2"/>
        <v>6.6869300911854099E-2</v>
      </c>
      <c r="S195" s="489">
        <v>16</v>
      </c>
      <c r="T195" s="427">
        <f t="shared" si="3"/>
        <v>4.1558441558441558E-2</v>
      </c>
      <c r="U195" s="379"/>
      <c r="V195" s="435"/>
      <c r="W195" s="6"/>
    </row>
    <row r="196" spans="1:24" ht="15.6">
      <c r="A196" s="444"/>
      <c r="B196" s="440" t="s">
        <v>188</v>
      </c>
      <c r="C196" s="489"/>
      <c r="D196" s="489"/>
      <c r="E196" s="489"/>
      <c r="F196" s="489"/>
      <c r="G196" s="489"/>
      <c r="H196" s="489"/>
      <c r="I196" s="489"/>
      <c r="J196" s="489"/>
      <c r="K196" s="489"/>
      <c r="L196" s="489">
        <v>15</v>
      </c>
      <c r="M196" s="427">
        <f t="shared" si="0"/>
        <v>2.5466893039049237E-2</v>
      </c>
      <c r="N196" s="489">
        <v>12</v>
      </c>
      <c r="O196" s="427">
        <f t="shared" si="1"/>
        <v>5.8451047247929854E-3</v>
      </c>
      <c r="P196" s="381"/>
      <c r="Q196" s="489">
        <v>17</v>
      </c>
      <c r="R196" s="427">
        <f t="shared" si="2"/>
        <v>5.1671732522796353E-2</v>
      </c>
      <c r="S196" s="489">
        <v>10</v>
      </c>
      <c r="T196" s="427">
        <f t="shared" si="3"/>
        <v>2.5974025974025976E-2</v>
      </c>
      <c r="U196" s="379"/>
      <c r="V196" s="435"/>
      <c r="W196" s="6"/>
    </row>
    <row r="197" spans="1:24" ht="15.6">
      <c r="A197" s="444"/>
      <c r="B197" s="440" t="s">
        <v>189</v>
      </c>
      <c r="C197" s="489"/>
      <c r="D197" s="489"/>
      <c r="E197" s="489"/>
      <c r="F197" s="489"/>
      <c r="G197" s="489"/>
      <c r="H197" s="489"/>
      <c r="I197" s="489"/>
      <c r="J197" s="489"/>
      <c r="K197" s="489"/>
      <c r="L197" s="489">
        <v>98</v>
      </c>
      <c r="M197" s="427">
        <f t="shared" si="0"/>
        <v>0.166383701188455</v>
      </c>
      <c r="N197" s="489">
        <v>265</v>
      </c>
      <c r="O197" s="427">
        <f t="shared" si="1"/>
        <v>0.12907939600584512</v>
      </c>
      <c r="P197" s="381"/>
      <c r="Q197" s="489">
        <v>123</v>
      </c>
      <c r="R197" s="427">
        <f t="shared" si="2"/>
        <v>0.37386018237082069</v>
      </c>
      <c r="S197" s="489">
        <v>120</v>
      </c>
      <c r="T197" s="427">
        <f t="shared" si="3"/>
        <v>0.31168831168831168</v>
      </c>
      <c r="U197" s="379"/>
      <c r="V197" s="435"/>
      <c r="W197" s="6"/>
    </row>
    <row r="198" spans="1:24" ht="15.6">
      <c r="A198" s="444"/>
      <c r="B198" s="440" t="s">
        <v>84</v>
      </c>
      <c r="C198" s="489"/>
      <c r="D198" s="489"/>
      <c r="E198" s="489"/>
      <c r="F198" s="489"/>
      <c r="G198" s="489"/>
      <c r="H198" s="489"/>
      <c r="I198" s="489"/>
      <c r="J198" s="489"/>
      <c r="K198" s="489"/>
      <c r="L198" s="489">
        <f>SUM(L191:L197)</f>
        <v>589</v>
      </c>
      <c r="M198" s="427">
        <f>SUM(M191:M197)</f>
        <v>1</v>
      </c>
      <c r="N198" s="489">
        <f>SUM(N191:N197)</f>
        <v>2053</v>
      </c>
      <c r="O198" s="427">
        <f>SUM(O191:O197)</f>
        <v>1</v>
      </c>
      <c r="P198" s="381"/>
      <c r="Q198" s="489">
        <f>SUM(Q191:Q197)</f>
        <v>329</v>
      </c>
      <c r="R198" s="427">
        <f>SUM(R191:R197)</f>
        <v>1</v>
      </c>
      <c r="S198" s="489">
        <f>SUM(S191:S197)</f>
        <v>385</v>
      </c>
      <c r="T198" s="427">
        <f>SUM(T191:T197)</f>
        <v>1</v>
      </c>
      <c r="U198" s="379"/>
      <c r="V198" s="435"/>
      <c r="W198" s="6"/>
      <c r="X198" s="64"/>
    </row>
    <row r="199" spans="1:24" ht="15.6">
      <c r="A199" s="444"/>
      <c r="B199" s="440" t="s">
        <v>85</v>
      </c>
      <c r="C199" s="489"/>
      <c r="D199" s="489"/>
      <c r="E199" s="489"/>
      <c r="F199" s="489"/>
      <c r="G199" s="489"/>
      <c r="H199" s="489"/>
      <c r="I199" s="489"/>
      <c r="J199" s="489"/>
      <c r="K199" s="489"/>
      <c r="L199" s="489">
        <v>888</v>
      </c>
      <c r="M199" s="380"/>
      <c r="N199" s="489">
        <v>5317</v>
      </c>
      <c r="O199" s="380"/>
      <c r="P199" s="381"/>
      <c r="Q199" s="489">
        <v>573</v>
      </c>
      <c r="R199" s="380"/>
      <c r="S199" s="489">
        <v>1276</v>
      </c>
      <c r="T199" s="380"/>
      <c r="U199" s="379"/>
      <c r="V199" s="435"/>
      <c r="W199" s="6"/>
      <c r="X199" s="64"/>
    </row>
    <row r="200" spans="1:24" ht="15.6">
      <c r="A200" s="444"/>
      <c r="B200" s="440" t="s">
        <v>86</v>
      </c>
      <c r="C200" s="489"/>
      <c r="D200" s="489"/>
      <c r="E200" s="489"/>
      <c r="F200" s="489"/>
      <c r="G200" s="489"/>
      <c r="H200" s="489"/>
      <c r="I200" s="489"/>
      <c r="J200" s="489"/>
      <c r="K200" s="489"/>
      <c r="L200" s="489">
        <f>SUM(L198:L199)</f>
        <v>1477</v>
      </c>
      <c r="M200" s="450"/>
      <c r="N200" s="489">
        <f>SUM(N198:N199)</f>
        <v>7370</v>
      </c>
      <c r="O200" s="490"/>
      <c r="P200" s="450"/>
      <c r="Q200" s="489">
        <f>SUM(Q198:Q199)</f>
        <v>902</v>
      </c>
      <c r="R200" s="450"/>
      <c r="S200" s="489">
        <f>SUM(S198:S199)</f>
        <v>1661</v>
      </c>
      <c r="T200" s="450"/>
      <c r="U200" s="450"/>
      <c r="V200" s="435"/>
      <c r="W200" s="6"/>
      <c r="X200" s="64"/>
    </row>
    <row r="201" spans="1:24" ht="15.6">
      <c r="A201" s="242"/>
      <c r="B201" s="484"/>
      <c r="C201" s="485"/>
      <c r="D201" s="485"/>
      <c r="E201" s="485"/>
      <c r="F201" s="485"/>
      <c r="G201" s="485"/>
      <c r="H201" s="485"/>
      <c r="I201" s="485"/>
      <c r="J201" s="485"/>
      <c r="K201" s="485"/>
      <c r="L201" s="532"/>
      <c r="M201" s="533"/>
      <c r="N201" s="532"/>
      <c r="O201" s="533"/>
      <c r="P201" s="488"/>
      <c r="Q201" s="532"/>
      <c r="R201" s="533"/>
      <c r="S201" s="532"/>
      <c r="T201" s="533"/>
      <c r="U201" s="463"/>
      <c r="V201" s="464"/>
      <c r="W201" s="6"/>
    </row>
    <row r="202" spans="1:24" ht="15.6">
      <c r="A202" s="349"/>
      <c r="B202" s="525" t="s">
        <v>80</v>
      </c>
      <c r="C202" s="526"/>
      <c r="D202" s="526"/>
      <c r="E202" s="526"/>
      <c r="F202" s="526"/>
      <c r="G202" s="526"/>
      <c r="H202" s="526"/>
      <c r="I202" s="526"/>
      <c r="J202" s="526"/>
      <c r="K202" s="526"/>
      <c r="L202" s="526"/>
      <c r="M202" s="525" t="s">
        <v>27</v>
      </c>
      <c r="N202" s="526"/>
      <c r="O202" s="527"/>
      <c r="P202" s="526"/>
      <c r="Q202" s="525"/>
      <c r="R202" s="525" t="s">
        <v>28</v>
      </c>
      <c r="S202" s="527"/>
      <c r="T202" s="526"/>
      <c r="U202" s="346"/>
      <c r="V202" s="528"/>
      <c r="W202" s="6"/>
    </row>
    <row r="203" spans="1:24" ht="15.6">
      <c r="A203" s="371"/>
      <c r="B203" s="372"/>
      <c r="C203" s="534"/>
      <c r="D203" s="534"/>
      <c r="E203" s="534"/>
      <c r="F203" s="534"/>
      <c r="G203" s="534"/>
      <c r="H203" s="534"/>
      <c r="I203" s="534"/>
      <c r="J203" s="534"/>
      <c r="K203" s="534"/>
      <c r="L203" s="534" t="s">
        <v>94</v>
      </c>
      <c r="M203" s="535" t="s">
        <v>101</v>
      </c>
      <c r="N203" s="534" t="s">
        <v>103</v>
      </c>
      <c r="O203" s="535" t="s">
        <v>101</v>
      </c>
      <c r="P203" s="535"/>
      <c r="Q203" s="534" t="s">
        <v>94</v>
      </c>
      <c r="R203" s="535" t="s">
        <v>101</v>
      </c>
      <c r="S203" s="534" t="s">
        <v>103</v>
      </c>
      <c r="T203" s="535" t="s">
        <v>101</v>
      </c>
      <c r="U203" s="375"/>
      <c r="V203" s="536"/>
      <c r="W203" s="6"/>
    </row>
    <row r="204" spans="1:24" ht="15.6">
      <c r="A204" s="315"/>
      <c r="B204" s="310" t="s">
        <v>81</v>
      </c>
      <c r="C204" s="351"/>
      <c r="D204" s="351"/>
      <c r="E204" s="351"/>
      <c r="F204" s="351"/>
      <c r="G204" s="351"/>
      <c r="H204" s="351"/>
      <c r="I204" s="351"/>
      <c r="J204" s="351"/>
      <c r="K204" s="351"/>
      <c r="L204" s="351">
        <v>5317</v>
      </c>
      <c r="M204" s="299">
        <f t="shared" ref="M204:M210" si="4">+L204/$L$211</f>
        <v>0.87623599208965064</v>
      </c>
      <c r="N204" s="351">
        <v>119588</v>
      </c>
      <c r="O204" s="299">
        <f t="shared" ref="O204:O210" si="5">+N204/$N$211</f>
        <v>0.86017823875937771</v>
      </c>
      <c r="P204" s="296"/>
      <c r="Q204" s="351">
        <v>114</v>
      </c>
      <c r="R204" s="299">
        <f t="shared" ref="R204:R210" si="6">Q204/$Q$211</f>
        <v>0.83211678832116787</v>
      </c>
      <c r="S204" s="351">
        <v>1193</v>
      </c>
      <c r="T204" s="299">
        <f t="shared" ref="T204:T210" si="7">+S204/$S$211</f>
        <v>0.87271397220190194</v>
      </c>
      <c r="U204" s="294"/>
      <c r="V204" s="301"/>
      <c r="W204" s="6"/>
    </row>
    <row r="205" spans="1:24" ht="15.6">
      <c r="A205" s="444"/>
      <c r="B205" s="440" t="s">
        <v>82</v>
      </c>
      <c r="C205" s="489"/>
      <c r="D205" s="489"/>
      <c r="E205" s="489"/>
      <c r="F205" s="489"/>
      <c r="G205" s="489"/>
      <c r="H205" s="489"/>
      <c r="I205" s="489"/>
      <c r="J205" s="489"/>
      <c r="K205" s="489"/>
      <c r="L205" s="489">
        <v>169</v>
      </c>
      <c r="M205" s="427">
        <f t="shared" si="4"/>
        <v>2.7851021753460777E-2</v>
      </c>
      <c r="N205" s="489">
        <v>4120</v>
      </c>
      <c r="O205" s="427">
        <f t="shared" si="5"/>
        <v>2.9634531421954009E-2</v>
      </c>
      <c r="P205" s="381"/>
      <c r="Q205" s="489">
        <v>14</v>
      </c>
      <c r="R205" s="427">
        <f t="shared" si="6"/>
        <v>0.10218978102189781</v>
      </c>
      <c r="S205" s="489">
        <v>138</v>
      </c>
      <c r="T205" s="427">
        <f t="shared" si="7"/>
        <v>0.10095098756400878</v>
      </c>
      <c r="U205" s="379"/>
      <c r="V205" s="435"/>
      <c r="W205" s="6"/>
    </row>
    <row r="206" spans="1:24" ht="15.6">
      <c r="A206" s="444"/>
      <c r="B206" s="440" t="s">
        <v>83</v>
      </c>
      <c r="C206" s="489"/>
      <c r="D206" s="489"/>
      <c r="E206" s="489"/>
      <c r="F206" s="489"/>
      <c r="G206" s="489"/>
      <c r="H206" s="489"/>
      <c r="I206" s="489"/>
      <c r="J206" s="489"/>
      <c r="K206" s="489"/>
      <c r="L206" s="489">
        <v>125</v>
      </c>
      <c r="M206" s="427">
        <f t="shared" si="4"/>
        <v>2.0599868160843769E-2</v>
      </c>
      <c r="N206" s="489">
        <v>3215</v>
      </c>
      <c r="O206" s="427">
        <f t="shared" si="5"/>
        <v>2.3125004495529646E-2</v>
      </c>
      <c r="P206" s="381"/>
      <c r="Q206" s="489">
        <v>2</v>
      </c>
      <c r="R206" s="427">
        <f t="shared" si="6"/>
        <v>1.4598540145985401E-2</v>
      </c>
      <c r="S206" s="489">
        <v>6</v>
      </c>
      <c r="T206" s="427">
        <f t="shared" si="7"/>
        <v>4.3891733723482075E-3</v>
      </c>
      <c r="U206" s="379"/>
      <c r="V206" s="435"/>
      <c r="W206" s="6"/>
      <c r="X206" s="182"/>
    </row>
    <row r="207" spans="1:24" ht="15.6">
      <c r="A207" s="444"/>
      <c r="B207" s="440" t="s">
        <v>186</v>
      </c>
      <c r="C207" s="489"/>
      <c r="D207" s="489"/>
      <c r="E207" s="489"/>
      <c r="F207" s="489"/>
      <c r="G207" s="489"/>
      <c r="H207" s="489"/>
      <c r="I207" s="489"/>
      <c r="J207" s="489"/>
      <c r="K207" s="489"/>
      <c r="L207" s="489">
        <v>75</v>
      </c>
      <c r="M207" s="427">
        <f t="shared" si="4"/>
        <v>1.2359920896506262E-2</v>
      </c>
      <c r="N207" s="489">
        <v>1897</v>
      </c>
      <c r="O207" s="427">
        <f t="shared" si="5"/>
        <v>1.3644831579477368E-2</v>
      </c>
      <c r="P207" s="381"/>
      <c r="Q207" s="489">
        <v>0</v>
      </c>
      <c r="R207" s="427">
        <f t="shared" si="6"/>
        <v>0</v>
      </c>
      <c r="S207" s="489">
        <v>0</v>
      </c>
      <c r="T207" s="427">
        <f t="shared" si="7"/>
        <v>0</v>
      </c>
      <c r="U207" s="379"/>
      <c r="V207" s="435"/>
      <c r="W207" s="6"/>
    </row>
    <row r="208" spans="1:24" ht="15.6">
      <c r="A208" s="444"/>
      <c r="B208" s="440" t="s">
        <v>187</v>
      </c>
      <c r="C208" s="489"/>
      <c r="D208" s="489"/>
      <c r="E208" s="489"/>
      <c r="F208" s="489"/>
      <c r="G208" s="489"/>
      <c r="H208" s="489"/>
      <c r="I208" s="489"/>
      <c r="J208" s="489"/>
      <c r="K208" s="489"/>
      <c r="L208" s="489">
        <v>85</v>
      </c>
      <c r="M208" s="427">
        <f t="shared" si="4"/>
        <v>1.4007910349373764E-2</v>
      </c>
      <c r="N208" s="489">
        <v>1964</v>
      </c>
      <c r="O208" s="427">
        <f t="shared" si="5"/>
        <v>1.4126752357455747E-2</v>
      </c>
      <c r="P208" s="381"/>
      <c r="Q208" s="489">
        <v>2</v>
      </c>
      <c r="R208" s="427">
        <f t="shared" si="6"/>
        <v>1.4598540145985401E-2</v>
      </c>
      <c r="S208" s="489">
        <v>7</v>
      </c>
      <c r="T208" s="427">
        <f t="shared" si="7"/>
        <v>5.1207022677395757E-3</v>
      </c>
      <c r="U208" s="379"/>
      <c r="V208" s="435"/>
      <c r="W208" s="6"/>
    </row>
    <row r="209" spans="1:24" ht="15.6">
      <c r="A209" s="444"/>
      <c r="B209" s="440" t="s">
        <v>188</v>
      </c>
      <c r="C209" s="489"/>
      <c r="D209" s="489"/>
      <c r="E209" s="489"/>
      <c r="F209" s="489"/>
      <c r="G209" s="489"/>
      <c r="H209" s="489"/>
      <c r="I209" s="489"/>
      <c r="J209" s="489"/>
      <c r="K209" s="489"/>
      <c r="L209" s="489">
        <v>63</v>
      </c>
      <c r="M209" s="427">
        <f t="shared" si="4"/>
        <v>1.0382333553065261E-2</v>
      </c>
      <c r="N209" s="489">
        <v>1673</v>
      </c>
      <c r="O209" s="427">
        <f t="shared" si="5"/>
        <v>1.2033633754594431E-2</v>
      </c>
      <c r="P209" s="381"/>
      <c r="Q209" s="489">
        <v>0</v>
      </c>
      <c r="R209" s="427">
        <f t="shared" si="6"/>
        <v>0</v>
      </c>
      <c r="S209" s="489">
        <v>0</v>
      </c>
      <c r="T209" s="427">
        <f t="shared" si="7"/>
        <v>0</v>
      </c>
      <c r="U209" s="379"/>
      <c r="V209" s="435"/>
      <c r="W209" s="6"/>
    </row>
    <row r="210" spans="1:24" ht="15.6">
      <c r="A210" s="444"/>
      <c r="B210" s="440" t="s">
        <v>189</v>
      </c>
      <c r="C210" s="489"/>
      <c r="D210" s="489"/>
      <c r="E210" s="489"/>
      <c r="F210" s="489"/>
      <c r="G210" s="489"/>
      <c r="H210" s="489"/>
      <c r="I210" s="489"/>
      <c r="J210" s="489"/>
      <c r="K210" s="489"/>
      <c r="L210" s="489">
        <v>234</v>
      </c>
      <c r="M210" s="427">
        <f t="shared" si="4"/>
        <v>3.8562953197099535E-2</v>
      </c>
      <c r="N210" s="489">
        <v>6570</v>
      </c>
      <c r="O210" s="427">
        <f t="shared" si="5"/>
        <v>4.7257007631611128E-2</v>
      </c>
      <c r="P210" s="381"/>
      <c r="Q210" s="489">
        <v>5</v>
      </c>
      <c r="R210" s="427">
        <f t="shared" si="6"/>
        <v>3.6496350364963501E-2</v>
      </c>
      <c r="S210" s="489">
        <v>23</v>
      </c>
      <c r="T210" s="427">
        <f t="shared" si="7"/>
        <v>1.6825164594001463E-2</v>
      </c>
      <c r="U210" s="379"/>
      <c r="V210" s="435"/>
      <c r="W210" s="6"/>
    </row>
    <row r="211" spans="1:24" ht="15.6">
      <c r="A211" s="444"/>
      <c r="B211" s="440" t="str">
        <f>B198</f>
        <v>Total Performing  Assets</v>
      </c>
      <c r="C211" s="489"/>
      <c r="D211" s="489"/>
      <c r="E211" s="489"/>
      <c r="F211" s="489"/>
      <c r="G211" s="489"/>
      <c r="H211" s="489"/>
      <c r="I211" s="489"/>
      <c r="J211" s="489"/>
      <c r="K211" s="489"/>
      <c r="L211" s="489">
        <f>SUM(L204:L210)</f>
        <v>6068</v>
      </c>
      <c r="M211" s="427">
        <f>SUM(M204:M210)</f>
        <v>1</v>
      </c>
      <c r="N211" s="489">
        <f>SUM(N204:N210)</f>
        <v>139027</v>
      </c>
      <c r="O211" s="427">
        <f>SUM(O204:O210)</f>
        <v>1.0000000000000002</v>
      </c>
      <c r="P211" s="381"/>
      <c r="Q211" s="489">
        <f>SUM(Q204:Q210)</f>
        <v>137</v>
      </c>
      <c r="R211" s="427">
        <f>SUM(R204:R210)</f>
        <v>0.99999999999999989</v>
      </c>
      <c r="S211" s="489">
        <f>SUM(S204:S210)</f>
        <v>1367</v>
      </c>
      <c r="T211" s="427">
        <f>SUM(T204:T210)</f>
        <v>1</v>
      </c>
      <c r="U211" s="379"/>
      <c r="V211" s="435"/>
      <c r="W211" s="6"/>
    </row>
    <row r="212" spans="1:24" ht="15.6">
      <c r="A212" s="444"/>
      <c r="B212" s="440" t="s">
        <v>85</v>
      </c>
      <c r="C212" s="489"/>
      <c r="D212" s="489"/>
      <c r="E212" s="489"/>
      <c r="F212" s="489"/>
      <c r="G212" s="489"/>
      <c r="H212" s="489"/>
      <c r="I212" s="489"/>
      <c r="J212" s="489"/>
      <c r="K212" s="489"/>
      <c r="L212" s="489">
        <v>264</v>
      </c>
      <c r="M212" s="381"/>
      <c r="N212" s="489">
        <v>7283</v>
      </c>
      <c r="O212" s="380"/>
      <c r="P212" s="381"/>
      <c r="Q212" s="489">
        <v>28</v>
      </c>
      <c r="R212" s="381"/>
      <c r="S212" s="489">
        <v>499</v>
      </c>
      <c r="T212" s="381"/>
      <c r="U212" s="379"/>
      <c r="V212" s="435"/>
      <c r="W212" s="6"/>
    </row>
    <row r="213" spans="1:24" ht="15.6">
      <c r="A213" s="444"/>
      <c r="B213" s="440" t="s">
        <v>86</v>
      </c>
      <c r="C213" s="489"/>
      <c r="D213" s="489"/>
      <c r="E213" s="489"/>
      <c r="F213" s="489"/>
      <c r="G213" s="489"/>
      <c r="H213" s="489"/>
      <c r="I213" s="489"/>
      <c r="J213" s="489"/>
      <c r="K213" s="489"/>
      <c r="L213" s="489">
        <f>SUM(L211:L212)</f>
        <v>6332</v>
      </c>
      <c r="M213" s="450"/>
      <c r="N213" s="489">
        <f>SUM(N211:N212)</f>
        <v>146310</v>
      </c>
      <c r="O213" s="427"/>
      <c r="P213" s="450"/>
      <c r="Q213" s="489">
        <f>SUM(Q211:Q212)</f>
        <v>165</v>
      </c>
      <c r="R213" s="450"/>
      <c r="S213" s="489">
        <f>SUM(S211:S212)</f>
        <v>1866</v>
      </c>
      <c r="T213" s="450"/>
      <c r="U213" s="450"/>
      <c r="V213" s="492"/>
    </row>
    <row r="214" spans="1:24" ht="15.6">
      <c r="A214" s="444"/>
      <c r="B214" s="440"/>
      <c r="C214" s="381"/>
      <c r="D214" s="381"/>
      <c r="E214" s="381"/>
      <c r="F214" s="381"/>
      <c r="G214" s="381"/>
      <c r="H214" s="381"/>
      <c r="I214" s="381"/>
      <c r="J214" s="381"/>
      <c r="K214" s="381"/>
      <c r="L214" s="381"/>
      <c r="M214" s="493"/>
      <c r="N214" s="381"/>
      <c r="O214" s="493"/>
      <c r="P214" s="381"/>
      <c r="Q214" s="493"/>
      <c r="R214" s="381"/>
      <c r="S214" s="489"/>
      <c r="T214" s="381"/>
      <c r="U214" s="379"/>
      <c r="V214" s="435"/>
      <c r="W214" s="6"/>
    </row>
    <row r="215" spans="1:24" ht="15.6">
      <c r="A215" s="444"/>
      <c r="B215" s="440" t="s">
        <v>86</v>
      </c>
      <c r="C215" s="381"/>
      <c r="D215" s="381"/>
      <c r="E215" s="381"/>
      <c r="F215" s="381"/>
      <c r="G215" s="381"/>
      <c r="H215" s="381"/>
      <c r="I215" s="381"/>
      <c r="J215" s="381"/>
      <c r="K215" s="381"/>
      <c r="L215" s="493"/>
      <c r="M215" s="493"/>
      <c r="N215" s="493"/>
      <c r="O215" s="493"/>
      <c r="P215" s="381"/>
      <c r="Q215" s="493"/>
      <c r="R215" s="381"/>
      <c r="S215" s="489">
        <f>+N200+S200+N213+S213</f>
        <v>157207</v>
      </c>
      <c r="T215" s="490"/>
      <c r="U215" s="379"/>
      <c r="V215" s="435"/>
      <c r="W215" s="6"/>
      <c r="X215" s="182"/>
    </row>
    <row r="216" spans="1:24" ht="15.6">
      <c r="A216" s="316"/>
      <c r="B216" s="360"/>
      <c r="C216" s="363"/>
      <c r="D216" s="363"/>
      <c r="E216" s="363"/>
      <c r="F216" s="363"/>
      <c r="G216" s="363"/>
      <c r="H216" s="363"/>
      <c r="I216" s="363"/>
      <c r="J216" s="363"/>
      <c r="K216" s="363"/>
      <c r="L216" s="491"/>
      <c r="M216" s="491"/>
      <c r="N216" s="491"/>
      <c r="O216" s="491"/>
      <c r="P216" s="363"/>
      <c r="Q216" s="491"/>
      <c r="R216" s="363"/>
      <c r="S216" s="361"/>
      <c r="T216" s="363"/>
      <c r="U216" s="364"/>
      <c r="V216" s="312"/>
      <c r="W216" s="6"/>
    </row>
    <row r="217" spans="1:24" ht="15.6">
      <c r="A217" s="349"/>
      <c r="B217" s="357" t="s">
        <v>87</v>
      </c>
      <c r="C217" s="526"/>
      <c r="D217" s="526"/>
      <c r="E217" s="526"/>
      <c r="F217" s="526"/>
      <c r="G217" s="526"/>
      <c r="H217" s="526"/>
      <c r="I217" s="526"/>
      <c r="J217" s="526"/>
      <c r="K217" s="526"/>
      <c r="L217" s="526"/>
      <c r="M217" s="527"/>
      <c r="N217" s="526"/>
      <c r="O217" s="527"/>
      <c r="P217" s="526"/>
      <c r="Q217" s="527"/>
      <c r="R217" s="526"/>
      <c r="S217" s="358"/>
      <c r="T217" s="526"/>
      <c r="U217" s="350"/>
      <c r="V217" s="528"/>
      <c r="W217" s="6"/>
    </row>
    <row r="218" spans="1:24" ht="15.6">
      <c r="A218" s="315"/>
      <c r="B218" s="310"/>
      <c r="C218" s="296"/>
      <c r="D218" s="296"/>
      <c r="E218" s="296"/>
      <c r="F218" s="296"/>
      <c r="G218" s="296"/>
      <c r="H218" s="296"/>
      <c r="I218" s="296"/>
      <c r="J218" s="296"/>
      <c r="K218" s="296"/>
      <c r="L218" s="296"/>
      <c r="M218" s="352"/>
      <c r="N218" s="296"/>
      <c r="O218" s="352"/>
      <c r="P218" s="296"/>
      <c r="Q218" s="352"/>
      <c r="R218" s="296"/>
      <c r="S218" s="351"/>
      <c r="T218" s="296"/>
      <c r="U218" s="294"/>
      <c r="V218" s="301"/>
      <c r="W218" s="6"/>
    </row>
    <row r="219" spans="1:24" ht="15.6">
      <c r="A219" s="444"/>
      <c r="B219" s="440" t="s">
        <v>88</v>
      </c>
      <c r="C219" s="381"/>
      <c r="D219" s="381"/>
      <c r="E219" s="381"/>
      <c r="F219" s="381"/>
      <c r="G219" s="381"/>
      <c r="H219" s="381"/>
      <c r="I219" s="381"/>
      <c r="J219" s="381"/>
      <c r="K219" s="381"/>
      <c r="L219" s="381"/>
      <c r="M219" s="493"/>
      <c r="N219" s="381"/>
      <c r="O219" s="493"/>
      <c r="P219" s="381"/>
      <c r="Q219" s="493"/>
      <c r="R219" s="381"/>
      <c r="S219" s="489">
        <f>+N198+S198+N211+S211</f>
        <v>142832</v>
      </c>
      <c r="T219" s="381"/>
      <c r="U219" s="379"/>
      <c r="V219" s="435"/>
      <c r="W219" s="6"/>
      <c r="X219" s="182"/>
    </row>
    <row r="220" spans="1:24" ht="15.6">
      <c r="A220" s="444"/>
      <c r="B220" s="440" t="s">
        <v>89</v>
      </c>
      <c r="C220" s="381"/>
      <c r="D220" s="381"/>
      <c r="E220" s="381"/>
      <c r="F220" s="381"/>
      <c r="G220" s="381"/>
      <c r="H220" s="381"/>
      <c r="I220" s="381"/>
      <c r="J220" s="381"/>
      <c r="K220" s="381"/>
      <c r="L220" s="381"/>
      <c r="M220" s="493"/>
      <c r="N220" s="381"/>
      <c r="O220" s="493"/>
      <c r="P220" s="381"/>
      <c r="Q220" s="493"/>
      <c r="R220" s="381"/>
      <c r="S220" s="489">
        <f>+U78</f>
        <v>0</v>
      </c>
      <c r="T220" s="381"/>
      <c r="U220" s="379"/>
      <c r="V220" s="435"/>
      <c r="W220" s="119"/>
    </row>
    <row r="221" spans="1:24" ht="15.6">
      <c r="A221" s="444"/>
      <c r="B221" s="440" t="s">
        <v>90</v>
      </c>
      <c r="C221" s="381"/>
      <c r="D221" s="381"/>
      <c r="E221" s="381"/>
      <c r="F221" s="381"/>
      <c r="G221" s="381"/>
      <c r="H221" s="381"/>
      <c r="I221" s="381"/>
      <c r="J221" s="381"/>
      <c r="K221" s="381"/>
      <c r="L221" s="381"/>
      <c r="M221" s="493"/>
      <c r="N221" s="381"/>
      <c r="O221" s="493"/>
      <c r="P221" s="381"/>
      <c r="Q221" s="493"/>
      <c r="R221" s="381"/>
      <c r="S221" s="489">
        <f>S219+S220</f>
        <v>142832</v>
      </c>
      <c r="T221" s="381"/>
      <c r="U221" s="379"/>
      <c r="V221" s="435"/>
      <c r="W221" s="6"/>
    </row>
    <row r="222" spans="1:24" ht="15.6">
      <c r="A222" s="444"/>
      <c r="B222" s="440"/>
      <c r="C222" s="381"/>
      <c r="D222" s="381"/>
      <c r="E222" s="381"/>
      <c r="F222" s="381"/>
      <c r="G222" s="381"/>
      <c r="H222" s="381"/>
      <c r="I222" s="381"/>
      <c r="J222" s="381"/>
      <c r="K222" s="381"/>
      <c r="L222" s="381"/>
      <c r="M222" s="493"/>
      <c r="N222" s="381"/>
      <c r="O222" s="493"/>
      <c r="P222" s="381"/>
      <c r="Q222" s="493"/>
      <c r="R222" s="381"/>
      <c r="S222" s="489"/>
      <c r="T222" s="381"/>
      <c r="U222" s="379"/>
      <c r="V222" s="435"/>
      <c r="W222" s="6"/>
    </row>
    <row r="223" spans="1:24" ht="15.6">
      <c r="A223" s="444"/>
      <c r="B223" s="440" t="s">
        <v>91</v>
      </c>
      <c r="C223" s="381"/>
      <c r="D223" s="381"/>
      <c r="E223" s="381"/>
      <c r="F223" s="381"/>
      <c r="G223" s="381"/>
      <c r="H223" s="381"/>
      <c r="I223" s="381"/>
      <c r="J223" s="381"/>
      <c r="K223" s="381"/>
      <c r="L223" s="381"/>
      <c r="M223" s="493"/>
      <c r="N223" s="381"/>
      <c r="O223" s="493"/>
      <c r="P223" s="381"/>
      <c r="Q223" s="493"/>
      <c r="R223" s="381"/>
      <c r="S223" s="489">
        <f>U33</f>
        <v>142832.41919999997</v>
      </c>
      <c r="T223" s="381"/>
      <c r="U223" s="379"/>
      <c r="V223" s="435"/>
      <c r="W223" s="6"/>
    </row>
    <row r="224" spans="1:24" ht="15.6">
      <c r="A224" s="444"/>
      <c r="B224" s="440"/>
      <c r="C224" s="381"/>
      <c r="D224" s="381"/>
      <c r="E224" s="381"/>
      <c r="F224" s="381"/>
      <c r="G224" s="381"/>
      <c r="H224" s="381"/>
      <c r="I224" s="381"/>
      <c r="J224" s="381"/>
      <c r="K224" s="381"/>
      <c r="L224" s="381"/>
      <c r="M224" s="493"/>
      <c r="N224" s="381"/>
      <c r="O224" s="493"/>
      <c r="P224" s="381"/>
      <c r="Q224" s="493"/>
      <c r="R224" s="381"/>
      <c r="S224" s="489"/>
      <c r="T224" s="381"/>
      <c r="U224" s="379"/>
      <c r="V224" s="435"/>
      <c r="W224" s="6"/>
    </row>
    <row r="225" spans="1:23" ht="15.6">
      <c r="A225" s="444"/>
      <c r="B225" s="440" t="s">
        <v>92</v>
      </c>
      <c r="C225" s="381"/>
      <c r="D225" s="381"/>
      <c r="E225" s="381"/>
      <c r="F225" s="381"/>
      <c r="G225" s="381"/>
      <c r="H225" s="381"/>
      <c r="I225" s="381"/>
      <c r="J225" s="381"/>
      <c r="K225" s="381"/>
      <c r="L225" s="381"/>
      <c r="M225" s="493"/>
      <c r="N225" s="381"/>
      <c r="O225" s="493"/>
      <c r="P225" s="381"/>
      <c r="Q225" s="493"/>
      <c r="R225" s="381"/>
      <c r="S225" s="489">
        <f>S221/S223</f>
        <v>0.99999706509206854</v>
      </c>
      <c r="T225" s="381"/>
      <c r="U225" s="379"/>
      <c r="V225" s="435"/>
      <c r="W225" s="6"/>
    </row>
    <row r="226" spans="1:23" ht="15.6">
      <c r="A226" s="444"/>
      <c r="B226" s="379"/>
      <c r="C226" s="379"/>
      <c r="D226" s="379"/>
      <c r="E226" s="379"/>
      <c r="F226" s="379"/>
      <c r="G226" s="379"/>
      <c r="H226" s="379"/>
      <c r="I226" s="379"/>
      <c r="J226" s="379"/>
      <c r="K226" s="379"/>
      <c r="L226" s="379"/>
      <c r="M226" s="380"/>
      <c r="N226" s="379"/>
      <c r="O226" s="379"/>
      <c r="P226" s="379"/>
      <c r="Q226" s="440"/>
      <c r="R226" s="497"/>
      <c r="S226" s="441"/>
      <c r="T226" s="497"/>
      <c r="U226" s="466"/>
      <c r="V226" s="410"/>
      <c r="W226" s="6"/>
    </row>
    <row r="227" spans="1:23" ht="15.6">
      <c r="A227" s="353"/>
      <c r="B227" s="494" t="s">
        <v>127</v>
      </c>
      <c r="C227" s="495"/>
      <c r="D227" s="495"/>
      <c r="E227" s="495"/>
      <c r="F227" s="495"/>
      <c r="G227" s="495"/>
      <c r="H227" s="495"/>
      <c r="I227" s="495"/>
      <c r="J227" s="495"/>
      <c r="K227" s="495"/>
      <c r="L227" s="495"/>
      <c r="M227" s="363"/>
      <c r="N227" s="364"/>
      <c r="O227" s="494"/>
      <c r="P227" s="443"/>
      <c r="Q227" s="443"/>
      <c r="R227" s="443"/>
      <c r="S227" s="496"/>
      <c r="T227" s="443"/>
      <c r="U227" s="443"/>
      <c r="V227" s="355"/>
      <c r="W227" s="6"/>
    </row>
    <row r="228" spans="1:23" ht="15.6">
      <c r="A228" s="353"/>
      <c r="B228" s="287" t="s">
        <v>128</v>
      </c>
      <c r="C228" s="354"/>
      <c r="D228" s="354"/>
      <c r="E228" s="354"/>
      <c r="F228" s="354"/>
      <c r="G228" s="354"/>
      <c r="H228" s="354"/>
      <c r="I228" s="354"/>
      <c r="J228" s="354"/>
      <c r="K228" s="354"/>
      <c r="L228" s="354"/>
      <c r="M228" s="290"/>
      <c r="N228" s="287"/>
      <c r="O228" s="287"/>
      <c r="P228" s="354"/>
      <c r="Q228" s="354"/>
      <c r="R228" s="317"/>
      <c r="S228" s="317"/>
      <c r="T228" s="317"/>
      <c r="U228" s="317"/>
      <c r="V228" s="355"/>
      <c r="W228" s="6"/>
    </row>
    <row r="229" spans="1:23" ht="15.6">
      <c r="A229" s="353"/>
      <c r="B229" s="287" t="s">
        <v>246</v>
      </c>
      <c r="C229" s="287"/>
      <c r="D229" s="287"/>
      <c r="E229" s="287"/>
      <c r="F229" s="287"/>
      <c r="G229" s="287"/>
      <c r="H229" s="287"/>
      <c r="I229" s="287"/>
      <c r="J229" s="287"/>
      <c r="K229" s="287"/>
      <c r="L229" s="287"/>
      <c r="M229" s="287"/>
      <c r="N229" s="287"/>
      <c r="O229" s="287"/>
      <c r="P229" s="287"/>
      <c r="Q229" s="287"/>
      <c r="R229" s="287"/>
      <c r="S229" s="287"/>
      <c r="T229" s="287"/>
      <c r="U229" s="287"/>
      <c r="V229" s="355"/>
      <c r="W229" s="6"/>
    </row>
    <row r="230" spans="1:23" ht="15.6">
      <c r="A230" s="353"/>
      <c r="B230" s="287" t="s">
        <v>129</v>
      </c>
      <c r="C230" s="354"/>
      <c r="D230" s="354"/>
      <c r="E230" s="354"/>
      <c r="F230" s="354"/>
      <c r="G230" s="354"/>
      <c r="H230" s="354"/>
      <c r="I230" s="354"/>
      <c r="J230" s="354"/>
      <c r="K230" s="354"/>
      <c r="L230" s="354"/>
      <c r="M230" s="290"/>
      <c r="N230" s="287"/>
      <c r="O230" s="287"/>
      <c r="P230" s="354"/>
      <c r="Q230" s="354"/>
      <c r="R230" s="317"/>
      <c r="S230" s="317"/>
      <c r="T230" s="317"/>
      <c r="U230" s="317"/>
      <c r="V230" s="355"/>
      <c r="W230" s="6"/>
    </row>
    <row r="231" spans="1:23" ht="15.6">
      <c r="A231" s="353"/>
      <c r="B231" s="287"/>
      <c r="C231" s="354"/>
      <c r="D231" s="354"/>
      <c r="E231" s="354"/>
      <c r="F231" s="354"/>
      <c r="G231" s="354"/>
      <c r="H231" s="354"/>
      <c r="I231" s="354"/>
      <c r="J231" s="354"/>
      <c r="K231" s="354"/>
      <c r="L231" s="354"/>
      <c r="M231" s="290"/>
      <c r="N231" s="287"/>
      <c r="O231" s="287"/>
      <c r="P231" s="354"/>
      <c r="Q231" s="354"/>
      <c r="R231" s="317"/>
      <c r="S231" s="317"/>
      <c r="T231" s="317"/>
      <c r="U231" s="317"/>
      <c r="V231" s="355"/>
      <c r="W231" s="6"/>
    </row>
    <row r="232" spans="1:23" ht="15.6">
      <c r="A232" s="353"/>
      <c r="B232" s="287"/>
      <c r="C232" s="354"/>
      <c r="D232" s="354"/>
      <c r="E232" s="354"/>
      <c r="F232" s="354"/>
      <c r="G232" s="354"/>
      <c r="H232" s="354"/>
      <c r="I232" s="354"/>
      <c r="J232" s="354"/>
      <c r="K232" s="354"/>
      <c r="L232" s="354"/>
      <c r="M232" s="290"/>
      <c r="N232" s="287"/>
      <c r="O232" s="287"/>
      <c r="P232" s="354"/>
      <c r="Q232" s="354"/>
      <c r="R232" s="317"/>
      <c r="S232" s="317"/>
      <c r="T232" s="317"/>
      <c r="U232" s="317"/>
      <c r="V232" s="355"/>
      <c r="W232" s="6"/>
    </row>
    <row r="233" spans="1:23" ht="16.2" thickBot="1">
      <c r="A233" s="353"/>
      <c r="B233" s="287" t="str">
        <f>+B160</f>
        <v>PPAF3 INVESTOR REPORT QUARTER ENDING MARCH 2013</v>
      </c>
      <c r="C233" s="354"/>
      <c r="D233" s="354"/>
      <c r="E233" s="354"/>
      <c r="F233" s="354"/>
      <c r="G233" s="354"/>
      <c r="H233" s="354"/>
      <c r="I233" s="354"/>
      <c r="J233" s="354"/>
      <c r="K233" s="354"/>
      <c r="L233" s="354"/>
      <c r="M233" s="290"/>
      <c r="N233" s="287"/>
      <c r="O233" s="287"/>
      <c r="P233" s="354"/>
      <c r="Q233" s="354"/>
      <c r="R233" s="317"/>
      <c r="S233" s="317"/>
      <c r="T233" s="317"/>
      <c r="U233" s="317"/>
      <c r="V233" s="356"/>
      <c r="W233" s="6"/>
    </row>
    <row r="234" spans="1:2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row>
  </sheetData>
  <hyperlinks>
    <hyperlink ref="I9" r:id="rId1"/>
    <hyperlink ref="K187"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21" man="1"/>
    <brk id="109" max="16383" man="1"/>
    <brk id="160" max="21" man="1"/>
    <brk id="239" man="1"/>
  </rowBreaks>
  <colBreaks count="1" manualBreakCount="1">
    <brk id="23" max="1048575" man="1"/>
  </colBreaks>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0099"/>
  </sheetPr>
  <dimension ref="A1:Y234"/>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38" t="s">
        <v>223</v>
      </c>
      <c r="B1" s="285" t="s">
        <v>123</v>
      </c>
      <c r="C1" s="239"/>
      <c r="D1" s="239"/>
      <c r="E1" s="239"/>
      <c r="F1" s="239"/>
      <c r="G1" s="239"/>
      <c r="H1" s="239"/>
      <c r="I1" s="239"/>
      <c r="J1" s="239"/>
      <c r="K1" s="239"/>
      <c r="L1" s="239"/>
      <c r="M1" s="240"/>
      <c r="N1" s="240"/>
      <c r="O1" s="240"/>
      <c r="P1" s="240"/>
      <c r="Q1" s="240"/>
      <c r="R1" s="240"/>
      <c r="S1" s="240"/>
      <c r="T1" s="240"/>
      <c r="U1" s="240"/>
      <c r="V1" s="241"/>
      <c r="W1" s="6"/>
    </row>
    <row r="2" spans="1:23" ht="15.6">
      <c r="A2" s="242"/>
      <c r="B2" s="243"/>
      <c r="C2" s="243"/>
      <c r="D2" s="243"/>
      <c r="E2" s="243"/>
      <c r="F2" s="243"/>
      <c r="G2" s="243"/>
      <c r="H2" s="243"/>
      <c r="I2" s="243"/>
      <c r="J2" s="243"/>
      <c r="K2" s="243"/>
      <c r="L2" s="243"/>
      <c r="M2" s="244"/>
      <c r="N2" s="244"/>
      <c r="O2" s="244"/>
      <c r="P2" s="244"/>
      <c r="Q2" s="244"/>
      <c r="R2" s="244"/>
      <c r="S2" s="244"/>
      <c r="T2" s="244"/>
      <c r="U2" s="244"/>
      <c r="V2" s="245"/>
      <c r="W2" s="6"/>
    </row>
    <row r="3" spans="1:23" ht="15.6">
      <c r="A3" s="246"/>
      <c r="B3" s="247" t="s">
        <v>125</v>
      </c>
      <c r="C3" s="244"/>
      <c r="D3" s="244"/>
      <c r="E3" s="244"/>
      <c r="F3" s="244"/>
      <c r="G3" s="244"/>
      <c r="H3" s="244"/>
      <c r="I3" s="244"/>
      <c r="J3" s="244"/>
      <c r="K3" s="244"/>
      <c r="L3" s="244"/>
      <c r="M3" s="244"/>
      <c r="N3" s="244"/>
      <c r="O3" s="244"/>
      <c r="P3" s="244"/>
      <c r="Q3" s="244"/>
      <c r="R3" s="244"/>
      <c r="S3" s="244"/>
      <c r="T3" s="244"/>
      <c r="U3" s="244"/>
      <c r="V3" s="245"/>
      <c r="W3" s="6"/>
    </row>
    <row r="4" spans="1:23" ht="15.6">
      <c r="A4" s="242"/>
      <c r="B4" s="243"/>
      <c r="C4" s="243"/>
      <c r="D4" s="243"/>
      <c r="E4" s="243"/>
      <c r="F4" s="243"/>
      <c r="G4" s="243"/>
      <c r="H4" s="243"/>
      <c r="I4" s="243"/>
      <c r="J4" s="243"/>
      <c r="K4" s="243"/>
      <c r="L4" s="243"/>
      <c r="M4" s="244"/>
      <c r="N4" s="244"/>
      <c r="O4" s="244"/>
      <c r="P4" s="244"/>
      <c r="Q4" s="244"/>
      <c r="R4" s="244"/>
      <c r="S4" s="244"/>
      <c r="T4" s="244"/>
      <c r="U4" s="244"/>
      <c r="V4" s="245"/>
      <c r="W4" s="6"/>
    </row>
    <row r="5" spans="1:23" ht="16.2">
      <c r="A5" s="242"/>
      <c r="B5" s="286" t="s">
        <v>0</v>
      </c>
      <c r="C5" s="248"/>
      <c r="D5" s="248"/>
      <c r="E5" s="248"/>
      <c r="F5" s="248"/>
      <c r="G5" s="248"/>
      <c r="H5" s="248"/>
      <c r="I5" s="248"/>
      <c r="J5" s="248"/>
      <c r="K5" s="248"/>
      <c r="L5" s="248"/>
      <c r="M5" s="244"/>
      <c r="N5" s="244"/>
      <c r="O5" s="244"/>
      <c r="P5" s="244"/>
      <c r="Q5" s="244"/>
      <c r="R5" s="244"/>
      <c r="S5" s="244"/>
      <c r="T5" s="244"/>
      <c r="U5" s="244"/>
      <c r="V5" s="245"/>
      <c r="W5" s="6"/>
    </row>
    <row r="6" spans="1:23" ht="16.2">
      <c r="A6" s="242"/>
      <c r="B6" s="286" t="s">
        <v>1</v>
      </c>
      <c r="C6" s="248"/>
      <c r="D6" s="248"/>
      <c r="E6" s="248"/>
      <c r="F6" s="248"/>
      <c r="G6" s="248"/>
      <c r="H6" s="248"/>
      <c r="I6" s="248"/>
      <c r="J6" s="248"/>
      <c r="K6" s="248"/>
      <c r="L6" s="248"/>
      <c r="M6" s="244"/>
      <c r="N6" s="244"/>
      <c r="O6" s="244"/>
      <c r="P6" s="244"/>
      <c r="Q6" s="244"/>
      <c r="R6" s="244"/>
      <c r="S6" s="244"/>
      <c r="T6" s="244"/>
      <c r="U6" s="244"/>
      <c r="V6" s="245"/>
      <c r="W6" s="6"/>
    </row>
    <row r="7" spans="1:23" ht="16.2">
      <c r="A7" s="242"/>
      <c r="B7" s="286" t="s">
        <v>2</v>
      </c>
      <c r="C7" s="248"/>
      <c r="D7" s="248"/>
      <c r="E7" s="248"/>
      <c r="F7" s="248"/>
      <c r="G7" s="248"/>
      <c r="H7" s="248"/>
      <c r="I7" s="248"/>
      <c r="J7" s="248"/>
      <c r="K7" s="248"/>
      <c r="L7" s="248"/>
      <c r="M7" s="244"/>
      <c r="N7" s="244"/>
      <c r="O7" s="244"/>
      <c r="P7" s="244"/>
      <c r="Q7" s="244"/>
      <c r="R7" s="244"/>
      <c r="S7" s="244"/>
      <c r="T7" s="244"/>
      <c r="U7" s="244"/>
      <c r="V7" s="245"/>
      <c r="W7" s="6"/>
    </row>
    <row r="8" spans="1:23" ht="16.2">
      <c r="A8" s="242"/>
      <c r="B8" s="249"/>
      <c r="C8" s="248"/>
      <c r="D8" s="248"/>
      <c r="E8" s="248"/>
      <c r="F8" s="248"/>
      <c r="G8" s="248"/>
      <c r="H8" s="248"/>
      <c r="I8" s="248"/>
      <c r="J8" s="248"/>
      <c r="K8" s="248"/>
      <c r="L8" s="248"/>
      <c r="M8" s="244"/>
      <c r="N8" s="244"/>
      <c r="O8" s="244"/>
      <c r="P8" s="244"/>
      <c r="Q8" s="244"/>
      <c r="R8" s="244"/>
      <c r="S8" s="244"/>
      <c r="T8" s="244"/>
      <c r="U8" s="244"/>
      <c r="V8" s="245"/>
      <c r="W8" s="6"/>
    </row>
    <row r="9" spans="1:23" ht="18">
      <c r="A9" s="242"/>
      <c r="B9" s="250" t="s">
        <v>194</v>
      </c>
      <c r="C9" s="248"/>
      <c r="D9" s="248"/>
      <c r="E9" s="248"/>
      <c r="F9" s="248"/>
      <c r="G9" s="248"/>
      <c r="H9" s="248"/>
      <c r="I9" s="251" t="s">
        <v>195</v>
      </c>
      <c r="J9" s="248"/>
      <c r="K9" s="248"/>
      <c r="L9" s="248"/>
      <c r="M9" s="244"/>
      <c r="N9" s="244"/>
      <c r="O9" s="244"/>
      <c r="P9" s="244"/>
      <c r="Q9" s="244"/>
      <c r="R9" s="244"/>
      <c r="S9" s="244"/>
      <c r="T9" s="244"/>
      <c r="U9" s="244"/>
      <c r="V9" s="245"/>
      <c r="W9" s="6"/>
    </row>
    <row r="10" spans="1:23" ht="16.2">
      <c r="A10" s="242"/>
      <c r="B10" s="248"/>
      <c r="C10" s="248"/>
      <c r="D10" s="248"/>
      <c r="E10" s="248"/>
      <c r="F10" s="248"/>
      <c r="G10" s="248"/>
      <c r="H10" s="248"/>
      <c r="I10" s="248"/>
      <c r="J10" s="248"/>
      <c r="K10" s="248"/>
      <c r="L10" s="248"/>
      <c r="M10" s="252"/>
      <c r="N10" s="252"/>
      <c r="O10" s="244"/>
      <c r="P10" s="244"/>
      <c r="Q10" s="244"/>
      <c r="R10" s="244"/>
      <c r="S10" s="244"/>
      <c r="T10" s="244"/>
      <c r="U10" s="244"/>
      <c r="V10" s="245"/>
      <c r="W10" s="6"/>
    </row>
    <row r="11" spans="1:23" ht="15.6">
      <c r="A11" s="242"/>
      <c r="B11" s="287" t="s">
        <v>3</v>
      </c>
      <c r="C11" s="252"/>
      <c r="D11" s="252"/>
      <c r="E11" s="252"/>
      <c r="F11" s="252"/>
      <c r="G11" s="252"/>
      <c r="H11" s="252"/>
      <c r="I11" s="252"/>
      <c r="J11" s="252"/>
      <c r="K11" s="252"/>
      <c r="L11" s="252"/>
      <c r="M11" s="244"/>
      <c r="N11" s="244"/>
      <c r="O11" s="244"/>
      <c r="P11" s="244"/>
      <c r="Q11" s="244"/>
      <c r="R11" s="244"/>
      <c r="S11" s="244"/>
      <c r="T11" s="244"/>
      <c r="U11" s="244"/>
      <c r="V11" s="245"/>
      <c r="W11" s="6"/>
    </row>
    <row r="12" spans="1:23" ht="16.2" thickBot="1">
      <c r="A12" s="242"/>
      <c r="B12" s="252"/>
      <c r="C12" s="252"/>
      <c r="D12" s="252"/>
      <c r="E12" s="252"/>
      <c r="F12" s="252"/>
      <c r="G12" s="252"/>
      <c r="H12" s="252"/>
      <c r="I12" s="252"/>
      <c r="J12" s="252"/>
      <c r="K12" s="252"/>
      <c r="L12" s="252"/>
      <c r="M12" s="244"/>
      <c r="N12" s="244"/>
      <c r="O12" s="244"/>
      <c r="P12" s="244"/>
      <c r="Q12" s="244"/>
      <c r="R12" s="244"/>
      <c r="S12" s="244"/>
      <c r="T12" s="244"/>
      <c r="U12" s="244"/>
      <c r="V12" s="245"/>
      <c r="W12" s="6"/>
    </row>
    <row r="13" spans="1:23" ht="15.6">
      <c r="A13" s="238"/>
      <c r="B13" s="240"/>
      <c r="C13" s="240"/>
      <c r="D13" s="240"/>
      <c r="E13" s="240"/>
      <c r="F13" s="240"/>
      <c r="G13" s="240"/>
      <c r="H13" s="240"/>
      <c r="I13" s="240"/>
      <c r="J13" s="240"/>
      <c r="K13" s="240"/>
      <c r="L13" s="240"/>
      <c r="M13" s="240"/>
      <c r="N13" s="240"/>
      <c r="O13" s="240"/>
      <c r="P13" s="240"/>
      <c r="Q13" s="240"/>
      <c r="R13" s="240"/>
      <c r="S13" s="240"/>
      <c r="T13" s="240"/>
      <c r="U13" s="240"/>
      <c r="V13" s="241"/>
      <c r="W13" s="6"/>
    </row>
    <row r="14" spans="1:23" ht="15.6">
      <c r="A14" s="242"/>
      <c r="B14" s="287" t="s">
        <v>4</v>
      </c>
      <c r="C14" s="253"/>
      <c r="D14" s="253"/>
      <c r="E14" s="253"/>
      <c r="F14" s="253"/>
      <c r="G14" s="253"/>
      <c r="H14" s="253"/>
      <c r="I14" s="253"/>
      <c r="J14" s="253"/>
      <c r="K14" s="253"/>
      <c r="L14" s="253"/>
      <c r="M14" s="288"/>
      <c r="N14" s="288"/>
      <c r="O14" s="288"/>
      <c r="P14" s="288"/>
      <c r="Q14" s="288"/>
      <c r="R14" s="288"/>
      <c r="S14" s="288"/>
      <c r="T14" s="288"/>
      <c r="U14" s="289" t="s">
        <v>126</v>
      </c>
      <c r="V14" s="245"/>
      <c r="W14" s="6"/>
    </row>
    <row r="15" spans="1:23" ht="15.6">
      <c r="A15" s="242"/>
      <c r="B15" s="287" t="s">
        <v>5</v>
      </c>
      <c r="C15" s="253"/>
      <c r="D15" s="253"/>
      <c r="E15" s="253"/>
      <c r="F15" s="253"/>
      <c r="G15" s="253"/>
      <c r="H15" s="253"/>
      <c r="I15" s="253"/>
      <c r="J15" s="253"/>
      <c r="K15" s="253"/>
      <c r="L15" s="253"/>
      <c r="M15" s="290" t="s">
        <v>93</v>
      </c>
      <c r="N15" s="291">
        <v>0.1492</v>
      </c>
      <c r="O15" s="290" t="s">
        <v>99</v>
      </c>
      <c r="P15" s="291">
        <v>5.4399999999999997E-2</v>
      </c>
      <c r="Q15" s="290" t="s">
        <v>102</v>
      </c>
      <c r="R15" s="291">
        <v>0.48899999999999999</v>
      </c>
      <c r="S15" s="290" t="s">
        <v>108</v>
      </c>
      <c r="T15" s="291">
        <v>0.30740000000000001</v>
      </c>
      <c r="U15" s="289"/>
      <c r="V15" s="254"/>
      <c r="W15" s="6"/>
    </row>
    <row r="16" spans="1:23" ht="15.6">
      <c r="A16" s="242"/>
      <c r="B16" s="287" t="s">
        <v>6</v>
      </c>
      <c r="C16" s="253"/>
      <c r="D16" s="253"/>
      <c r="E16" s="253"/>
      <c r="F16" s="253"/>
      <c r="G16" s="253"/>
      <c r="H16" s="253"/>
      <c r="I16" s="253"/>
      <c r="J16" s="253"/>
      <c r="K16" s="253"/>
      <c r="L16" s="253"/>
      <c r="M16" s="290" t="s">
        <v>93</v>
      </c>
      <c r="N16" s="291">
        <f>+N198/S221</f>
        <v>1.4368089102615635E-2</v>
      </c>
      <c r="O16" s="290" t="s">
        <v>99</v>
      </c>
      <c r="P16" s="291">
        <f>+S198/S221</f>
        <v>2.5725164619128708E-3</v>
      </c>
      <c r="Q16" s="290" t="s">
        <v>102</v>
      </c>
      <c r="R16" s="291">
        <f>+N211/S221</f>
        <v>0.97419444424143653</v>
      </c>
      <c r="S16" s="290" t="s">
        <v>108</v>
      </c>
      <c r="T16" s="291">
        <f>+S211/S221</f>
        <v>8.8649501940349772E-3</v>
      </c>
      <c r="U16" s="289"/>
      <c r="V16" s="254"/>
      <c r="W16" s="6"/>
    </row>
    <row r="17" spans="1:23" ht="15.6">
      <c r="A17" s="242"/>
      <c r="B17" s="287" t="s">
        <v>7</v>
      </c>
      <c r="C17" s="253"/>
      <c r="D17" s="253"/>
      <c r="E17" s="253"/>
      <c r="F17" s="253"/>
      <c r="G17" s="253"/>
      <c r="H17" s="253"/>
      <c r="I17" s="253"/>
      <c r="J17" s="253"/>
      <c r="K17" s="253"/>
      <c r="L17" s="253"/>
      <c r="M17" s="288"/>
      <c r="N17" s="288"/>
      <c r="O17" s="288"/>
      <c r="P17" s="288"/>
      <c r="Q17" s="288"/>
      <c r="R17" s="288"/>
      <c r="S17" s="288"/>
      <c r="T17" s="288"/>
      <c r="U17" s="292">
        <v>38491</v>
      </c>
      <c r="V17" s="245"/>
      <c r="W17" s="6"/>
    </row>
    <row r="18" spans="1:23" ht="15.6">
      <c r="A18" s="242"/>
      <c r="B18" s="287" t="s">
        <v>8</v>
      </c>
      <c r="C18" s="253"/>
      <c r="D18" s="253"/>
      <c r="E18" s="253"/>
      <c r="F18" s="253"/>
      <c r="G18" s="253"/>
      <c r="H18" s="253"/>
      <c r="I18" s="253"/>
      <c r="J18" s="253"/>
      <c r="K18" s="253"/>
      <c r="L18" s="253"/>
      <c r="M18" s="288"/>
      <c r="N18" s="288"/>
      <c r="O18" s="288"/>
      <c r="P18" s="288"/>
      <c r="Q18" s="288"/>
      <c r="R18" s="288"/>
      <c r="S18" s="288"/>
      <c r="T18" s="288"/>
      <c r="U18" s="292">
        <v>41474</v>
      </c>
      <c r="V18" s="245"/>
      <c r="W18" s="6"/>
    </row>
    <row r="19" spans="1:23" ht="15.6">
      <c r="A19" s="242"/>
      <c r="B19" s="288"/>
      <c r="C19" s="244"/>
      <c r="D19" s="244"/>
      <c r="E19" s="244"/>
      <c r="F19" s="244"/>
      <c r="G19" s="244"/>
      <c r="H19" s="244"/>
      <c r="I19" s="244"/>
      <c r="J19" s="244"/>
      <c r="K19" s="244"/>
      <c r="L19" s="244"/>
      <c r="M19" s="244"/>
      <c r="N19" s="244"/>
      <c r="O19" s="244"/>
      <c r="P19" s="244"/>
      <c r="Q19" s="244"/>
      <c r="R19" s="244"/>
      <c r="S19" s="244"/>
      <c r="T19" s="244"/>
      <c r="U19" s="255"/>
      <c r="V19" s="245"/>
      <c r="W19" s="6"/>
    </row>
    <row r="20" spans="1:23" ht="15.6">
      <c r="A20" s="242"/>
      <c r="B20" s="293" t="s">
        <v>9</v>
      </c>
      <c r="C20" s="244"/>
      <c r="D20" s="244"/>
      <c r="E20" s="244"/>
      <c r="F20" s="244"/>
      <c r="G20" s="244"/>
      <c r="H20" s="244"/>
      <c r="I20" s="244"/>
      <c r="J20" s="244"/>
      <c r="K20" s="244"/>
      <c r="L20" s="244"/>
      <c r="M20" s="244"/>
      <c r="N20" s="244"/>
      <c r="O20" s="244"/>
      <c r="P20" s="244"/>
      <c r="Q20" s="244"/>
      <c r="R20" s="244"/>
      <c r="S20" s="255"/>
      <c r="T20" s="244"/>
      <c r="U20" s="249"/>
      <c r="V20" s="245"/>
      <c r="W20" s="6"/>
    </row>
    <row r="21" spans="1:23" ht="15.6">
      <c r="A21" s="242"/>
      <c r="B21" s="244"/>
      <c r="C21" s="244"/>
      <c r="D21" s="244"/>
      <c r="E21" s="244"/>
      <c r="F21" s="244"/>
      <c r="G21" s="244"/>
      <c r="H21" s="244"/>
      <c r="I21" s="244"/>
      <c r="J21" s="244"/>
      <c r="K21" s="244"/>
      <c r="L21" s="244"/>
      <c r="M21" s="244"/>
      <c r="N21" s="244"/>
      <c r="O21" s="244"/>
      <c r="P21" s="244"/>
      <c r="Q21" s="244"/>
      <c r="R21" s="244"/>
      <c r="S21" s="244"/>
      <c r="T21" s="244"/>
      <c r="U21" s="256"/>
      <c r="V21" s="245"/>
      <c r="W21" s="6"/>
    </row>
    <row r="22" spans="1:23" ht="15.6">
      <c r="A22" s="230"/>
      <c r="B22" s="231"/>
      <c r="C22" s="232" t="s">
        <v>130</v>
      </c>
      <c r="D22" s="232"/>
      <c r="E22" s="232" t="s">
        <v>131</v>
      </c>
      <c r="F22" s="232"/>
      <c r="G22" s="232" t="s">
        <v>132</v>
      </c>
      <c r="H22" s="232"/>
      <c r="I22" s="232" t="s">
        <v>133</v>
      </c>
      <c r="J22" s="232"/>
      <c r="K22" s="232" t="s">
        <v>134</v>
      </c>
      <c r="L22" s="232"/>
      <c r="M22" s="233" t="s">
        <v>135</v>
      </c>
      <c r="N22" s="233"/>
      <c r="O22" s="233" t="s">
        <v>136</v>
      </c>
      <c r="P22" s="233"/>
      <c r="Q22" s="233" t="s">
        <v>137</v>
      </c>
      <c r="R22" s="233"/>
      <c r="S22" s="235"/>
      <c r="T22" s="236"/>
      <c r="U22" s="236"/>
      <c r="V22" s="237"/>
      <c r="W22" s="6"/>
    </row>
    <row r="23" spans="1:23" ht="15.6">
      <c r="A23" s="257"/>
      <c r="B23" s="294" t="s">
        <v>10</v>
      </c>
      <c r="C23" s="295" t="s">
        <v>96</v>
      </c>
      <c r="D23" s="295"/>
      <c r="E23" s="295" t="s">
        <v>96</v>
      </c>
      <c r="F23" s="295"/>
      <c r="G23" s="295" t="s">
        <v>138</v>
      </c>
      <c r="H23" s="295"/>
      <c r="I23" s="295" t="s">
        <v>138</v>
      </c>
      <c r="J23" s="295"/>
      <c r="K23" s="295" t="s">
        <v>104</v>
      </c>
      <c r="L23" s="296"/>
      <c r="M23" s="297" t="s">
        <v>104</v>
      </c>
      <c r="N23" s="297"/>
      <c r="O23" s="297" t="s">
        <v>109</v>
      </c>
      <c r="P23" s="297"/>
      <c r="Q23" s="297" t="s">
        <v>109</v>
      </c>
      <c r="R23" s="258"/>
      <c r="S23" s="258"/>
      <c r="T23" s="259"/>
      <c r="U23" s="259"/>
      <c r="V23" s="260"/>
      <c r="W23" s="6"/>
    </row>
    <row r="24" spans="1:23" ht="15.6">
      <c r="A24" s="378"/>
      <c r="B24" s="379" t="s">
        <v>11</v>
      </c>
      <c r="C24" s="380" t="s">
        <v>97</v>
      </c>
      <c r="D24" s="380"/>
      <c r="E24" s="380" t="s">
        <v>97</v>
      </c>
      <c r="F24" s="380"/>
      <c r="G24" s="380" t="s">
        <v>139</v>
      </c>
      <c r="H24" s="380"/>
      <c r="I24" s="380" t="s">
        <v>139</v>
      </c>
      <c r="J24" s="380"/>
      <c r="K24" s="380" t="s">
        <v>105</v>
      </c>
      <c r="L24" s="381"/>
      <c r="M24" s="382" t="s">
        <v>105</v>
      </c>
      <c r="N24" s="382"/>
      <c r="O24" s="382" t="s">
        <v>110</v>
      </c>
      <c r="P24" s="382"/>
      <c r="Q24" s="382" t="s">
        <v>110</v>
      </c>
      <c r="R24" s="383"/>
      <c r="S24" s="383"/>
      <c r="T24" s="384"/>
      <c r="U24" s="384"/>
      <c r="V24" s="385"/>
      <c r="W24" s="6"/>
    </row>
    <row r="25" spans="1:23" ht="15.6">
      <c r="A25" s="378"/>
      <c r="B25" s="386" t="s">
        <v>12</v>
      </c>
      <c r="C25" s="381" t="s">
        <v>284</v>
      </c>
      <c r="D25" s="381"/>
      <c r="E25" s="381" t="s">
        <v>284</v>
      </c>
      <c r="F25" s="381"/>
      <c r="G25" s="381" t="s">
        <v>138</v>
      </c>
      <c r="H25" s="381"/>
      <c r="I25" s="381" t="s">
        <v>138</v>
      </c>
      <c r="J25" s="386"/>
      <c r="K25" s="381" t="s">
        <v>104</v>
      </c>
      <c r="L25" s="386"/>
      <c r="M25" s="387" t="s">
        <v>104</v>
      </c>
      <c r="N25" s="382"/>
      <c r="O25" s="387" t="s">
        <v>109</v>
      </c>
      <c r="P25" s="382"/>
      <c r="Q25" s="387" t="s">
        <v>109</v>
      </c>
      <c r="R25" s="388"/>
      <c r="S25" s="388"/>
      <c r="T25" s="389"/>
      <c r="U25" s="384"/>
      <c r="V25" s="385"/>
      <c r="W25" s="6"/>
    </row>
    <row r="26" spans="1:23" ht="15.6">
      <c r="A26" s="378"/>
      <c r="B26" s="386" t="s">
        <v>13</v>
      </c>
      <c r="C26" s="381" t="s">
        <v>139</v>
      </c>
      <c r="D26" s="381"/>
      <c r="E26" s="381" t="s">
        <v>139</v>
      </c>
      <c r="F26" s="381"/>
      <c r="G26" s="381" t="s">
        <v>139</v>
      </c>
      <c r="H26" s="381"/>
      <c r="I26" s="381" t="s">
        <v>139</v>
      </c>
      <c r="J26" s="386"/>
      <c r="K26" s="381" t="s">
        <v>280</v>
      </c>
      <c r="L26" s="386"/>
      <c r="M26" s="387" t="s">
        <v>280</v>
      </c>
      <c r="N26" s="382"/>
      <c r="O26" s="387" t="s">
        <v>110</v>
      </c>
      <c r="P26" s="382"/>
      <c r="Q26" s="387" t="s">
        <v>110</v>
      </c>
      <c r="R26" s="388"/>
      <c r="S26" s="388"/>
      <c r="T26" s="389"/>
      <c r="U26" s="384"/>
      <c r="V26" s="385"/>
      <c r="W26" s="6"/>
    </row>
    <row r="27" spans="1:23" ht="15.6">
      <c r="A27" s="378"/>
      <c r="B27" s="379" t="s">
        <v>14</v>
      </c>
      <c r="C27" s="380" t="s">
        <v>140</v>
      </c>
      <c r="D27" s="379"/>
      <c r="E27" s="380" t="s">
        <v>141</v>
      </c>
      <c r="F27" s="379"/>
      <c r="G27" s="380" t="s">
        <v>142</v>
      </c>
      <c r="H27" s="379"/>
      <c r="I27" s="380" t="s">
        <v>258</v>
      </c>
      <c r="J27" s="379"/>
      <c r="K27" s="380" t="s">
        <v>143</v>
      </c>
      <c r="L27" s="379"/>
      <c r="M27" s="379" t="s">
        <v>144</v>
      </c>
      <c r="N27" s="382"/>
      <c r="O27" s="379" t="s">
        <v>145</v>
      </c>
      <c r="P27" s="382"/>
      <c r="Q27" s="379" t="s">
        <v>146</v>
      </c>
      <c r="R27" s="383"/>
      <c r="S27" s="390"/>
      <c r="T27" s="384"/>
      <c r="U27" s="384"/>
      <c r="V27" s="385"/>
      <c r="W27" s="6"/>
    </row>
    <row r="28" spans="1:23" ht="15.6">
      <c r="A28" s="378"/>
      <c r="B28" s="379" t="s">
        <v>147</v>
      </c>
      <c r="C28" s="391">
        <v>146000</v>
      </c>
      <c r="D28" s="380"/>
      <c r="E28" s="392">
        <v>259500</v>
      </c>
      <c r="F28" s="380"/>
      <c r="G28" s="391">
        <v>16000</v>
      </c>
      <c r="H28" s="380"/>
      <c r="I28" s="392">
        <v>35500</v>
      </c>
      <c r="J28" s="379"/>
      <c r="K28" s="391">
        <v>18000</v>
      </c>
      <c r="L28" s="379"/>
      <c r="M28" s="392">
        <v>33000</v>
      </c>
      <c r="N28" s="393"/>
      <c r="O28" s="394">
        <v>24500</v>
      </c>
      <c r="P28" s="394"/>
      <c r="Q28" s="392">
        <v>30000</v>
      </c>
      <c r="R28" s="395"/>
      <c r="S28" s="395"/>
      <c r="T28" s="396"/>
      <c r="U28" s="395"/>
      <c r="V28" s="397"/>
      <c r="W28" s="6"/>
    </row>
    <row r="29" spans="1:23" ht="15.6">
      <c r="A29" s="378"/>
      <c r="B29" s="379" t="s">
        <v>15</v>
      </c>
      <c r="C29" s="391">
        <f>C28*C35</f>
        <v>28304.348399999999</v>
      </c>
      <c r="D29" s="398"/>
      <c r="E29" s="392">
        <f>E28*E35</f>
        <v>50308.071299999996</v>
      </c>
      <c r="F29" s="398"/>
      <c r="G29" s="391">
        <f>G28*G35</f>
        <v>10161.273599999999</v>
      </c>
      <c r="H29" s="398"/>
      <c r="I29" s="392">
        <f>I28*I35</f>
        <v>22545.325799999999</v>
      </c>
      <c r="J29" s="399"/>
      <c r="K29" s="391">
        <f>K28*K35</f>
        <v>11431.432799999999</v>
      </c>
      <c r="L29" s="399"/>
      <c r="M29" s="392">
        <f>M28*M35</f>
        <v>20957.626799999998</v>
      </c>
      <c r="N29" s="393"/>
      <c r="O29" s="391">
        <f>O28*O35</f>
        <v>15559.450199999999</v>
      </c>
      <c r="P29" s="394"/>
      <c r="Q29" s="392">
        <f>Q28*Q35</f>
        <v>19052.387999999999</v>
      </c>
      <c r="R29" s="400"/>
      <c r="S29" s="395"/>
      <c r="T29" s="396"/>
      <c r="U29" s="395"/>
      <c r="V29" s="397"/>
      <c r="W29" s="6"/>
    </row>
    <row r="30" spans="1:23" ht="15.6">
      <c r="A30" s="401"/>
      <c r="B30" s="386" t="s">
        <v>148</v>
      </c>
      <c r="C30" s="415">
        <f>C34*C28</f>
        <v>27115.003199999999</v>
      </c>
      <c r="D30" s="505"/>
      <c r="E30" s="406">
        <f>E34*E28</f>
        <v>48194.132400000002</v>
      </c>
      <c r="F30" s="505"/>
      <c r="G30" s="415">
        <f>G34*G28</f>
        <v>9734.3616000000002</v>
      </c>
      <c r="H30" s="505"/>
      <c r="I30" s="406">
        <f>I34*I28</f>
        <v>21598.114799999999</v>
      </c>
      <c r="J30" s="506"/>
      <c r="K30" s="415">
        <f>K34*K28</f>
        <v>10951.156799999999</v>
      </c>
      <c r="L30" s="399"/>
      <c r="M30" s="406">
        <f>M34*M28</f>
        <v>20077.120800000001</v>
      </c>
      <c r="N30" s="407"/>
      <c r="O30" s="415">
        <f>O34*O28</f>
        <v>14905.7412</v>
      </c>
      <c r="P30" s="408"/>
      <c r="Q30" s="406">
        <f>Q34*Q28</f>
        <v>18251.928</v>
      </c>
      <c r="R30" s="408"/>
      <c r="S30" s="408"/>
      <c r="T30" s="409"/>
      <c r="U30" s="408"/>
      <c r="V30" s="410"/>
      <c r="W30" s="6"/>
    </row>
    <row r="31" spans="1:23" ht="15.6">
      <c r="A31" s="401"/>
      <c r="B31" s="379" t="s">
        <v>260</v>
      </c>
      <c r="C31" s="391">
        <v>146000</v>
      </c>
      <c r="D31" s="398"/>
      <c r="E31" s="391">
        <v>178000</v>
      </c>
      <c r="F31" s="391"/>
      <c r="G31" s="391">
        <v>16000</v>
      </c>
      <c r="H31" s="391"/>
      <c r="I31" s="391">
        <v>24500</v>
      </c>
      <c r="J31" s="412"/>
      <c r="K31" s="391">
        <v>18000</v>
      </c>
      <c r="L31" s="412"/>
      <c r="M31" s="391">
        <v>22500</v>
      </c>
      <c r="N31" s="414"/>
      <c r="O31" s="391">
        <v>24500</v>
      </c>
      <c r="P31" s="415"/>
      <c r="Q31" s="391">
        <v>20500</v>
      </c>
      <c r="R31" s="408"/>
      <c r="S31" s="408"/>
      <c r="T31" s="409"/>
      <c r="U31" s="394">
        <f>+Q31+O31+M31+K31+I31+G31+E31+C31</f>
        <v>450000</v>
      </c>
      <c r="V31" s="410"/>
      <c r="W31" s="6"/>
    </row>
    <row r="32" spans="1:23" ht="15.6">
      <c r="A32" s="401"/>
      <c r="B32" s="379" t="s">
        <v>261</v>
      </c>
      <c r="C32" s="391">
        <f>C28*C35</f>
        <v>28304.348399999999</v>
      </c>
      <c r="D32" s="398"/>
      <c r="E32" s="391">
        <f>E31*E35</f>
        <v>34508.0412</v>
      </c>
      <c r="F32" s="391"/>
      <c r="G32" s="391">
        <f>G28*G35</f>
        <v>10161.273599999999</v>
      </c>
      <c r="H32" s="391"/>
      <c r="I32" s="391">
        <f>I31*I35</f>
        <v>15559.450199999999</v>
      </c>
      <c r="J32" s="412"/>
      <c r="K32" s="391">
        <f>K28*K35</f>
        <v>11431.432799999999</v>
      </c>
      <c r="L32" s="412"/>
      <c r="M32" s="391">
        <f>M31*M35</f>
        <v>14289.290999999999</v>
      </c>
      <c r="N32" s="414"/>
      <c r="O32" s="391">
        <f>O28*O35</f>
        <v>15559.450199999999</v>
      </c>
      <c r="P32" s="415"/>
      <c r="Q32" s="391">
        <f>Q31*Q35</f>
        <v>13019.131799999999</v>
      </c>
      <c r="R32" s="391"/>
      <c r="S32" s="408"/>
      <c r="T32" s="409"/>
      <c r="U32" s="394">
        <f>+Q32+O32+M32+K32+I32+G32+E32+C32</f>
        <v>142832.41919999997</v>
      </c>
      <c r="V32" s="410"/>
      <c r="W32" s="6"/>
    </row>
    <row r="33" spans="1:23" ht="15.6">
      <c r="A33" s="401"/>
      <c r="B33" s="386" t="s">
        <v>262</v>
      </c>
      <c r="C33" s="415">
        <f>C34*C28</f>
        <v>27115.003199999999</v>
      </c>
      <c r="D33" s="415"/>
      <c r="E33" s="415">
        <f>E34*E31</f>
        <v>33058.017599999999</v>
      </c>
      <c r="F33" s="415"/>
      <c r="G33" s="415">
        <f>G34*G28</f>
        <v>9734.3616000000002</v>
      </c>
      <c r="H33" s="415"/>
      <c r="I33" s="415">
        <f>I34*I31</f>
        <v>14905.7412</v>
      </c>
      <c r="J33" s="414"/>
      <c r="K33" s="415">
        <f>K34*K28</f>
        <v>10951.156799999999</v>
      </c>
      <c r="L33" s="414"/>
      <c r="M33" s="415">
        <f>M34*M31</f>
        <v>13688.946</v>
      </c>
      <c r="N33" s="414"/>
      <c r="O33" s="415">
        <f>O34*O28</f>
        <v>14905.7412</v>
      </c>
      <c r="P33" s="415"/>
      <c r="Q33" s="415">
        <f>Q34*Q31</f>
        <v>12472.150799999999</v>
      </c>
      <c r="R33" s="408"/>
      <c r="S33" s="408"/>
      <c r="T33" s="409"/>
      <c r="U33" s="408">
        <f>+Q33+O33+M33+K33+I33+G33+E33+C33</f>
        <v>136831.11840000001</v>
      </c>
      <c r="V33" s="410"/>
      <c r="W33" s="6"/>
    </row>
    <row r="34" spans="1:23" ht="15.6">
      <c r="A34" s="401"/>
      <c r="B34" s="468" t="s">
        <v>149</v>
      </c>
      <c r="C34" s="507">
        <v>0.1857192</v>
      </c>
      <c r="D34" s="507"/>
      <c r="E34" s="507">
        <v>0.1857192</v>
      </c>
      <c r="F34" s="507"/>
      <c r="G34" s="507">
        <v>0.60839759999999998</v>
      </c>
      <c r="H34" s="507"/>
      <c r="I34" s="507">
        <v>0.60839759999999998</v>
      </c>
      <c r="J34" s="507"/>
      <c r="K34" s="507">
        <v>0.60839759999999998</v>
      </c>
      <c r="L34" s="507"/>
      <c r="M34" s="507">
        <v>0.60839759999999998</v>
      </c>
      <c r="N34" s="507"/>
      <c r="O34" s="507">
        <v>0.60839759999999998</v>
      </c>
      <c r="P34" s="507"/>
      <c r="Q34" s="507">
        <v>0.60839759999999998</v>
      </c>
      <c r="R34" s="508"/>
      <c r="S34" s="420"/>
      <c r="T34" s="421"/>
      <c r="U34" s="420"/>
      <c r="V34" s="385"/>
      <c r="W34" s="6"/>
    </row>
    <row r="35" spans="1:23" ht="15.6">
      <c r="A35" s="401"/>
      <c r="B35" s="468" t="s">
        <v>150</v>
      </c>
      <c r="C35" s="507">
        <v>0.19386539999999999</v>
      </c>
      <c r="D35" s="507"/>
      <c r="E35" s="507">
        <v>0.19386539999999999</v>
      </c>
      <c r="F35" s="507"/>
      <c r="G35" s="507">
        <v>0.63507959999999997</v>
      </c>
      <c r="H35" s="507"/>
      <c r="I35" s="507">
        <v>0.63507959999999997</v>
      </c>
      <c r="J35" s="507"/>
      <c r="K35" s="507">
        <v>0.63507959999999997</v>
      </c>
      <c r="L35" s="507"/>
      <c r="M35" s="507">
        <v>0.63507959999999997</v>
      </c>
      <c r="N35" s="507"/>
      <c r="O35" s="507">
        <v>0.63507959999999997</v>
      </c>
      <c r="P35" s="507"/>
      <c r="Q35" s="507">
        <v>0.63507959999999997</v>
      </c>
      <c r="R35" s="508"/>
      <c r="S35" s="420"/>
      <c r="T35" s="421"/>
      <c r="U35" s="420"/>
      <c r="V35" s="385"/>
      <c r="W35" s="6"/>
    </row>
    <row r="36" spans="1:23" ht="15.6">
      <c r="A36" s="378"/>
      <c r="B36" s="379" t="s">
        <v>153</v>
      </c>
      <c r="C36" s="380" t="s">
        <v>163</v>
      </c>
      <c r="D36" s="380"/>
      <c r="E36" s="380" t="s">
        <v>163</v>
      </c>
      <c r="F36" s="380"/>
      <c r="G36" s="380" t="s">
        <v>164</v>
      </c>
      <c r="H36" s="380"/>
      <c r="I36" s="380" t="s">
        <v>164</v>
      </c>
      <c r="J36" s="380"/>
      <c r="K36" s="380" t="s">
        <v>106</v>
      </c>
      <c r="L36" s="380"/>
      <c r="M36" s="380" t="s">
        <v>165</v>
      </c>
      <c r="N36" s="380"/>
      <c r="O36" s="380" t="s">
        <v>166</v>
      </c>
      <c r="P36" s="380"/>
      <c r="Q36" s="380" t="s">
        <v>167</v>
      </c>
      <c r="R36" s="380"/>
      <c r="S36" s="380"/>
      <c r="T36" s="379"/>
      <c r="U36" s="424"/>
      <c r="V36" s="410"/>
      <c r="W36" s="6"/>
    </row>
    <row r="37" spans="1:23" ht="15.6">
      <c r="A37" s="378"/>
      <c r="B37" s="379" t="s">
        <v>151</v>
      </c>
      <c r="C37" s="509">
        <v>9.4563000000000008E-3</v>
      </c>
      <c r="D37" s="509"/>
      <c r="E37" s="509">
        <v>6.5100000000000002E-3</v>
      </c>
      <c r="F37" s="509"/>
      <c r="G37" s="509">
        <v>1.16563E-2</v>
      </c>
      <c r="H37" s="509"/>
      <c r="I37" s="509">
        <v>8.7100000000000007E-3</v>
      </c>
      <c r="J37" s="509"/>
      <c r="K37" s="509">
        <v>1.70563E-2</v>
      </c>
      <c r="L37" s="509"/>
      <c r="M37" s="509">
        <v>1.3509999999999999E-2</v>
      </c>
      <c r="N37" s="509"/>
      <c r="O37" s="509">
        <v>2.4056299999999999E-2</v>
      </c>
      <c r="P37" s="509"/>
      <c r="Q37" s="509">
        <v>2.0109999999999999E-2</v>
      </c>
      <c r="R37" s="427"/>
      <c r="S37" s="509"/>
      <c r="T37" s="379"/>
      <c r="U37" s="380"/>
      <c r="V37" s="410"/>
      <c r="W37" s="6"/>
    </row>
    <row r="38" spans="1:23" ht="15.6">
      <c r="A38" s="378"/>
      <c r="B38" s="379" t="s">
        <v>152</v>
      </c>
      <c r="C38" s="509">
        <v>9.5125000000000001E-3</v>
      </c>
      <c r="D38" s="509"/>
      <c r="E38" s="509">
        <v>6.3499999999999997E-3</v>
      </c>
      <c r="F38" s="509"/>
      <c r="G38" s="509">
        <v>1.1712500000000001E-2</v>
      </c>
      <c r="H38" s="509"/>
      <c r="I38" s="509">
        <v>8.5500000000000003E-3</v>
      </c>
      <c r="J38" s="509"/>
      <c r="K38" s="509">
        <v>1.7112499999999999E-2</v>
      </c>
      <c r="L38" s="509"/>
      <c r="M38" s="509">
        <v>1.3350000000000001E-2</v>
      </c>
      <c r="N38" s="509"/>
      <c r="O38" s="509">
        <v>2.4112499999999999E-2</v>
      </c>
      <c r="P38" s="509"/>
      <c r="Q38" s="509">
        <v>1.9949999999999999E-2</v>
      </c>
      <c r="R38" s="427"/>
      <c r="S38" s="509"/>
      <c r="T38" s="379"/>
      <c r="U38" s="424"/>
      <c r="V38" s="410"/>
      <c r="W38" s="6"/>
    </row>
    <row r="39" spans="1:23" ht="15.6">
      <c r="A39" s="378"/>
      <c r="B39" s="379" t="s">
        <v>263</v>
      </c>
      <c r="C39" s="380" t="s">
        <v>163</v>
      </c>
      <c r="D39" s="379"/>
      <c r="E39" s="380" t="s">
        <v>228</v>
      </c>
      <c r="F39" s="379"/>
      <c r="G39" s="380" t="s">
        <v>164</v>
      </c>
      <c r="H39" s="379"/>
      <c r="I39" s="380" t="s">
        <v>226</v>
      </c>
      <c r="J39" s="379"/>
      <c r="K39" s="380" t="s">
        <v>106</v>
      </c>
      <c r="L39" s="379"/>
      <c r="M39" s="380" t="s">
        <v>227</v>
      </c>
      <c r="N39" s="379"/>
      <c r="O39" s="380" t="s">
        <v>166</v>
      </c>
      <c r="P39" s="380"/>
      <c r="Q39" s="380" t="s">
        <v>229</v>
      </c>
      <c r="R39" s="427"/>
      <c r="S39" s="509"/>
      <c r="T39" s="379"/>
      <c r="U39" s="424"/>
      <c r="V39" s="410"/>
      <c r="W39" s="6"/>
    </row>
    <row r="40" spans="1:23" ht="15.6">
      <c r="A40" s="378"/>
      <c r="B40" s="379" t="s">
        <v>264</v>
      </c>
      <c r="C40" s="509">
        <f>+C37</f>
        <v>9.4563000000000008E-3</v>
      </c>
      <c r="D40" s="509"/>
      <c r="E40" s="509">
        <v>1.0032299999999999E-2</v>
      </c>
      <c r="F40" s="509"/>
      <c r="G40" s="509">
        <f>+G37</f>
        <v>1.16563E-2</v>
      </c>
      <c r="H40" s="509"/>
      <c r="I40" s="509">
        <v>1.2389300000000001E-2</v>
      </c>
      <c r="J40" s="509"/>
      <c r="K40" s="509">
        <f>+K37</f>
        <v>1.70563E-2</v>
      </c>
      <c r="L40" s="510"/>
      <c r="M40" s="509">
        <v>1.7616699999999999E-2</v>
      </c>
      <c r="N40" s="510"/>
      <c r="O40" s="509">
        <f>+O37</f>
        <v>2.4056299999999999E-2</v>
      </c>
      <c r="P40" s="509"/>
      <c r="Q40" s="509">
        <v>2.4882700000000001E-2</v>
      </c>
      <c r="R40" s="427"/>
      <c r="S40" s="509"/>
      <c r="T40" s="379"/>
      <c r="U40" s="427">
        <f>SUMPRODUCT(C40:Q40,C32:Q32)/U32</f>
        <v>1.4492683423265018E-2</v>
      </c>
      <c r="V40" s="410"/>
      <c r="W40" s="6"/>
    </row>
    <row r="41" spans="1:23" ht="15.6">
      <c r="A41" s="378"/>
      <c r="B41" s="379" t="s">
        <v>265</v>
      </c>
      <c r="C41" s="509">
        <f>+C38</f>
        <v>9.5125000000000001E-3</v>
      </c>
      <c r="D41" s="509"/>
      <c r="E41" s="509">
        <v>1.00885E-2</v>
      </c>
      <c r="F41" s="509"/>
      <c r="G41" s="509">
        <f>+G38</f>
        <v>1.1712500000000001E-2</v>
      </c>
      <c r="H41" s="509"/>
      <c r="I41" s="509">
        <v>1.24455E-2</v>
      </c>
      <c r="J41" s="509"/>
      <c r="K41" s="509">
        <f>+K38</f>
        <v>1.7112499999999999E-2</v>
      </c>
      <c r="L41" s="510"/>
      <c r="M41" s="509">
        <v>1.7672899999999998E-2</v>
      </c>
      <c r="N41" s="510"/>
      <c r="O41" s="509">
        <f>+O38</f>
        <v>2.4112499999999999E-2</v>
      </c>
      <c r="P41" s="509"/>
      <c r="Q41" s="509">
        <v>2.49389E-2</v>
      </c>
      <c r="R41" s="427"/>
      <c r="S41" s="509"/>
      <c r="T41" s="379"/>
      <c r="U41" s="424"/>
      <c r="V41" s="410"/>
      <c r="W41" s="6"/>
    </row>
    <row r="42" spans="1:23" ht="15.6">
      <c r="A42" s="378"/>
      <c r="B42" s="379" t="s">
        <v>17</v>
      </c>
      <c r="C42" s="429">
        <v>39918</v>
      </c>
      <c r="D42" s="429"/>
      <c r="E42" s="429">
        <v>39918</v>
      </c>
      <c r="F42" s="429"/>
      <c r="G42" s="429">
        <v>39918</v>
      </c>
      <c r="H42" s="429"/>
      <c r="I42" s="429">
        <v>39918</v>
      </c>
      <c r="J42" s="429"/>
      <c r="K42" s="429">
        <v>39918</v>
      </c>
      <c r="L42" s="429"/>
      <c r="M42" s="429">
        <v>39918</v>
      </c>
      <c r="N42" s="429"/>
      <c r="O42" s="429">
        <v>39918</v>
      </c>
      <c r="P42" s="429"/>
      <c r="Q42" s="429">
        <v>39918</v>
      </c>
      <c r="R42" s="380"/>
      <c r="S42" s="380"/>
      <c r="T42" s="379"/>
      <c r="U42" s="424"/>
      <c r="V42" s="410"/>
      <c r="W42" s="6"/>
    </row>
    <row r="43" spans="1:23" ht="15.6">
      <c r="A43" s="378"/>
      <c r="B43" s="379" t="s">
        <v>18</v>
      </c>
      <c r="C43" s="429">
        <v>40283</v>
      </c>
      <c r="D43" s="430"/>
      <c r="E43" s="429">
        <v>40283</v>
      </c>
      <c r="F43" s="430"/>
      <c r="G43" s="429">
        <v>40283</v>
      </c>
      <c r="H43" s="430"/>
      <c r="I43" s="429">
        <v>40283</v>
      </c>
      <c r="J43" s="430"/>
      <c r="K43" s="429">
        <v>40283</v>
      </c>
      <c r="L43" s="430"/>
      <c r="M43" s="429">
        <v>40283</v>
      </c>
      <c r="N43" s="430"/>
      <c r="O43" s="429">
        <v>40283</v>
      </c>
      <c r="P43" s="429"/>
      <c r="Q43" s="429">
        <v>40283</v>
      </c>
      <c r="R43" s="380"/>
      <c r="S43" s="380"/>
      <c r="T43" s="424"/>
      <c r="U43" s="424"/>
      <c r="V43" s="410"/>
      <c r="W43" s="6"/>
    </row>
    <row r="44" spans="1:23" ht="15.6">
      <c r="A44" s="378"/>
      <c r="B44" s="379" t="s">
        <v>154</v>
      </c>
      <c r="C44" s="380" t="s">
        <v>163</v>
      </c>
      <c r="D44" s="380"/>
      <c r="E44" s="380" t="s">
        <v>163</v>
      </c>
      <c r="F44" s="380"/>
      <c r="G44" s="380" t="s">
        <v>164</v>
      </c>
      <c r="H44" s="380"/>
      <c r="I44" s="380" t="s">
        <v>164</v>
      </c>
      <c r="J44" s="380"/>
      <c r="K44" s="380" t="s">
        <v>106</v>
      </c>
      <c r="L44" s="380"/>
      <c r="M44" s="380" t="s">
        <v>165</v>
      </c>
      <c r="N44" s="380"/>
      <c r="O44" s="380" t="s">
        <v>166</v>
      </c>
      <c r="P44" s="380"/>
      <c r="Q44" s="380" t="s">
        <v>167</v>
      </c>
      <c r="R44" s="380"/>
      <c r="S44" s="380"/>
      <c r="T44" s="424"/>
      <c r="U44" s="424"/>
      <c r="V44" s="410"/>
      <c r="W44" s="6"/>
    </row>
    <row r="45" spans="1:23" ht="15.6">
      <c r="A45" s="378"/>
      <c r="B45" s="379" t="s">
        <v>266</v>
      </c>
      <c r="C45" s="380" t="s">
        <v>163</v>
      </c>
      <c r="D45" s="379"/>
      <c r="E45" s="380" t="s">
        <v>228</v>
      </c>
      <c r="F45" s="379"/>
      <c r="G45" s="380" t="s">
        <v>164</v>
      </c>
      <c r="H45" s="379"/>
      <c r="I45" s="380" t="s">
        <v>226</v>
      </c>
      <c r="J45" s="379"/>
      <c r="K45" s="380" t="s">
        <v>106</v>
      </c>
      <c r="L45" s="379"/>
      <c r="M45" s="380" t="s">
        <v>227</v>
      </c>
      <c r="N45" s="379"/>
      <c r="O45" s="380" t="s">
        <v>166</v>
      </c>
      <c r="P45" s="380"/>
      <c r="Q45" s="380" t="s">
        <v>229</v>
      </c>
      <c r="R45" s="380"/>
      <c r="S45" s="380"/>
      <c r="T45" s="424"/>
      <c r="U45" s="424"/>
      <c r="V45" s="410"/>
      <c r="W45" s="6"/>
    </row>
    <row r="46" spans="1:23" ht="15.6">
      <c r="A46" s="378"/>
      <c r="B46" s="379"/>
      <c r="C46" s="379"/>
      <c r="D46" s="379"/>
      <c r="E46" s="379"/>
      <c r="F46" s="379"/>
      <c r="G46" s="379"/>
      <c r="H46" s="379"/>
      <c r="I46" s="379"/>
      <c r="J46" s="379"/>
      <c r="K46" s="379"/>
      <c r="L46" s="379"/>
      <c r="M46" s="431"/>
      <c r="N46" s="431"/>
      <c r="O46" s="379"/>
      <c r="P46" s="431"/>
      <c r="Q46" s="431"/>
      <c r="R46" s="431"/>
      <c r="S46" s="431"/>
      <c r="T46" s="431"/>
      <c r="U46" s="431"/>
      <c r="V46" s="410"/>
      <c r="W46" s="6"/>
    </row>
    <row r="47" spans="1:23" ht="15.6">
      <c r="A47" s="378"/>
      <c r="B47" s="379" t="s">
        <v>201</v>
      </c>
      <c r="C47" s="379"/>
      <c r="D47" s="379"/>
      <c r="E47" s="379"/>
      <c r="F47" s="379"/>
      <c r="G47" s="379"/>
      <c r="H47" s="379"/>
      <c r="I47" s="379"/>
      <c r="J47" s="379"/>
      <c r="K47" s="379"/>
      <c r="L47" s="379"/>
      <c r="M47" s="379"/>
      <c r="N47" s="379"/>
      <c r="O47" s="379"/>
      <c r="P47" s="379"/>
      <c r="Q47" s="379"/>
      <c r="R47" s="379"/>
      <c r="S47" s="379"/>
      <c r="T47" s="379"/>
      <c r="U47" s="427">
        <f>SUM(G31:Q31)/(C31+E31)</f>
        <v>0.3888888888888889</v>
      </c>
      <c r="V47" s="410"/>
      <c r="W47" s="6"/>
    </row>
    <row r="48" spans="1:23" ht="15.6">
      <c r="A48" s="378"/>
      <c r="B48" s="379" t="s">
        <v>202</v>
      </c>
      <c r="C48" s="379"/>
      <c r="D48" s="379"/>
      <c r="E48" s="379"/>
      <c r="F48" s="379"/>
      <c r="G48" s="379"/>
      <c r="H48" s="379"/>
      <c r="I48" s="379"/>
      <c r="J48" s="379"/>
      <c r="K48" s="379"/>
      <c r="L48" s="379"/>
      <c r="M48" s="379"/>
      <c r="N48" s="379"/>
      <c r="O48" s="379"/>
      <c r="P48" s="379"/>
      <c r="Q48" s="379"/>
      <c r="R48" s="379"/>
      <c r="S48" s="379"/>
      <c r="T48" s="379"/>
      <c r="U48" s="427">
        <f>SUM(F33:Q33)/(C33+E33)</f>
        <v>1.2739612633840049</v>
      </c>
      <c r="V48" s="410"/>
      <c r="W48" s="6"/>
    </row>
    <row r="49" spans="1:23" ht="15.6">
      <c r="A49" s="378"/>
      <c r="B49" s="379" t="s">
        <v>203</v>
      </c>
      <c r="C49" s="379"/>
      <c r="D49" s="379"/>
      <c r="E49" s="379"/>
      <c r="F49" s="379"/>
      <c r="G49" s="379"/>
      <c r="H49" s="379"/>
      <c r="I49" s="379"/>
      <c r="J49" s="379"/>
      <c r="K49" s="379"/>
      <c r="L49" s="379"/>
      <c r="M49" s="379"/>
      <c r="N49" s="379"/>
      <c r="O49" s="379"/>
      <c r="P49" s="379"/>
      <c r="Q49" s="379"/>
      <c r="R49" s="379"/>
      <c r="S49" s="380" t="s">
        <v>95</v>
      </c>
      <c r="T49" s="380" t="s">
        <v>117</v>
      </c>
      <c r="U49" s="394">
        <v>99000</v>
      </c>
      <c r="V49" s="410"/>
      <c r="W49" s="6"/>
    </row>
    <row r="50" spans="1:23" ht="15.6">
      <c r="A50" s="378"/>
      <c r="B50" s="379"/>
      <c r="C50" s="379"/>
      <c r="D50" s="379"/>
      <c r="E50" s="379"/>
      <c r="F50" s="379"/>
      <c r="G50" s="379"/>
      <c r="H50" s="379"/>
      <c r="I50" s="379"/>
      <c r="J50" s="379"/>
      <c r="K50" s="379"/>
      <c r="L50" s="379"/>
      <c r="M50" s="379"/>
      <c r="N50" s="379"/>
      <c r="O50" s="379"/>
      <c r="P50" s="379"/>
      <c r="Q50" s="379"/>
      <c r="R50" s="379"/>
      <c r="S50" s="379" t="s">
        <v>213</v>
      </c>
      <c r="T50" s="379"/>
      <c r="U50" s="432"/>
      <c r="V50" s="410"/>
      <c r="W50" s="6"/>
    </row>
    <row r="51" spans="1:23" ht="15.6">
      <c r="A51" s="378"/>
      <c r="B51" s="379" t="s">
        <v>19</v>
      </c>
      <c r="C51" s="379"/>
      <c r="D51" s="379"/>
      <c r="E51" s="379"/>
      <c r="F51" s="379"/>
      <c r="G51" s="379"/>
      <c r="H51" s="379"/>
      <c r="I51" s="379"/>
      <c r="J51" s="379"/>
      <c r="K51" s="379"/>
      <c r="L51" s="379"/>
      <c r="M51" s="379"/>
      <c r="N51" s="379"/>
      <c r="O51" s="379"/>
      <c r="P51" s="379"/>
      <c r="Q51" s="379"/>
      <c r="R51" s="379"/>
      <c r="S51" s="380"/>
      <c r="T51" s="380"/>
      <c r="U51" s="380" t="s">
        <v>118</v>
      </c>
      <c r="V51" s="410"/>
      <c r="W51" s="6"/>
    </row>
    <row r="52" spans="1:23" ht="15.6">
      <c r="A52" s="401"/>
      <c r="B52" s="386" t="s">
        <v>20</v>
      </c>
      <c r="C52" s="386"/>
      <c r="D52" s="386"/>
      <c r="E52" s="386"/>
      <c r="F52" s="386"/>
      <c r="G52" s="386"/>
      <c r="H52" s="386"/>
      <c r="I52" s="386"/>
      <c r="J52" s="386"/>
      <c r="K52" s="386"/>
      <c r="L52" s="386"/>
      <c r="M52" s="386"/>
      <c r="N52" s="386"/>
      <c r="O52" s="386"/>
      <c r="P52" s="386"/>
      <c r="Q52" s="386"/>
      <c r="R52" s="386"/>
      <c r="S52" s="433"/>
      <c r="T52" s="433"/>
      <c r="U52" s="434">
        <v>41470</v>
      </c>
      <c r="V52" s="435"/>
      <c r="W52" s="6"/>
    </row>
    <row r="53" spans="1:23" ht="15.6">
      <c r="A53" s="378"/>
      <c r="B53" s="379" t="s">
        <v>155</v>
      </c>
      <c r="C53" s="379"/>
      <c r="D53" s="379"/>
      <c r="E53" s="379"/>
      <c r="F53" s="379"/>
      <c r="G53" s="379"/>
      <c r="H53" s="379"/>
      <c r="I53" s="379"/>
      <c r="J53" s="379"/>
      <c r="K53" s="379"/>
      <c r="L53" s="379"/>
      <c r="M53" s="379"/>
      <c r="N53" s="379"/>
      <c r="O53" s="379"/>
      <c r="P53" s="379"/>
      <c r="Q53" s="424"/>
      <c r="R53" s="379">
        <f>U53-S53+1</f>
        <v>90</v>
      </c>
      <c r="S53" s="436">
        <v>41289</v>
      </c>
      <c r="T53" s="429"/>
      <c r="U53" s="436">
        <v>41378</v>
      </c>
      <c r="V53" s="410"/>
      <c r="W53" s="6"/>
    </row>
    <row r="54" spans="1:23" ht="15.6">
      <c r="A54" s="378"/>
      <c r="B54" s="379" t="s">
        <v>156</v>
      </c>
      <c r="C54" s="379"/>
      <c r="D54" s="379"/>
      <c r="E54" s="379"/>
      <c r="F54" s="379"/>
      <c r="G54" s="379"/>
      <c r="H54" s="379"/>
      <c r="I54" s="379"/>
      <c r="J54" s="379"/>
      <c r="K54" s="379"/>
      <c r="L54" s="379"/>
      <c r="M54" s="379"/>
      <c r="N54" s="379"/>
      <c r="O54" s="379"/>
      <c r="P54" s="379"/>
      <c r="Q54" s="424"/>
      <c r="R54" s="379">
        <f>U54-S54+1</f>
        <v>91</v>
      </c>
      <c r="S54" s="436">
        <v>41379</v>
      </c>
      <c r="T54" s="429"/>
      <c r="U54" s="436">
        <v>41469</v>
      </c>
      <c r="V54" s="410"/>
      <c r="W54" s="6"/>
    </row>
    <row r="55" spans="1:23" ht="15.6">
      <c r="A55" s="378"/>
      <c r="B55" s="379" t="s">
        <v>21</v>
      </c>
      <c r="C55" s="379"/>
      <c r="D55" s="379"/>
      <c r="E55" s="379"/>
      <c r="F55" s="379"/>
      <c r="G55" s="379"/>
      <c r="H55" s="379"/>
      <c r="I55" s="379"/>
      <c r="J55" s="379"/>
      <c r="K55" s="379"/>
      <c r="L55" s="379"/>
      <c r="M55" s="379"/>
      <c r="N55" s="379"/>
      <c r="O55" s="379"/>
      <c r="P55" s="379"/>
      <c r="Q55" s="379"/>
      <c r="R55" s="379"/>
      <c r="S55" s="436"/>
      <c r="T55" s="429"/>
      <c r="U55" s="436" t="s">
        <v>119</v>
      </c>
      <c r="V55" s="410"/>
      <c r="W55" s="6"/>
    </row>
    <row r="56" spans="1:23" ht="15.6">
      <c r="A56" s="378"/>
      <c r="B56" s="379" t="s">
        <v>22</v>
      </c>
      <c r="C56" s="379"/>
      <c r="D56" s="379"/>
      <c r="E56" s="379"/>
      <c r="F56" s="379"/>
      <c r="G56" s="379"/>
      <c r="H56" s="379"/>
      <c r="I56" s="379"/>
      <c r="J56" s="379"/>
      <c r="K56" s="379"/>
      <c r="L56" s="379"/>
      <c r="M56" s="379"/>
      <c r="N56" s="379"/>
      <c r="O56" s="379"/>
      <c r="P56" s="379"/>
      <c r="Q56" s="379"/>
      <c r="R56" s="379"/>
      <c r="S56" s="436"/>
      <c r="T56" s="429"/>
      <c r="U56" s="436">
        <v>41456</v>
      </c>
      <c r="V56" s="410"/>
      <c r="W56" s="6"/>
    </row>
    <row r="57" spans="1:23" ht="15.6">
      <c r="A57" s="242"/>
      <c r="B57" s="364"/>
      <c r="C57" s="364"/>
      <c r="D57" s="364"/>
      <c r="E57" s="364"/>
      <c r="F57" s="364"/>
      <c r="G57" s="364"/>
      <c r="H57" s="364"/>
      <c r="I57" s="364"/>
      <c r="J57" s="364"/>
      <c r="K57" s="364"/>
      <c r="L57" s="364"/>
      <c r="M57" s="364"/>
      <c r="N57" s="364"/>
      <c r="O57" s="364"/>
      <c r="P57" s="364"/>
      <c r="Q57" s="364"/>
      <c r="R57" s="364"/>
      <c r="S57" s="364"/>
      <c r="T57" s="364"/>
      <c r="U57" s="377"/>
      <c r="V57" s="303"/>
      <c r="W57" s="6"/>
    </row>
    <row r="58" spans="1:23" ht="15.6">
      <c r="A58" s="242"/>
      <c r="B58" s="288"/>
      <c r="C58" s="288"/>
      <c r="D58" s="288"/>
      <c r="E58" s="288"/>
      <c r="F58" s="288"/>
      <c r="G58" s="288"/>
      <c r="H58" s="288"/>
      <c r="I58" s="288"/>
      <c r="J58" s="288"/>
      <c r="K58" s="288"/>
      <c r="L58" s="288"/>
      <c r="M58" s="288"/>
      <c r="N58" s="288"/>
      <c r="O58" s="288"/>
      <c r="P58" s="288"/>
      <c r="Q58" s="288"/>
      <c r="R58" s="288"/>
      <c r="S58" s="288"/>
      <c r="T58" s="288"/>
      <c r="U58" s="302"/>
      <c r="V58" s="303"/>
      <c r="W58" s="6"/>
    </row>
    <row r="59" spans="1:23" ht="16.2" thickBot="1">
      <c r="A59" s="261"/>
      <c r="B59" s="304" t="s">
        <v>285</v>
      </c>
      <c r="C59" s="305"/>
      <c r="D59" s="305"/>
      <c r="E59" s="305"/>
      <c r="F59" s="305"/>
      <c r="G59" s="305"/>
      <c r="H59" s="305"/>
      <c r="I59" s="305"/>
      <c r="J59" s="305"/>
      <c r="K59" s="305"/>
      <c r="L59" s="305"/>
      <c r="M59" s="305"/>
      <c r="N59" s="305"/>
      <c r="O59" s="305"/>
      <c r="P59" s="305"/>
      <c r="Q59" s="305"/>
      <c r="R59" s="305"/>
      <c r="S59" s="305"/>
      <c r="T59" s="305"/>
      <c r="U59" s="306"/>
      <c r="V59" s="307"/>
      <c r="W59" s="6"/>
    </row>
    <row r="60" spans="1:23" ht="15.6">
      <c r="A60" s="230"/>
      <c r="B60" s="511" t="s">
        <v>23</v>
      </c>
      <c r="C60" s="511"/>
      <c r="D60" s="511"/>
      <c r="E60" s="511"/>
      <c r="F60" s="511"/>
      <c r="G60" s="511"/>
      <c r="H60" s="511"/>
      <c r="I60" s="511"/>
      <c r="J60" s="511"/>
      <c r="K60" s="511"/>
      <c r="L60" s="511"/>
      <c r="M60" s="231"/>
      <c r="N60" s="231"/>
      <c r="O60" s="231"/>
      <c r="P60" s="231"/>
      <c r="Q60" s="231"/>
      <c r="R60" s="231"/>
      <c r="S60" s="231"/>
      <c r="T60" s="231"/>
      <c r="U60" s="309"/>
      <c r="V60" s="237"/>
      <c r="W60" s="6"/>
    </row>
    <row r="61" spans="1:23" ht="15.6">
      <c r="A61" s="242"/>
      <c r="B61" s="252"/>
      <c r="C61" s="252"/>
      <c r="D61" s="252"/>
      <c r="E61" s="252"/>
      <c r="F61" s="252"/>
      <c r="G61" s="252"/>
      <c r="H61" s="252"/>
      <c r="I61" s="252"/>
      <c r="J61" s="252"/>
      <c r="K61" s="252"/>
      <c r="L61" s="252"/>
      <c r="M61" s="244"/>
      <c r="N61" s="244"/>
      <c r="O61" s="244"/>
      <c r="P61" s="244"/>
      <c r="Q61" s="244"/>
      <c r="R61" s="244"/>
      <c r="S61" s="244"/>
      <c r="T61" s="244"/>
      <c r="U61" s="263"/>
      <c r="V61" s="245"/>
      <c r="W61" s="6"/>
    </row>
    <row r="62" spans="1:23" s="151" customFormat="1" ht="46.8">
      <c r="A62" s="264"/>
      <c r="B62" s="512"/>
      <c r="C62" s="513"/>
      <c r="D62" s="513"/>
      <c r="E62" s="513"/>
      <c r="F62" s="513"/>
      <c r="G62" s="513"/>
      <c r="H62" s="513"/>
      <c r="I62" s="513"/>
      <c r="J62" s="513"/>
      <c r="K62" s="513" t="s">
        <v>197</v>
      </c>
      <c r="L62" s="513"/>
      <c r="M62" s="513" t="s">
        <v>98</v>
      </c>
      <c r="N62" s="513"/>
      <c r="O62" s="513" t="s">
        <v>107</v>
      </c>
      <c r="P62" s="513"/>
      <c r="Q62" s="513" t="s">
        <v>111</v>
      </c>
      <c r="R62" s="513"/>
      <c r="S62" s="513" t="s">
        <v>113</v>
      </c>
      <c r="T62" s="513"/>
      <c r="U62" s="514" t="s">
        <v>120</v>
      </c>
      <c r="V62" s="515"/>
      <c r="W62" s="150"/>
    </row>
    <row r="63" spans="1:23" ht="15.6">
      <c r="A63" s="378"/>
      <c r="B63" s="379" t="s">
        <v>24</v>
      </c>
      <c r="C63" s="440"/>
      <c r="D63" s="440"/>
      <c r="E63" s="440"/>
      <c r="F63" s="440"/>
      <c r="G63" s="440"/>
      <c r="H63" s="440"/>
      <c r="I63" s="440"/>
      <c r="J63" s="440"/>
      <c r="K63" s="440">
        <f>265+63566+3306</f>
        <v>67137</v>
      </c>
      <c r="L63" s="440"/>
      <c r="M63" s="440">
        <v>7369</v>
      </c>
      <c r="N63" s="440"/>
      <c r="O63" s="440">
        <f>154+2+84-1</f>
        <v>239</v>
      </c>
      <c r="P63" s="440"/>
      <c r="Q63" s="440">
        <v>0</v>
      </c>
      <c r="R63" s="440"/>
      <c r="S63" s="440">
        <v>0</v>
      </c>
      <c r="T63" s="440"/>
      <c r="U63" s="441">
        <f>+M63-O63+Q63-S63</f>
        <v>7130</v>
      </c>
      <c r="V63" s="410"/>
      <c r="W63" s="6"/>
    </row>
    <row r="64" spans="1:23" ht="15.6">
      <c r="A64" s="378"/>
      <c r="B64" s="379" t="s">
        <v>25</v>
      </c>
      <c r="C64" s="440"/>
      <c r="D64" s="440"/>
      <c r="E64" s="440"/>
      <c r="F64" s="440"/>
      <c r="G64" s="440"/>
      <c r="H64" s="440"/>
      <c r="I64" s="440"/>
      <c r="J64" s="440"/>
      <c r="K64" s="440"/>
      <c r="L64" s="440"/>
      <c r="M64" s="440"/>
      <c r="N64" s="440"/>
      <c r="O64" s="440"/>
      <c r="P64" s="440"/>
      <c r="Q64" s="440">
        <v>0</v>
      </c>
      <c r="R64" s="440"/>
      <c r="S64" s="440">
        <v>0</v>
      </c>
      <c r="T64" s="440"/>
      <c r="U64" s="441">
        <f>M64-O64</f>
        <v>0</v>
      </c>
      <c r="V64" s="410"/>
      <c r="W64" s="6"/>
    </row>
    <row r="65" spans="1:24" ht="15.6">
      <c r="A65" s="378"/>
      <c r="B65" s="379"/>
      <c r="C65" s="440"/>
      <c r="D65" s="440"/>
      <c r="E65" s="440"/>
      <c r="F65" s="440"/>
      <c r="G65" s="440"/>
      <c r="H65" s="440"/>
      <c r="I65" s="440"/>
      <c r="J65" s="440"/>
      <c r="K65" s="440"/>
      <c r="L65" s="440"/>
      <c r="M65" s="440"/>
      <c r="N65" s="440"/>
      <c r="O65" s="440"/>
      <c r="P65" s="440"/>
      <c r="Q65" s="440"/>
      <c r="R65" s="440"/>
      <c r="S65" s="440"/>
      <c r="T65" s="440"/>
      <c r="U65" s="441"/>
      <c r="V65" s="410"/>
      <c r="W65" s="6"/>
    </row>
    <row r="66" spans="1:24" ht="15.6">
      <c r="A66" s="378"/>
      <c r="B66" s="379" t="s">
        <v>26</v>
      </c>
      <c r="C66" s="440"/>
      <c r="D66" s="440"/>
      <c r="E66" s="440"/>
      <c r="F66" s="440"/>
      <c r="G66" s="440"/>
      <c r="H66" s="440"/>
      <c r="I66" s="440"/>
      <c r="J66" s="440"/>
      <c r="K66" s="440">
        <v>24470</v>
      </c>
      <c r="L66" s="440"/>
      <c r="M66" s="440">
        <v>1660</v>
      </c>
      <c r="N66" s="440"/>
      <c r="O66" s="440">
        <v>41</v>
      </c>
      <c r="P66" s="440"/>
      <c r="Q66" s="440">
        <v>0</v>
      </c>
      <c r="R66" s="440"/>
      <c r="S66" s="440">
        <f>SUM(S63:S65)</f>
        <v>0</v>
      </c>
      <c r="T66" s="440"/>
      <c r="U66" s="441">
        <f>+M66-O66+Q66-S66</f>
        <v>1619</v>
      </c>
      <c r="V66" s="410"/>
      <c r="W66" s="6"/>
    </row>
    <row r="67" spans="1:24" ht="15.6">
      <c r="A67" s="378"/>
      <c r="B67" s="379" t="s">
        <v>25</v>
      </c>
      <c r="C67" s="440"/>
      <c r="D67" s="440"/>
      <c r="E67" s="440"/>
      <c r="F67" s="440"/>
      <c r="G67" s="440"/>
      <c r="H67" s="440"/>
      <c r="I67" s="440"/>
      <c r="J67" s="440"/>
      <c r="K67" s="440"/>
      <c r="L67" s="440"/>
      <c r="M67" s="440"/>
      <c r="N67" s="440"/>
      <c r="O67" s="440"/>
      <c r="P67" s="440"/>
      <c r="Q67" s="440">
        <v>0</v>
      </c>
      <c r="R67" s="440"/>
      <c r="S67" s="440">
        <v>0</v>
      </c>
      <c r="T67" s="440"/>
      <c r="U67" s="440"/>
      <c r="V67" s="410"/>
      <c r="W67" s="6"/>
    </row>
    <row r="68" spans="1:24" ht="15.6">
      <c r="A68" s="378"/>
      <c r="B68" s="386"/>
      <c r="C68" s="440"/>
      <c r="D68" s="440"/>
      <c r="E68" s="440"/>
      <c r="F68" s="440"/>
      <c r="G68" s="440"/>
      <c r="H68" s="440"/>
      <c r="I68" s="440"/>
      <c r="J68" s="440"/>
      <c r="K68" s="440"/>
      <c r="L68" s="440"/>
      <c r="M68" s="440"/>
      <c r="N68" s="440"/>
      <c r="O68" s="442"/>
      <c r="P68" s="440"/>
      <c r="Q68" s="440"/>
      <c r="R68" s="440"/>
      <c r="S68" s="440"/>
      <c r="T68" s="440"/>
      <c r="U68" s="440"/>
      <c r="V68" s="410"/>
      <c r="W68" s="6"/>
    </row>
    <row r="69" spans="1:24" ht="15.6">
      <c r="A69" s="378"/>
      <c r="B69" s="379" t="s">
        <v>27</v>
      </c>
      <c r="C69" s="440"/>
      <c r="D69" s="440"/>
      <c r="E69" s="440"/>
      <c r="F69" s="440"/>
      <c r="G69" s="440"/>
      <c r="H69" s="440"/>
      <c r="I69" s="440"/>
      <c r="J69" s="440"/>
      <c r="K69" s="440">
        <v>220072</v>
      </c>
      <c r="L69" s="440"/>
      <c r="M69" s="440">
        <v>146311</v>
      </c>
      <c r="N69" s="440"/>
      <c r="O69" s="440">
        <f>4549+497</f>
        <v>5046</v>
      </c>
      <c r="P69" s="440"/>
      <c r="Q69" s="440">
        <v>0</v>
      </c>
      <c r="R69" s="440"/>
      <c r="S69" s="440">
        <v>0</v>
      </c>
      <c r="T69" s="440"/>
      <c r="U69" s="441">
        <f>+M69-O69+Q69-S69</f>
        <v>141265</v>
      </c>
      <c r="V69" s="410"/>
      <c r="W69" s="6"/>
    </row>
    <row r="70" spans="1:24" ht="15.6">
      <c r="A70" s="378"/>
      <c r="B70" s="379" t="s">
        <v>25</v>
      </c>
      <c r="C70" s="440"/>
      <c r="D70" s="440"/>
      <c r="E70" s="440"/>
      <c r="F70" s="440"/>
      <c r="G70" s="440"/>
      <c r="H70" s="440"/>
      <c r="I70" s="440"/>
      <c r="J70" s="440"/>
      <c r="K70" s="440"/>
      <c r="L70" s="440"/>
      <c r="M70" s="440"/>
      <c r="N70" s="440"/>
      <c r="O70" s="440"/>
      <c r="P70" s="440"/>
      <c r="Q70" s="440">
        <v>0</v>
      </c>
      <c r="R70" s="440"/>
      <c r="S70" s="440">
        <v>0</v>
      </c>
      <c r="T70" s="440"/>
      <c r="U70" s="441">
        <f>M70-O70+Q70-S70</f>
        <v>0</v>
      </c>
      <c r="V70" s="410"/>
      <c r="W70" s="6"/>
    </row>
    <row r="71" spans="1:24" ht="15.6">
      <c r="A71" s="378"/>
      <c r="B71" s="379"/>
      <c r="C71" s="440"/>
      <c r="D71" s="440"/>
      <c r="E71" s="440"/>
      <c r="F71" s="440"/>
      <c r="G71" s="440"/>
      <c r="H71" s="440"/>
      <c r="I71" s="440"/>
      <c r="J71" s="440"/>
      <c r="K71" s="440"/>
      <c r="L71" s="440"/>
      <c r="M71" s="440"/>
      <c r="N71" s="440"/>
      <c r="O71" s="440"/>
      <c r="P71" s="440"/>
      <c r="Q71" s="440"/>
      <c r="R71" s="440"/>
      <c r="S71" s="440"/>
      <c r="T71" s="440"/>
      <c r="U71" s="441"/>
      <c r="V71" s="410"/>
      <c r="W71" s="6"/>
    </row>
    <row r="72" spans="1:24" ht="15.6">
      <c r="A72" s="378"/>
      <c r="B72" s="379" t="s">
        <v>28</v>
      </c>
      <c r="C72" s="440"/>
      <c r="D72" s="440"/>
      <c r="E72" s="440"/>
      <c r="F72" s="440"/>
      <c r="G72" s="440"/>
      <c r="H72" s="440"/>
      <c r="I72" s="440"/>
      <c r="J72" s="440"/>
      <c r="K72" s="440">
        <v>138321</v>
      </c>
      <c r="L72" s="440"/>
      <c r="M72" s="440">
        <v>1867</v>
      </c>
      <c r="N72" s="440"/>
      <c r="O72" s="440">
        <f>140-2</f>
        <v>138</v>
      </c>
      <c r="P72" s="440"/>
      <c r="Q72" s="440">
        <v>0</v>
      </c>
      <c r="R72" s="440"/>
      <c r="S72" s="440">
        <v>0</v>
      </c>
      <c r="T72" s="440"/>
      <c r="U72" s="441">
        <f>+M72-O72+Q72-S72</f>
        <v>1729</v>
      </c>
      <c r="V72" s="410"/>
      <c r="W72" s="6"/>
    </row>
    <row r="73" spans="1:24" ht="15.6">
      <c r="A73" s="378"/>
      <c r="B73" s="379" t="s">
        <v>25</v>
      </c>
      <c r="C73" s="440"/>
      <c r="D73" s="440"/>
      <c r="E73" s="440"/>
      <c r="F73" s="440"/>
      <c r="G73" s="440"/>
      <c r="H73" s="440"/>
      <c r="I73" s="440"/>
      <c r="J73" s="440"/>
      <c r="K73" s="440"/>
      <c r="L73" s="440"/>
      <c r="M73" s="440"/>
      <c r="N73" s="440"/>
      <c r="O73" s="440"/>
      <c r="P73" s="440"/>
      <c r="Q73" s="440">
        <v>0</v>
      </c>
      <c r="R73" s="440"/>
      <c r="S73" s="440">
        <v>0</v>
      </c>
      <c r="T73" s="440"/>
      <c r="U73" s="441"/>
      <c r="V73" s="410"/>
      <c r="W73" s="6"/>
    </row>
    <row r="74" spans="1:24" ht="15.6">
      <c r="A74" s="378"/>
      <c r="B74" s="440"/>
      <c r="C74" s="440"/>
      <c r="D74" s="440"/>
      <c r="E74" s="440"/>
      <c r="F74" s="440"/>
      <c r="G74" s="440"/>
      <c r="H74" s="440"/>
      <c r="I74" s="440"/>
      <c r="J74" s="440"/>
      <c r="K74" s="440"/>
      <c r="L74" s="440"/>
      <c r="M74" s="440"/>
      <c r="N74" s="440"/>
      <c r="O74" s="440"/>
      <c r="P74" s="440"/>
      <c r="Q74" s="440"/>
      <c r="R74" s="440"/>
      <c r="S74" s="440"/>
      <c r="T74" s="440"/>
      <c r="U74" s="441"/>
      <c r="V74" s="410"/>
      <c r="W74" s="6"/>
    </row>
    <row r="75" spans="1:24" ht="15.6">
      <c r="A75" s="378"/>
      <c r="B75" s="379" t="s">
        <v>29</v>
      </c>
      <c r="C75" s="440"/>
      <c r="D75" s="440"/>
      <c r="E75" s="440"/>
      <c r="F75" s="440"/>
      <c r="G75" s="440"/>
      <c r="H75" s="440"/>
      <c r="I75" s="440"/>
      <c r="J75" s="440"/>
      <c r="K75" s="440">
        <f>SUM(K63:K72)</f>
        <v>450000</v>
      </c>
      <c r="L75" s="440"/>
      <c r="M75" s="440">
        <f>SUM(M63:M72)</f>
        <v>157207</v>
      </c>
      <c r="N75" s="440"/>
      <c r="O75" s="440">
        <f>SUM(O63:O73)</f>
        <v>5464</v>
      </c>
      <c r="P75" s="440"/>
      <c r="Q75" s="440">
        <f>SUM(Q63:Q73)</f>
        <v>0</v>
      </c>
      <c r="R75" s="440"/>
      <c r="S75" s="440">
        <f>SUM(S70:S74)</f>
        <v>0</v>
      </c>
      <c r="T75" s="440"/>
      <c r="U75" s="440">
        <f>SUM(U63:U73)</f>
        <v>151743</v>
      </c>
      <c r="V75" s="410"/>
      <c r="W75" s="6"/>
      <c r="X75" s="182"/>
    </row>
    <row r="76" spans="1:24" ht="15.6">
      <c r="A76" s="378"/>
      <c r="B76" s="379"/>
      <c r="C76" s="440"/>
      <c r="D76" s="440"/>
      <c r="E76" s="440"/>
      <c r="F76" s="440"/>
      <c r="G76" s="440"/>
      <c r="H76" s="440"/>
      <c r="I76" s="440"/>
      <c r="J76" s="440"/>
      <c r="K76" s="440"/>
      <c r="L76" s="440"/>
      <c r="M76" s="440"/>
      <c r="N76" s="440"/>
      <c r="O76" s="440"/>
      <c r="P76" s="440"/>
      <c r="Q76" s="440"/>
      <c r="R76" s="440"/>
      <c r="S76" s="440"/>
      <c r="T76" s="440"/>
      <c r="U76" s="440"/>
      <c r="V76" s="410"/>
      <c r="W76" s="6"/>
    </row>
    <row r="77" spans="1:24" ht="15.6">
      <c r="A77" s="378"/>
      <c r="B77" s="379" t="s">
        <v>214</v>
      </c>
      <c r="C77" s="440"/>
      <c r="D77" s="440"/>
      <c r="E77" s="440"/>
      <c r="F77" s="440"/>
      <c r="G77" s="440"/>
      <c r="H77" s="440"/>
      <c r="I77" s="440"/>
      <c r="J77" s="440"/>
      <c r="K77" s="440">
        <v>0</v>
      </c>
      <c r="L77" s="440"/>
      <c r="M77" s="440">
        <v>-14375</v>
      </c>
      <c r="N77" s="440"/>
      <c r="O77" s="440">
        <v>537</v>
      </c>
      <c r="P77" s="440"/>
      <c r="Q77" s="440"/>
      <c r="R77" s="440"/>
      <c r="S77" s="440"/>
      <c r="T77" s="440"/>
      <c r="U77" s="441">
        <f>+M77-O77</f>
        <v>-14912</v>
      </c>
      <c r="V77" s="410"/>
      <c r="W77" s="6"/>
    </row>
    <row r="78" spans="1:24" ht="15.6">
      <c r="A78" s="378"/>
      <c r="B78" s="379" t="s">
        <v>30</v>
      </c>
      <c r="C78" s="440"/>
      <c r="D78" s="440"/>
      <c r="E78" s="440"/>
      <c r="F78" s="440"/>
      <c r="G78" s="440"/>
      <c r="H78" s="440"/>
      <c r="I78" s="440"/>
      <c r="J78" s="440"/>
      <c r="K78" s="440">
        <v>0</v>
      </c>
      <c r="L78" s="440"/>
      <c r="M78" s="440">
        <v>0</v>
      </c>
      <c r="N78" s="440"/>
      <c r="O78" s="440">
        <v>0</v>
      </c>
      <c r="P78" s="440"/>
      <c r="Q78" s="440">
        <v>0</v>
      </c>
      <c r="R78" s="440"/>
      <c r="S78" s="440"/>
      <c r="T78" s="440"/>
      <c r="U78" s="440">
        <v>0</v>
      </c>
      <c r="V78" s="410"/>
      <c r="W78" s="6"/>
      <c r="X78" s="182"/>
    </row>
    <row r="79" spans="1:24" ht="15.6">
      <c r="A79" s="378"/>
      <c r="B79" s="379" t="s">
        <v>31</v>
      </c>
      <c r="C79" s="440"/>
      <c r="D79" s="440"/>
      <c r="E79" s="440"/>
      <c r="F79" s="440"/>
      <c r="G79" s="440"/>
      <c r="H79" s="440"/>
      <c r="I79" s="440"/>
      <c r="J79" s="440"/>
      <c r="K79" s="440">
        <v>0</v>
      </c>
      <c r="L79" s="440"/>
      <c r="M79" s="440">
        <v>0</v>
      </c>
      <c r="N79" s="440"/>
      <c r="O79" s="440"/>
      <c r="P79" s="440"/>
      <c r="Q79" s="440">
        <v>0</v>
      </c>
      <c r="R79" s="440"/>
      <c r="S79" s="440"/>
      <c r="T79" s="440"/>
      <c r="U79" s="440">
        <f>Q79+M79</f>
        <v>0</v>
      </c>
      <c r="V79" s="410"/>
      <c r="W79" s="6"/>
    </row>
    <row r="80" spans="1:24" ht="15.6">
      <c r="A80" s="378"/>
      <c r="B80" s="379" t="s">
        <v>16</v>
      </c>
      <c r="C80" s="440"/>
      <c r="D80" s="440"/>
      <c r="E80" s="440"/>
      <c r="F80" s="440"/>
      <c r="G80" s="440"/>
      <c r="H80" s="440"/>
      <c r="I80" s="440"/>
      <c r="J80" s="440"/>
      <c r="K80" s="440">
        <f>SUM(K75:K79)</f>
        <v>450000</v>
      </c>
      <c r="L80" s="440"/>
      <c r="M80" s="440">
        <f>SUM(M75:M79)</f>
        <v>142832</v>
      </c>
      <c r="N80" s="440"/>
      <c r="O80" s="440">
        <f>O78-O79</f>
        <v>0</v>
      </c>
      <c r="P80" s="440"/>
      <c r="Q80" s="440"/>
      <c r="R80" s="440"/>
      <c r="S80" s="440"/>
      <c r="T80" s="440"/>
      <c r="U80" s="440">
        <f>SUM(U75:U79)</f>
        <v>136831</v>
      </c>
      <c r="V80" s="410"/>
      <c r="W80" s="6"/>
    </row>
    <row r="81" spans="1:24" ht="15.6">
      <c r="A81" s="242"/>
      <c r="B81" s="437"/>
      <c r="C81" s="438"/>
      <c r="D81" s="438"/>
      <c r="E81" s="438"/>
      <c r="F81" s="438"/>
      <c r="G81" s="438"/>
      <c r="H81" s="438"/>
      <c r="I81" s="438"/>
      <c r="J81" s="438"/>
      <c r="K81" s="438"/>
      <c r="L81" s="438"/>
      <c r="M81" s="438"/>
      <c r="N81" s="438"/>
      <c r="O81" s="438"/>
      <c r="P81" s="438"/>
      <c r="Q81" s="438"/>
      <c r="R81" s="438"/>
      <c r="S81" s="439"/>
      <c r="T81" s="438"/>
      <c r="U81" s="439"/>
      <c r="V81" s="245"/>
      <c r="W81" s="6"/>
    </row>
    <row r="82" spans="1:24" ht="15.6">
      <c r="A82" s="230"/>
      <c r="B82" s="511" t="s">
        <v>32</v>
      </c>
      <c r="C82" s="511"/>
      <c r="D82" s="511"/>
      <c r="E82" s="511"/>
      <c r="F82" s="511"/>
      <c r="G82" s="511"/>
      <c r="H82" s="511"/>
      <c r="I82" s="511"/>
      <c r="J82" s="511"/>
      <c r="K82" s="511"/>
      <c r="L82" s="511"/>
      <c r="M82" s="511"/>
      <c r="N82" s="511"/>
      <c r="O82" s="511"/>
      <c r="P82" s="511"/>
      <c r="Q82" s="511"/>
      <c r="R82" s="232"/>
      <c r="S82" s="232"/>
      <c r="T82" s="232"/>
      <c r="U82" s="232" t="s">
        <v>121</v>
      </c>
      <c r="V82" s="516"/>
      <c r="W82" s="6"/>
    </row>
    <row r="83" spans="1:24" ht="15.6">
      <c r="A83" s="315"/>
      <c r="B83" s="294" t="s">
        <v>33</v>
      </c>
      <c r="C83" s="294"/>
      <c r="D83" s="294"/>
      <c r="E83" s="294"/>
      <c r="F83" s="294"/>
      <c r="G83" s="294"/>
      <c r="H83" s="294"/>
      <c r="I83" s="294"/>
      <c r="J83" s="294"/>
      <c r="K83" s="294"/>
      <c r="L83" s="294"/>
      <c r="M83" s="294"/>
      <c r="N83" s="294"/>
      <c r="O83" s="310"/>
      <c r="P83" s="294"/>
      <c r="Q83" s="294"/>
      <c r="R83" s="294"/>
      <c r="S83" s="310"/>
      <c r="T83" s="294"/>
      <c r="U83" s="311">
        <v>48754</v>
      </c>
      <c r="V83" s="298"/>
      <c r="W83" s="6"/>
    </row>
    <row r="84" spans="1:24" ht="15.6">
      <c r="A84" s="444"/>
      <c r="B84" s="379" t="s">
        <v>34</v>
      </c>
      <c r="C84" s="431"/>
      <c r="D84" s="431"/>
      <c r="E84" s="431"/>
      <c r="F84" s="431"/>
      <c r="G84" s="431"/>
      <c r="H84" s="431"/>
      <c r="I84" s="431"/>
      <c r="J84" s="431"/>
      <c r="K84" s="431"/>
      <c r="L84" s="431"/>
      <c r="M84" s="430"/>
      <c r="N84" s="379"/>
      <c r="O84" s="379"/>
      <c r="P84" s="379"/>
      <c r="Q84" s="379"/>
      <c r="R84" s="379"/>
      <c r="S84" s="440"/>
      <c r="T84" s="379"/>
      <c r="U84" s="441">
        <f>310+38+2-32</f>
        <v>318</v>
      </c>
      <c r="V84" s="410"/>
      <c r="W84" s="6"/>
    </row>
    <row r="85" spans="1:24" ht="15.6">
      <c r="A85" s="444"/>
      <c r="B85" s="379" t="s">
        <v>230</v>
      </c>
      <c r="C85" s="379"/>
      <c r="D85" s="379"/>
      <c r="E85" s="379"/>
      <c r="F85" s="379"/>
      <c r="G85" s="379"/>
      <c r="H85" s="379"/>
      <c r="I85" s="379"/>
      <c r="J85" s="379"/>
      <c r="K85" s="379"/>
      <c r="L85" s="379"/>
      <c r="M85" s="379"/>
      <c r="N85" s="379"/>
      <c r="O85" s="379"/>
      <c r="P85" s="379"/>
      <c r="Q85" s="379"/>
      <c r="R85" s="379"/>
      <c r="S85" s="440"/>
      <c r="T85" s="379"/>
      <c r="U85" s="441">
        <v>0</v>
      </c>
      <c r="V85" s="410"/>
      <c r="W85" s="6"/>
      <c r="X85" s="64"/>
    </row>
    <row r="86" spans="1:24" ht="15.6">
      <c r="A86" s="444"/>
      <c r="B86" s="379" t="s">
        <v>231</v>
      </c>
      <c r="C86" s="379"/>
      <c r="D86" s="379"/>
      <c r="E86" s="379"/>
      <c r="F86" s="379"/>
      <c r="G86" s="379"/>
      <c r="H86" s="379"/>
      <c r="I86" s="379"/>
      <c r="J86" s="379"/>
      <c r="K86" s="379"/>
      <c r="L86" s="379"/>
      <c r="M86" s="379"/>
      <c r="N86" s="379"/>
      <c r="O86" s="379"/>
      <c r="P86" s="379"/>
      <c r="Q86" s="379"/>
      <c r="R86" s="379"/>
      <c r="S86" s="440"/>
      <c r="T86" s="379"/>
      <c r="U86" s="441">
        <v>0</v>
      </c>
      <c r="V86" s="410"/>
      <c r="W86" s="6"/>
      <c r="X86" s="64"/>
    </row>
    <row r="87" spans="1:24" ht="15.6">
      <c r="A87" s="444"/>
      <c r="B87" s="379" t="s">
        <v>35</v>
      </c>
      <c r="C87" s="379"/>
      <c r="D87" s="379"/>
      <c r="E87" s="379"/>
      <c r="F87" s="379"/>
      <c r="G87" s="379"/>
      <c r="H87" s="379"/>
      <c r="I87" s="379"/>
      <c r="J87" s="379"/>
      <c r="K87" s="379"/>
      <c r="L87" s="379"/>
      <c r="M87" s="379"/>
      <c r="N87" s="379"/>
      <c r="O87" s="379"/>
      <c r="P87" s="379"/>
      <c r="Q87" s="379"/>
      <c r="R87" s="379"/>
      <c r="S87" s="440"/>
      <c r="T87" s="379"/>
      <c r="U87" s="441">
        <f>SUM(U83:U86)</f>
        <v>49072</v>
      </c>
      <c r="V87" s="410"/>
      <c r="W87" s="6"/>
      <c r="X87" s="64"/>
    </row>
    <row r="88" spans="1:24" ht="15.6">
      <c r="A88" s="444"/>
      <c r="B88" s="379"/>
      <c r="C88" s="379"/>
      <c r="D88" s="379"/>
      <c r="E88" s="379"/>
      <c r="F88" s="379"/>
      <c r="G88" s="379"/>
      <c r="H88" s="379"/>
      <c r="I88" s="379"/>
      <c r="J88" s="379"/>
      <c r="K88" s="379"/>
      <c r="L88" s="379"/>
      <c r="M88" s="379"/>
      <c r="N88" s="379"/>
      <c r="O88" s="379"/>
      <c r="P88" s="379"/>
      <c r="Q88" s="379"/>
      <c r="R88" s="379"/>
      <c r="S88" s="440"/>
      <c r="T88" s="379"/>
      <c r="U88" s="440"/>
      <c r="V88" s="410"/>
      <c r="W88" s="6"/>
    </row>
    <row r="89" spans="1:24" ht="15.6">
      <c r="A89" s="444"/>
      <c r="B89" s="446" t="s">
        <v>36</v>
      </c>
      <c r="C89" s="446"/>
      <c r="D89" s="446"/>
      <c r="E89" s="446"/>
      <c r="F89" s="446"/>
      <c r="G89" s="446"/>
      <c r="H89" s="446"/>
      <c r="I89" s="446"/>
      <c r="J89" s="446"/>
      <c r="K89" s="446"/>
      <c r="L89" s="446"/>
      <c r="M89" s="379"/>
      <c r="N89" s="379"/>
      <c r="O89" s="379"/>
      <c r="P89" s="379"/>
      <c r="Q89" s="379"/>
      <c r="R89" s="379"/>
      <c r="S89" s="440"/>
      <c r="T89" s="379"/>
      <c r="U89" s="441"/>
      <c r="V89" s="410"/>
      <c r="W89" s="6"/>
      <c r="X89" s="64"/>
    </row>
    <row r="90" spans="1:24" ht="15.6">
      <c r="A90" s="444">
        <v>1</v>
      </c>
      <c r="B90" s="379" t="s">
        <v>37</v>
      </c>
      <c r="C90" s="379"/>
      <c r="D90" s="379"/>
      <c r="E90" s="379"/>
      <c r="F90" s="379"/>
      <c r="G90" s="379"/>
      <c r="H90" s="379"/>
      <c r="I90" s="379"/>
      <c r="J90" s="379"/>
      <c r="K90" s="379"/>
      <c r="L90" s="379"/>
      <c r="M90" s="379"/>
      <c r="N90" s="379"/>
      <c r="O90" s="379"/>
      <c r="P90" s="379"/>
      <c r="Q90" s="379"/>
      <c r="R90" s="379"/>
      <c r="S90" s="379"/>
      <c r="T90" s="379"/>
      <c r="U90" s="441">
        <v>-2</v>
      </c>
      <c r="V90" s="410"/>
      <c r="W90" s="6"/>
    </row>
    <row r="91" spans="1:24" ht="15.6">
      <c r="A91" s="444">
        <f>A90+1</f>
        <v>2</v>
      </c>
      <c r="B91" s="379" t="s">
        <v>168</v>
      </c>
      <c r="C91" s="379"/>
      <c r="D91" s="379"/>
      <c r="E91" s="379"/>
      <c r="F91" s="379"/>
      <c r="G91" s="379"/>
      <c r="H91" s="379"/>
      <c r="I91" s="379"/>
      <c r="J91" s="379"/>
      <c r="K91" s="379"/>
      <c r="L91" s="379"/>
      <c r="M91" s="379"/>
      <c r="N91" s="379"/>
      <c r="O91" s="379"/>
      <c r="P91" s="379"/>
      <c r="Q91" s="379"/>
      <c r="R91" s="379"/>
      <c r="S91" s="379"/>
      <c r="T91" s="379"/>
      <c r="U91" s="441">
        <f>-143-56-2</f>
        <v>-201</v>
      </c>
      <c r="V91" s="410"/>
      <c r="W91" s="6"/>
      <c r="X91" s="64"/>
    </row>
    <row r="92" spans="1:24" ht="15.6">
      <c r="A92" s="444">
        <v>3</v>
      </c>
      <c r="B92" s="379" t="s">
        <v>38</v>
      </c>
      <c r="C92" s="379"/>
      <c r="D92" s="379"/>
      <c r="E92" s="379"/>
      <c r="F92" s="379"/>
      <c r="G92" s="379"/>
      <c r="H92" s="379"/>
      <c r="I92" s="379"/>
      <c r="J92" s="379"/>
      <c r="K92" s="379"/>
      <c r="L92" s="379"/>
      <c r="M92" s="379"/>
      <c r="N92" s="379"/>
      <c r="O92" s="379"/>
      <c r="P92" s="379"/>
      <c r="Q92" s="379"/>
      <c r="R92" s="379"/>
      <c r="S92" s="379"/>
      <c r="T92" s="379"/>
      <c r="U92" s="441">
        <v>-50</v>
      </c>
      <c r="V92" s="410"/>
      <c r="W92" s="6"/>
      <c r="X92" s="64"/>
    </row>
    <row r="93" spans="1:24" ht="15.6">
      <c r="A93" s="447" t="s">
        <v>190</v>
      </c>
      <c r="B93" s="379" t="s">
        <v>169</v>
      </c>
      <c r="C93" s="379"/>
      <c r="D93" s="379"/>
      <c r="E93" s="379"/>
      <c r="F93" s="379"/>
      <c r="G93" s="379"/>
      <c r="H93" s="379"/>
      <c r="I93" s="379"/>
      <c r="J93" s="379"/>
      <c r="K93" s="379"/>
      <c r="L93" s="379"/>
      <c r="M93" s="379"/>
      <c r="N93" s="379"/>
      <c r="O93" s="379"/>
      <c r="P93" s="379"/>
      <c r="Q93" s="379"/>
      <c r="R93" s="379"/>
      <c r="S93" s="379"/>
      <c r="T93" s="379"/>
      <c r="U93" s="441">
        <v>-67</v>
      </c>
      <c r="V93" s="410"/>
      <c r="W93" s="6"/>
      <c r="X93" s="64"/>
    </row>
    <row r="94" spans="1:24" ht="15.6">
      <c r="A94" s="447" t="s">
        <v>191</v>
      </c>
      <c r="B94" s="379" t="s">
        <v>170</v>
      </c>
      <c r="C94" s="379"/>
      <c r="D94" s="379"/>
      <c r="E94" s="379"/>
      <c r="F94" s="379"/>
      <c r="G94" s="379"/>
      <c r="H94" s="379"/>
      <c r="I94" s="379"/>
      <c r="J94" s="379"/>
      <c r="K94" s="379"/>
      <c r="L94" s="379"/>
      <c r="M94" s="379"/>
      <c r="N94" s="379"/>
      <c r="O94" s="379"/>
      <c r="P94" s="379"/>
      <c r="Q94" s="379"/>
      <c r="R94" s="379"/>
      <c r="S94" s="379"/>
      <c r="T94" s="379"/>
      <c r="U94" s="441">
        <v>-86</v>
      </c>
      <c r="V94" s="410"/>
      <c r="W94" s="6"/>
      <c r="X94" s="182"/>
    </row>
    <row r="95" spans="1:24" ht="15.6">
      <c r="A95" s="444">
        <v>5</v>
      </c>
      <c r="B95" s="379" t="s">
        <v>171</v>
      </c>
      <c r="C95" s="379"/>
      <c r="D95" s="379"/>
      <c r="E95" s="379"/>
      <c r="F95" s="379"/>
      <c r="G95" s="379"/>
      <c r="H95" s="379"/>
      <c r="I95" s="379"/>
      <c r="J95" s="379"/>
      <c r="K95" s="379"/>
      <c r="L95" s="379"/>
      <c r="M95" s="379"/>
      <c r="N95" s="379"/>
      <c r="O95" s="379"/>
      <c r="P95" s="379"/>
      <c r="Q95" s="379"/>
      <c r="R95" s="379"/>
      <c r="S95" s="379"/>
      <c r="T95" s="379"/>
      <c r="U95" s="441">
        <v>-8</v>
      </c>
      <c r="V95" s="410"/>
      <c r="W95" s="6"/>
    </row>
    <row r="96" spans="1:24" ht="15.6">
      <c r="A96" s="447" t="s">
        <v>174</v>
      </c>
      <c r="B96" s="379" t="s">
        <v>172</v>
      </c>
      <c r="C96" s="379"/>
      <c r="D96" s="379"/>
      <c r="E96" s="379"/>
      <c r="F96" s="379"/>
      <c r="G96" s="379"/>
      <c r="H96" s="379"/>
      <c r="I96" s="379"/>
      <c r="J96" s="379"/>
      <c r="K96" s="379"/>
      <c r="L96" s="379"/>
      <c r="M96" s="379"/>
      <c r="N96" s="379"/>
      <c r="O96" s="379"/>
      <c r="P96" s="379"/>
      <c r="Q96" s="379"/>
      <c r="R96" s="379"/>
      <c r="S96" s="379"/>
      <c r="T96" s="379"/>
      <c r="U96" s="441">
        <v>-30</v>
      </c>
      <c r="V96" s="410"/>
      <c r="W96" s="6"/>
      <c r="X96" s="182"/>
    </row>
    <row r="97" spans="1:24" ht="15.6">
      <c r="A97" s="447" t="s">
        <v>176</v>
      </c>
      <c r="B97" s="379" t="s">
        <v>173</v>
      </c>
      <c r="C97" s="379"/>
      <c r="D97" s="379"/>
      <c r="E97" s="379"/>
      <c r="F97" s="379"/>
      <c r="G97" s="379"/>
      <c r="H97" s="379"/>
      <c r="I97" s="379"/>
      <c r="J97" s="379"/>
      <c r="K97" s="379"/>
      <c r="L97" s="379"/>
      <c r="M97" s="379"/>
      <c r="N97" s="379"/>
      <c r="O97" s="379"/>
      <c r="P97" s="379"/>
      <c r="Q97" s="379"/>
      <c r="R97" s="379"/>
      <c r="S97" s="379"/>
      <c r="T97" s="379"/>
      <c r="U97" s="441">
        <v>-48</v>
      </c>
      <c r="V97" s="410"/>
      <c r="W97" s="119"/>
      <c r="X97" s="182"/>
    </row>
    <row r="98" spans="1:24" ht="15.6">
      <c r="A98" s="447" t="s">
        <v>178</v>
      </c>
      <c r="B98" s="379" t="s">
        <v>175</v>
      </c>
      <c r="C98" s="379"/>
      <c r="D98" s="379"/>
      <c r="E98" s="379"/>
      <c r="F98" s="379"/>
      <c r="G98" s="379"/>
      <c r="H98" s="379"/>
      <c r="I98" s="379"/>
      <c r="J98" s="379"/>
      <c r="K98" s="379"/>
      <c r="L98" s="379"/>
      <c r="M98" s="379"/>
      <c r="N98" s="379"/>
      <c r="O98" s="379"/>
      <c r="P98" s="379"/>
      <c r="Q98" s="379"/>
      <c r="R98" s="379"/>
      <c r="S98" s="379"/>
      <c r="T98" s="379"/>
      <c r="U98" s="441">
        <v>-49</v>
      </c>
      <c r="V98" s="410"/>
      <c r="W98" s="6"/>
      <c r="X98" s="182"/>
    </row>
    <row r="99" spans="1:24" ht="15.6">
      <c r="A99" s="447" t="s">
        <v>180</v>
      </c>
      <c r="B99" s="379" t="s">
        <v>177</v>
      </c>
      <c r="C99" s="379"/>
      <c r="D99" s="379"/>
      <c r="E99" s="379"/>
      <c r="F99" s="379"/>
      <c r="G99" s="379"/>
      <c r="H99" s="379"/>
      <c r="I99" s="379"/>
      <c r="J99" s="379"/>
      <c r="K99" s="379"/>
      <c r="L99" s="379"/>
      <c r="M99" s="379"/>
      <c r="N99" s="379"/>
      <c r="O99" s="379"/>
      <c r="P99" s="379"/>
      <c r="Q99" s="379"/>
      <c r="R99" s="379"/>
      <c r="S99" s="379"/>
      <c r="T99" s="379"/>
      <c r="U99" s="441">
        <v>-62</v>
      </c>
      <c r="V99" s="410"/>
      <c r="W99" s="119"/>
      <c r="X99" s="182"/>
    </row>
    <row r="100" spans="1:24" ht="15.6">
      <c r="A100" s="447" t="s">
        <v>192</v>
      </c>
      <c r="B100" s="379" t="s">
        <v>179</v>
      </c>
      <c r="C100" s="379"/>
      <c r="D100" s="379"/>
      <c r="E100" s="379"/>
      <c r="F100" s="379"/>
      <c r="G100" s="379"/>
      <c r="H100" s="379"/>
      <c r="I100" s="379"/>
      <c r="J100" s="379"/>
      <c r="K100" s="379"/>
      <c r="L100" s="379"/>
      <c r="M100" s="379"/>
      <c r="N100" s="379"/>
      <c r="O100" s="379"/>
      <c r="P100" s="379"/>
      <c r="Q100" s="379"/>
      <c r="R100" s="379"/>
      <c r="S100" s="379"/>
      <c r="T100" s="379"/>
      <c r="U100" s="441">
        <v>-93</v>
      </c>
      <c r="V100" s="410"/>
      <c r="W100" s="6"/>
      <c r="X100" s="182"/>
    </row>
    <row r="101" spans="1:24" ht="15.6">
      <c r="A101" s="447" t="s">
        <v>193</v>
      </c>
      <c r="B101" s="379" t="s">
        <v>181</v>
      </c>
      <c r="C101" s="379"/>
      <c r="D101" s="379"/>
      <c r="E101" s="379"/>
      <c r="F101" s="379"/>
      <c r="G101" s="379"/>
      <c r="H101" s="379"/>
      <c r="I101" s="379"/>
      <c r="J101" s="379"/>
      <c r="K101" s="379"/>
      <c r="L101" s="379"/>
      <c r="M101" s="379"/>
      <c r="N101" s="379"/>
      <c r="O101" s="379"/>
      <c r="P101" s="379"/>
      <c r="Q101" s="379"/>
      <c r="R101" s="379"/>
      <c r="S101" s="379"/>
      <c r="T101" s="379"/>
      <c r="U101" s="441">
        <v>-81</v>
      </c>
      <c r="V101" s="410"/>
      <c r="W101" s="119"/>
      <c r="X101" s="182"/>
    </row>
    <row r="102" spans="1:24" ht="15.6">
      <c r="A102" s="444">
        <v>9</v>
      </c>
      <c r="B102" s="379" t="s">
        <v>257</v>
      </c>
      <c r="C102" s="379"/>
      <c r="D102" s="379"/>
      <c r="E102" s="379"/>
      <c r="F102" s="379"/>
      <c r="G102" s="379"/>
      <c r="H102" s="379"/>
      <c r="I102" s="379"/>
      <c r="J102" s="379"/>
      <c r="K102" s="379"/>
      <c r="L102" s="379"/>
      <c r="M102" s="379"/>
      <c r="N102" s="379"/>
      <c r="O102" s="379"/>
      <c r="P102" s="379"/>
      <c r="Q102" s="379"/>
      <c r="R102" s="379"/>
      <c r="S102" s="379"/>
      <c r="T102" s="379"/>
      <c r="U102" s="441">
        <f>+S219-U32</f>
        <v>-6001.4191999999748</v>
      </c>
      <c r="V102" s="410"/>
      <c r="W102" s="6"/>
      <c r="X102" s="182"/>
    </row>
    <row r="103" spans="1:24" ht="15.6">
      <c r="A103" s="444">
        <v>10</v>
      </c>
      <c r="B103" s="379" t="s">
        <v>234</v>
      </c>
      <c r="C103" s="379"/>
      <c r="D103" s="379"/>
      <c r="E103" s="379"/>
      <c r="F103" s="379"/>
      <c r="G103" s="379"/>
      <c r="H103" s="379"/>
      <c r="I103" s="379"/>
      <c r="J103" s="379"/>
      <c r="K103" s="379"/>
      <c r="L103" s="379"/>
      <c r="M103" s="379"/>
      <c r="N103" s="379"/>
      <c r="O103" s="379"/>
      <c r="P103" s="379"/>
      <c r="Q103" s="379"/>
      <c r="R103" s="379"/>
      <c r="S103" s="379"/>
      <c r="T103" s="379"/>
      <c r="U103" s="441">
        <v>-40500</v>
      </c>
      <c r="V103" s="410"/>
      <c r="W103" s="6"/>
      <c r="X103" s="64"/>
    </row>
    <row r="104" spans="1:24" ht="15.6">
      <c r="A104" s="444">
        <v>11</v>
      </c>
      <c r="B104" s="379" t="s">
        <v>183</v>
      </c>
      <c r="C104" s="379"/>
      <c r="D104" s="379"/>
      <c r="E104" s="379"/>
      <c r="F104" s="379"/>
      <c r="G104" s="379"/>
      <c r="H104" s="379"/>
      <c r="I104" s="379"/>
      <c r="J104" s="379"/>
      <c r="K104" s="379"/>
      <c r="L104" s="379"/>
      <c r="M104" s="379"/>
      <c r="N104" s="379"/>
      <c r="O104" s="379"/>
      <c r="P104" s="379"/>
      <c r="Q104" s="379"/>
      <c r="R104" s="379"/>
      <c r="S104" s="379"/>
      <c r="T104" s="379"/>
      <c r="U104" s="441">
        <v>0</v>
      </c>
      <c r="V104" s="410"/>
      <c r="W104" s="6"/>
      <c r="X104" s="64"/>
    </row>
    <row r="105" spans="1:24" ht="15.6">
      <c r="A105" s="444">
        <v>12</v>
      </c>
      <c r="B105" s="379" t="s">
        <v>184</v>
      </c>
      <c r="C105" s="379"/>
      <c r="D105" s="379"/>
      <c r="E105" s="379"/>
      <c r="F105" s="379"/>
      <c r="G105" s="379"/>
      <c r="H105" s="379"/>
      <c r="I105" s="379"/>
      <c r="J105" s="379"/>
      <c r="K105" s="379"/>
      <c r="L105" s="379"/>
      <c r="M105" s="379"/>
      <c r="N105" s="379"/>
      <c r="O105" s="379"/>
      <c r="P105" s="379"/>
      <c r="Q105" s="379"/>
      <c r="R105" s="379"/>
      <c r="S105" s="379"/>
      <c r="T105" s="379"/>
      <c r="U105" s="441">
        <v>-160</v>
      </c>
      <c r="V105" s="410"/>
      <c r="W105" s="6"/>
      <c r="X105" s="182"/>
    </row>
    <row r="106" spans="1:24" ht="15.6">
      <c r="A106" s="444">
        <v>13</v>
      </c>
      <c r="B106" s="379" t="s">
        <v>40</v>
      </c>
      <c r="C106" s="379"/>
      <c r="D106" s="379"/>
      <c r="E106" s="379"/>
      <c r="F106" s="379"/>
      <c r="G106" s="379"/>
      <c r="H106" s="379"/>
      <c r="I106" s="379"/>
      <c r="J106" s="379"/>
      <c r="K106" s="379"/>
      <c r="L106" s="379"/>
      <c r="M106" s="379"/>
      <c r="N106" s="379"/>
      <c r="O106" s="379"/>
      <c r="P106" s="379"/>
      <c r="Q106" s="379"/>
      <c r="R106" s="379"/>
      <c r="S106" s="379"/>
      <c r="T106" s="379"/>
      <c r="U106" s="441">
        <f>-SUM(U87:V105)</f>
        <v>-1633.5808000000252</v>
      </c>
      <c r="V106" s="410"/>
      <c r="W106" s="6"/>
      <c r="X106" s="182"/>
    </row>
    <row r="107" spans="1:24" ht="15.6">
      <c r="A107" s="316"/>
      <c r="B107" s="443"/>
      <c r="C107" s="364"/>
      <c r="D107" s="364"/>
      <c r="E107" s="364"/>
      <c r="F107" s="364"/>
      <c r="G107" s="364"/>
      <c r="H107" s="364"/>
      <c r="I107" s="364"/>
      <c r="J107" s="364"/>
      <c r="K107" s="364"/>
      <c r="L107" s="364"/>
      <c r="M107" s="364"/>
      <c r="N107" s="364"/>
      <c r="O107" s="364"/>
      <c r="P107" s="364"/>
      <c r="Q107" s="364"/>
      <c r="R107" s="364"/>
      <c r="S107" s="360"/>
      <c r="T107" s="360"/>
      <c r="U107" s="360"/>
      <c r="V107" s="303"/>
      <c r="W107" s="6"/>
      <c r="X107" s="182"/>
    </row>
    <row r="108" spans="1:24" ht="15.6">
      <c r="A108" s="316"/>
      <c r="B108" s="317"/>
      <c r="C108" s="288"/>
      <c r="D108" s="288"/>
      <c r="E108" s="288"/>
      <c r="F108" s="288"/>
      <c r="G108" s="288"/>
      <c r="H108" s="288"/>
      <c r="I108" s="288"/>
      <c r="J108" s="288"/>
      <c r="K108" s="288"/>
      <c r="L108" s="288"/>
      <c r="M108" s="288"/>
      <c r="N108" s="288"/>
      <c r="O108" s="288"/>
      <c r="P108" s="288"/>
      <c r="Q108" s="288"/>
      <c r="R108" s="288"/>
      <c r="S108" s="318"/>
      <c r="T108" s="318"/>
      <c r="U108" s="318"/>
      <c r="V108" s="303"/>
      <c r="W108" s="6"/>
    </row>
    <row r="109" spans="1:24" ht="16.2" thickBot="1">
      <c r="A109" s="319"/>
      <c r="B109" s="304" t="str">
        <f>+B59</f>
        <v>PPAF3 INVESTOR REPORT QUARTER ENDING JUNE 2013</v>
      </c>
      <c r="C109" s="305"/>
      <c r="D109" s="305"/>
      <c r="E109" s="305"/>
      <c r="F109" s="305"/>
      <c r="G109" s="305"/>
      <c r="H109" s="305"/>
      <c r="I109" s="305"/>
      <c r="J109" s="305"/>
      <c r="K109" s="305"/>
      <c r="L109" s="305"/>
      <c r="M109" s="305"/>
      <c r="N109" s="305"/>
      <c r="O109" s="305"/>
      <c r="P109" s="305"/>
      <c r="Q109" s="305"/>
      <c r="R109" s="305"/>
      <c r="S109" s="320"/>
      <c r="T109" s="320"/>
      <c r="U109" s="320"/>
      <c r="V109" s="307"/>
      <c r="W109" s="6"/>
    </row>
    <row r="110" spans="1:24" ht="15.6">
      <c r="A110" s="238"/>
      <c r="B110" s="240"/>
      <c r="C110" s="240"/>
      <c r="D110" s="240"/>
      <c r="E110" s="240"/>
      <c r="F110" s="240"/>
      <c r="G110" s="240"/>
      <c r="H110" s="240"/>
      <c r="I110" s="240"/>
      <c r="J110" s="240"/>
      <c r="K110" s="240"/>
      <c r="L110" s="240"/>
      <c r="M110" s="240"/>
      <c r="N110" s="240"/>
      <c r="O110" s="240"/>
      <c r="P110" s="240"/>
      <c r="Q110" s="240"/>
      <c r="R110" s="240"/>
      <c r="S110" s="269"/>
      <c r="T110" s="269"/>
      <c r="U110" s="269"/>
      <c r="V110" s="241"/>
      <c r="W110" s="6"/>
    </row>
    <row r="111" spans="1:24" ht="15.6">
      <c r="A111" s="321"/>
      <c r="B111" s="517" t="s">
        <v>41</v>
      </c>
      <c r="C111" s="322"/>
      <c r="D111" s="322"/>
      <c r="E111" s="322"/>
      <c r="F111" s="322"/>
      <c r="G111" s="322"/>
      <c r="H111" s="322"/>
      <c r="I111" s="322"/>
      <c r="J111" s="322"/>
      <c r="K111" s="322"/>
      <c r="L111" s="322"/>
      <c r="M111" s="322"/>
      <c r="N111" s="322"/>
      <c r="O111" s="322"/>
      <c r="P111" s="322"/>
      <c r="Q111" s="322"/>
      <c r="R111" s="322"/>
      <c r="S111" s="322"/>
      <c r="T111" s="322"/>
      <c r="U111" s="323"/>
      <c r="V111" s="324"/>
      <c r="W111" s="6"/>
    </row>
    <row r="112" spans="1:24" ht="15.6">
      <c r="A112" s="270"/>
      <c r="B112" s="271"/>
      <c r="C112" s="271"/>
      <c r="D112" s="271"/>
      <c r="E112" s="271"/>
      <c r="F112" s="271"/>
      <c r="G112" s="271"/>
      <c r="H112" s="271"/>
      <c r="I112" s="271"/>
      <c r="J112" s="271"/>
      <c r="K112" s="271"/>
      <c r="L112" s="271"/>
      <c r="M112" s="271"/>
      <c r="N112" s="271"/>
      <c r="O112" s="271"/>
      <c r="P112" s="271"/>
      <c r="Q112" s="271"/>
      <c r="R112" s="271"/>
      <c r="S112" s="271"/>
      <c r="T112" s="271"/>
      <c r="U112" s="272"/>
      <c r="V112" s="273"/>
      <c r="W112" s="6"/>
    </row>
    <row r="113" spans="1:24" ht="15.6">
      <c r="A113" s="242"/>
      <c r="B113" s="274" t="s">
        <v>42</v>
      </c>
      <c r="C113" s="252"/>
      <c r="D113" s="252"/>
      <c r="E113" s="252"/>
      <c r="F113" s="252"/>
      <c r="G113" s="252"/>
      <c r="H113" s="252"/>
      <c r="I113" s="252"/>
      <c r="J113" s="252"/>
      <c r="K113" s="252"/>
      <c r="L113" s="252"/>
      <c r="M113" s="244"/>
      <c r="N113" s="244"/>
      <c r="O113" s="244"/>
      <c r="P113" s="244"/>
      <c r="Q113" s="244"/>
      <c r="R113" s="244"/>
      <c r="S113" s="244"/>
      <c r="T113" s="244"/>
      <c r="U113" s="263"/>
      <c r="V113" s="245"/>
      <c r="W113" s="6"/>
    </row>
    <row r="114" spans="1:24" ht="15.6">
      <c r="A114" s="378"/>
      <c r="B114" s="379" t="s">
        <v>43</v>
      </c>
      <c r="C114" s="379"/>
      <c r="D114" s="379"/>
      <c r="E114" s="379"/>
      <c r="F114" s="379"/>
      <c r="G114" s="379"/>
      <c r="H114" s="379"/>
      <c r="I114" s="379"/>
      <c r="J114" s="379"/>
      <c r="K114" s="379"/>
      <c r="L114" s="379"/>
      <c r="M114" s="379"/>
      <c r="N114" s="379"/>
      <c r="O114" s="379"/>
      <c r="P114" s="379"/>
      <c r="Q114" s="379"/>
      <c r="R114" s="379"/>
      <c r="S114" s="379"/>
      <c r="T114" s="379"/>
      <c r="U114" s="441">
        <v>40500</v>
      </c>
      <c r="V114" s="410"/>
      <c r="W114" s="6"/>
    </row>
    <row r="115" spans="1:24" ht="15.6">
      <c r="A115" s="378"/>
      <c r="B115" s="379" t="s">
        <v>240</v>
      </c>
      <c r="C115" s="379"/>
      <c r="D115" s="379"/>
      <c r="E115" s="379"/>
      <c r="F115" s="379"/>
      <c r="G115" s="379"/>
      <c r="H115" s="379"/>
      <c r="I115" s="379"/>
      <c r="J115" s="379"/>
      <c r="K115" s="379"/>
      <c r="L115" s="379"/>
      <c r="M115" s="379"/>
      <c r="N115" s="379"/>
      <c r="O115" s="379"/>
      <c r="P115" s="379"/>
      <c r="Q115" s="379"/>
      <c r="R115" s="379"/>
      <c r="S115" s="379"/>
      <c r="T115" s="379"/>
      <c r="U115" s="441">
        <v>40500</v>
      </c>
      <c r="V115" s="410"/>
      <c r="W115" s="6"/>
    </row>
    <row r="116" spans="1:24" ht="15.6">
      <c r="A116" s="378"/>
      <c r="B116" s="379" t="s">
        <v>241</v>
      </c>
      <c r="C116" s="379"/>
      <c r="D116" s="379"/>
      <c r="E116" s="379"/>
      <c r="F116" s="379"/>
      <c r="G116" s="379"/>
      <c r="H116" s="379"/>
      <c r="I116" s="379"/>
      <c r="J116" s="379"/>
      <c r="K116" s="379"/>
      <c r="L116" s="379"/>
      <c r="M116" s="379"/>
      <c r="N116" s="379"/>
      <c r="O116" s="379"/>
      <c r="P116" s="379"/>
      <c r="Q116" s="379"/>
      <c r="R116" s="379"/>
      <c r="S116" s="379"/>
      <c r="T116" s="379"/>
      <c r="U116" s="441">
        <v>0</v>
      </c>
      <c r="V116" s="410"/>
      <c r="W116" s="6"/>
    </row>
    <row r="117" spans="1:24" ht="15.6">
      <c r="A117" s="378"/>
      <c r="B117" s="379" t="s">
        <v>209</v>
      </c>
      <c r="C117" s="379"/>
      <c r="D117" s="379"/>
      <c r="E117" s="379"/>
      <c r="F117" s="379"/>
      <c r="G117" s="379"/>
      <c r="H117" s="379"/>
      <c r="I117" s="379"/>
      <c r="J117" s="379"/>
      <c r="K117" s="379"/>
      <c r="L117" s="379"/>
      <c r="M117" s="379"/>
      <c r="N117" s="379"/>
      <c r="O117" s="379"/>
      <c r="P117" s="379"/>
      <c r="Q117" s="379"/>
      <c r="R117" s="379"/>
      <c r="S117" s="379"/>
      <c r="T117" s="379"/>
      <c r="U117" s="441">
        <v>0</v>
      </c>
      <c r="V117" s="410"/>
      <c r="W117" s="6"/>
    </row>
    <row r="118" spans="1:24" ht="15.6">
      <c r="A118" s="378"/>
      <c r="B118" s="379" t="s">
        <v>210</v>
      </c>
      <c r="C118" s="379"/>
      <c r="D118" s="379"/>
      <c r="E118" s="379"/>
      <c r="F118" s="379"/>
      <c r="G118" s="379"/>
      <c r="H118" s="379"/>
      <c r="I118" s="379"/>
      <c r="J118" s="379"/>
      <c r="K118" s="379"/>
      <c r="L118" s="379"/>
      <c r="M118" s="379"/>
      <c r="N118" s="379"/>
      <c r="O118" s="379"/>
      <c r="P118" s="379"/>
      <c r="Q118" s="379"/>
      <c r="R118" s="379"/>
      <c r="S118" s="379"/>
      <c r="T118" s="379"/>
      <c r="U118" s="441">
        <v>0</v>
      </c>
      <c r="V118" s="410"/>
      <c r="W118" s="6"/>
    </row>
    <row r="119" spans="1:24" ht="15.6">
      <c r="A119" s="378"/>
      <c r="B119" s="379" t="s">
        <v>211</v>
      </c>
      <c r="C119" s="379"/>
      <c r="D119" s="379"/>
      <c r="E119" s="379"/>
      <c r="F119" s="379"/>
      <c r="G119" s="379"/>
      <c r="H119" s="379"/>
      <c r="I119" s="379"/>
      <c r="J119" s="379"/>
      <c r="K119" s="379"/>
      <c r="L119" s="379"/>
      <c r="M119" s="379"/>
      <c r="N119" s="379"/>
      <c r="O119" s="379"/>
      <c r="P119" s="379"/>
      <c r="Q119" s="379"/>
      <c r="R119" s="379"/>
      <c r="S119" s="379"/>
      <c r="T119" s="379"/>
      <c r="U119" s="441">
        <v>0</v>
      </c>
      <c r="V119" s="410"/>
      <c r="W119" s="6"/>
    </row>
    <row r="120" spans="1:24" ht="15.6">
      <c r="A120" s="378"/>
      <c r="B120" s="379" t="s">
        <v>212</v>
      </c>
      <c r="C120" s="379"/>
      <c r="D120" s="379"/>
      <c r="E120" s="379"/>
      <c r="F120" s="379"/>
      <c r="G120" s="379"/>
      <c r="H120" s="379"/>
      <c r="I120" s="379"/>
      <c r="J120" s="379"/>
      <c r="K120" s="379"/>
      <c r="L120" s="379"/>
      <c r="M120" s="379"/>
      <c r="N120" s="379"/>
      <c r="O120" s="379"/>
      <c r="P120" s="379"/>
      <c r="Q120" s="379"/>
      <c r="R120" s="379"/>
      <c r="S120" s="379"/>
      <c r="T120" s="379"/>
      <c r="U120" s="441">
        <v>0</v>
      </c>
      <c r="V120" s="410"/>
      <c r="W120" s="6"/>
    </row>
    <row r="121" spans="1:24" ht="15.6">
      <c r="A121" s="378"/>
      <c r="B121" s="379" t="s">
        <v>242</v>
      </c>
      <c r="C121" s="379"/>
      <c r="D121" s="379"/>
      <c r="E121" s="379"/>
      <c r="F121" s="379"/>
      <c r="G121" s="379"/>
      <c r="H121" s="379"/>
      <c r="I121" s="379"/>
      <c r="J121" s="379"/>
      <c r="K121" s="379"/>
      <c r="L121" s="379"/>
      <c r="M121" s="379"/>
      <c r="N121" s="379"/>
      <c r="O121" s="379"/>
      <c r="P121" s="379"/>
      <c r="Q121" s="379"/>
      <c r="R121" s="379"/>
      <c r="S121" s="379"/>
      <c r="T121" s="379"/>
      <c r="U121" s="441">
        <v>0</v>
      </c>
      <c r="V121" s="410"/>
      <c r="W121" s="6"/>
    </row>
    <row r="122" spans="1:24" ht="15.6">
      <c r="A122" s="378"/>
      <c r="B122" s="379" t="s">
        <v>45</v>
      </c>
      <c r="C122" s="379"/>
      <c r="D122" s="379"/>
      <c r="E122" s="379"/>
      <c r="F122" s="379"/>
      <c r="G122" s="379"/>
      <c r="H122" s="379"/>
      <c r="I122" s="379"/>
      <c r="J122" s="379"/>
      <c r="K122" s="379"/>
      <c r="L122" s="379"/>
      <c r="M122" s="379"/>
      <c r="N122" s="379"/>
      <c r="O122" s="379"/>
      <c r="P122" s="379"/>
      <c r="Q122" s="379"/>
      <c r="R122" s="379"/>
      <c r="S122" s="379"/>
      <c r="T122" s="379"/>
      <c r="U122" s="441">
        <f>SUM(U115:U121)</f>
        <v>40500</v>
      </c>
      <c r="V122" s="410"/>
      <c r="W122" s="6"/>
    </row>
    <row r="123" spans="1:24" ht="15.6">
      <c r="A123" s="242"/>
      <c r="B123" s="438"/>
      <c r="C123" s="438"/>
      <c r="D123" s="438"/>
      <c r="E123" s="438"/>
      <c r="F123" s="438"/>
      <c r="G123" s="438"/>
      <c r="H123" s="438"/>
      <c r="I123" s="438"/>
      <c r="J123" s="438"/>
      <c r="K123" s="438"/>
      <c r="L123" s="438"/>
      <c r="M123" s="438"/>
      <c r="N123" s="438"/>
      <c r="O123" s="438"/>
      <c r="P123" s="438"/>
      <c r="Q123" s="438"/>
      <c r="R123" s="438"/>
      <c r="S123" s="438"/>
      <c r="T123" s="438"/>
      <c r="U123" s="448"/>
      <c r="V123" s="245"/>
      <c r="W123" s="6"/>
    </row>
    <row r="124" spans="1:24" ht="15.6">
      <c r="A124" s="242"/>
      <c r="B124" s="274" t="s">
        <v>46</v>
      </c>
      <c r="C124" s="252"/>
      <c r="D124" s="252"/>
      <c r="E124" s="252"/>
      <c r="F124" s="252"/>
      <c r="G124" s="252"/>
      <c r="H124" s="252"/>
      <c r="I124" s="252"/>
      <c r="J124" s="252"/>
      <c r="K124" s="252"/>
      <c r="L124" s="252"/>
      <c r="M124" s="244"/>
      <c r="N124" s="244"/>
      <c r="O124" s="244"/>
      <c r="P124" s="275"/>
      <c r="Q124" s="244"/>
      <c r="R124" s="244"/>
      <c r="S124" s="244"/>
      <c r="T124" s="244"/>
      <c r="U124" s="276"/>
      <c r="V124" s="245"/>
      <c r="W124" s="6"/>
    </row>
    <row r="125" spans="1:24" ht="15.6">
      <c r="A125" s="230"/>
      <c r="B125" s="511"/>
      <c r="C125" s="232" t="s">
        <v>185</v>
      </c>
      <c r="D125" s="232"/>
      <c r="E125" s="232" t="s">
        <v>99</v>
      </c>
      <c r="F125" s="232"/>
      <c r="G125" s="232" t="s">
        <v>102</v>
      </c>
      <c r="H125" s="232"/>
      <c r="I125" s="232" t="s">
        <v>108</v>
      </c>
      <c r="J125" s="232"/>
      <c r="K125" s="232"/>
      <c r="L125" s="232"/>
      <c r="M125" s="232"/>
      <c r="N125" s="232"/>
      <c r="O125" s="232"/>
      <c r="P125" s="326"/>
      <c r="Q125" s="326"/>
      <c r="R125" s="231"/>
      <c r="S125" s="231"/>
      <c r="T125" s="231"/>
      <c r="U125" s="309"/>
      <c r="V125" s="237"/>
      <c r="W125" s="6"/>
    </row>
    <row r="126" spans="1:24" ht="15.6">
      <c r="A126" s="257"/>
      <c r="B126" s="294" t="s">
        <v>122</v>
      </c>
      <c r="C126" s="310">
        <f>+N199-'March 13'!N199</f>
        <v>-153</v>
      </c>
      <c r="D126" s="294"/>
      <c r="E126" s="310">
        <f>+S199-'March 13'!S199</f>
        <v>-9</v>
      </c>
      <c r="F126" s="294"/>
      <c r="G126" s="310">
        <f>+'June 13'!N212-'March 13'!N212</f>
        <v>682</v>
      </c>
      <c r="H126" s="294"/>
      <c r="I126" s="310">
        <f>+S212-'March 13'!S212</f>
        <v>17</v>
      </c>
      <c r="J126" s="294"/>
      <c r="K126" s="294"/>
      <c r="L126" s="294"/>
      <c r="M126" s="294"/>
      <c r="N126" s="294"/>
      <c r="O126" s="294"/>
      <c r="P126" s="325"/>
      <c r="Q126" s="325"/>
      <c r="R126" s="294"/>
      <c r="S126" s="294"/>
      <c r="T126" s="294"/>
      <c r="U126" s="311">
        <f>SUM(C126:I126)</f>
        <v>537</v>
      </c>
      <c r="V126" s="298"/>
      <c r="W126" s="6"/>
      <c r="X126" s="182"/>
    </row>
    <row r="127" spans="1:24" ht="15.6">
      <c r="A127" s="378"/>
      <c r="B127" s="379" t="s">
        <v>47</v>
      </c>
      <c r="C127" s="379">
        <v>84</v>
      </c>
      <c r="D127" s="379"/>
      <c r="E127" s="379">
        <v>0</v>
      </c>
      <c r="F127" s="379"/>
      <c r="G127" s="379">
        <v>497</v>
      </c>
      <c r="H127" s="379"/>
      <c r="I127" s="440">
        <v>-2</v>
      </c>
      <c r="J127" s="379"/>
      <c r="K127" s="379"/>
      <c r="L127" s="379"/>
      <c r="M127" s="379"/>
      <c r="N127" s="379"/>
      <c r="O127" s="379"/>
      <c r="P127" s="450"/>
      <c r="Q127" s="450"/>
      <c r="R127" s="379"/>
      <c r="S127" s="379"/>
      <c r="T127" s="379"/>
      <c r="U127" s="441">
        <f>SUM(C127:I127)</f>
        <v>579</v>
      </c>
      <c r="V127" s="410"/>
      <c r="W127" s="6"/>
    </row>
    <row r="128" spans="1:24" ht="15.6">
      <c r="A128" s="242"/>
      <c r="B128" s="364" t="s">
        <v>48</v>
      </c>
      <c r="C128" s="364"/>
      <c r="D128" s="364"/>
      <c r="E128" s="364"/>
      <c r="F128" s="364"/>
      <c r="G128" s="364"/>
      <c r="H128" s="364"/>
      <c r="I128" s="364"/>
      <c r="J128" s="364"/>
      <c r="K128" s="364"/>
      <c r="L128" s="364"/>
      <c r="M128" s="364"/>
      <c r="N128" s="364"/>
      <c r="O128" s="364"/>
      <c r="P128" s="364"/>
      <c r="Q128" s="364"/>
      <c r="R128" s="364"/>
      <c r="S128" s="364"/>
      <c r="T128" s="364"/>
      <c r="U128" s="449">
        <f>SUM(U126:U127)</f>
        <v>1116</v>
      </c>
      <c r="V128" s="303"/>
      <c r="W128" s="6"/>
      <c r="X128" s="182"/>
    </row>
    <row r="129" spans="1:25" ht="15.6">
      <c r="A129" s="242"/>
      <c r="B129" s="274" t="s">
        <v>49</v>
      </c>
      <c r="C129" s="252"/>
      <c r="D129" s="252"/>
      <c r="E129" s="252"/>
      <c r="F129" s="252"/>
      <c r="G129" s="252"/>
      <c r="H129" s="252"/>
      <c r="I129" s="252"/>
      <c r="J129" s="252"/>
      <c r="K129" s="252"/>
      <c r="L129" s="252"/>
      <c r="M129" s="244"/>
      <c r="N129" s="244"/>
      <c r="O129" s="244"/>
      <c r="P129" s="244"/>
      <c r="Q129" s="244"/>
      <c r="R129" s="244"/>
      <c r="S129" s="244"/>
      <c r="T129" s="244"/>
      <c r="U129" s="263"/>
      <c r="V129" s="245"/>
      <c r="W129" s="6"/>
    </row>
    <row r="130" spans="1:25" ht="15.6">
      <c r="A130" s="444"/>
      <c r="B130" s="379" t="s">
        <v>50</v>
      </c>
      <c r="C130" s="386"/>
      <c r="D130" s="386"/>
      <c r="E130" s="386"/>
      <c r="F130" s="386"/>
      <c r="G130" s="386"/>
      <c r="H130" s="386"/>
      <c r="I130" s="386"/>
      <c r="J130" s="386"/>
      <c r="K130" s="386"/>
      <c r="L130" s="386"/>
      <c r="M130" s="379"/>
      <c r="N130" s="379"/>
      <c r="O130" s="379"/>
      <c r="P130" s="379"/>
      <c r="Q130" s="379"/>
      <c r="R130" s="379"/>
      <c r="S130" s="379"/>
      <c r="T130" s="379"/>
      <c r="U130" s="441">
        <f>U75+U77</f>
        <v>136831</v>
      </c>
      <c r="V130" s="410"/>
      <c r="W130" s="6"/>
      <c r="X130" s="182"/>
    </row>
    <row r="131" spans="1:25" ht="15.6">
      <c r="A131" s="444"/>
      <c r="B131" s="379" t="s">
        <v>51</v>
      </c>
      <c r="C131" s="386"/>
      <c r="D131" s="386"/>
      <c r="E131" s="386"/>
      <c r="F131" s="386"/>
      <c r="G131" s="386"/>
      <c r="H131" s="386"/>
      <c r="I131" s="386"/>
      <c r="J131" s="386"/>
      <c r="K131" s="386"/>
      <c r="L131" s="386"/>
      <c r="M131" s="379"/>
      <c r="N131" s="379"/>
      <c r="O131" s="379"/>
      <c r="P131" s="379"/>
      <c r="Q131" s="379"/>
      <c r="R131" s="379"/>
      <c r="S131" s="379"/>
      <c r="T131" s="379"/>
      <c r="U131" s="441">
        <v>0</v>
      </c>
      <c r="V131" s="410"/>
      <c r="W131" s="6"/>
      <c r="Y131" s="182"/>
    </row>
    <row r="132" spans="1:25" ht="15.6">
      <c r="A132" s="444"/>
      <c r="B132" s="379" t="s">
        <v>52</v>
      </c>
      <c r="C132" s="386"/>
      <c r="D132" s="386"/>
      <c r="E132" s="386"/>
      <c r="F132" s="386"/>
      <c r="G132" s="386"/>
      <c r="H132" s="386"/>
      <c r="I132" s="386"/>
      <c r="J132" s="386"/>
      <c r="K132" s="386"/>
      <c r="L132" s="386"/>
      <c r="M132" s="379"/>
      <c r="N132" s="379"/>
      <c r="O132" s="379"/>
      <c r="P132" s="379"/>
      <c r="Q132" s="379"/>
      <c r="R132" s="379"/>
      <c r="S132" s="379"/>
      <c r="T132" s="379"/>
      <c r="U132" s="441">
        <f>+U130+U131</f>
        <v>136831</v>
      </c>
      <c r="V132" s="410"/>
      <c r="W132" s="6"/>
    </row>
    <row r="133" spans="1:25" ht="15.6">
      <c r="A133" s="444"/>
      <c r="B133" s="379" t="s">
        <v>53</v>
      </c>
      <c r="C133" s="386"/>
      <c r="D133" s="386"/>
      <c r="E133" s="386"/>
      <c r="F133" s="386"/>
      <c r="G133" s="386"/>
      <c r="H133" s="386"/>
      <c r="I133" s="386"/>
      <c r="J133" s="386"/>
      <c r="K133" s="386"/>
      <c r="L133" s="386"/>
      <c r="M133" s="379"/>
      <c r="N133" s="379"/>
      <c r="O133" s="379"/>
      <c r="P133" s="379"/>
      <c r="Q133" s="379"/>
      <c r="R133" s="379"/>
      <c r="S133" s="379"/>
      <c r="T133" s="379"/>
      <c r="U133" s="441">
        <f>U80</f>
        <v>136831</v>
      </c>
      <c r="V133" s="410"/>
      <c r="W133" s="6"/>
      <c r="X133" s="64"/>
    </row>
    <row r="134" spans="1:25" ht="15.6">
      <c r="A134" s="242"/>
      <c r="B134" s="438"/>
      <c r="C134" s="438"/>
      <c r="D134" s="438"/>
      <c r="E134" s="438"/>
      <c r="F134" s="438"/>
      <c r="G134" s="438"/>
      <c r="H134" s="438"/>
      <c r="I134" s="438"/>
      <c r="J134" s="438"/>
      <c r="K134" s="438"/>
      <c r="L134" s="438"/>
      <c r="M134" s="438"/>
      <c r="N134" s="438"/>
      <c r="O134" s="438"/>
      <c r="P134" s="438"/>
      <c r="Q134" s="438"/>
      <c r="R134" s="438"/>
      <c r="S134" s="438"/>
      <c r="T134" s="438"/>
      <c r="U134" s="451"/>
      <c r="V134" s="245"/>
      <c r="W134" s="6"/>
    </row>
    <row r="135" spans="1:25" ht="15.6">
      <c r="A135" s="242"/>
      <c r="B135" s="274" t="s">
        <v>54</v>
      </c>
      <c r="C135" s="247"/>
      <c r="D135" s="247"/>
      <c r="E135" s="247"/>
      <c r="F135" s="247"/>
      <c r="G135" s="247"/>
      <c r="H135" s="247"/>
      <c r="I135" s="247"/>
      <c r="J135" s="247"/>
      <c r="K135" s="247"/>
      <c r="L135" s="247"/>
      <c r="M135" s="247"/>
      <c r="N135" s="247"/>
      <c r="O135" s="247"/>
      <c r="P135" s="247"/>
      <c r="Q135" s="277" t="s">
        <v>112</v>
      </c>
      <c r="R135" s="278"/>
      <c r="S135" s="277" t="s">
        <v>114</v>
      </c>
      <c r="T135" s="247"/>
      <c r="U135" s="279" t="s">
        <v>90</v>
      </c>
      <c r="V135" s="245"/>
      <c r="W135" s="6"/>
    </row>
    <row r="136" spans="1:25" ht="15.6">
      <c r="A136" s="378"/>
      <c r="B136" s="379" t="s">
        <v>55</v>
      </c>
      <c r="C136" s="379"/>
      <c r="D136" s="379"/>
      <c r="E136" s="379"/>
      <c r="F136" s="379"/>
      <c r="G136" s="379"/>
      <c r="H136" s="379"/>
      <c r="I136" s="379"/>
      <c r="J136" s="379"/>
      <c r="K136" s="379"/>
      <c r="L136" s="379"/>
      <c r="M136" s="379"/>
      <c r="N136" s="379"/>
      <c r="O136" s="379"/>
      <c r="P136" s="379"/>
      <c r="Q136" s="441">
        <v>0</v>
      </c>
      <c r="R136" s="379"/>
      <c r="S136" s="453" t="s">
        <v>115</v>
      </c>
      <c r="T136" s="379"/>
      <c r="U136" s="441">
        <f>Q136</f>
        <v>0</v>
      </c>
      <c r="V136" s="385"/>
      <c r="W136" s="6"/>
    </row>
    <row r="137" spans="1:25" ht="15.6">
      <c r="A137" s="378"/>
      <c r="B137" s="379" t="s">
        <v>56</v>
      </c>
      <c r="C137" s="379"/>
      <c r="D137" s="379"/>
      <c r="E137" s="379"/>
      <c r="F137" s="379"/>
      <c r="G137" s="379"/>
      <c r="H137" s="379"/>
      <c r="I137" s="379"/>
      <c r="J137" s="379"/>
      <c r="K137" s="379"/>
      <c r="L137" s="379"/>
      <c r="M137" s="379"/>
      <c r="N137" s="379"/>
      <c r="O137" s="379"/>
      <c r="P137" s="379"/>
      <c r="Q137" s="441">
        <f>+'March 13'!Q139</f>
        <v>4229</v>
      </c>
      <c r="R137" s="379"/>
      <c r="S137" s="453" t="s">
        <v>115</v>
      </c>
      <c r="T137" s="379"/>
      <c r="U137" s="441">
        <f>Q137</f>
        <v>4229</v>
      </c>
      <c r="V137" s="385"/>
      <c r="W137" s="6"/>
    </row>
    <row r="138" spans="1:25" ht="15.6">
      <c r="A138" s="378"/>
      <c r="B138" s="379" t="s">
        <v>57</v>
      </c>
      <c r="C138" s="379"/>
      <c r="D138" s="379"/>
      <c r="E138" s="379"/>
      <c r="F138" s="379"/>
      <c r="G138" s="379"/>
      <c r="H138" s="379"/>
      <c r="I138" s="379"/>
      <c r="J138" s="379"/>
      <c r="K138" s="379"/>
      <c r="L138" s="379"/>
      <c r="M138" s="379"/>
      <c r="N138" s="379"/>
      <c r="O138" s="379"/>
      <c r="P138" s="379"/>
      <c r="Q138" s="441">
        <v>0</v>
      </c>
      <c r="R138" s="379"/>
      <c r="S138" s="453" t="s">
        <v>115</v>
      </c>
      <c r="T138" s="379"/>
      <c r="U138" s="441">
        <f>Q138</f>
        <v>0</v>
      </c>
      <c r="V138" s="385"/>
      <c r="W138" s="6"/>
    </row>
    <row r="139" spans="1:25" ht="15.6">
      <c r="A139" s="378"/>
      <c r="B139" s="379" t="s">
        <v>58</v>
      </c>
      <c r="C139" s="379"/>
      <c r="D139" s="379"/>
      <c r="E139" s="379"/>
      <c r="F139" s="379"/>
      <c r="G139" s="379"/>
      <c r="H139" s="379"/>
      <c r="I139" s="379"/>
      <c r="J139" s="379"/>
      <c r="K139" s="379"/>
      <c r="L139" s="379"/>
      <c r="M139" s="379"/>
      <c r="N139" s="379"/>
      <c r="O139" s="379"/>
      <c r="P139" s="379"/>
      <c r="Q139" s="441">
        <f>SUM(Q137:Q138)</f>
        <v>4229</v>
      </c>
      <c r="R139" s="379"/>
      <c r="S139" s="453" t="s">
        <v>115</v>
      </c>
      <c r="T139" s="379"/>
      <c r="U139" s="441">
        <f>Q139</f>
        <v>4229</v>
      </c>
      <c r="V139" s="385"/>
      <c r="W139" s="6"/>
    </row>
    <row r="140" spans="1:25" ht="15.6">
      <c r="A140" s="378"/>
      <c r="B140" s="379" t="s">
        <v>215</v>
      </c>
      <c r="C140" s="379"/>
      <c r="D140" s="379"/>
      <c r="E140" s="379"/>
      <c r="F140" s="379"/>
      <c r="G140" s="379"/>
      <c r="H140" s="379"/>
      <c r="I140" s="379"/>
      <c r="J140" s="379"/>
      <c r="K140" s="379"/>
      <c r="L140" s="379"/>
      <c r="M140" s="379"/>
      <c r="N140" s="379"/>
      <c r="O140" s="379"/>
      <c r="P140" s="379"/>
      <c r="Q140" s="441"/>
      <c r="R140" s="379"/>
      <c r="S140" s="453"/>
      <c r="T140" s="379"/>
      <c r="U140" s="441"/>
      <c r="V140" s="385"/>
      <c r="W140" s="6"/>
    </row>
    <row r="141" spans="1:25" ht="15.6">
      <c r="A141" s="378"/>
      <c r="B141" s="454"/>
      <c r="C141" s="454"/>
      <c r="D141" s="454"/>
      <c r="E141" s="454"/>
      <c r="F141" s="454"/>
      <c r="G141" s="454"/>
      <c r="H141" s="454"/>
      <c r="I141" s="454"/>
      <c r="J141" s="454"/>
      <c r="K141" s="454"/>
      <c r="L141" s="454"/>
      <c r="M141" s="454"/>
      <c r="N141" s="454"/>
      <c r="O141" s="454"/>
      <c r="P141" s="454"/>
      <c r="Q141" s="454"/>
      <c r="R141" s="454"/>
      <c r="S141" s="454"/>
      <c r="T141" s="454"/>
      <c r="U141" s="454"/>
      <c r="V141" s="385"/>
      <c r="W141" s="6"/>
    </row>
    <row r="142" spans="1:25" ht="15.6">
      <c r="A142" s="242"/>
      <c r="B142" s="452"/>
      <c r="C142" s="452"/>
      <c r="D142" s="452"/>
      <c r="E142" s="452"/>
      <c r="F142" s="452"/>
      <c r="G142" s="452"/>
      <c r="H142" s="452"/>
      <c r="I142" s="452"/>
      <c r="J142" s="452"/>
      <c r="K142" s="452"/>
      <c r="L142" s="452"/>
      <c r="M142" s="452"/>
      <c r="N142" s="452"/>
      <c r="O142" s="452"/>
      <c r="P142" s="452"/>
      <c r="Q142" s="452"/>
      <c r="R142" s="452"/>
      <c r="S142" s="452"/>
      <c r="T142" s="452"/>
      <c r="U142" s="452"/>
      <c r="V142" s="284"/>
      <c r="W142" s="6"/>
    </row>
    <row r="143" spans="1:25" ht="15.6">
      <c r="A143" s="230"/>
      <c r="B143" s="511" t="s">
        <v>59</v>
      </c>
      <c r="C143" s="518"/>
      <c r="D143" s="518"/>
      <c r="E143" s="518"/>
      <c r="F143" s="518"/>
      <c r="G143" s="518"/>
      <c r="H143" s="518"/>
      <c r="I143" s="518"/>
      <c r="J143" s="518"/>
      <c r="K143" s="518"/>
      <c r="L143" s="518"/>
      <c r="M143" s="518"/>
      <c r="N143" s="518"/>
      <c r="O143" s="518"/>
      <c r="P143" s="519"/>
      <c r="Q143" s="519"/>
      <c r="R143" s="519"/>
      <c r="S143" s="519">
        <v>41453</v>
      </c>
      <c r="T143" s="231"/>
      <c r="U143" s="231"/>
      <c r="V143" s="237"/>
      <c r="W143" s="6"/>
    </row>
    <row r="144" spans="1:25" ht="15.6">
      <c r="A144" s="281"/>
      <c r="B144" s="294" t="s">
        <v>60</v>
      </c>
      <c r="C144" s="329"/>
      <c r="D144" s="329"/>
      <c r="E144" s="329"/>
      <c r="F144" s="329"/>
      <c r="G144" s="329"/>
      <c r="H144" s="329"/>
      <c r="I144" s="329"/>
      <c r="J144" s="329"/>
      <c r="K144" s="329"/>
      <c r="L144" s="329"/>
      <c r="M144" s="329"/>
      <c r="N144" s="329"/>
      <c r="O144" s="329"/>
      <c r="P144" s="300"/>
      <c r="Q144" s="300"/>
      <c r="R144" s="300"/>
      <c r="S144" s="299">
        <v>0.10630000000000001</v>
      </c>
      <c r="T144" s="294"/>
      <c r="U144" s="294"/>
      <c r="V144" s="260"/>
      <c r="W144" s="6"/>
    </row>
    <row r="145" spans="1:23" ht="15.6">
      <c r="A145" s="458"/>
      <c r="B145" s="379" t="s">
        <v>61</v>
      </c>
      <c r="C145" s="459"/>
      <c r="D145" s="459"/>
      <c r="E145" s="459"/>
      <c r="F145" s="459"/>
      <c r="G145" s="459"/>
      <c r="H145" s="459"/>
      <c r="I145" s="459"/>
      <c r="J145" s="459"/>
      <c r="K145" s="459"/>
      <c r="L145" s="459"/>
      <c r="M145" s="459"/>
      <c r="N145" s="459"/>
      <c r="O145" s="459"/>
      <c r="P145" s="433"/>
      <c r="Q145" s="433"/>
      <c r="R145" s="433"/>
      <c r="S145" s="427">
        <v>5.2200000000000003E-2</v>
      </c>
      <c r="T145" s="427"/>
      <c r="U145" s="379"/>
      <c r="V145" s="385"/>
      <c r="W145" s="6"/>
    </row>
    <row r="146" spans="1:23" ht="15.6">
      <c r="A146" s="458"/>
      <c r="B146" s="379" t="s">
        <v>62</v>
      </c>
      <c r="C146" s="459"/>
      <c r="D146" s="459"/>
      <c r="E146" s="459"/>
      <c r="F146" s="459"/>
      <c r="G146" s="459"/>
      <c r="H146" s="459"/>
      <c r="I146" s="459"/>
      <c r="J146" s="459"/>
      <c r="K146" s="459"/>
      <c r="L146" s="459"/>
      <c r="M146" s="459"/>
      <c r="N146" s="459"/>
      <c r="O146" s="459"/>
      <c r="P146" s="433"/>
      <c r="Q146" s="433"/>
      <c r="R146" s="433"/>
      <c r="S146" s="427">
        <f>S144-S145</f>
        <v>5.4100000000000002E-2</v>
      </c>
      <c r="T146" s="379"/>
      <c r="U146" s="379"/>
      <c r="V146" s="385"/>
      <c r="W146" s="6"/>
    </row>
    <row r="147" spans="1:23" ht="15.6">
      <c r="A147" s="458"/>
      <c r="B147" s="379" t="s">
        <v>63</v>
      </c>
      <c r="C147" s="459"/>
      <c r="D147" s="459"/>
      <c r="E147" s="459"/>
      <c r="F147" s="459"/>
      <c r="G147" s="459"/>
      <c r="H147" s="459"/>
      <c r="I147" s="459"/>
      <c r="J147" s="459"/>
      <c r="K147" s="459"/>
      <c r="L147" s="459"/>
      <c r="M147" s="459"/>
      <c r="N147" s="459"/>
      <c r="O147" s="459"/>
      <c r="P147" s="433"/>
      <c r="Q147" s="433"/>
      <c r="R147" s="433"/>
      <c r="S147" s="427">
        <v>9.1310000000000002E-2</v>
      </c>
      <c r="T147" s="379"/>
      <c r="U147" s="379"/>
      <c r="V147" s="385"/>
      <c r="W147" s="6"/>
    </row>
    <row r="148" spans="1:23" ht="15.6">
      <c r="A148" s="458"/>
      <c r="B148" s="379" t="s">
        <v>64</v>
      </c>
      <c r="C148" s="459"/>
      <c r="D148" s="459"/>
      <c r="E148" s="459"/>
      <c r="F148" s="459"/>
      <c r="G148" s="459"/>
      <c r="H148" s="459"/>
      <c r="I148" s="459"/>
      <c r="J148" s="459"/>
      <c r="K148" s="459"/>
      <c r="L148" s="459"/>
      <c r="M148" s="459"/>
      <c r="N148" s="459"/>
      <c r="O148" s="459"/>
      <c r="P148" s="433"/>
      <c r="Q148" s="433"/>
      <c r="R148" s="433"/>
      <c r="S148" s="427">
        <f>+U40</f>
        <v>1.4492683423265018E-2</v>
      </c>
      <c r="T148" s="379"/>
      <c r="U148" s="379"/>
      <c r="V148" s="385"/>
      <c r="W148" s="6"/>
    </row>
    <row r="149" spans="1:23" ht="15.6">
      <c r="A149" s="458"/>
      <c r="B149" s="379" t="s">
        <v>65</v>
      </c>
      <c r="C149" s="459"/>
      <c r="D149" s="459"/>
      <c r="E149" s="459"/>
      <c r="F149" s="459"/>
      <c r="G149" s="459"/>
      <c r="H149" s="459"/>
      <c r="I149" s="459"/>
      <c r="J149" s="459"/>
      <c r="K149" s="459"/>
      <c r="L149" s="459"/>
      <c r="M149" s="459"/>
      <c r="N149" s="459"/>
      <c r="O149" s="459"/>
      <c r="P149" s="433"/>
      <c r="Q149" s="433"/>
      <c r="R149" s="433"/>
      <c r="S149" s="427">
        <f>S147-S148</f>
        <v>7.681731657673499E-2</v>
      </c>
      <c r="T149" s="379"/>
      <c r="U149" s="379"/>
      <c r="V149" s="385"/>
      <c r="W149" s="6"/>
    </row>
    <row r="150" spans="1:23" ht="15.6">
      <c r="A150" s="458"/>
      <c r="B150" s="379" t="s">
        <v>204</v>
      </c>
      <c r="C150" s="459"/>
      <c r="D150" s="459"/>
      <c r="E150" s="459"/>
      <c r="F150" s="459"/>
      <c r="G150" s="459"/>
      <c r="H150" s="459"/>
      <c r="I150" s="459"/>
      <c r="J150" s="459"/>
      <c r="K150" s="459"/>
      <c r="L150" s="459"/>
      <c r="M150" s="459"/>
      <c r="N150" s="459"/>
      <c r="O150" s="459"/>
      <c r="P150" s="433"/>
      <c r="Q150" s="433"/>
      <c r="R150" s="433"/>
      <c r="S150" s="429">
        <v>49780</v>
      </c>
      <c r="T150" s="379"/>
      <c r="U150" s="379"/>
      <c r="V150" s="385"/>
      <c r="W150" s="6"/>
    </row>
    <row r="151" spans="1:23" ht="15.6">
      <c r="A151" s="458"/>
      <c r="B151" s="379" t="s">
        <v>205</v>
      </c>
      <c r="C151" s="459"/>
      <c r="D151" s="459"/>
      <c r="E151" s="459"/>
      <c r="F151" s="459"/>
      <c r="G151" s="459"/>
      <c r="H151" s="459"/>
      <c r="I151" s="459"/>
      <c r="J151" s="459"/>
      <c r="K151" s="459"/>
      <c r="L151" s="459"/>
      <c r="M151" s="459"/>
      <c r="N151" s="459"/>
      <c r="O151" s="459"/>
      <c r="P151" s="433"/>
      <c r="Q151" s="433"/>
      <c r="R151" s="433"/>
      <c r="S151" s="429">
        <v>49780</v>
      </c>
      <c r="T151" s="379"/>
      <c r="U151" s="379"/>
      <c r="V151" s="385"/>
      <c r="W151" s="6"/>
    </row>
    <row r="152" spans="1:23" ht="15.6">
      <c r="A152" s="458"/>
      <c r="B152" s="379" t="s">
        <v>206</v>
      </c>
      <c r="C152" s="459"/>
      <c r="D152" s="459"/>
      <c r="E152" s="459"/>
      <c r="F152" s="459"/>
      <c r="G152" s="459"/>
      <c r="H152" s="459"/>
      <c r="I152" s="459"/>
      <c r="J152" s="459"/>
      <c r="K152" s="459"/>
      <c r="L152" s="459"/>
      <c r="M152" s="459"/>
      <c r="N152" s="459"/>
      <c r="O152" s="459"/>
      <c r="P152" s="433"/>
      <c r="Q152" s="433"/>
      <c r="R152" s="433"/>
      <c r="S152" s="429">
        <v>49780</v>
      </c>
      <c r="T152" s="379"/>
      <c r="U152" s="379"/>
      <c r="V152" s="385"/>
      <c r="W152" s="6"/>
    </row>
    <row r="153" spans="1:23" ht="15.6">
      <c r="A153" s="458"/>
      <c r="B153" s="379" t="s">
        <v>207</v>
      </c>
      <c r="C153" s="459"/>
      <c r="D153" s="459"/>
      <c r="E153" s="459"/>
      <c r="F153" s="459"/>
      <c r="G153" s="459"/>
      <c r="H153" s="459"/>
      <c r="I153" s="459"/>
      <c r="J153" s="459"/>
      <c r="K153" s="459"/>
      <c r="L153" s="459"/>
      <c r="M153" s="459"/>
      <c r="N153" s="459"/>
      <c r="O153" s="459"/>
      <c r="P153" s="433"/>
      <c r="Q153" s="433"/>
      <c r="R153" s="433"/>
      <c r="S153" s="429">
        <v>49780</v>
      </c>
      <c r="T153" s="379"/>
      <c r="U153" s="379"/>
      <c r="V153" s="385"/>
      <c r="W153" s="6"/>
    </row>
    <row r="154" spans="1:23" ht="15.6">
      <c r="A154" s="458"/>
      <c r="B154" s="379" t="s">
        <v>221</v>
      </c>
      <c r="C154" s="459"/>
      <c r="D154" s="459"/>
      <c r="E154" s="459"/>
      <c r="F154" s="459"/>
      <c r="G154" s="459"/>
      <c r="H154" s="459"/>
      <c r="I154" s="459"/>
      <c r="J154" s="459"/>
      <c r="K154" s="459"/>
      <c r="L154" s="459"/>
      <c r="M154" s="459"/>
      <c r="N154" s="459"/>
      <c r="O154" s="459"/>
      <c r="P154" s="433"/>
      <c r="Q154" s="433"/>
      <c r="R154" s="433"/>
      <c r="S154" s="432">
        <v>111.34</v>
      </c>
      <c r="T154" s="379"/>
      <c r="U154" s="379"/>
      <c r="V154" s="385"/>
      <c r="W154" s="6"/>
    </row>
    <row r="155" spans="1:23" ht="15.6">
      <c r="A155" s="458"/>
      <c r="B155" s="379" t="s">
        <v>222</v>
      </c>
      <c r="C155" s="459"/>
      <c r="D155" s="459"/>
      <c r="E155" s="459"/>
      <c r="F155" s="459"/>
      <c r="G155" s="459"/>
      <c r="H155" s="459"/>
      <c r="I155" s="459"/>
      <c r="J155" s="459"/>
      <c r="K155" s="459"/>
      <c r="L155" s="459"/>
      <c r="M155" s="459"/>
      <c r="N155" s="459"/>
      <c r="O155" s="459"/>
      <c r="P155" s="433"/>
      <c r="Q155" s="433"/>
      <c r="R155" s="433"/>
      <c r="S155" s="432">
        <v>150.26</v>
      </c>
      <c r="T155" s="379"/>
      <c r="U155" s="379"/>
      <c r="V155" s="385"/>
      <c r="W155" s="6"/>
    </row>
    <row r="156" spans="1:23" ht="15.6">
      <c r="A156" s="458" t="s">
        <v>223</v>
      </c>
      <c r="B156" s="379" t="s">
        <v>66</v>
      </c>
      <c r="C156" s="459"/>
      <c r="D156" s="459"/>
      <c r="E156" s="459"/>
      <c r="F156" s="459"/>
      <c r="G156" s="459"/>
      <c r="H156" s="459"/>
      <c r="I156" s="459"/>
      <c r="J156" s="459"/>
      <c r="K156" s="459"/>
      <c r="L156" s="459"/>
      <c r="M156" s="459"/>
      <c r="N156" s="459"/>
      <c r="O156" s="459"/>
      <c r="P156" s="433"/>
      <c r="Q156" s="433"/>
      <c r="R156" s="433"/>
      <c r="S156" s="427">
        <v>3.4200000000000001E-2</v>
      </c>
      <c r="T156" s="379"/>
      <c r="U156" s="379"/>
      <c r="V156" s="385"/>
      <c r="W156" s="6"/>
    </row>
    <row r="157" spans="1:23" ht="15.6">
      <c r="A157" s="458"/>
      <c r="B157" s="379" t="s">
        <v>67</v>
      </c>
      <c r="C157" s="459"/>
      <c r="D157" s="459"/>
      <c r="E157" s="459"/>
      <c r="F157" s="459"/>
      <c r="G157" s="459"/>
      <c r="H157" s="459"/>
      <c r="I157" s="459"/>
      <c r="J157" s="459"/>
      <c r="K157" s="459"/>
      <c r="L157" s="459"/>
      <c r="M157" s="459"/>
      <c r="N157" s="459"/>
      <c r="O157" s="459"/>
      <c r="P157" s="433"/>
      <c r="Q157" s="433"/>
      <c r="R157" s="433"/>
      <c r="S157" s="427">
        <v>0.28289999999999998</v>
      </c>
      <c r="T157" s="379"/>
      <c r="U157" s="379"/>
      <c r="V157" s="385"/>
      <c r="W157" s="6"/>
    </row>
    <row r="158" spans="1:23" ht="15.6">
      <c r="A158" s="280"/>
      <c r="B158" s="364"/>
      <c r="C158" s="364"/>
      <c r="D158" s="364"/>
      <c r="E158" s="364"/>
      <c r="F158" s="364"/>
      <c r="G158" s="364"/>
      <c r="H158" s="364"/>
      <c r="I158" s="364"/>
      <c r="J158" s="364"/>
      <c r="K158" s="364"/>
      <c r="L158" s="364"/>
      <c r="M158" s="364"/>
      <c r="N158" s="364"/>
      <c r="O158" s="364"/>
      <c r="P158" s="364"/>
      <c r="Q158" s="364"/>
      <c r="R158" s="455"/>
      <c r="S158" s="456"/>
      <c r="T158" s="364"/>
      <c r="U158" s="457"/>
      <c r="V158" s="245"/>
      <c r="W158" s="6"/>
    </row>
    <row r="159" spans="1:23" ht="15.6">
      <c r="A159" s="280"/>
      <c r="B159" s="288"/>
      <c r="C159" s="288"/>
      <c r="D159" s="288"/>
      <c r="E159" s="288"/>
      <c r="F159" s="288"/>
      <c r="G159" s="288"/>
      <c r="H159" s="288"/>
      <c r="I159" s="288"/>
      <c r="J159" s="288"/>
      <c r="K159" s="288"/>
      <c r="L159" s="288"/>
      <c r="M159" s="288"/>
      <c r="N159" s="288"/>
      <c r="O159" s="288"/>
      <c r="P159" s="288"/>
      <c r="Q159" s="288"/>
      <c r="R159" s="331"/>
      <c r="S159" s="332"/>
      <c r="T159" s="288"/>
      <c r="U159" s="333"/>
      <c r="V159" s="245"/>
      <c r="W159" s="6"/>
    </row>
    <row r="160" spans="1:23" ht="16.2" thickBot="1">
      <c r="A160" s="282"/>
      <c r="B160" s="304" t="str">
        <f>+B109</f>
        <v>PPAF3 INVESTOR REPORT QUARTER ENDING JUNE 2013</v>
      </c>
      <c r="C160" s="305"/>
      <c r="D160" s="305"/>
      <c r="E160" s="305"/>
      <c r="F160" s="305"/>
      <c r="G160" s="305"/>
      <c r="H160" s="305"/>
      <c r="I160" s="305"/>
      <c r="J160" s="305"/>
      <c r="K160" s="305"/>
      <c r="L160" s="305"/>
      <c r="M160" s="305"/>
      <c r="N160" s="305"/>
      <c r="O160" s="305"/>
      <c r="P160" s="305"/>
      <c r="Q160" s="305"/>
      <c r="R160" s="334"/>
      <c r="S160" s="335"/>
      <c r="T160" s="305"/>
      <c r="U160" s="336"/>
      <c r="V160" s="262"/>
      <c r="W160" s="6"/>
    </row>
    <row r="161" spans="1:23" ht="15.6">
      <c r="A161" s="337"/>
      <c r="B161" s="520" t="s">
        <v>68</v>
      </c>
      <c r="C161" s="521"/>
      <c r="D161" s="521"/>
      <c r="E161" s="521"/>
      <c r="F161" s="521"/>
      <c r="G161" s="521"/>
      <c r="H161" s="521"/>
      <c r="I161" s="521"/>
      <c r="J161" s="521"/>
      <c r="K161" s="521"/>
      <c r="L161" s="521"/>
      <c r="M161" s="522"/>
      <c r="N161" s="521"/>
      <c r="O161" s="522"/>
      <c r="P161" s="521"/>
      <c r="Q161" s="522"/>
      <c r="R161" s="521" t="s">
        <v>94</v>
      </c>
      <c r="S161" s="522" t="s">
        <v>116</v>
      </c>
      <c r="T161" s="340"/>
      <c r="U161" s="340"/>
      <c r="V161" s="341"/>
      <c r="W161" s="6"/>
    </row>
    <row r="162" spans="1:23" ht="15.6">
      <c r="A162" s="283"/>
      <c r="B162" s="294" t="s">
        <v>216</v>
      </c>
      <c r="C162" s="310"/>
      <c r="D162" s="310"/>
      <c r="E162" s="310"/>
      <c r="F162" s="310"/>
      <c r="G162" s="310"/>
      <c r="H162" s="310"/>
      <c r="I162" s="310"/>
      <c r="J162" s="310"/>
      <c r="K162" s="310"/>
      <c r="L162" s="310"/>
      <c r="M162" s="310"/>
      <c r="N162" s="310"/>
      <c r="O162" s="294"/>
      <c r="P162" s="294"/>
      <c r="Q162" s="294"/>
      <c r="R162" s="310">
        <v>732</v>
      </c>
      <c r="S162" s="311">
        <v>19054</v>
      </c>
      <c r="T162" s="311"/>
      <c r="U162" s="330"/>
      <c r="V162" s="342"/>
      <c r="W162" s="6"/>
    </row>
    <row r="163" spans="1:23" ht="15.6">
      <c r="A163" s="465"/>
      <c r="B163" s="379" t="s">
        <v>217</v>
      </c>
      <c r="C163" s="440"/>
      <c r="D163" s="440"/>
      <c r="E163" s="440"/>
      <c r="F163" s="440"/>
      <c r="G163" s="440"/>
      <c r="H163" s="440"/>
      <c r="I163" s="440"/>
      <c r="J163" s="440"/>
      <c r="K163" s="440"/>
      <c r="L163" s="440"/>
      <c r="M163" s="440"/>
      <c r="N163" s="440"/>
      <c r="O163" s="379"/>
      <c r="P163" s="379"/>
      <c r="Q163" s="379"/>
      <c r="R163" s="545">
        <v>4</v>
      </c>
      <c r="S163" s="546">
        <v>23</v>
      </c>
      <c r="T163" s="441"/>
      <c r="U163" s="466"/>
      <c r="V163" s="467"/>
      <c r="W163" s="6"/>
    </row>
    <row r="164" spans="1:23" ht="15.6">
      <c r="A164" s="465"/>
      <c r="B164" s="379" t="s">
        <v>218</v>
      </c>
      <c r="C164" s="440"/>
      <c r="D164" s="440"/>
      <c r="E164" s="440"/>
      <c r="F164" s="440"/>
      <c r="G164" s="440"/>
      <c r="H164" s="440"/>
      <c r="I164" s="440"/>
      <c r="J164" s="440"/>
      <c r="K164" s="440"/>
      <c r="L164" s="440"/>
      <c r="M164" s="440"/>
      <c r="N164" s="440"/>
      <c r="O164" s="379"/>
      <c r="P164" s="379"/>
      <c r="Q164" s="379"/>
      <c r="R164" s="545">
        <v>117</v>
      </c>
      <c r="S164" s="546">
        <v>115</v>
      </c>
      <c r="T164" s="441"/>
      <c r="U164" s="466"/>
      <c r="V164" s="467"/>
      <c r="W164" s="6"/>
    </row>
    <row r="165" spans="1:23" ht="15.6">
      <c r="A165" s="465"/>
      <c r="B165" s="379" t="s">
        <v>219</v>
      </c>
      <c r="C165" s="440"/>
      <c r="D165" s="440"/>
      <c r="E165" s="440"/>
      <c r="F165" s="440"/>
      <c r="G165" s="440"/>
      <c r="H165" s="440"/>
      <c r="I165" s="440"/>
      <c r="J165" s="440"/>
      <c r="K165" s="440"/>
      <c r="L165" s="440"/>
      <c r="M165" s="440"/>
      <c r="N165" s="440"/>
      <c r="O165" s="379"/>
      <c r="P165" s="379"/>
      <c r="Q165" s="379"/>
      <c r="R165" s="545">
        <v>96</v>
      </c>
      <c r="S165" s="546">
        <v>283</v>
      </c>
      <c r="T165" s="441"/>
      <c r="U165" s="466"/>
      <c r="V165" s="467"/>
      <c r="W165" s="6"/>
    </row>
    <row r="166" spans="1:23" ht="15.6">
      <c r="A166" s="465"/>
      <c r="B166" s="379" t="s">
        <v>90</v>
      </c>
      <c r="C166" s="440"/>
      <c r="D166" s="440"/>
      <c r="E166" s="440"/>
      <c r="F166" s="440"/>
      <c r="G166" s="440"/>
      <c r="H166" s="440"/>
      <c r="I166" s="440"/>
      <c r="J166" s="440"/>
      <c r="K166" s="440"/>
      <c r="L166" s="440"/>
      <c r="M166" s="440"/>
      <c r="N166" s="440"/>
      <c r="O166" s="379"/>
      <c r="P166" s="379"/>
      <c r="Q166" s="379"/>
      <c r="R166" s="547">
        <f>SUM(R162:R165)</f>
        <v>949</v>
      </c>
      <c r="S166" s="546">
        <f>SUM(S162:S165)</f>
        <v>19475</v>
      </c>
      <c r="T166" s="441"/>
      <c r="U166" s="466"/>
      <c r="V166" s="467"/>
      <c r="W166" s="6"/>
    </row>
    <row r="167" spans="1:23" ht="15.6">
      <c r="A167" s="465"/>
      <c r="B167" s="379"/>
      <c r="C167" s="440"/>
      <c r="D167" s="440"/>
      <c r="E167" s="440"/>
      <c r="F167" s="440"/>
      <c r="G167" s="440"/>
      <c r="H167" s="440"/>
      <c r="I167" s="440"/>
      <c r="J167" s="440"/>
      <c r="K167" s="440"/>
      <c r="L167" s="440"/>
      <c r="M167" s="440"/>
      <c r="N167" s="440"/>
      <c r="O167" s="379"/>
      <c r="P167" s="379"/>
      <c r="Q167" s="379"/>
      <c r="R167" s="545"/>
      <c r="S167" s="546"/>
      <c r="T167" s="441"/>
      <c r="U167" s="466"/>
      <c r="V167" s="467"/>
      <c r="W167" s="6"/>
    </row>
    <row r="168" spans="1:23" ht="15.6">
      <c r="A168" s="465"/>
      <c r="B168" s="379" t="s">
        <v>220</v>
      </c>
      <c r="C168" s="440"/>
      <c r="D168" s="440"/>
      <c r="E168" s="440"/>
      <c r="F168" s="440"/>
      <c r="G168" s="440"/>
      <c r="H168" s="440"/>
      <c r="I168" s="440"/>
      <c r="J168" s="440"/>
      <c r="K168" s="440"/>
      <c r="L168" s="440"/>
      <c r="M168" s="440"/>
      <c r="N168" s="440"/>
      <c r="O168" s="379"/>
      <c r="P168" s="379"/>
      <c r="Q168" s="379"/>
      <c r="R168" s="545">
        <v>0</v>
      </c>
      <c r="S168" s="546">
        <v>0</v>
      </c>
      <c r="T168" s="441"/>
      <c r="U168" s="466"/>
      <c r="V168" s="467"/>
      <c r="W168" s="6"/>
    </row>
    <row r="169" spans="1:23" ht="15.6">
      <c r="A169" s="465"/>
      <c r="B169" s="379" t="s">
        <v>224</v>
      </c>
      <c r="C169" s="440"/>
      <c r="D169" s="440"/>
      <c r="E169" s="440"/>
      <c r="F169" s="440"/>
      <c r="G169" s="440"/>
      <c r="H169" s="440"/>
      <c r="I169" s="440"/>
      <c r="J169" s="440"/>
      <c r="K169" s="440"/>
      <c r="L169" s="440"/>
      <c r="M169" s="440"/>
      <c r="N169" s="440"/>
      <c r="O169" s="379"/>
      <c r="P169" s="379"/>
      <c r="Q169" s="379"/>
      <c r="R169" s="545">
        <v>6</v>
      </c>
      <c r="S169" s="546">
        <v>138</v>
      </c>
      <c r="T169" s="441"/>
      <c r="U169" s="466"/>
      <c r="V169" s="467"/>
      <c r="W169" s="6"/>
    </row>
    <row r="170" spans="1:23" ht="15.6">
      <c r="A170" s="465"/>
      <c r="B170" s="468" t="s">
        <v>69</v>
      </c>
      <c r="C170" s="469"/>
      <c r="D170" s="469"/>
      <c r="E170" s="469"/>
      <c r="F170" s="469"/>
      <c r="G170" s="469"/>
      <c r="H170" s="469"/>
      <c r="I170" s="469"/>
      <c r="J170" s="469"/>
      <c r="K170" s="469"/>
      <c r="L170" s="469"/>
      <c r="M170" s="469"/>
      <c r="N170" s="469"/>
      <c r="O170" s="454"/>
      <c r="P170" s="454"/>
      <c r="Q170" s="454"/>
      <c r="R170" s="539"/>
      <c r="S170" s="540">
        <v>0</v>
      </c>
      <c r="T170" s="454"/>
      <c r="U170" s="470"/>
      <c r="V170" s="471"/>
      <c r="W170" s="6"/>
    </row>
    <row r="171" spans="1:23" ht="15.6">
      <c r="A171" s="465"/>
      <c r="B171" s="468" t="s">
        <v>70</v>
      </c>
      <c r="C171" s="469"/>
      <c r="D171" s="469"/>
      <c r="E171" s="469"/>
      <c r="F171" s="469"/>
      <c r="G171" s="469"/>
      <c r="H171" s="469"/>
      <c r="I171" s="469"/>
      <c r="J171" s="469"/>
      <c r="K171" s="469"/>
      <c r="L171" s="469"/>
      <c r="M171" s="469"/>
      <c r="N171" s="469"/>
      <c r="O171" s="454"/>
      <c r="P171" s="454"/>
      <c r="Q171" s="454"/>
      <c r="R171" s="539"/>
      <c r="S171" s="540">
        <f>Q75</f>
        <v>0</v>
      </c>
      <c r="T171" s="454"/>
      <c r="U171" s="470"/>
      <c r="V171" s="471"/>
      <c r="W171" s="6"/>
    </row>
    <row r="172" spans="1:23" ht="15.6">
      <c r="A172" s="472"/>
      <c r="B172" s="468" t="s">
        <v>71</v>
      </c>
      <c r="C172" s="469"/>
      <c r="D172" s="469"/>
      <c r="E172" s="469"/>
      <c r="F172" s="469"/>
      <c r="G172" s="469"/>
      <c r="H172" s="469"/>
      <c r="I172" s="469"/>
      <c r="J172" s="469"/>
      <c r="K172" s="469"/>
      <c r="L172" s="469"/>
      <c r="M172" s="473"/>
      <c r="N172" s="473"/>
      <c r="O172" s="473"/>
      <c r="P172" s="454"/>
      <c r="Q172" s="454"/>
      <c r="R172" s="379"/>
      <c r="S172" s="500"/>
      <c r="T172" s="454"/>
      <c r="U172" s="470"/>
      <c r="V172" s="474"/>
      <c r="W172" s="6"/>
    </row>
    <row r="173" spans="1:23" ht="15.6">
      <c r="A173" s="465"/>
      <c r="B173" s="379" t="s">
        <v>72</v>
      </c>
      <c r="C173" s="469"/>
      <c r="D173" s="469"/>
      <c r="E173" s="469"/>
      <c r="F173" s="469"/>
      <c r="G173" s="469"/>
      <c r="H173" s="469"/>
      <c r="I173" s="469"/>
      <c r="J173" s="469"/>
      <c r="K173" s="469"/>
      <c r="L173" s="469"/>
      <c r="M173" s="469"/>
      <c r="N173" s="469"/>
      <c r="O173" s="469"/>
      <c r="P173" s="454"/>
      <c r="Q173" s="454"/>
      <c r="R173" s="379"/>
      <c r="S173" s="546">
        <f>U128</f>
        <v>1116</v>
      </c>
      <c r="T173" s="454"/>
      <c r="U173" s="470"/>
      <c r="V173" s="474"/>
      <c r="W173" s="6"/>
    </row>
    <row r="174" spans="1:23" ht="15.6">
      <c r="A174" s="465"/>
      <c r="B174" s="379" t="s">
        <v>73</v>
      </c>
      <c r="C174" s="469"/>
      <c r="D174" s="469"/>
      <c r="E174" s="469"/>
      <c r="F174" s="469"/>
      <c r="G174" s="469"/>
      <c r="H174" s="469"/>
      <c r="I174" s="469"/>
      <c r="J174" s="469"/>
      <c r="K174" s="469"/>
      <c r="L174" s="469"/>
      <c r="M174" s="469"/>
      <c r="N174" s="469"/>
      <c r="O174" s="469"/>
      <c r="P174" s="454"/>
      <c r="Q174" s="454"/>
      <c r="R174" s="379"/>
      <c r="S174" s="546">
        <f>'March 13'!S174+S173</f>
        <v>85813</v>
      </c>
      <c r="T174" s="454"/>
      <c r="U174" s="470"/>
      <c r="V174" s="474"/>
      <c r="W174" s="6"/>
    </row>
    <row r="175" spans="1:23" ht="15.6">
      <c r="A175" s="465"/>
      <c r="B175" s="379" t="s">
        <v>74</v>
      </c>
      <c r="C175" s="469"/>
      <c r="D175" s="469"/>
      <c r="E175" s="469"/>
      <c r="F175" s="469"/>
      <c r="G175" s="469"/>
      <c r="H175" s="469"/>
      <c r="I175" s="469"/>
      <c r="J175" s="469"/>
      <c r="K175" s="469"/>
      <c r="L175" s="469"/>
      <c r="M175" s="469"/>
      <c r="N175" s="469"/>
      <c r="O175" s="469"/>
      <c r="P175" s="454"/>
      <c r="Q175" s="454"/>
      <c r="R175" s="379"/>
      <c r="S175" s="546">
        <f>'March 13'!S175+634</f>
        <v>20965</v>
      </c>
      <c r="T175" s="454"/>
      <c r="U175" s="470"/>
      <c r="V175" s="474"/>
      <c r="W175" s="6"/>
    </row>
    <row r="176" spans="1:23" ht="15.6">
      <c r="A176" s="465"/>
      <c r="B176" s="473"/>
      <c r="C176" s="469"/>
      <c r="D176" s="469"/>
      <c r="E176" s="469"/>
      <c r="F176" s="469"/>
      <c r="G176" s="469"/>
      <c r="H176" s="469"/>
      <c r="I176" s="469"/>
      <c r="J176" s="469"/>
      <c r="K176" s="469"/>
      <c r="L176" s="469"/>
      <c r="M176" s="469"/>
      <c r="N176" s="469"/>
      <c r="O176" s="469"/>
      <c r="P176" s="454"/>
      <c r="Q176" s="454"/>
      <c r="R176" s="379"/>
      <c r="S176" s="546"/>
      <c r="T176" s="454"/>
      <c r="U176" s="470"/>
      <c r="V176" s="474"/>
      <c r="W176" s="6"/>
    </row>
    <row r="177" spans="1:23" ht="15.6">
      <c r="A177" s="472"/>
      <c r="B177" s="468" t="s">
        <v>259</v>
      </c>
      <c r="C177" s="469"/>
      <c r="D177" s="469"/>
      <c r="E177" s="469"/>
      <c r="F177" s="469"/>
      <c r="G177" s="469"/>
      <c r="H177" s="469"/>
      <c r="I177" s="469"/>
      <c r="J177" s="469"/>
      <c r="K177" s="469"/>
      <c r="L177" s="469"/>
      <c r="M177" s="473"/>
      <c r="N177" s="473"/>
      <c r="O177" s="473"/>
      <c r="P177" s="454"/>
      <c r="Q177" s="454"/>
      <c r="R177" s="379"/>
      <c r="S177" s="548"/>
      <c r="T177" s="454"/>
      <c r="U177" s="470"/>
      <c r="V177" s="474"/>
      <c r="W177" s="6"/>
    </row>
    <row r="178" spans="1:23" ht="15.6">
      <c r="A178" s="472"/>
      <c r="B178" s="379" t="s">
        <v>254</v>
      </c>
      <c r="C178" s="469"/>
      <c r="D178" s="469"/>
      <c r="E178" s="469"/>
      <c r="F178" s="469"/>
      <c r="G178" s="469"/>
      <c r="H178" s="469"/>
      <c r="I178" s="469"/>
      <c r="J178" s="469"/>
      <c r="K178" s="469"/>
      <c r="L178" s="469"/>
      <c r="M178" s="473"/>
      <c r="N178" s="473"/>
      <c r="O178" s="473"/>
      <c r="P178" s="454"/>
      <c r="Q178" s="454"/>
      <c r="R178" s="379"/>
      <c r="S178" s="548">
        <v>0</v>
      </c>
      <c r="T178" s="454"/>
      <c r="U178" s="470"/>
      <c r="V178" s="474"/>
      <c r="W178" s="6"/>
    </row>
    <row r="179" spans="1:23" ht="15.6">
      <c r="A179" s="465"/>
      <c r="B179" s="379" t="s">
        <v>75</v>
      </c>
      <c r="C179" s="469"/>
      <c r="D179" s="469"/>
      <c r="E179" s="469"/>
      <c r="F179" s="469"/>
      <c r="G179" s="469"/>
      <c r="H179" s="469"/>
      <c r="I179" s="469"/>
      <c r="J179" s="469"/>
      <c r="K179" s="469"/>
      <c r="L179" s="469"/>
      <c r="M179" s="475"/>
      <c r="N179" s="475"/>
      <c r="O179" s="476"/>
      <c r="P179" s="454"/>
      <c r="Q179" s="454"/>
      <c r="R179" s="379"/>
      <c r="S179" s="549">
        <v>0</v>
      </c>
      <c r="T179" s="454"/>
      <c r="U179" s="470"/>
      <c r="V179" s="474"/>
      <c r="W179" s="6"/>
    </row>
    <row r="180" spans="1:23" ht="15.6">
      <c r="A180" s="465"/>
      <c r="B180" s="379" t="s">
        <v>76</v>
      </c>
      <c r="C180" s="469"/>
      <c r="D180" s="469"/>
      <c r="E180" s="469"/>
      <c r="F180" s="469"/>
      <c r="G180" s="469"/>
      <c r="H180" s="469"/>
      <c r="I180" s="469"/>
      <c r="J180" s="469"/>
      <c r="K180" s="469"/>
      <c r="L180" s="469"/>
      <c r="M180" s="475"/>
      <c r="N180" s="475"/>
      <c r="O180" s="476"/>
      <c r="P180" s="454"/>
      <c r="Q180" s="454"/>
      <c r="R180" s="379"/>
      <c r="S180" s="548">
        <v>0</v>
      </c>
      <c r="T180" s="454"/>
      <c r="U180" s="470"/>
      <c r="V180" s="474"/>
      <c r="W180" s="6"/>
    </row>
    <row r="181" spans="1:23" ht="15.6">
      <c r="A181" s="465"/>
      <c r="B181" s="473"/>
      <c r="C181" s="469"/>
      <c r="D181" s="469"/>
      <c r="E181" s="469"/>
      <c r="F181" s="469"/>
      <c r="G181" s="469"/>
      <c r="H181" s="469"/>
      <c r="I181" s="469"/>
      <c r="J181" s="469"/>
      <c r="K181" s="469"/>
      <c r="L181" s="469"/>
      <c r="M181" s="477"/>
      <c r="N181" s="475"/>
      <c r="O181" s="476"/>
      <c r="P181" s="454"/>
      <c r="Q181" s="454"/>
      <c r="R181" s="379"/>
      <c r="S181" s="537"/>
      <c r="T181" s="454"/>
      <c r="U181" s="470"/>
      <c r="V181" s="474"/>
      <c r="W181" s="6"/>
    </row>
    <row r="182" spans="1:23" ht="15.6">
      <c r="A182" s="465"/>
      <c r="B182" s="468" t="s">
        <v>77</v>
      </c>
      <c r="C182" s="469"/>
      <c r="D182" s="469"/>
      <c r="E182" s="469"/>
      <c r="F182" s="469"/>
      <c r="G182" s="469"/>
      <c r="H182" s="469"/>
      <c r="I182" s="469"/>
      <c r="J182" s="469"/>
      <c r="K182" s="469"/>
      <c r="L182" s="469"/>
      <c r="M182" s="469"/>
      <c r="N182" s="477"/>
      <c r="O182" s="475"/>
      <c r="P182" s="476"/>
      <c r="Q182" s="454"/>
      <c r="R182" s="380"/>
      <c r="S182" s="538"/>
      <c r="T182" s="478"/>
      <c r="U182" s="390"/>
      <c r="V182" s="479"/>
      <c r="W182" s="6"/>
    </row>
    <row r="183" spans="1:23" ht="15.6">
      <c r="A183" s="465"/>
      <c r="B183" s="379" t="s">
        <v>78</v>
      </c>
      <c r="C183" s="469"/>
      <c r="D183" s="469"/>
      <c r="E183" s="469"/>
      <c r="F183" s="469"/>
      <c r="G183" s="469"/>
      <c r="H183" s="469"/>
      <c r="I183" s="469"/>
      <c r="J183" s="469"/>
      <c r="K183" s="469"/>
      <c r="L183" s="469"/>
      <c r="M183" s="469"/>
      <c r="N183" s="477"/>
      <c r="O183" s="475"/>
      <c r="P183" s="476"/>
      <c r="Q183" s="454"/>
      <c r="R183" s="380"/>
      <c r="S183" s="550">
        <v>2</v>
      </c>
      <c r="T183" s="480"/>
      <c r="U183" s="390"/>
      <c r="V183" s="479"/>
      <c r="W183" s="6"/>
    </row>
    <row r="184" spans="1:23" ht="15.6">
      <c r="A184" s="465"/>
      <c r="B184" s="379" t="s">
        <v>75</v>
      </c>
      <c r="C184" s="469"/>
      <c r="D184" s="469"/>
      <c r="E184" s="469"/>
      <c r="F184" s="469"/>
      <c r="G184" s="469"/>
      <c r="H184" s="469"/>
      <c r="I184" s="469"/>
      <c r="J184" s="469"/>
      <c r="K184" s="469"/>
      <c r="L184" s="469"/>
      <c r="M184" s="469"/>
      <c r="N184" s="477"/>
      <c r="O184" s="475"/>
      <c r="P184" s="476"/>
      <c r="Q184" s="454"/>
      <c r="R184" s="380"/>
      <c r="S184" s="550">
        <v>6.49</v>
      </c>
      <c r="T184" s="480"/>
      <c r="U184" s="390"/>
      <c r="V184" s="479"/>
      <c r="W184" s="6"/>
    </row>
    <row r="185" spans="1:23" ht="15.6">
      <c r="A185" s="465"/>
      <c r="B185" s="379" t="s">
        <v>79</v>
      </c>
      <c r="C185" s="469"/>
      <c r="D185" s="469"/>
      <c r="E185" s="469"/>
      <c r="F185" s="469"/>
      <c r="G185" s="469"/>
      <c r="H185" s="469"/>
      <c r="I185" s="469"/>
      <c r="J185" s="469"/>
      <c r="K185" s="469"/>
      <c r="L185" s="469"/>
      <c r="M185" s="469"/>
      <c r="N185" s="477"/>
      <c r="O185" s="475"/>
      <c r="P185" s="476"/>
      <c r="Q185" s="454"/>
      <c r="R185" s="380"/>
      <c r="S185" s="550">
        <v>23</v>
      </c>
      <c r="T185" s="480"/>
      <c r="U185" s="390"/>
      <c r="V185" s="479"/>
      <c r="W185" s="6"/>
    </row>
    <row r="186" spans="1:23" ht="15.6">
      <c r="A186" s="465"/>
      <c r="B186" s="473"/>
      <c r="C186" s="469"/>
      <c r="D186" s="469"/>
      <c r="E186" s="469"/>
      <c r="F186" s="469"/>
      <c r="G186" s="469"/>
      <c r="H186" s="469"/>
      <c r="I186" s="469"/>
      <c r="J186" s="469"/>
      <c r="K186" s="469"/>
      <c r="L186" s="469"/>
      <c r="M186" s="477"/>
      <c r="N186" s="475"/>
      <c r="O186" s="476"/>
      <c r="P186" s="454"/>
      <c r="Q186" s="454"/>
      <c r="R186" s="454"/>
      <c r="S186" s="537"/>
      <c r="T186" s="454"/>
      <c r="U186" s="470"/>
      <c r="V186" s="474"/>
      <c r="W186" s="6"/>
    </row>
    <row r="187" spans="1:23" ht="17.399999999999999">
      <c r="A187" s="465"/>
      <c r="B187" s="482" t="s">
        <v>196</v>
      </c>
      <c r="C187" s="469"/>
      <c r="D187" s="469"/>
      <c r="E187" s="469"/>
      <c r="F187" s="469"/>
      <c r="G187" s="469"/>
      <c r="H187" s="469"/>
      <c r="I187" s="469"/>
      <c r="J187" s="469"/>
      <c r="K187" s="483" t="s">
        <v>195</v>
      </c>
      <c r="L187" s="469"/>
      <c r="M187" s="477"/>
      <c r="N187" s="475"/>
      <c r="O187" s="476"/>
      <c r="P187" s="454"/>
      <c r="Q187" s="454"/>
      <c r="R187" s="454"/>
      <c r="S187" s="481"/>
      <c r="T187" s="454"/>
      <c r="U187" s="470"/>
      <c r="V187" s="474"/>
      <c r="W187" s="6"/>
    </row>
    <row r="188" spans="1:23" ht="15.6">
      <c r="A188" s="242"/>
      <c r="B188" s="460"/>
      <c r="C188" s="461"/>
      <c r="D188" s="461"/>
      <c r="E188" s="461"/>
      <c r="F188" s="461"/>
      <c r="G188" s="461"/>
      <c r="H188" s="461"/>
      <c r="I188" s="461"/>
      <c r="J188" s="461"/>
      <c r="K188" s="461"/>
      <c r="L188" s="461"/>
      <c r="M188" s="462"/>
      <c r="N188" s="461"/>
      <c r="O188" s="462"/>
      <c r="P188" s="461"/>
      <c r="Q188" s="462"/>
      <c r="R188" s="461"/>
      <c r="S188" s="462"/>
      <c r="T188" s="461"/>
      <c r="U188" s="463"/>
      <c r="V188" s="464"/>
      <c r="W188" s="6"/>
    </row>
    <row r="189" spans="1:23" ht="15.6">
      <c r="A189" s="348"/>
      <c r="B189" s="525" t="s">
        <v>80</v>
      </c>
      <c r="C189" s="343"/>
      <c r="D189" s="343"/>
      <c r="E189" s="343"/>
      <c r="F189" s="343"/>
      <c r="G189" s="343"/>
      <c r="H189" s="343"/>
      <c r="I189" s="343"/>
      <c r="J189" s="343"/>
      <c r="K189" s="343"/>
      <c r="L189" s="343"/>
      <c r="M189" s="525" t="s">
        <v>100</v>
      </c>
      <c r="N189" s="526"/>
      <c r="O189" s="527"/>
      <c r="P189" s="526"/>
      <c r="Q189" s="525"/>
      <c r="R189" s="525" t="s">
        <v>26</v>
      </c>
      <c r="S189" s="527"/>
      <c r="T189" s="526"/>
      <c r="U189" s="346"/>
      <c r="V189" s="528"/>
      <c r="W189" s="6"/>
    </row>
    <row r="190" spans="1:23" ht="15.6">
      <c r="A190" s="365"/>
      <c r="B190" s="366"/>
      <c r="C190" s="529"/>
      <c r="D190" s="529"/>
      <c r="E190" s="529"/>
      <c r="F190" s="529"/>
      <c r="G190" s="529"/>
      <c r="H190" s="529"/>
      <c r="I190" s="529"/>
      <c r="J190" s="529"/>
      <c r="K190" s="529"/>
      <c r="L190" s="529" t="s">
        <v>94</v>
      </c>
      <c r="M190" s="530" t="s">
        <v>101</v>
      </c>
      <c r="N190" s="529" t="s">
        <v>103</v>
      </c>
      <c r="O190" s="530" t="s">
        <v>101</v>
      </c>
      <c r="P190" s="530"/>
      <c r="Q190" s="529" t="s">
        <v>94</v>
      </c>
      <c r="R190" s="530" t="s">
        <v>101</v>
      </c>
      <c r="S190" s="529" t="s">
        <v>103</v>
      </c>
      <c r="T190" s="530" t="s">
        <v>101</v>
      </c>
      <c r="U190" s="369"/>
      <c r="V190" s="531"/>
      <c r="W190" s="6"/>
    </row>
    <row r="191" spans="1:23" ht="15.6">
      <c r="A191" s="316"/>
      <c r="B191" s="360" t="s">
        <v>81</v>
      </c>
      <c r="C191" s="361"/>
      <c r="D191" s="361"/>
      <c r="E191" s="361"/>
      <c r="F191" s="361"/>
      <c r="G191" s="361"/>
      <c r="H191" s="361"/>
      <c r="I191" s="361"/>
      <c r="J191" s="361"/>
      <c r="K191" s="361"/>
      <c r="L191" s="361">
        <v>391</v>
      </c>
      <c r="M191" s="362">
        <f t="shared" ref="M191:M197" si="0">+L191/$L$198</f>
        <v>0.69821428571428568</v>
      </c>
      <c r="N191" s="361">
        <v>1565</v>
      </c>
      <c r="O191" s="362">
        <f t="shared" ref="O191:O197" si="1">N191/$N$198</f>
        <v>0.79603255340793488</v>
      </c>
      <c r="P191" s="363"/>
      <c r="Q191" s="361">
        <v>103</v>
      </c>
      <c r="R191" s="362">
        <f t="shared" ref="R191:R197" si="2">+Q191/$Q$198</f>
        <v>0.33993399339933994</v>
      </c>
      <c r="S191" s="361">
        <v>191</v>
      </c>
      <c r="T191" s="362">
        <f>+S191/$S$198</f>
        <v>0.54261363636363635</v>
      </c>
      <c r="U191" s="364"/>
      <c r="V191" s="312"/>
      <c r="W191" s="6"/>
    </row>
    <row r="192" spans="1:23" ht="15.6">
      <c r="A192" s="444"/>
      <c r="B192" s="440" t="s">
        <v>82</v>
      </c>
      <c r="C192" s="489"/>
      <c r="D192" s="489"/>
      <c r="E192" s="489"/>
      <c r="F192" s="489"/>
      <c r="G192" s="489"/>
      <c r="H192" s="489"/>
      <c r="I192" s="489"/>
      <c r="J192" s="489"/>
      <c r="K192" s="489"/>
      <c r="L192" s="489">
        <v>11</v>
      </c>
      <c r="M192" s="427">
        <f t="shared" si="0"/>
        <v>1.9642857142857142E-2</v>
      </c>
      <c r="N192" s="489">
        <v>62</v>
      </c>
      <c r="O192" s="427">
        <f t="shared" si="1"/>
        <v>3.1536113936927769E-2</v>
      </c>
      <c r="P192" s="381"/>
      <c r="Q192" s="489">
        <v>3</v>
      </c>
      <c r="R192" s="427">
        <f t="shared" si="2"/>
        <v>9.9009900990099011E-3</v>
      </c>
      <c r="S192" s="489">
        <v>1</v>
      </c>
      <c r="T192" s="427">
        <f t="shared" ref="T192:T197" si="3">+S192/$S$198</f>
        <v>2.840909090909091E-3</v>
      </c>
      <c r="U192" s="379"/>
      <c r="V192" s="435"/>
      <c r="W192" s="6"/>
    </row>
    <row r="193" spans="1:24" ht="15.6">
      <c r="A193" s="444"/>
      <c r="B193" s="440" t="s">
        <v>83</v>
      </c>
      <c r="C193" s="489"/>
      <c r="D193" s="489"/>
      <c r="E193" s="489"/>
      <c r="F193" s="489"/>
      <c r="G193" s="489"/>
      <c r="H193" s="489"/>
      <c r="I193" s="489"/>
      <c r="J193" s="489"/>
      <c r="K193" s="489"/>
      <c r="L193" s="489">
        <v>13</v>
      </c>
      <c r="M193" s="427">
        <f t="shared" si="0"/>
        <v>2.3214285714285715E-2</v>
      </c>
      <c r="N193" s="489">
        <v>7</v>
      </c>
      <c r="O193" s="427">
        <f t="shared" si="1"/>
        <v>3.5605289928789421E-3</v>
      </c>
      <c r="P193" s="381"/>
      <c r="Q193" s="489">
        <v>17</v>
      </c>
      <c r="R193" s="427">
        <f t="shared" si="2"/>
        <v>5.6105610561056105E-2</v>
      </c>
      <c r="S193" s="489">
        <v>7</v>
      </c>
      <c r="T193" s="427">
        <f t="shared" si="3"/>
        <v>1.9886363636363636E-2</v>
      </c>
      <c r="U193" s="379"/>
      <c r="V193" s="435"/>
      <c r="W193" s="6"/>
    </row>
    <row r="194" spans="1:24" ht="15.6">
      <c r="A194" s="444"/>
      <c r="B194" s="440" t="s">
        <v>186</v>
      </c>
      <c r="C194" s="489"/>
      <c r="D194" s="489"/>
      <c r="E194" s="489"/>
      <c r="F194" s="489"/>
      <c r="G194" s="489"/>
      <c r="H194" s="489"/>
      <c r="I194" s="489"/>
      <c r="J194" s="489"/>
      <c r="K194" s="489"/>
      <c r="L194" s="489">
        <v>14</v>
      </c>
      <c r="M194" s="427">
        <f t="shared" si="0"/>
        <v>2.5000000000000001E-2</v>
      </c>
      <c r="N194" s="489">
        <v>18</v>
      </c>
      <c r="O194" s="427">
        <f t="shared" si="1"/>
        <v>9.1556459816887082E-3</v>
      </c>
      <c r="P194" s="381"/>
      <c r="Q194" s="489">
        <v>18</v>
      </c>
      <c r="R194" s="427">
        <f t="shared" si="2"/>
        <v>5.9405940594059403E-2</v>
      </c>
      <c r="S194" s="489">
        <v>14</v>
      </c>
      <c r="T194" s="427">
        <f t="shared" si="3"/>
        <v>3.9772727272727272E-2</v>
      </c>
      <c r="U194" s="379"/>
      <c r="V194" s="435"/>
      <c r="W194" s="6"/>
    </row>
    <row r="195" spans="1:24" ht="15.6">
      <c r="A195" s="444"/>
      <c r="B195" s="440" t="s">
        <v>187</v>
      </c>
      <c r="C195" s="489"/>
      <c r="D195" s="489"/>
      <c r="E195" s="489"/>
      <c r="F195" s="489"/>
      <c r="G195" s="489"/>
      <c r="H195" s="489"/>
      <c r="I195" s="489"/>
      <c r="J195" s="489"/>
      <c r="K195" s="489"/>
      <c r="L195" s="489">
        <v>24</v>
      </c>
      <c r="M195" s="427">
        <f t="shared" si="0"/>
        <v>4.2857142857142858E-2</v>
      </c>
      <c r="N195" s="489">
        <v>37</v>
      </c>
      <c r="O195" s="427">
        <f t="shared" si="1"/>
        <v>1.8819938962360123E-2</v>
      </c>
      <c r="P195" s="381"/>
      <c r="Q195" s="489">
        <v>22</v>
      </c>
      <c r="R195" s="427">
        <f t="shared" si="2"/>
        <v>7.2607260726072612E-2</v>
      </c>
      <c r="S195" s="489">
        <v>14</v>
      </c>
      <c r="T195" s="427">
        <f t="shared" si="3"/>
        <v>3.9772727272727272E-2</v>
      </c>
      <c r="U195" s="379"/>
      <c r="V195" s="435"/>
      <c r="W195" s="6"/>
    </row>
    <row r="196" spans="1:24" ht="15.6">
      <c r="A196" s="444"/>
      <c r="B196" s="440" t="s">
        <v>188</v>
      </c>
      <c r="C196" s="489"/>
      <c r="D196" s="489"/>
      <c r="E196" s="489"/>
      <c r="F196" s="489"/>
      <c r="G196" s="489"/>
      <c r="H196" s="489"/>
      <c r="I196" s="489"/>
      <c r="J196" s="489"/>
      <c r="K196" s="489"/>
      <c r="L196" s="489">
        <v>16</v>
      </c>
      <c r="M196" s="427">
        <f t="shared" si="0"/>
        <v>2.8571428571428571E-2</v>
      </c>
      <c r="N196" s="489">
        <v>14</v>
      </c>
      <c r="O196" s="427">
        <f t="shared" si="1"/>
        <v>7.1210579857578843E-3</v>
      </c>
      <c r="P196" s="381"/>
      <c r="Q196" s="489">
        <v>23</v>
      </c>
      <c r="R196" s="427">
        <f t="shared" si="2"/>
        <v>7.590759075907591E-2</v>
      </c>
      <c r="S196" s="489">
        <v>11</v>
      </c>
      <c r="T196" s="427">
        <f t="shared" si="3"/>
        <v>3.125E-2</v>
      </c>
      <c r="U196" s="379"/>
      <c r="V196" s="435"/>
      <c r="W196" s="6"/>
    </row>
    <row r="197" spans="1:24" ht="15.6">
      <c r="A197" s="444"/>
      <c r="B197" s="440" t="s">
        <v>189</v>
      </c>
      <c r="C197" s="489"/>
      <c r="D197" s="489"/>
      <c r="E197" s="489"/>
      <c r="F197" s="489"/>
      <c r="G197" s="489"/>
      <c r="H197" s="489"/>
      <c r="I197" s="489"/>
      <c r="J197" s="489"/>
      <c r="K197" s="489"/>
      <c r="L197" s="489">
        <v>91</v>
      </c>
      <c r="M197" s="427">
        <f t="shared" si="0"/>
        <v>0.16250000000000001</v>
      </c>
      <c r="N197" s="489">
        <v>263</v>
      </c>
      <c r="O197" s="427">
        <f t="shared" si="1"/>
        <v>0.13377416073245169</v>
      </c>
      <c r="P197" s="381"/>
      <c r="Q197" s="489">
        <v>117</v>
      </c>
      <c r="R197" s="427">
        <f t="shared" si="2"/>
        <v>0.38613861386138615</v>
      </c>
      <c r="S197" s="489">
        <v>114</v>
      </c>
      <c r="T197" s="427">
        <f t="shared" si="3"/>
        <v>0.32386363636363635</v>
      </c>
      <c r="U197" s="379"/>
      <c r="V197" s="435"/>
      <c r="W197" s="6"/>
    </row>
    <row r="198" spans="1:24" ht="15.6">
      <c r="A198" s="444"/>
      <c r="B198" s="440" t="s">
        <v>84</v>
      </c>
      <c r="C198" s="489"/>
      <c r="D198" s="489"/>
      <c r="E198" s="489"/>
      <c r="F198" s="489"/>
      <c r="G198" s="489"/>
      <c r="H198" s="489"/>
      <c r="I198" s="489"/>
      <c r="J198" s="489"/>
      <c r="K198" s="489"/>
      <c r="L198" s="489">
        <f>SUM(L191:L197)</f>
        <v>560</v>
      </c>
      <c r="M198" s="427">
        <f>SUM(M191:M197)</f>
        <v>1</v>
      </c>
      <c r="N198" s="489">
        <f>SUM(N191:N197)</f>
        <v>1966</v>
      </c>
      <c r="O198" s="427">
        <f>SUM(O191:O197)</f>
        <v>1</v>
      </c>
      <c r="P198" s="381"/>
      <c r="Q198" s="489">
        <f>SUM(Q191:Q197)</f>
        <v>303</v>
      </c>
      <c r="R198" s="427">
        <f>SUM(R191:R197)</f>
        <v>1</v>
      </c>
      <c r="S198" s="489">
        <f>SUM(S191:S197)</f>
        <v>352</v>
      </c>
      <c r="T198" s="427">
        <f>SUM(T191:T197)</f>
        <v>1</v>
      </c>
      <c r="U198" s="379"/>
      <c r="V198" s="435"/>
      <c r="W198" s="6"/>
      <c r="X198" s="64"/>
    </row>
    <row r="199" spans="1:24" ht="15.6">
      <c r="A199" s="444"/>
      <c r="B199" s="440" t="s">
        <v>85</v>
      </c>
      <c r="C199" s="489"/>
      <c r="D199" s="489"/>
      <c r="E199" s="489"/>
      <c r="F199" s="489"/>
      <c r="G199" s="489"/>
      <c r="H199" s="489"/>
      <c r="I199" s="489"/>
      <c r="J199" s="489"/>
      <c r="K199" s="489"/>
      <c r="L199" s="489">
        <v>874</v>
      </c>
      <c r="M199" s="380"/>
      <c r="N199" s="489">
        <v>5164</v>
      </c>
      <c r="O199" s="380"/>
      <c r="P199" s="381"/>
      <c r="Q199" s="489">
        <v>566</v>
      </c>
      <c r="R199" s="380"/>
      <c r="S199" s="489">
        <v>1267</v>
      </c>
      <c r="T199" s="380"/>
      <c r="U199" s="379"/>
      <c r="V199" s="435"/>
      <c r="W199" s="6"/>
      <c r="X199" s="64"/>
    </row>
    <row r="200" spans="1:24" ht="15.6">
      <c r="A200" s="444"/>
      <c r="B200" s="440" t="s">
        <v>86</v>
      </c>
      <c r="C200" s="489"/>
      <c r="D200" s="489"/>
      <c r="E200" s="489"/>
      <c r="F200" s="489"/>
      <c r="G200" s="489"/>
      <c r="H200" s="489"/>
      <c r="I200" s="489"/>
      <c r="J200" s="489"/>
      <c r="K200" s="489"/>
      <c r="L200" s="489">
        <f>SUM(L198:L199)</f>
        <v>1434</v>
      </c>
      <c r="M200" s="450"/>
      <c r="N200" s="489">
        <f>SUM(N198:N199)</f>
        <v>7130</v>
      </c>
      <c r="O200" s="490"/>
      <c r="P200" s="450"/>
      <c r="Q200" s="489">
        <f>SUM(Q198:Q199)</f>
        <v>869</v>
      </c>
      <c r="R200" s="450"/>
      <c r="S200" s="489">
        <f>SUM(S198:S199)</f>
        <v>1619</v>
      </c>
      <c r="T200" s="450"/>
      <c r="U200" s="450"/>
      <c r="V200" s="435"/>
      <c r="W200" s="6"/>
      <c r="X200" s="64"/>
    </row>
    <row r="201" spans="1:24" ht="15.6">
      <c r="A201" s="242"/>
      <c r="B201" s="484"/>
      <c r="C201" s="485"/>
      <c r="D201" s="485"/>
      <c r="E201" s="485"/>
      <c r="F201" s="485"/>
      <c r="G201" s="485"/>
      <c r="H201" s="485"/>
      <c r="I201" s="485"/>
      <c r="J201" s="485"/>
      <c r="K201" s="485"/>
      <c r="L201" s="532"/>
      <c r="M201" s="533"/>
      <c r="N201" s="532"/>
      <c r="O201" s="533"/>
      <c r="P201" s="488"/>
      <c r="Q201" s="532"/>
      <c r="R201" s="533"/>
      <c r="S201" s="532"/>
      <c r="T201" s="533"/>
      <c r="U201" s="463"/>
      <c r="V201" s="464"/>
      <c r="W201" s="6"/>
    </row>
    <row r="202" spans="1:24" ht="15.6">
      <c r="A202" s="349"/>
      <c r="B202" s="525" t="s">
        <v>80</v>
      </c>
      <c r="C202" s="526"/>
      <c r="D202" s="526"/>
      <c r="E202" s="526"/>
      <c r="F202" s="526"/>
      <c r="G202" s="526"/>
      <c r="H202" s="526"/>
      <c r="I202" s="526"/>
      <c r="J202" s="526"/>
      <c r="K202" s="526"/>
      <c r="L202" s="526"/>
      <c r="M202" s="525" t="s">
        <v>27</v>
      </c>
      <c r="N202" s="526"/>
      <c r="O202" s="527"/>
      <c r="P202" s="526"/>
      <c r="Q202" s="525"/>
      <c r="R202" s="525" t="s">
        <v>28</v>
      </c>
      <c r="S202" s="527"/>
      <c r="T202" s="526"/>
      <c r="U202" s="346"/>
      <c r="V202" s="528"/>
      <c r="W202" s="6"/>
    </row>
    <row r="203" spans="1:24" ht="15.6">
      <c r="A203" s="371"/>
      <c r="B203" s="372"/>
      <c r="C203" s="534"/>
      <c r="D203" s="534"/>
      <c r="E203" s="534"/>
      <c r="F203" s="534"/>
      <c r="G203" s="534"/>
      <c r="H203" s="534"/>
      <c r="I203" s="534"/>
      <c r="J203" s="534"/>
      <c r="K203" s="534"/>
      <c r="L203" s="534" t="s">
        <v>94</v>
      </c>
      <c r="M203" s="535" t="s">
        <v>101</v>
      </c>
      <c r="N203" s="534" t="s">
        <v>103</v>
      </c>
      <c r="O203" s="535" t="s">
        <v>101</v>
      </c>
      <c r="P203" s="535"/>
      <c r="Q203" s="534" t="s">
        <v>94</v>
      </c>
      <c r="R203" s="535" t="s">
        <v>101</v>
      </c>
      <c r="S203" s="534" t="s">
        <v>103</v>
      </c>
      <c r="T203" s="535" t="s">
        <v>101</v>
      </c>
      <c r="U203" s="375"/>
      <c r="V203" s="536"/>
      <c r="W203" s="6"/>
    </row>
    <row r="204" spans="1:24" ht="15.6">
      <c r="A204" s="315"/>
      <c r="B204" s="310" t="s">
        <v>81</v>
      </c>
      <c r="C204" s="351"/>
      <c r="D204" s="351"/>
      <c r="E204" s="351"/>
      <c r="F204" s="351"/>
      <c r="G204" s="351"/>
      <c r="H204" s="351"/>
      <c r="I204" s="351"/>
      <c r="J204" s="351"/>
      <c r="K204" s="351"/>
      <c r="L204" s="351">
        <v>5118</v>
      </c>
      <c r="M204" s="299">
        <f t="shared" ref="M204:M210" si="4">+L204/$L$211</f>
        <v>0.87487179487179489</v>
      </c>
      <c r="N204" s="351">
        <v>114246</v>
      </c>
      <c r="O204" s="299">
        <f t="shared" ref="O204:O210" si="5">+N204/$N$211</f>
        <v>0.85705926481620409</v>
      </c>
      <c r="P204" s="296"/>
      <c r="Q204" s="351">
        <v>110</v>
      </c>
      <c r="R204" s="299">
        <f t="shared" ref="R204:R210" si="6">Q204/$Q$211</f>
        <v>0.86614173228346458</v>
      </c>
      <c r="S204" s="351">
        <v>1075</v>
      </c>
      <c r="T204" s="299">
        <f t="shared" ref="T204:T210" si="7">+S204/$S$211</f>
        <v>0.88623248145094802</v>
      </c>
      <c r="U204" s="294"/>
      <c r="V204" s="301"/>
      <c r="W204" s="6"/>
    </row>
    <row r="205" spans="1:24" ht="15.6">
      <c r="A205" s="444"/>
      <c r="B205" s="440" t="s">
        <v>82</v>
      </c>
      <c r="C205" s="489"/>
      <c r="D205" s="489"/>
      <c r="E205" s="489"/>
      <c r="F205" s="489"/>
      <c r="G205" s="489"/>
      <c r="H205" s="489"/>
      <c r="I205" s="489"/>
      <c r="J205" s="489"/>
      <c r="K205" s="489"/>
      <c r="L205" s="489">
        <v>174</v>
      </c>
      <c r="M205" s="427">
        <f t="shared" si="4"/>
        <v>2.9743589743589743E-2</v>
      </c>
      <c r="N205" s="489">
        <v>4319</v>
      </c>
      <c r="O205" s="427">
        <f t="shared" si="5"/>
        <v>3.2400600150037512E-2</v>
      </c>
      <c r="P205" s="381"/>
      <c r="Q205" s="489">
        <v>11</v>
      </c>
      <c r="R205" s="427">
        <f t="shared" si="6"/>
        <v>8.6614173228346455E-2</v>
      </c>
      <c r="S205" s="489">
        <v>119</v>
      </c>
      <c r="T205" s="427">
        <f t="shared" si="7"/>
        <v>9.8103874690849135E-2</v>
      </c>
      <c r="U205" s="379"/>
      <c r="V205" s="435"/>
      <c r="W205" s="6"/>
    </row>
    <row r="206" spans="1:24" ht="15.6">
      <c r="A206" s="444"/>
      <c r="B206" s="440" t="s">
        <v>83</v>
      </c>
      <c r="C206" s="489"/>
      <c r="D206" s="489"/>
      <c r="E206" s="489"/>
      <c r="F206" s="489"/>
      <c r="G206" s="489"/>
      <c r="H206" s="489"/>
      <c r="I206" s="489"/>
      <c r="J206" s="489"/>
      <c r="K206" s="489"/>
      <c r="L206" s="489">
        <v>120</v>
      </c>
      <c r="M206" s="427">
        <f t="shared" si="4"/>
        <v>2.0512820512820513E-2</v>
      </c>
      <c r="N206" s="489">
        <v>3324</v>
      </c>
      <c r="O206" s="427">
        <f t="shared" si="5"/>
        <v>2.4936234058514629E-2</v>
      </c>
      <c r="P206" s="381"/>
      <c r="Q206" s="489">
        <v>2</v>
      </c>
      <c r="R206" s="427">
        <f t="shared" si="6"/>
        <v>1.5748031496062992E-2</v>
      </c>
      <c r="S206" s="489">
        <v>9</v>
      </c>
      <c r="T206" s="427">
        <f t="shared" si="7"/>
        <v>7.4196207749381701E-3</v>
      </c>
      <c r="U206" s="379"/>
      <c r="V206" s="435"/>
      <c r="W206" s="6"/>
      <c r="X206" s="182"/>
    </row>
    <row r="207" spans="1:24" ht="15.6">
      <c r="A207" s="444"/>
      <c r="B207" s="440" t="s">
        <v>186</v>
      </c>
      <c r="C207" s="489"/>
      <c r="D207" s="489"/>
      <c r="E207" s="489"/>
      <c r="F207" s="489"/>
      <c r="G207" s="489"/>
      <c r="H207" s="489"/>
      <c r="I207" s="489"/>
      <c r="J207" s="489"/>
      <c r="K207" s="489"/>
      <c r="L207" s="489">
        <v>94</v>
      </c>
      <c r="M207" s="427">
        <f t="shared" si="4"/>
        <v>1.6068376068376067E-2</v>
      </c>
      <c r="N207" s="489">
        <v>2345</v>
      </c>
      <c r="O207" s="427">
        <f t="shared" si="5"/>
        <v>1.7591897974493623E-2</v>
      </c>
      <c r="P207" s="381"/>
      <c r="Q207" s="489">
        <v>0</v>
      </c>
      <c r="R207" s="427">
        <f t="shared" si="6"/>
        <v>0</v>
      </c>
      <c r="S207" s="489">
        <v>0</v>
      </c>
      <c r="T207" s="427">
        <f t="shared" si="7"/>
        <v>0</v>
      </c>
      <c r="U207" s="379"/>
      <c r="V207" s="435"/>
      <c r="W207" s="6"/>
    </row>
    <row r="208" spans="1:24" ht="15.6">
      <c r="A208" s="444"/>
      <c r="B208" s="440" t="s">
        <v>187</v>
      </c>
      <c r="C208" s="489"/>
      <c r="D208" s="489"/>
      <c r="E208" s="489"/>
      <c r="F208" s="489"/>
      <c r="G208" s="489"/>
      <c r="H208" s="489"/>
      <c r="I208" s="489"/>
      <c r="J208" s="489"/>
      <c r="K208" s="489"/>
      <c r="L208" s="489">
        <v>69</v>
      </c>
      <c r="M208" s="427">
        <f t="shared" si="4"/>
        <v>1.1794871794871795E-2</v>
      </c>
      <c r="N208" s="489">
        <v>1789</v>
      </c>
      <c r="O208" s="427">
        <f t="shared" si="5"/>
        <v>1.3420855213803451E-2</v>
      </c>
      <c r="P208" s="381"/>
      <c r="Q208" s="489">
        <v>2</v>
      </c>
      <c r="R208" s="427">
        <f t="shared" si="6"/>
        <v>1.5748031496062992E-2</v>
      </c>
      <c r="S208" s="489">
        <v>5</v>
      </c>
      <c r="T208" s="427">
        <f t="shared" si="7"/>
        <v>4.1220115416323163E-3</v>
      </c>
      <c r="U208" s="379"/>
      <c r="V208" s="435"/>
      <c r="W208" s="6"/>
    </row>
    <row r="209" spans="1:24" ht="15.6">
      <c r="A209" s="444"/>
      <c r="B209" s="440" t="s">
        <v>188</v>
      </c>
      <c r="C209" s="489"/>
      <c r="D209" s="489"/>
      <c r="E209" s="489"/>
      <c r="F209" s="489"/>
      <c r="G209" s="489"/>
      <c r="H209" s="489"/>
      <c r="I209" s="489"/>
      <c r="J209" s="489"/>
      <c r="K209" s="489"/>
      <c r="L209" s="489">
        <v>58</v>
      </c>
      <c r="M209" s="427">
        <f t="shared" si="4"/>
        <v>9.9145299145299154E-3</v>
      </c>
      <c r="N209" s="489">
        <v>1448</v>
      </c>
      <c r="O209" s="427">
        <f t="shared" si="5"/>
        <v>1.086271567891973E-2</v>
      </c>
      <c r="P209" s="381"/>
      <c r="Q209" s="489">
        <v>0</v>
      </c>
      <c r="R209" s="427">
        <f t="shared" si="6"/>
        <v>0</v>
      </c>
      <c r="S209" s="489">
        <v>0</v>
      </c>
      <c r="T209" s="427">
        <f t="shared" si="7"/>
        <v>0</v>
      </c>
      <c r="U209" s="379"/>
      <c r="V209" s="435"/>
      <c r="W209" s="6"/>
    </row>
    <row r="210" spans="1:24" ht="15.6">
      <c r="A210" s="444"/>
      <c r="B210" s="440" t="s">
        <v>189</v>
      </c>
      <c r="C210" s="489"/>
      <c r="D210" s="489"/>
      <c r="E210" s="489"/>
      <c r="F210" s="489"/>
      <c r="G210" s="489"/>
      <c r="H210" s="489"/>
      <c r="I210" s="489"/>
      <c r="J210" s="489"/>
      <c r="K210" s="489"/>
      <c r="L210" s="489">
        <v>217</v>
      </c>
      <c r="M210" s="427">
        <f t="shared" si="4"/>
        <v>3.7094017094017093E-2</v>
      </c>
      <c r="N210" s="489">
        <v>5829</v>
      </c>
      <c r="O210" s="427">
        <f t="shared" si="5"/>
        <v>4.3728432108027009E-2</v>
      </c>
      <c r="P210" s="381"/>
      <c r="Q210" s="489">
        <v>2</v>
      </c>
      <c r="R210" s="427">
        <f t="shared" si="6"/>
        <v>1.5748031496062992E-2</v>
      </c>
      <c r="S210" s="489">
        <v>5</v>
      </c>
      <c r="T210" s="427">
        <f t="shared" si="7"/>
        <v>4.1220115416323163E-3</v>
      </c>
      <c r="U210" s="379"/>
      <c r="V210" s="435"/>
      <c r="W210" s="6"/>
    </row>
    <row r="211" spans="1:24" ht="15.6">
      <c r="A211" s="444"/>
      <c r="B211" s="440" t="str">
        <f>B198</f>
        <v>Total Performing  Assets</v>
      </c>
      <c r="C211" s="489"/>
      <c r="D211" s="489"/>
      <c r="E211" s="489"/>
      <c r="F211" s="489"/>
      <c r="G211" s="489"/>
      <c r="H211" s="489"/>
      <c r="I211" s="489"/>
      <c r="J211" s="489"/>
      <c r="K211" s="489"/>
      <c r="L211" s="489">
        <f>SUM(L204:L210)</f>
        <v>5850</v>
      </c>
      <c r="M211" s="427">
        <f>SUM(M204:M210)</f>
        <v>1</v>
      </c>
      <c r="N211" s="489">
        <f>SUM(N204:N210)</f>
        <v>133300</v>
      </c>
      <c r="O211" s="427">
        <f>SUM(O204:O210)</f>
        <v>1</v>
      </c>
      <c r="P211" s="381"/>
      <c r="Q211" s="489">
        <f>SUM(Q204:Q210)</f>
        <v>127</v>
      </c>
      <c r="R211" s="427">
        <f>SUM(R204:R210)</f>
        <v>0.99999999999999989</v>
      </c>
      <c r="S211" s="489">
        <f>SUM(S204:S210)</f>
        <v>1213</v>
      </c>
      <c r="T211" s="427">
        <f>SUM(T204:T210)</f>
        <v>0.99999999999999989</v>
      </c>
      <c r="U211" s="379"/>
      <c r="V211" s="435"/>
      <c r="W211" s="6"/>
    </row>
    <row r="212" spans="1:24" ht="15.6">
      <c r="A212" s="444"/>
      <c r="B212" s="440" t="s">
        <v>85</v>
      </c>
      <c r="C212" s="489"/>
      <c r="D212" s="489"/>
      <c r="E212" s="489"/>
      <c r="F212" s="489"/>
      <c r="G212" s="489"/>
      <c r="H212" s="489"/>
      <c r="I212" s="489"/>
      <c r="J212" s="489"/>
      <c r="K212" s="489"/>
      <c r="L212" s="489">
        <v>287</v>
      </c>
      <c r="M212" s="381"/>
      <c r="N212" s="489">
        <v>7965</v>
      </c>
      <c r="O212" s="380"/>
      <c r="P212" s="381"/>
      <c r="Q212" s="489">
        <v>29</v>
      </c>
      <c r="R212" s="381"/>
      <c r="S212" s="489">
        <v>516</v>
      </c>
      <c r="T212" s="381"/>
      <c r="U212" s="379"/>
      <c r="V212" s="435"/>
      <c r="W212" s="6"/>
    </row>
    <row r="213" spans="1:24" ht="15.6">
      <c r="A213" s="444"/>
      <c r="B213" s="440" t="s">
        <v>86</v>
      </c>
      <c r="C213" s="489"/>
      <c r="D213" s="489"/>
      <c r="E213" s="489"/>
      <c r="F213" s="489"/>
      <c r="G213" s="489"/>
      <c r="H213" s="489"/>
      <c r="I213" s="489"/>
      <c r="J213" s="489"/>
      <c r="K213" s="489"/>
      <c r="L213" s="489">
        <f>SUM(L211:L212)</f>
        <v>6137</v>
      </c>
      <c r="M213" s="450"/>
      <c r="N213" s="489">
        <f>SUM(N211:N212)</f>
        <v>141265</v>
      </c>
      <c r="O213" s="427"/>
      <c r="P213" s="450"/>
      <c r="Q213" s="489">
        <f>SUM(Q211:Q212)</f>
        <v>156</v>
      </c>
      <c r="R213" s="450"/>
      <c r="S213" s="489">
        <f>SUM(S211:S212)</f>
        <v>1729</v>
      </c>
      <c r="T213" s="450"/>
      <c r="U213" s="450"/>
      <c r="V213" s="492"/>
    </row>
    <row r="214" spans="1:24" ht="15.6">
      <c r="A214" s="444"/>
      <c r="B214" s="440"/>
      <c r="C214" s="381"/>
      <c r="D214" s="381"/>
      <c r="E214" s="381"/>
      <c r="F214" s="381"/>
      <c r="G214" s="381"/>
      <c r="H214" s="381"/>
      <c r="I214" s="381"/>
      <c r="J214" s="381"/>
      <c r="K214" s="381"/>
      <c r="L214" s="381"/>
      <c r="M214" s="493"/>
      <c r="N214" s="381"/>
      <c r="O214" s="493"/>
      <c r="P214" s="381"/>
      <c r="Q214" s="493"/>
      <c r="R214" s="381"/>
      <c r="S214" s="489"/>
      <c r="T214" s="381"/>
      <c r="U214" s="379"/>
      <c r="V214" s="435"/>
      <c r="W214" s="6"/>
    </row>
    <row r="215" spans="1:24" ht="15.6">
      <c r="A215" s="444"/>
      <c r="B215" s="440" t="s">
        <v>86</v>
      </c>
      <c r="C215" s="381"/>
      <c r="D215" s="381"/>
      <c r="E215" s="381"/>
      <c r="F215" s="381"/>
      <c r="G215" s="381"/>
      <c r="H215" s="381"/>
      <c r="I215" s="381"/>
      <c r="J215" s="381"/>
      <c r="K215" s="381"/>
      <c r="L215" s="493"/>
      <c r="M215" s="493"/>
      <c r="N215" s="493"/>
      <c r="O215" s="493"/>
      <c r="P215" s="381"/>
      <c r="Q215" s="493"/>
      <c r="R215" s="381"/>
      <c r="S215" s="489">
        <f>+N200+S200+N213+S213</f>
        <v>151743</v>
      </c>
      <c r="T215" s="490"/>
      <c r="U215" s="379"/>
      <c r="V215" s="435"/>
      <c r="W215" s="6"/>
      <c r="X215" s="182"/>
    </row>
    <row r="216" spans="1:24" ht="15.6">
      <c r="A216" s="316"/>
      <c r="B216" s="360"/>
      <c r="C216" s="363"/>
      <c r="D216" s="363"/>
      <c r="E216" s="363"/>
      <c r="F216" s="363"/>
      <c r="G216" s="363"/>
      <c r="H216" s="363"/>
      <c r="I216" s="363"/>
      <c r="J216" s="363"/>
      <c r="K216" s="363"/>
      <c r="L216" s="491"/>
      <c r="M216" s="491"/>
      <c r="N216" s="491"/>
      <c r="O216" s="491"/>
      <c r="P216" s="363"/>
      <c r="Q216" s="491"/>
      <c r="R216" s="363"/>
      <c r="S216" s="361"/>
      <c r="T216" s="363"/>
      <c r="U216" s="364"/>
      <c r="V216" s="312"/>
      <c r="W216" s="6"/>
    </row>
    <row r="217" spans="1:24" ht="15.6">
      <c r="A217" s="349"/>
      <c r="B217" s="357" t="s">
        <v>87</v>
      </c>
      <c r="C217" s="526"/>
      <c r="D217" s="526"/>
      <c r="E217" s="526"/>
      <c r="F217" s="526"/>
      <c r="G217" s="526"/>
      <c r="H217" s="526"/>
      <c r="I217" s="526"/>
      <c r="J217" s="526"/>
      <c r="K217" s="526"/>
      <c r="L217" s="526"/>
      <c r="M217" s="527"/>
      <c r="N217" s="526"/>
      <c r="O217" s="527"/>
      <c r="P217" s="526"/>
      <c r="Q217" s="527"/>
      <c r="R217" s="526"/>
      <c r="S217" s="358"/>
      <c r="T217" s="526"/>
      <c r="U217" s="350"/>
      <c r="V217" s="528"/>
      <c r="W217" s="6"/>
    </row>
    <row r="218" spans="1:24" ht="15.6">
      <c r="A218" s="315"/>
      <c r="B218" s="310"/>
      <c r="C218" s="296"/>
      <c r="D218" s="296"/>
      <c r="E218" s="296"/>
      <c r="F218" s="296"/>
      <c r="G218" s="296"/>
      <c r="H218" s="296"/>
      <c r="I218" s="296"/>
      <c r="J218" s="296"/>
      <c r="K218" s="296"/>
      <c r="L218" s="296"/>
      <c r="M218" s="352"/>
      <c r="N218" s="296"/>
      <c r="O218" s="352"/>
      <c r="P218" s="296"/>
      <c r="Q218" s="352"/>
      <c r="R218" s="296"/>
      <c r="S218" s="351"/>
      <c r="T218" s="296"/>
      <c r="U218" s="294"/>
      <c r="V218" s="301"/>
      <c r="W218" s="6"/>
    </row>
    <row r="219" spans="1:24" ht="15.6">
      <c r="A219" s="444"/>
      <c r="B219" s="440" t="s">
        <v>88</v>
      </c>
      <c r="C219" s="381"/>
      <c r="D219" s="381"/>
      <c r="E219" s="381"/>
      <c r="F219" s="381"/>
      <c r="G219" s="381"/>
      <c r="H219" s="381"/>
      <c r="I219" s="381"/>
      <c r="J219" s="381"/>
      <c r="K219" s="381"/>
      <c r="L219" s="381"/>
      <c r="M219" s="493"/>
      <c r="N219" s="381"/>
      <c r="O219" s="493"/>
      <c r="P219" s="381"/>
      <c r="Q219" s="493"/>
      <c r="R219" s="381"/>
      <c r="S219" s="489">
        <f>+N198+S198+N211+S211</f>
        <v>136831</v>
      </c>
      <c r="T219" s="381"/>
      <c r="U219" s="379"/>
      <c r="V219" s="435"/>
      <c r="W219" s="6"/>
      <c r="X219" s="182"/>
    </row>
    <row r="220" spans="1:24" ht="15.6">
      <c r="A220" s="444"/>
      <c r="B220" s="440" t="s">
        <v>89</v>
      </c>
      <c r="C220" s="381"/>
      <c r="D220" s="381"/>
      <c r="E220" s="381"/>
      <c r="F220" s="381"/>
      <c r="G220" s="381"/>
      <c r="H220" s="381"/>
      <c r="I220" s="381"/>
      <c r="J220" s="381"/>
      <c r="K220" s="381"/>
      <c r="L220" s="381"/>
      <c r="M220" s="493"/>
      <c r="N220" s="381"/>
      <c r="O220" s="493"/>
      <c r="P220" s="381"/>
      <c r="Q220" s="493"/>
      <c r="R220" s="381"/>
      <c r="S220" s="489">
        <f>+U78</f>
        <v>0</v>
      </c>
      <c r="T220" s="381"/>
      <c r="U220" s="379"/>
      <c r="V220" s="435"/>
      <c r="W220" s="119"/>
    </row>
    <row r="221" spans="1:24" ht="15.6">
      <c r="A221" s="444"/>
      <c r="B221" s="440" t="s">
        <v>90</v>
      </c>
      <c r="C221" s="381"/>
      <c r="D221" s="381"/>
      <c r="E221" s="381"/>
      <c r="F221" s="381"/>
      <c r="G221" s="381"/>
      <c r="H221" s="381"/>
      <c r="I221" s="381"/>
      <c r="J221" s="381"/>
      <c r="K221" s="381"/>
      <c r="L221" s="381"/>
      <c r="M221" s="493"/>
      <c r="N221" s="381"/>
      <c r="O221" s="493"/>
      <c r="P221" s="381"/>
      <c r="Q221" s="493"/>
      <c r="R221" s="381"/>
      <c r="S221" s="489">
        <f>SUM(S219:S220)</f>
        <v>136831</v>
      </c>
      <c r="T221" s="381"/>
      <c r="U221" s="379"/>
      <c r="V221" s="435"/>
      <c r="W221" s="6"/>
    </row>
    <row r="222" spans="1:24" ht="15.6">
      <c r="A222" s="444"/>
      <c r="B222" s="440"/>
      <c r="C222" s="381"/>
      <c r="D222" s="381"/>
      <c r="E222" s="381"/>
      <c r="F222" s="381"/>
      <c r="G222" s="381"/>
      <c r="H222" s="381"/>
      <c r="I222" s="381"/>
      <c r="J222" s="381"/>
      <c r="K222" s="381"/>
      <c r="L222" s="381"/>
      <c r="M222" s="493"/>
      <c r="N222" s="381"/>
      <c r="O222" s="493"/>
      <c r="P222" s="381"/>
      <c r="Q222" s="493"/>
      <c r="R222" s="381"/>
      <c r="S222" s="489"/>
      <c r="T222" s="381"/>
      <c r="U222" s="379"/>
      <c r="V222" s="435"/>
      <c r="W222" s="6"/>
    </row>
    <row r="223" spans="1:24" ht="15.6">
      <c r="A223" s="444"/>
      <c r="B223" s="440" t="s">
        <v>91</v>
      </c>
      <c r="C223" s="381"/>
      <c r="D223" s="381"/>
      <c r="E223" s="381"/>
      <c r="F223" s="381"/>
      <c r="G223" s="381"/>
      <c r="H223" s="381"/>
      <c r="I223" s="381"/>
      <c r="J223" s="381"/>
      <c r="K223" s="381"/>
      <c r="L223" s="381"/>
      <c r="M223" s="493"/>
      <c r="N223" s="381"/>
      <c r="O223" s="493"/>
      <c r="P223" s="381"/>
      <c r="Q223" s="493"/>
      <c r="R223" s="381"/>
      <c r="S223" s="489">
        <f>U33</f>
        <v>136831.11840000001</v>
      </c>
      <c r="T223" s="381"/>
      <c r="U223" s="379"/>
      <c r="V223" s="435"/>
      <c r="W223" s="6"/>
    </row>
    <row r="224" spans="1:24" ht="15.6">
      <c r="A224" s="444"/>
      <c r="B224" s="440"/>
      <c r="C224" s="381"/>
      <c r="D224" s="381"/>
      <c r="E224" s="381"/>
      <c r="F224" s="381"/>
      <c r="G224" s="381"/>
      <c r="H224" s="381"/>
      <c r="I224" s="381"/>
      <c r="J224" s="381"/>
      <c r="K224" s="381"/>
      <c r="L224" s="381"/>
      <c r="M224" s="493"/>
      <c r="N224" s="381"/>
      <c r="O224" s="493"/>
      <c r="P224" s="381"/>
      <c r="Q224" s="493"/>
      <c r="R224" s="381"/>
      <c r="S224" s="489"/>
      <c r="T224" s="381"/>
      <c r="U224" s="379"/>
      <c r="V224" s="435"/>
      <c r="W224" s="6"/>
    </row>
    <row r="225" spans="1:23" ht="15.6">
      <c r="A225" s="444"/>
      <c r="B225" s="440" t="s">
        <v>92</v>
      </c>
      <c r="C225" s="381"/>
      <c r="D225" s="381"/>
      <c r="E225" s="381"/>
      <c r="F225" s="381"/>
      <c r="G225" s="381"/>
      <c r="H225" s="381"/>
      <c r="I225" s="381"/>
      <c r="J225" s="381"/>
      <c r="K225" s="381"/>
      <c r="L225" s="381"/>
      <c r="M225" s="493"/>
      <c r="N225" s="381"/>
      <c r="O225" s="493"/>
      <c r="P225" s="381"/>
      <c r="Q225" s="493"/>
      <c r="R225" s="381"/>
      <c r="S225" s="489">
        <f>S221/S223</f>
        <v>0.99999913469975699</v>
      </c>
      <c r="T225" s="381"/>
      <c r="U225" s="379"/>
      <c r="V225" s="435"/>
      <c r="W225" s="6"/>
    </row>
    <row r="226" spans="1:23" ht="15.6">
      <c r="A226" s="444"/>
      <c r="B226" s="379"/>
      <c r="C226" s="379"/>
      <c r="D226" s="379"/>
      <c r="E226" s="379"/>
      <c r="F226" s="379"/>
      <c r="G226" s="379"/>
      <c r="H226" s="379"/>
      <c r="I226" s="379"/>
      <c r="J226" s="379"/>
      <c r="K226" s="379"/>
      <c r="L226" s="379"/>
      <c r="M226" s="380"/>
      <c r="N226" s="379"/>
      <c r="O226" s="379"/>
      <c r="P226" s="379"/>
      <c r="Q226" s="440"/>
      <c r="R226" s="497"/>
      <c r="S226" s="441"/>
      <c r="T226" s="497"/>
      <c r="U226" s="466"/>
      <c r="V226" s="410"/>
      <c r="W226" s="6"/>
    </row>
    <row r="227" spans="1:23" ht="15.6">
      <c r="A227" s="353"/>
      <c r="B227" s="494" t="s">
        <v>127</v>
      </c>
      <c r="C227" s="495"/>
      <c r="D227" s="495"/>
      <c r="E227" s="495"/>
      <c r="F227" s="495"/>
      <c r="G227" s="495"/>
      <c r="H227" s="495"/>
      <c r="I227" s="495"/>
      <c r="J227" s="495"/>
      <c r="K227" s="495"/>
      <c r="L227" s="495"/>
      <c r="M227" s="363"/>
      <c r="N227" s="364"/>
      <c r="O227" s="494"/>
      <c r="P227" s="443"/>
      <c r="Q227" s="443"/>
      <c r="R227" s="443"/>
      <c r="S227" s="496"/>
      <c r="T227" s="443"/>
      <c r="U227" s="443"/>
      <c r="V227" s="355"/>
      <c r="W227" s="6"/>
    </row>
    <row r="228" spans="1:23" ht="15.6">
      <c r="A228" s="353"/>
      <c r="B228" s="287" t="s">
        <v>128</v>
      </c>
      <c r="C228" s="354"/>
      <c r="D228" s="354"/>
      <c r="E228" s="354"/>
      <c r="F228" s="354"/>
      <c r="G228" s="354"/>
      <c r="H228" s="354"/>
      <c r="I228" s="354"/>
      <c r="J228" s="354"/>
      <c r="K228" s="354"/>
      <c r="L228" s="354"/>
      <c r="M228" s="290"/>
      <c r="N228" s="287"/>
      <c r="O228" s="287"/>
      <c r="P228" s="354"/>
      <c r="Q228" s="354"/>
      <c r="R228" s="317"/>
      <c r="S228" s="317"/>
      <c r="T228" s="317"/>
      <c r="U228" s="317"/>
      <c r="V228" s="355"/>
      <c r="W228" s="6"/>
    </row>
    <row r="229" spans="1:23" ht="15.6">
      <c r="A229" s="353"/>
      <c r="B229" s="287" t="s">
        <v>246</v>
      </c>
      <c r="C229" s="287"/>
      <c r="D229" s="287"/>
      <c r="E229" s="287"/>
      <c r="F229" s="287"/>
      <c r="G229" s="287"/>
      <c r="H229" s="287"/>
      <c r="I229" s="287"/>
      <c r="J229" s="287"/>
      <c r="K229" s="287"/>
      <c r="L229" s="287"/>
      <c r="M229" s="287"/>
      <c r="N229" s="287"/>
      <c r="O229" s="287"/>
      <c r="P229" s="287"/>
      <c r="Q229" s="287"/>
      <c r="R229" s="287"/>
      <c r="S229" s="287"/>
      <c r="T229" s="287"/>
      <c r="U229" s="287"/>
      <c r="V229" s="355"/>
      <c r="W229" s="6"/>
    </row>
    <row r="230" spans="1:23" ht="15.6">
      <c r="A230" s="353"/>
      <c r="B230" s="287" t="s">
        <v>129</v>
      </c>
      <c r="C230" s="354"/>
      <c r="D230" s="354"/>
      <c r="E230" s="354"/>
      <c r="F230" s="354"/>
      <c r="G230" s="354"/>
      <c r="H230" s="354"/>
      <c r="I230" s="354"/>
      <c r="J230" s="354"/>
      <c r="K230" s="354"/>
      <c r="L230" s="354"/>
      <c r="M230" s="290"/>
      <c r="N230" s="287"/>
      <c r="O230" s="287"/>
      <c r="P230" s="354"/>
      <c r="Q230" s="354"/>
      <c r="R230" s="317"/>
      <c r="S230" s="317"/>
      <c r="T230" s="317"/>
      <c r="U230" s="317"/>
      <c r="V230" s="355"/>
      <c r="W230" s="6"/>
    </row>
    <row r="231" spans="1:23" ht="15.6">
      <c r="A231" s="353"/>
      <c r="B231" s="287"/>
      <c r="C231" s="354"/>
      <c r="D231" s="354"/>
      <c r="E231" s="354"/>
      <c r="F231" s="354"/>
      <c r="G231" s="354"/>
      <c r="H231" s="354"/>
      <c r="I231" s="354"/>
      <c r="J231" s="354"/>
      <c r="K231" s="354"/>
      <c r="L231" s="354"/>
      <c r="M231" s="290"/>
      <c r="N231" s="287"/>
      <c r="O231" s="287"/>
      <c r="P231" s="354"/>
      <c r="Q231" s="354"/>
      <c r="R231" s="317"/>
      <c r="S231" s="317"/>
      <c r="T231" s="317"/>
      <c r="U231" s="317"/>
      <c r="V231" s="355"/>
      <c r="W231" s="6"/>
    </row>
    <row r="232" spans="1:23" ht="15.6">
      <c r="A232" s="353"/>
      <c r="B232" s="287"/>
      <c r="C232" s="354"/>
      <c r="D232" s="354"/>
      <c r="E232" s="354"/>
      <c r="F232" s="354"/>
      <c r="G232" s="354"/>
      <c r="H232" s="354"/>
      <c r="I232" s="354"/>
      <c r="J232" s="354"/>
      <c r="K232" s="354"/>
      <c r="L232" s="354"/>
      <c r="M232" s="290"/>
      <c r="N232" s="287"/>
      <c r="O232" s="287"/>
      <c r="P232" s="354"/>
      <c r="Q232" s="354"/>
      <c r="R232" s="317"/>
      <c r="S232" s="317"/>
      <c r="T232" s="317"/>
      <c r="U232" s="317"/>
      <c r="V232" s="355"/>
      <c r="W232" s="6"/>
    </row>
    <row r="233" spans="1:23" ht="16.2" thickBot="1">
      <c r="A233" s="353"/>
      <c r="B233" s="287" t="str">
        <f>+B160</f>
        <v>PPAF3 INVESTOR REPORT QUARTER ENDING JUNE 2013</v>
      </c>
      <c r="C233" s="354"/>
      <c r="D233" s="354"/>
      <c r="E233" s="354"/>
      <c r="F233" s="354"/>
      <c r="G233" s="354"/>
      <c r="H233" s="354"/>
      <c r="I233" s="354"/>
      <c r="J233" s="354"/>
      <c r="K233" s="354"/>
      <c r="L233" s="354"/>
      <c r="M233" s="290"/>
      <c r="N233" s="287"/>
      <c r="O233" s="287"/>
      <c r="P233" s="354"/>
      <c r="Q233" s="354"/>
      <c r="R233" s="317"/>
      <c r="S233" s="317"/>
      <c r="T233" s="317"/>
      <c r="U233" s="317"/>
      <c r="V233" s="356"/>
      <c r="W233" s="6"/>
    </row>
    <row r="234" spans="1:2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row>
  </sheetData>
  <hyperlinks>
    <hyperlink ref="I9" r:id="rId1"/>
    <hyperlink ref="K187"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21" man="1"/>
    <brk id="109" max="16383" man="1"/>
    <brk id="160" max="21" man="1"/>
    <brk id="239" man="1"/>
  </rowBreaks>
  <colBreaks count="1" manualBreakCount="1">
    <brk id="23" max="1048575" man="1"/>
  </colBreaks>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0" tint="-0.499984740745262"/>
  </sheetPr>
  <dimension ref="A1:Y234"/>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38" t="s">
        <v>223</v>
      </c>
      <c r="B1" s="285" t="s">
        <v>123</v>
      </c>
      <c r="C1" s="239"/>
      <c r="D1" s="239"/>
      <c r="E1" s="239"/>
      <c r="F1" s="239"/>
      <c r="G1" s="239"/>
      <c r="H1" s="239"/>
      <c r="I1" s="239"/>
      <c r="J1" s="239"/>
      <c r="K1" s="239"/>
      <c r="L1" s="239"/>
      <c r="M1" s="240"/>
      <c r="N1" s="240"/>
      <c r="O1" s="240"/>
      <c r="P1" s="240"/>
      <c r="Q1" s="240"/>
      <c r="R1" s="240"/>
      <c r="S1" s="240"/>
      <c r="T1" s="240"/>
      <c r="U1" s="240"/>
      <c r="V1" s="241"/>
      <c r="W1" s="6"/>
    </row>
    <row r="2" spans="1:23" ht="15.6">
      <c r="A2" s="242"/>
      <c r="B2" s="243"/>
      <c r="C2" s="243"/>
      <c r="D2" s="243"/>
      <c r="E2" s="243"/>
      <c r="F2" s="243"/>
      <c r="G2" s="243"/>
      <c r="H2" s="243"/>
      <c r="I2" s="243"/>
      <c r="J2" s="243"/>
      <c r="K2" s="243"/>
      <c r="L2" s="243"/>
      <c r="M2" s="244"/>
      <c r="N2" s="244"/>
      <c r="O2" s="244"/>
      <c r="P2" s="244"/>
      <c r="Q2" s="244"/>
      <c r="R2" s="244"/>
      <c r="S2" s="244"/>
      <c r="T2" s="244"/>
      <c r="U2" s="244"/>
      <c r="V2" s="245"/>
      <c r="W2" s="6"/>
    </row>
    <row r="3" spans="1:23" ht="15.6">
      <c r="A3" s="246"/>
      <c r="B3" s="247" t="s">
        <v>125</v>
      </c>
      <c r="C3" s="244"/>
      <c r="D3" s="244"/>
      <c r="E3" s="244"/>
      <c r="F3" s="244"/>
      <c r="G3" s="244"/>
      <c r="H3" s="244"/>
      <c r="I3" s="244"/>
      <c r="J3" s="244"/>
      <c r="K3" s="244"/>
      <c r="L3" s="244"/>
      <c r="M3" s="244"/>
      <c r="N3" s="244"/>
      <c r="O3" s="244"/>
      <c r="P3" s="244"/>
      <c r="Q3" s="244"/>
      <c r="R3" s="244"/>
      <c r="S3" s="244"/>
      <c r="T3" s="244"/>
      <c r="U3" s="244"/>
      <c r="V3" s="245"/>
      <c r="W3" s="6"/>
    </row>
    <row r="4" spans="1:23" ht="15.6">
      <c r="A4" s="242"/>
      <c r="B4" s="243"/>
      <c r="C4" s="243"/>
      <c r="D4" s="243"/>
      <c r="E4" s="243"/>
      <c r="F4" s="243"/>
      <c r="G4" s="243"/>
      <c r="H4" s="243"/>
      <c r="I4" s="243"/>
      <c r="J4" s="243"/>
      <c r="K4" s="243"/>
      <c r="L4" s="243"/>
      <c r="M4" s="244"/>
      <c r="N4" s="244"/>
      <c r="O4" s="244"/>
      <c r="P4" s="244"/>
      <c r="Q4" s="244"/>
      <c r="R4" s="244"/>
      <c r="S4" s="244"/>
      <c r="T4" s="244"/>
      <c r="U4" s="244"/>
      <c r="V4" s="245"/>
      <c r="W4" s="6"/>
    </row>
    <row r="5" spans="1:23" ht="16.2">
      <c r="A5" s="242"/>
      <c r="B5" s="286" t="s">
        <v>0</v>
      </c>
      <c r="C5" s="248"/>
      <c r="D5" s="248"/>
      <c r="E5" s="248"/>
      <c r="F5" s="248"/>
      <c r="G5" s="248"/>
      <c r="H5" s="248"/>
      <c r="I5" s="248"/>
      <c r="J5" s="248"/>
      <c r="K5" s="248"/>
      <c r="L5" s="248"/>
      <c r="M5" s="244"/>
      <c r="N5" s="244"/>
      <c r="O5" s="244"/>
      <c r="P5" s="244"/>
      <c r="Q5" s="244"/>
      <c r="R5" s="244"/>
      <c r="S5" s="244"/>
      <c r="T5" s="244"/>
      <c r="U5" s="244"/>
      <c r="V5" s="245"/>
      <c r="W5" s="6"/>
    </row>
    <row r="6" spans="1:23" ht="16.2">
      <c r="A6" s="242"/>
      <c r="B6" s="286" t="s">
        <v>1</v>
      </c>
      <c r="C6" s="248"/>
      <c r="D6" s="248"/>
      <c r="E6" s="248"/>
      <c r="F6" s="248"/>
      <c r="G6" s="248"/>
      <c r="H6" s="248"/>
      <c r="I6" s="248"/>
      <c r="J6" s="248"/>
      <c r="K6" s="248"/>
      <c r="L6" s="248"/>
      <c r="M6" s="244"/>
      <c r="N6" s="244"/>
      <c r="O6" s="244"/>
      <c r="P6" s="244"/>
      <c r="Q6" s="244"/>
      <c r="R6" s="244"/>
      <c r="S6" s="244"/>
      <c r="T6" s="244"/>
      <c r="U6" s="244"/>
      <c r="V6" s="245"/>
      <c r="W6" s="6"/>
    </row>
    <row r="7" spans="1:23" ht="16.2">
      <c r="A7" s="242"/>
      <c r="B7" s="286" t="s">
        <v>2</v>
      </c>
      <c r="C7" s="248"/>
      <c r="D7" s="248"/>
      <c r="E7" s="248"/>
      <c r="F7" s="248"/>
      <c r="G7" s="248"/>
      <c r="H7" s="248"/>
      <c r="I7" s="248"/>
      <c r="J7" s="248"/>
      <c r="K7" s="248"/>
      <c r="L7" s="248"/>
      <c r="M7" s="244"/>
      <c r="N7" s="244"/>
      <c r="O7" s="244"/>
      <c r="P7" s="244"/>
      <c r="Q7" s="244"/>
      <c r="R7" s="244"/>
      <c r="S7" s="244"/>
      <c r="T7" s="244"/>
      <c r="U7" s="244"/>
      <c r="V7" s="245"/>
      <c r="W7" s="6"/>
    </row>
    <row r="8" spans="1:23" ht="16.2">
      <c r="A8" s="242"/>
      <c r="B8" s="249"/>
      <c r="C8" s="248"/>
      <c r="D8" s="248"/>
      <c r="E8" s="248"/>
      <c r="F8" s="248"/>
      <c r="G8" s="248"/>
      <c r="H8" s="248"/>
      <c r="I8" s="248"/>
      <c r="J8" s="248"/>
      <c r="K8" s="248"/>
      <c r="L8" s="248"/>
      <c r="M8" s="244"/>
      <c r="N8" s="244"/>
      <c r="O8" s="244"/>
      <c r="P8" s="244"/>
      <c r="Q8" s="244"/>
      <c r="R8" s="244"/>
      <c r="S8" s="244"/>
      <c r="T8" s="244"/>
      <c r="U8" s="244"/>
      <c r="V8" s="245"/>
      <c r="W8" s="6"/>
    </row>
    <row r="9" spans="1:23" ht="18">
      <c r="A9" s="242"/>
      <c r="B9" s="250" t="s">
        <v>194</v>
      </c>
      <c r="C9" s="248"/>
      <c r="D9" s="248"/>
      <c r="E9" s="248"/>
      <c r="F9" s="248"/>
      <c r="G9" s="248"/>
      <c r="H9" s="248"/>
      <c r="I9" s="251" t="s">
        <v>195</v>
      </c>
      <c r="J9" s="248"/>
      <c r="K9" s="248"/>
      <c r="L9" s="248"/>
      <c r="M9" s="244"/>
      <c r="N9" s="244"/>
      <c r="O9" s="244"/>
      <c r="P9" s="244"/>
      <c r="Q9" s="244"/>
      <c r="R9" s="244"/>
      <c r="S9" s="244"/>
      <c r="T9" s="244"/>
      <c r="U9" s="244"/>
      <c r="V9" s="245"/>
      <c r="W9" s="6"/>
    </row>
    <row r="10" spans="1:23" ht="16.2">
      <c r="A10" s="242"/>
      <c r="B10" s="248"/>
      <c r="C10" s="248"/>
      <c r="D10" s="248"/>
      <c r="E10" s="248"/>
      <c r="F10" s="248"/>
      <c r="G10" s="248"/>
      <c r="H10" s="248"/>
      <c r="I10" s="248"/>
      <c r="J10" s="248"/>
      <c r="K10" s="248"/>
      <c r="L10" s="248"/>
      <c r="M10" s="252"/>
      <c r="N10" s="252"/>
      <c r="O10" s="244"/>
      <c r="P10" s="244"/>
      <c r="Q10" s="244"/>
      <c r="R10" s="244"/>
      <c r="S10" s="244"/>
      <c r="T10" s="244"/>
      <c r="U10" s="244"/>
      <c r="V10" s="245"/>
      <c r="W10" s="6"/>
    </row>
    <row r="11" spans="1:23" ht="15.6">
      <c r="A11" s="242"/>
      <c r="B11" s="287" t="s">
        <v>3</v>
      </c>
      <c r="C11" s="252"/>
      <c r="D11" s="252"/>
      <c r="E11" s="252"/>
      <c r="F11" s="252"/>
      <c r="G11" s="252"/>
      <c r="H11" s="252"/>
      <c r="I11" s="252"/>
      <c r="J11" s="252"/>
      <c r="K11" s="252"/>
      <c r="L11" s="252"/>
      <c r="M11" s="244"/>
      <c r="N11" s="244"/>
      <c r="O11" s="244"/>
      <c r="P11" s="244"/>
      <c r="Q11" s="244"/>
      <c r="R11" s="244"/>
      <c r="S11" s="244"/>
      <c r="T11" s="244"/>
      <c r="U11" s="244"/>
      <c r="V11" s="245"/>
      <c r="W11" s="6"/>
    </row>
    <row r="12" spans="1:23" ht="16.2" thickBot="1">
      <c r="A12" s="242"/>
      <c r="B12" s="252"/>
      <c r="C12" s="252"/>
      <c r="D12" s="252"/>
      <c r="E12" s="252"/>
      <c r="F12" s="252"/>
      <c r="G12" s="252"/>
      <c r="H12" s="252"/>
      <c r="I12" s="252"/>
      <c r="J12" s="252"/>
      <c r="K12" s="252"/>
      <c r="L12" s="252"/>
      <c r="M12" s="244"/>
      <c r="N12" s="244"/>
      <c r="O12" s="244"/>
      <c r="P12" s="244"/>
      <c r="Q12" s="244"/>
      <c r="R12" s="244"/>
      <c r="S12" s="244"/>
      <c r="T12" s="244"/>
      <c r="U12" s="244"/>
      <c r="V12" s="245"/>
      <c r="W12" s="6"/>
    </row>
    <row r="13" spans="1:23" ht="15.6">
      <c r="A13" s="238"/>
      <c r="B13" s="240"/>
      <c r="C13" s="240"/>
      <c r="D13" s="240"/>
      <c r="E13" s="240"/>
      <c r="F13" s="240"/>
      <c r="G13" s="240"/>
      <c r="H13" s="240"/>
      <c r="I13" s="240"/>
      <c r="J13" s="240"/>
      <c r="K13" s="240"/>
      <c r="L13" s="240"/>
      <c r="M13" s="240"/>
      <c r="N13" s="240"/>
      <c r="O13" s="240"/>
      <c r="P13" s="240"/>
      <c r="Q13" s="240"/>
      <c r="R13" s="240"/>
      <c r="S13" s="240"/>
      <c r="T13" s="240"/>
      <c r="U13" s="240"/>
      <c r="V13" s="241"/>
      <c r="W13" s="6"/>
    </row>
    <row r="14" spans="1:23" ht="15.6">
      <c r="A14" s="242"/>
      <c r="B14" s="287" t="s">
        <v>4</v>
      </c>
      <c r="C14" s="253"/>
      <c r="D14" s="253"/>
      <c r="E14" s="253"/>
      <c r="F14" s="253"/>
      <c r="G14" s="253"/>
      <c r="H14" s="253"/>
      <c r="I14" s="253"/>
      <c r="J14" s="253"/>
      <c r="K14" s="253"/>
      <c r="L14" s="253"/>
      <c r="M14" s="288"/>
      <c r="N14" s="288"/>
      <c r="O14" s="288"/>
      <c r="P14" s="288"/>
      <c r="Q14" s="288"/>
      <c r="R14" s="288"/>
      <c r="S14" s="288"/>
      <c r="T14" s="288"/>
      <c r="U14" s="289" t="s">
        <v>126</v>
      </c>
      <c r="V14" s="245"/>
      <c r="W14" s="6"/>
    </row>
    <row r="15" spans="1:23" ht="15.6">
      <c r="A15" s="242"/>
      <c r="B15" s="287" t="s">
        <v>5</v>
      </c>
      <c r="C15" s="253"/>
      <c r="D15" s="253"/>
      <c r="E15" s="253"/>
      <c r="F15" s="253"/>
      <c r="G15" s="253"/>
      <c r="H15" s="253"/>
      <c r="I15" s="253"/>
      <c r="J15" s="253"/>
      <c r="K15" s="253"/>
      <c r="L15" s="253"/>
      <c r="M15" s="290" t="s">
        <v>93</v>
      </c>
      <c r="N15" s="291">
        <v>0.1492</v>
      </c>
      <c r="O15" s="290" t="s">
        <v>99</v>
      </c>
      <c r="P15" s="291">
        <v>5.4399999999999997E-2</v>
      </c>
      <c r="Q15" s="290" t="s">
        <v>102</v>
      </c>
      <c r="R15" s="291">
        <v>0.48899999999999999</v>
      </c>
      <c r="S15" s="290" t="s">
        <v>108</v>
      </c>
      <c r="T15" s="291">
        <v>0.30740000000000001</v>
      </c>
      <c r="U15" s="289"/>
      <c r="V15" s="254"/>
      <c r="W15" s="6"/>
    </row>
    <row r="16" spans="1:23" ht="15.6">
      <c r="A16" s="242"/>
      <c r="B16" s="287" t="s">
        <v>6</v>
      </c>
      <c r="C16" s="253"/>
      <c r="D16" s="253"/>
      <c r="E16" s="253"/>
      <c r="F16" s="253"/>
      <c r="G16" s="253"/>
      <c r="H16" s="253"/>
      <c r="I16" s="253"/>
      <c r="J16" s="253"/>
      <c r="K16" s="253"/>
      <c r="L16" s="253"/>
      <c r="M16" s="290" t="s">
        <v>93</v>
      </c>
      <c r="N16" s="291">
        <f>+N198/S221</f>
        <v>1.3411297677163243E-2</v>
      </c>
      <c r="O16" s="290" t="s">
        <v>99</v>
      </c>
      <c r="P16" s="291">
        <f>+S198/S221</f>
        <v>2.4523515752527072E-3</v>
      </c>
      <c r="Q16" s="290" t="s">
        <v>102</v>
      </c>
      <c r="R16" s="291">
        <f>+N211/S221</f>
        <v>0.97631948010146608</v>
      </c>
      <c r="S16" s="290" t="s">
        <v>108</v>
      </c>
      <c r="T16" s="291">
        <f>+S211/S221</f>
        <v>7.8168706461180047E-3</v>
      </c>
      <c r="U16" s="289"/>
      <c r="V16" s="254"/>
      <c r="W16" s="6"/>
    </row>
    <row r="17" spans="1:23" ht="15.6">
      <c r="A17" s="242"/>
      <c r="B17" s="287" t="s">
        <v>7</v>
      </c>
      <c r="C17" s="253"/>
      <c r="D17" s="253"/>
      <c r="E17" s="253"/>
      <c r="F17" s="253"/>
      <c r="G17" s="253"/>
      <c r="H17" s="253"/>
      <c r="I17" s="253"/>
      <c r="J17" s="253"/>
      <c r="K17" s="253"/>
      <c r="L17" s="253"/>
      <c r="M17" s="288"/>
      <c r="N17" s="288"/>
      <c r="O17" s="288"/>
      <c r="P17" s="288"/>
      <c r="Q17" s="288"/>
      <c r="R17" s="288"/>
      <c r="S17" s="288"/>
      <c r="T17" s="288"/>
      <c r="U17" s="292">
        <v>38491</v>
      </c>
      <c r="V17" s="245"/>
      <c r="W17" s="6"/>
    </row>
    <row r="18" spans="1:23" ht="15.6">
      <c r="A18" s="242"/>
      <c r="B18" s="287" t="s">
        <v>8</v>
      </c>
      <c r="C18" s="253"/>
      <c r="D18" s="253"/>
      <c r="E18" s="253"/>
      <c r="F18" s="253"/>
      <c r="G18" s="253"/>
      <c r="H18" s="253"/>
      <c r="I18" s="253"/>
      <c r="J18" s="253"/>
      <c r="K18" s="253"/>
      <c r="L18" s="253"/>
      <c r="M18" s="288"/>
      <c r="N18" s="288"/>
      <c r="O18" s="288"/>
      <c r="P18" s="288"/>
      <c r="Q18" s="288"/>
      <c r="R18" s="288"/>
      <c r="S18" s="288"/>
      <c r="T18" s="288"/>
      <c r="U18" s="292">
        <v>41565</v>
      </c>
      <c r="V18" s="245"/>
      <c r="W18" s="6"/>
    </row>
    <row r="19" spans="1:23" ht="15.6">
      <c r="A19" s="242"/>
      <c r="B19" s="288"/>
      <c r="C19" s="244"/>
      <c r="D19" s="244"/>
      <c r="E19" s="244"/>
      <c r="F19" s="244"/>
      <c r="G19" s="244"/>
      <c r="H19" s="244"/>
      <c r="I19" s="244"/>
      <c r="J19" s="244"/>
      <c r="K19" s="244"/>
      <c r="L19" s="244"/>
      <c r="M19" s="244"/>
      <c r="N19" s="244"/>
      <c r="O19" s="244"/>
      <c r="P19" s="244"/>
      <c r="Q19" s="244"/>
      <c r="R19" s="244"/>
      <c r="S19" s="244"/>
      <c r="T19" s="244"/>
      <c r="U19" s="255"/>
      <c r="V19" s="245"/>
      <c r="W19" s="6"/>
    </row>
    <row r="20" spans="1:23" ht="15.6">
      <c r="A20" s="242"/>
      <c r="B20" s="293" t="s">
        <v>9</v>
      </c>
      <c r="C20" s="244"/>
      <c r="D20" s="244"/>
      <c r="E20" s="244"/>
      <c r="F20" s="244"/>
      <c r="G20" s="244"/>
      <c r="H20" s="244"/>
      <c r="I20" s="244"/>
      <c r="J20" s="244"/>
      <c r="K20" s="244"/>
      <c r="L20" s="244"/>
      <c r="M20" s="244"/>
      <c r="N20" s="244"/>
      <c r="O20" s="244"/>
      <c r="P20" s="244"/>
      <c r="Q20" s="244"/>
      <c r="R20" s="244"/>
      <c r="S20" s="255"/>
      <c r="T20" s="244"/>
      <c r="U20" s="249"/>
      <c r="V20" s="245"/>
      <c r="W20" s="6"/>
    </row>
    <row r="21" spans="1:23" ht="15.6">
      <c r="A21" s="242"/>
      <c r="B21" s="244"/>
      <c r="C21" s="244"/>
      <c r="D21" s="244"/>
      <c r="E21" s="244"/>
      <c r="F21" s="244"/>
      <c r="G21" s="244"/>
      <c r="H21" s="244"/>
      <c r="I21" s="244"/>
      <c r="J21" s="244"/>
      <c r="K21" s="244"/>
      <c r="L21" s="244"/>
      <c r="M21" s="244"/>
      <c r="N21" s="244"/>
      <c r="O21" s="244"/>
      <c r="P21" s="244"/>
      <c r="Q21" s="244"/>
      <c r="R21" s="244"/>
      <c r="S21" s="244"/>
      <c r="T21" s="244"/>
      <c r="U21" s="256"/>
      <c r="V21" s="245"/>
      <c r="W21" s="6"/>
    </row>
    <row r="22" spans="1:23" ht="15.6">
      <c r="A22" s="230"/>
      <c r="B22" s="231"/>
      <c r="C22" s="232" t="s">
        <v>130</v>
      </c>
      <c r="D22" s="232"/>
      <c r="E22" s="232" t="s">
        <v>131</v>
      </c>
      <c r="F22" s="232"/>
      <c r="G22" s="232" t="s">
        <v>132</v>
      </c>
      <c r="H22" s="232"/>
      <c r="I22" s="232" t="s">
        <v>133</v>
      </c>
      <c r="J22" s="232"/>
      <c r="K22" s="232" t="s">
        <v>134</v>
      </c>
      <c r="L22" s="232"/>
      <c r="M22" s="233" t="s">
        <v>135</v>
      </c>
      <c r="N22" s="233"/>
      <c r="O22" s="233" t="s">
        <v>136</v>
      </c>
      <c r="P22" s="233"/>
      <c r="Q22" s="233" t="s">
        <v>137</v>
      </c>
      <c r="R22" s="233"/>
      <c r="S22" s="235"/>
      <c r="T22" s="236"/>
      <c r="U22" s="236"/>
      <c r="V22" s="237"/>
      <c r="W22" s="6"/>
    </row>
    <row r="23" spans="1:23" ht="15.6">
      <c r="A23" s="257"/>
      <c r="B23" s="294" t="s">
        <v>10</v>
      </c>
      <c r="C23" s="295" t="s">
        <v>96</v>
      </c>
      <c r="D23" s="295"/>
      <c r="E23" s="295" t="s">
        <v>96</v>
      </c>
      <c r="F23" s="295"/>
      <c r="G23" s="295" t="s">
        <v>138</v>
      </c>
      <c r="H23" s="295"/>
      <c r="I23" s="295" t="s">
        <v>138</v>
      </c>
      <c r="J23" s="295"/>
      <c r="K23" s="295" t="s">
        <v>104</v>
      </c>
      <c r="L23" s="296"/>
      <c r="M23" s="297" t="s">
        <v>104</v>
      </c>
      <c r="N23" s="297"/>
      <c r="O23" s="297" t="s">
        <v>109</v>
      </c>
      <c r="P23" s="297"/>
      <c r="Q23" s="297" t="s">
        <v>109</v>
      </c>
      <c r="R23" s="258"/>
      <c r="S23" s="258"/>
      <c r="T23" s="259"/>
      <c r="U23" s="259"/>
      <c r="V23" s="260"/>
      <c r="W23" s="6"/>
    </row>
    <row r="24" spans="1:23" ht="15.6">
      <c r="A24" s="378"/>
      <c r="B24" s="379" t="s">
        <v>11</v>
      </c>
      <c r="C24" s="380" t="s">
        <v>97</v>
      </c>
      <c r="D24" s="380"/>
      <c r="E24" s="380" t="s">
        <v>97</v>
      </c>
      <c r="F24" s="380"/>
      <c r="G24" s="380" t="s">
        <v>139</v>
      </c>
      <c r="H24" s="380"/>
      <c r="I24" s="380" t="s">
        <v>139</v>
      </c>
      <c r="J24" s="380"/>
      <c r="K24" s="380" t="s">
        <v>105</v>
      </c>
      <c r="L24" s="381"/>
      <c r="M24" s="382" t="s">
        <v>105</v>
      </c>
      <c r="N24" s="382"/>
      <c r="O24" s="382" t="s">
        <v>110</v>
      </c>
      <c r="P24" s="382"/>
      <c r="Q24" s="382" t="s">
        <v>110</v>
      </c>
      <c r="R24" s="383"/>
      <c r="S24" s="383"/>
      <c r="T24" s="384"/>
      <c r="U24" s="384"/>
      <c r="V24" s="385"/>
      <c r="W24" s="6"/>
    </row>
    <row r="25" spans="1:23" ht="15.6">
      <c r="A25" s="378"/>
      <c r="B25" s="386" t="s">
        <v>12</v>
      </c>
      <c r="C25" s="381" t="s">
        <v>284</v>
      </c>
      <c r="D25" s="381"/>
      <c r="E25" s="381" t="s">
        <v>284</v>
      </c>
      <c r="F25" s="381"/>
      <c r="G25" s="381" t="s">
        <v>138</v>
      </c>
      <c r="H25" s="381"/>
      <c r="I25" s="381" t="s">
        <v>138</v>
      </c>
      <c r="J25" s="386"/>
      <c r="K25" s="381" t="s">
        <v>104</v>
      </c>
      <c r="L25" s="386"/>
      <c r="M25" s="387" t="s">
        <v>104</v>
      </c>
      <c r="N25" s="382"/>
      <c r="O25" s="387" t="s">
        <v>109</v>
      </c>
      <c r="P25" s="382"/>
      <c r="Q25" s="387" t="s">
        <v>109</v>
      </c>
      <c r="R25" s="388"/>
      <c r="S25" s="388"/>
      <c r="T25" s="389"/>
      <c r="U25" s="384"/>
      <c r="V25" s="385"/>
      <c r="W25" s="6"/>
    </row>
    <row r="26" spans="1:23" ht="15.6">
      <c r="A26" s="378"/>
      <c r="B26" s="386" t="s">
        <v>13</v>
      </c>
      <c r="C26" s="381" t="s">
        <v>139</v>
      </c>
      <c r="D26" s="381"/>
      <c r="E26" s="381" t="s">
        <v>139</v>
      </c>
      <c r="F26" s="381"/>
      <c r="G26" s="381" t="s">
        <v>139</v>
      </c>
      <c r="H26" s="381"/>
      <c r="I26" s="381" t="s">
        <v>139</v>
      </c>
      <c r="J26" s="386"/>
      <c r="K26" s="381" t="s">
        <v>280</v>
      </c>
      <c r="L26" s="386"/>
      <c r="M26" s="387" t="s">
        <v>280</v>
      </c>
      <c r="N26" s="382"/>
      <c r="O26" s="387" t="s">
        <v>110</v>
      </c>
      <c r="P26" s="382"/>
      <c r="Q26" s="387" t="s">
        <v>110</v>
      </c>
      <c r="R26" s="388"/>
      <c r="S26" s="388"/>
      <c r="T26" s="389"/>
      <c r="U26" s="384"/>
      <c r="V26" s="385"/>
      <c r="W26" s="6"/>
    </row>
    <row r="27" spans="1:23" ht="15.6">
      <c r="A27" s="378"/>
      <c r="B27" s="379" t="s">
        <v>14</v>
      </c>
      <c r="C27" s="380" t="s">
        <v>140</v>
      </c>
      <c r="D27" s="379"/>
      <c r="E27" s="380" t="s">
        <v>141</v>
      </c>
      <c r="F27" s="379"/>
      <c r="G27" s="380" t="s">
        <v>142</v>
      </c>
      <c r="H27" s="379"/>
      <c r="I27" s="380" t="s">
        <v>258</v>
      </c>
      <c r="J27" s="379"/>
      <c r="K27" s="380" t="s">
        <v>143</v>
      </c>
      <c r="L27" s="379"/>
      <c r="M27" s="379" t="s">
        <v>144</v>
      </c>
      <c r="N27" s="382"/>
      <c r="O27" s="379" t="s">
        <v>145</v>
      </c>
      <c r="P27" s="382"/>
      <c r="Q27" s="379" t="s">
        <v>146</v>
      </c>
      <c r="R27" s="383"/>
      <c r="S27" s="390"/>
      <c r="T27" s="384"/>
      <c r="U27" s="384"/>
      <c r="V27" s="385"/>
      <c r="W27" s="6"/>
    </row>
    <row r="28" spans="1:23" ht="15.6">
      <c r="A28" s="378"/>
      <c r="B28" s="379" t="s">
        <v>147</v>
      </c>
      <c r="C28" s="391">
        <v>146000</v>
      </c>
      <c r="D28" s="380"/>
      <c r="E28" s="392">
        <v>259500</v>
      </c>
      <c r="F28" s="380"/>
      <c r="G28" s="391">
        <v>16000</v>
      </c>
      <c r="H28" s="380"/>
      <c r="I28" s="392">
        <v>35500</v>
      </c>
      <c r="J28" s="379"/>
      <c r="K28" s="391">
        <v>18000</v>
      </c>
      <c r="L28" s="379"/>
      <c r="M28" s="392">
        <v>33000</v>
      </c>
      <c r="N28" s="393"/>
      <c r="O28" s="394">
        <v>24500</v>
      </c>
      <c r="P28" s="394"/>
      <c r="Q28" s="392">
        <v>30000</v>
      </c>
      <c r="R28" s="395"/>
      <c r="S28" s="395"/>
      <c r="T28" s="396"/>
      <c r="U28" s="395"/>
      <c r="V28" s="397"/>
      <c r="W28" s="6"/>
    </row>
    <row r="29" spans="1:23" ht="15.6">
      <c r="A29" s="378"/>
      <c r="B29" s="379" t="s">
        <v>15</v>
      </c>
      <c r="C29" s="391">
        <f>C28*C35</f>
        <v>27115.003199999999</v>
      </c>
      <c r="D29" s="398"/>
      <c r="E29" s="392">
        <f>E28*E35</f>
        <v>48194.132400000002</v>
      </c>
      <c r="F29" s="398"/>
      <c r="G29" s="391">
        <f>G28*G35</f>
        <v>9734.3616000000002</v>
      </c>
      <c r="H29" s="398"/>
      <c r="I29" s="392">
        <f>I28*I35</f>
        <v>21598.114799999999</v>
      </c>
      <c r="J29" s="399"/>
      <c r="K29" s="391">
        <f>K28*K35</f>
        <v>10951.156799999999</v>
      </c>
      <c r="L29" s="399"/>
      <c r="M29" s="392">
        <f>M28*M35</f>
        <v>20077.120800000001</v>
      </c>
      <c r="N29" s="393"/>
      <c r="O29" s="391">
        <f>O28*O35</f>
        <v>14905.7412</v>
      </c>
      <c r="P29" s="394"/>
      <c r="Q29" s="392">
        <f>Q28*Q35</f>
        <v>18251.928</v>
      </c>
      <c r="R29" s="400"/>
      <c r="S29" s="395"/>
      <c r="T29" s="396"/>
      <c r="U29" s="395"/>
      <c r="V29" s="397"/>
      <c r="W29" s="6"/>
    </row>
    <row r="30" spans="1:23" ht="15.6">
      <c r="A30" s="401"/>
      <c r="B30" s="386" t="s">
        <v>148</v>
      </c>
      <c r="C30" s="415">
        <f>C34*C28</f>
        <v>25857.6512</v>
      </c>
      <c r="D30" s="505"/>
      <c r="E30" s="406">
        <f>E34*E28</f>
        <v>45959.318399999996</v>
      </c>
      <c r="F30" s="505"/>
      <c r="G30" s="415">
        <f>G34*G28</f>
        <v>9283.0335999999988</v>
      </c>
      <c r="H30" s="505"/>
      <c r="I30" s="406">
        <f>I34*I28</f>
        <v>20596.730799999998</v>
      </c>
      <c r="J30" s="506"/>
      <c r="K30" s="415">
        <f>K34*K28</f>
        <v>10443.4128</v>
      </c>
      <c r="L30" s="399"/>
      <c r="M30" s="406">
        <f>M34*M28</f>
        <v>19146.256799999999</v>
      </c>
      <c r="N30" s="407"/>
      <c r="O30" s="415">
        <f>O34*O28</f>
        <v>14214.645199999999</v>
      </c>
      <c r="P30" s="408"/>
      <c r="Q30" s="406">
        <f>Q34*Q28</f>
        <v>17405.687999999998</v>
      </c>
      <c r="R30" s="408"/>
      <c r="S30" s="408"/>
      <c r="T30" s="409"/>
      <c r="U30" s="408"/>
      <c r="V30" s="410"/>
      <c r="W30" s="6"/>
    </row>
    <row r="31" spans="1:23" ht="15.6">
      <c r="A31" s="401"/>
      <c r="B31" s="379" t="s">
        <v>260</v>
      </c>
      <c r="C31" s="391">
        <v>146000</v>
      </c>
      <c r="D31" s="398"/>
      <c r="E31" s="391">
        <v>178000</v>
      </c>
      <c r="F31" s="391"/>
      <c r="G31" s="391">
        <v>16000</v>
      </c>
      <c r="H31" s="391"/>
      <c r="I31" s="391">
        <v>24500</v>
      </c>
      <c r="J31" s="412"/>
      <c r="K31" s="391">
        <v>18000</v>
      </c>
      <c r="L31" s="412"/>
      <c r="M31" s="391">
        <v>22500</v>
      </c>
      <c r="N31" s="414"/>
      <c r="O31" s="391">
        <v>24500</v>
      </c>
      <c r="P31" s="415"/>
      <c r="Q31" s="391">
        <v>20500</v>
      </c>
      <c r="R31" s="408"/>
      <c r="S31" s="408"/>
      <c r="T31" s="409"/>
      <c r="U31" s="394">
        <f>+Q31+O31+M31+K31+I31+G31+E31+C31</f>
        <v>450000</v>
      </c>
      <c r="V31" s="410"/>
      <c r="W31" s="6"/>
    </row>
    <row r="32" spans="1:23" ht="15.6">
      <c r="A32" s="401"/>
      <c r="B32" s="379" t="s">
        <v>261</v>
      </c>
      <c r="C32" s="391">
        <f>C28*C35</f>
        <v>27115.003199999999</v>
      </c>
      <c r="D32" s="398"/>
      <c r="E32" s="391">
        <f>E31*E35</f>
        <v>33058.017599999999</v>
      </c>
      <c r="F32" s="391"/>
      <c r="G32" s="391">
        <f>G28*G35</f>
        <v>9734.3616000000002</v>
      </c>
      <c r="H32" s="391"/>
      <c r="I32" s="391">
        <f>I31*I35</f>
        <v>14905.7412</v>
      </c>
      <c r="J32" s="412"/>
      <c r="K32" s="391">
        <f>K28*K35</f>
        <v>10951.156799999999</v>
      </c>
      <c r="L32" s="412"/>
      <c r="M32" s="391">
        <f>M31*M35</f>
        <v>13688.946</v>
      </c>
      <c r="N32" s="414"/>
      <c r="O32" s="391">
        <f>O28*O35</f>
        <v>14905.7412</v>
      </c>
      <c r="P32" s="415"/>
      <c r="Q32" s="391">
        <f>Q31*Q35</f>
        <v>12472.150799999999</v>
      </c>
      <c r="R32" s="391"/>
      <c r="S32" s="408"/>
      <c r="T32" s="409"/>
      <c r="U32" s="394">
        <f>+Q32+O32+M32+K32+I32+G32+E32+C32</f>
        <v>136831.11840000001</v>
      </c>
      <c r="V32" s="410"/>
      <c r="W32" s="6"/>
    </row>
    <row r="33" spans="1:23" ht="15.6">
      <c r="A33" s="401"/>
      <c r="B33" s="386" t="s">
        <v>262</v>
      </c>
      <c r="C33" s="415">
        <f>C34*C28</f>
        <v>25857.6512</v>
      </c>
      <c r="D33" s="415"/>
      <c r="E33" s="415">
        <f>E34*E31</f>
        <v>31525.081599999998</v>
      </c>
      <c r="F33" s="415"/>
      <c r="G33" s="415">
        <f>G34*G28</f>
        <v>9283.0335999999988</v>
      </c>
      <c r="H33" s="415"/>
      <c r="I33" s="415">
        <f>I34*I31</f>
        <v>14214.645199999999</v>
      </c>
      <c r="J33" s="414"/>
      <c r="K33" s="415">
        <f>K34*K28</f>
        <v>10443.4128</v>
      </c>
      <c r="L33" s="414"/>
      <c r="M33" s="415">
        <f>M34*M31</f>
        <v>13054.266</v>
      </c>
      <c r="N33" s="414"/>
      <c r="O33" s="415">
        <f>O34*O28</f>
        <v>14214.645199999999</v>
      </c>
      <c r="P33" s="415"/>
      <c r="Q33" s="415">
        <f>Q34*Q31</f>
        <v>11893.8868</v>
      </c>
      <c r="R33" s="408"/>
      <c r="S33" s="408"/>
      <c r="T33" s="409"/>
      <c r="U33" s="408">
        <f>+Q33+O33+M33+K33+I33+G33+E33+C33</f>
        <v>130486.62239999999</v>
      </c>
      <c r="V33" s="410"/>
      <c r="W33" s="6"/>
    </row>
    <row r="34" spans="1:23" ht="15.6">
      <c r="A34" s="401"/>
      <c r="B34" s="468" t="s">
        <v>149</v>
      </c>
      <c r="C34" s="507">
        <v>0.17710719999999999</v>
      </c>
      <c r="D34" s="507"/>
      <c r="E34" s="507">
        <v>0.17710719999999999</v>
      </c>
      <c r="F34" s="507"/>
      <c r="G34" s="507">
        <v>0.58018959999999997</v>
      </c>
      <c r="H34" s="507"/>
      <c r="I34" s="507">
        <v>0.58018959999999997</v>
      </c>
      <c r="J34" s="507"/>
      <c r="K34" s="507">
        <v>0.58018959999999997</v>
      </c>
      <c r="L34" s="507"/>
      <c r="M34" s="507">
        <v>0.58018959999999997</v>
      </c>
      <c r="N34" s="507"/>
      <c r="O34" s="507">
        <v>0.58018959999999997</v>
      </c>
      <c r="P34" s="507"/>
      <c r="Q34" s="507">
        <v>0.58018959999999997</v>
      </c>
      <c r="R34" s="508"/>
      <c r="S34" s="420"/>
      <c r="T34" s="421"/>
      <c r="U34" s="420"/>
      <c r="V34" s="385"/>
      <c r="W34" s="6"/>
    </row>
    <row r="35" spans="1:23" ht="15.6">
      <c r="A35" s="401"/>
      <c r="B35" s="468" t="s">
        <v>150</v>
      </c>
      <c r="C35" s="507">
        <v>0.1857192</v>
      </c>
      <c r="D35" s="507"/>
      <c r="E35" s="507">
        <v>0.1857192</v>
      </c>
      <c r="F35" s="507"/>
      <c r="G35" s="507">
        <v>0.60839759999999998</v>
      </c>
      <c r="H35" s="507"/>
      <c r="I35" s="507">
        <v>0.60839759999999998</v>
      </c>
      <c r="J35" s="507"/>
      <c r="K35" s="507">
        <v>0.60839759999999998</v>
      </c>
      <c r="L35" s="507"/>
      <c r="M35" s="507">
        <v>0.60839759999999998</v>
      </c>
      <c r="N35" s="507"/>
      <c r="O35" s="507">
        <v>0.60839759999999998</v>
      </c>
      <c r="P35" s="507"/>
      <c r="Q35" s="507">
        <v>0.60839759999999998</v>
      </c>
      <c r="R35" s="508"/>
      <c r="S35" s="420"/>
      <c r="T35" s="421"/>
      <c r="U35" s="420"/>
      <c r="V35" s="385"/>
      <c r="W35" s="6"/>
    </row>
    <row r="36" spans="1:23" ht="15.6">
      <c r="A36" s="378"/>
      <c r="B36" s="379" t="s">
        <v>153</v>
      </c>
      <c r="C36" s="380" t="s">
        <v>163</v>
      </c>
      <c r="D36" s="380"/>
      <c r="E36" s="380" t="s">
        <v>163</v>
      </c>
      <c r="F36" s="380"/>
      <c r="G36" s="380" t="s">
        <v>164</v>
      </c>
      <c r="H36" s="380"/>
      <c r="I36" s="380" t="s">
        <v>164</v>
      </c>
      <c r="J36" s="380"/>
      <c r="K36" s="380" t="s">
        <v>106</v>
      </c>
      <c r="L36" s="380"/>
      <c r="M36" s="380" t="s">
        <v>165</v>
      </c>
      <c r="N36" s="380"/>
      <c r="O36" s="380" t="s">
        <v>166</v>
      </c>
      <c r="P36" s="380"/>
      <c r="Q36" s="380" t="s">
        <v>167</v>
      </c>
      <c r="R36" s="380"/>
      <c r="S36" s="380"/>
      <c r="T36" s="379"/>
      <c r="U36" s="424"/>
      <c r="V36" s="410"/>
      <c r="W36" s="6"/>
    </row>
    <row r="37" spans="1:23" ht="15.6">
      <c r="A37" s="378"/>
      <c r="B37" s="379" t="s">
        <v>151</v>
      </c>
      <c r="C37" s="509">
        <v>9.4938000000000002E-3</v>
      </c>
      <c r="D37" s="509"/>
      <c r="E37" s="509">
        <v>6.5799999999999999E-3</v>
      </c>
      <c r="F37" s="509"/>
      <c r="G37" s="509">
        <v>1.1693800000000001E-2</v>
      </c>
      <c r="H37" s="509"/>
      <c r="I37" s="509">
        <v>8.7799999999999996E-3</v>
      </c>
      <c r="J37" s="509"/>
      <c r="K37" s="509">
        <v>1.7093799999999999E-2</v>
      </c>
      <c r="L37" s="509"/>
      <c r="M37" s="509">
        <v>1.358E-2</v>
      </c>
      <c r="N37" s="509"/>
      <c r="O37" s="509">
        <v>2.4093799999999999E-2</v>
      </c>
      <c r="P37" s="509"/>
      <c r="Q37" s="509">
        <v>2.018E-2</v>
      </c>
      <c r="R37" s="427"/>
      <c r="S37" s="509"/>
      <c r="T37" s="379"/>
      <c r="U37" s="380"/>
      <c r="V37" s="410"/>
      <c r="W37" s="6"/>
    </row>
    <row r="38" spans="1:23" ht="15.6">
      <c r="A38" s="378"/>
      <c r="B38" s="379" t="s">
        <v>152</v>
      </c>
      <c r="C38" s="509">
        <v>9.4563000000000008E-3</v>
      </c>
      <c r="D38" s="509"/>
      <c r="E38" s="509">
        <v>6.5100000000000002E-3</v>
      </c>
      <c r="F38" s="509"/>
      <c r="G38" s="509">
        <v>1.16563E-2</v>
      </c>
      <c r="H38" s="509"/>
      <c r="I38" s="509">
        <v>8.7100000000000007E-3</v>
      </c>
      <c r="J38" s="509"/>
      <c r="K38" s="509">
        <v>1.70563E-2</v>
      </c>
      <c r="L38" s="509"/>
      <c r="M38" s="509">
        <v>1.3509999999999999E-2</v>
      </c>
      <c r="N38" s="509"/>
      <c r="O38" s="509">
        <v>2.4056299999999999E-2</v>
      </c>
      <c r="P38" s="509"/>
      <c r="Q38" s="509">
        <v>2.0109999999999999E-2</v>
      </c>
      <c r="R38" s="427"/>
      <c r="S38" s="509"/>
      <c r="T38" s="379"/>
      <c r="U38" s="424"/>
      <c r="V38" s="410"/>
      <c r="W38" s="6"/>
    </row>
    <row r="39" spans="1:23" ht="15.6">
      <c r="A39" s="378"/>
      <c r="B39" s="379" t="s">
        <v>263</v>
      </c>
      <c r="C39" s="380" t="s">
        <v>163</v>
      </c>
      <c r="D39" s="379"/>
      <c r="E39" s="380" t="s">
        <v>228</v>
      </c>
      <c r="F39" s="379"/>
      <c r="G39" s="380" t="s">
        <v>164</v>
      </c>
      <c r="H39" s="379"/>
      <c r="I39" s="380" t="s">
        <v>226</v>
      </c>
      <c r="J39" s="379"/>
      <c r="K39" s="380" t="s">
        <v>106</v>
      </c>
      <c r="L39" s="379"/>
      <c r="M39" s="380" t="s">
        <v>227</v>
      </c>
      <c r="N39" s="379"/>
      <c r="O39" s="380" t="s">
        <v>166</v>
      </c>
      <c r="P39" s="380"/>
      <c r="Q39" s="380" t="s">
        <v>229</v>
      </c>
      <c r="R39" s="427"/>
      <c r="S39" s="509"/>
      <c r="T39" s="379"/>
      <c r="U39" s="424"/>
      <c r="V39" s="410"/>
      <c r="W39" s="6"/>
    </row>
    <row r="40" spans="1:23" ht="15.6">
      <c r="A40" s="378"/>
      <c r="B40" s="379" t="s">
        <v>264</v>
      </c>
      <c r="C40" s="509">
        <f>+C37</f>
        <v>9.4938000000000002E-3</v>
      </c>
      <c r="D40" s="509"/>
      <c r="E40" s="509">
        <v>1.00698E-2</v>
      </c>
      <c r="F40" s="509"/>
      <c r="G40" s="509">
        <f>+G37</f>
        <v>1.1693800000000001E-2</v>
      </c>
      <c r="H40" s="509"/>
      <c r="I40" s="509">
        <v>1.24268E-2</v>
      </c>
      <c r="J40" s="509"/>
      <c r="K40" s="509">
        <f>+K37</f>
        <v>1.7093799999999999E-2</v>
      </c>
      <c r="L40" s="510"/>
      <c r="M40" s="509">
        <v>1.7654199999999998E-2</v>
      </c>
      <c r="N40" s="510"/>
      <c r="O40" s="509">
        <f>+O37</f>
        <v>2.4093799999999999E-2</v>
      </c>
      <c r="P40" s="509"/>
      <c r="Q40" s="509">
        <v>2.49202E-2</v>
      </c>
      <c r="R40" s="427"/>
      <c r="S40" s="509"/>
      <c r="T40" s="379"/>
      <c r="U40" s="427">
        <f>SUMPRODUCT(C40:Q40,C32:Q32)/U32</f>
        <v>1.4530196953375481E-2</v>
      </c>
      <c r="V40" s="410"/>
      <c r="W40" s="6"/>
    </row>
    <row r="41" spans="1:23" ht="15.6">
      <c r="A41" s="378"/>
      <c r="B41" s="379" t="s">
        <v>265</v>
      </c>
      <c r="C41" s="509">
        <f>+C38</f>
        <v>9.4563000000000008E-3</v>
      </c>
      <c r="D41" s="509"/>
      <c r="E41" s="509">
        <v>1.0032299999999999E-2</v>
      </c>
      <c r="F41" s="509"/>
      <c r="G41" s="509">
        <f>+G38</f>
        <v>1.16563E-2</v>
      </c>
      <c r="H41" s="509"/>
      <c r="I41" s="509">
        <v>1.2389300000000001E-2</v>
      </c>
      <c r="J41" s="509"/>
      <c r="K41" s="509">
        <f>+K38</f>
        <v>1.70563E-2</v>
      </c>
      <c r="L41" s="510"/>
      <c r="M41" s="509">
        <v>1.7616699999999999E-2</v>
      </c>
      <c r="N41" s="510"/>
      <c r="O41" s="509">
        <f>+O38</f>
        <v>2.4056299999999999E-2</v>
      </c>
      <c r="P41" s="509"/>
      <c r="Q41" s="509">
        <v>2.4882700000000001E-2</v>
      </c>
      <c r="R41" s="427"/>
      <c r="S41" s="509"/>
      <c r="T41" s="379"/>
      <c r="U41" s="424"/>
      <c r="V41" s="410"/>
      <c r="W41" s="6"/>
    </row>
    <row r="42" spans="1:23" ht="15.6">
      <c r="A42" s="378"/>
      <c r="B42" s="379" t="s">
        <v>17</v>
      </c>
      <c r="C42" s="429">
        <v>39918</v>
      </c>
      <c r="D42" s="429"/>
      <c r="E42" s="429">
        <v>39918</v>
      </c>
      <c r="F42" s="429"/>
      <c r="G42" s="429">
        <v>39918</v>
      </c>
      <c r="H42" s="429"/>
      <c r="I42" s="429">
        <v>39918</v>
      </c>
      <c r="J42" s="429"/>
      <c r="K42" s="429">
        <v>39918</v>
      </c>
      <c r="L42" s="429"/>
      <c r="M42" s="429">
        <v>39918</v>
      </c>
      <c r="N42" s="429"/>
      <c r="O42" s="429">
        <v>39918</v>
      </c>
      <c r="P42" s="429"/>
      <c r="Q42" s="429">
        <v>39918</v>
      </c>
      <c r="R42" s="380"/>
      <c r="S42" s="380"/>
      <c r="T42" s="379"/>
      <c r="U42" s="424"/>
      <c r="V42" s="410"/>
      <c r="W42" s="6"/>
    </row>
    <row r="43" spans="1:23" ht="15.6">
      <c r="A43" s="378"/>
      <c r="B43" s="379" t="s">
        <v>18</v>
      </c>
      <c r="C43" s="429">
        <v>40283</v>
      </c>
      <c r="D43" s="430"/>
      <c r="E43" s="429">
        <v>40283</v>
      </c>
      <c r="F43" s="430"/>
      <c r="G43" s="429">
        <v>40283</v>
      </c>
      <c r="H43" s="430"/>
      <c r="I43" s="429">
        <v>40283</v>
      </c>
      <c r="J43" s="430"/>
      <c r="K43" s="429">
        <v>40283</v>
      </c>
      <c r="L43" s="430"/>
      <c r="M43" s="429">
        <v>40283</v>
      </c>
      <c r="N43" s="430"/>
      <c r="O43" s="429">
        <v>40283</v>
      </c>
      <c r="P43" s="429"/>
      <c r="Q43" s="429">
        <v>40283</v>
      </c>
      <c r="R43" s="380"/>
      <c r="S43" s="380"/>
      <c r="T43" s="424"/>
      <c r="U43" s="424"/>
      <c r="V43" s="410"/>
      <c r="W43" s="6"/>
    </row>
    <row r="44" spans="1:23" ht="15.6">
      <c r="A44" s="378"/>
      <c r="B44" s="379" t="s">
        <v>154</v>
      </c>
      <c r="C44" s="380" t="s">
        <v>163</v>
      </c>
      <c r="D44" s="380"/>
      <c r="E44" s="380" t="s">
        <v>163</v>
      </c>
      <c r="F44" s="380"/>
      <c r="G44" s="380" t="s">
        <v>164</v>
      </c>
      <c r="H44" s="380"/>
      <c r="I44" s="380" t="s">
        <v>164</v>
      </c>
      <c r="J44" s="380"/>
      <c r="K44" s="380" t="s">
        <v>106</v>
      </c>
      <c r="L44" s="380"/>
      <c r="M44" s="380" t="s">
        <v>165</v>
      </c>
      <c r="N44" s="380"/>
      <c r="O44" s="380" t="s">
        <v>166</v>
      </c>
      <c r="P44" s="380"/>
      <c r="Q44" s="380" t="s">
        <v>167</v>
      </c>
      <c r="R44" s="380"/>
      <c r="S44" s="380"/>
      <c r="T44" s="424"/>
      <c r="U44" s="424"/>
      <c r="V44" s="410"/>
      <c r="W44" s="6"/>
    </row>
    <row r="45" spans="1:23" ht="15.6">
      <c r="A45" s="378"/>
      <c r="B45" s="379" t="s">
        <v>266</v>
      </c>
      <c r="C45" s="380" t="s">
        <v>163</v>
      </c>
      <c r="D45" s="379"/>
      <c r="E45" s="380" t="s">
        <v>228</v>
      </c>
      <c r="F45" s="379"/>
      <c r="G45" s="380" t="s">
        <v>164</v>
      </c>
      <c r="H45" s="379"/>
      <c r="I45" s="380" t="s">
        <v>226</v>
      </c>
      <c r="J45" s="379"/>
      <c r="K45" s="380" t="s">
        <v>106</v>
      </c>
      <c r="L45" s="379"/>
      <c r="M45" s="380" t="s">
        <v>227</v>
      </c>
      <c r="N45" s="379"/>
      <c r="O45" s="380" t="s">
        <v>166</v>
      </c>
      <c r="P45" s="380"/>
      <c r="Q45" s="380" t="s">
        <v>229</v>
      </c>
      <c r="R45" s="380"/>
      <c r="S45" s="380"/>
      <c r="T45" s="424"/>
      <c r="U45" s="424"/>
      <c r="V45" s="410"/>
      <c r="W45" s="6"/>
    </row>
    <row r="46" spans="1:23" ht="15.6">
      <c r="A46" s="378"/>
      <c r="B46" s="379"/>
      <c r="C46" s="379"/>
      <c r="D46" s="379"/>
      <c r="E46" s="379"/>
      <c r="F46" s="379"/>
      <c r="G46" s="379"/>
      <c r="H46" s="379"/>
      <c r="I46" s="379"/>
      <c r="J46" s="379"/>
      <c r="K46" s="379"/>
      <c r="L46" s="379"/>
      <c r="M46" s="431"/>
      <c r="N46" s="431"/>
      <c r="O46" s="379"/>
      <c r="P46" s="431"/>
      <c r="Q46" s="431"/>
      <c r="R46" s="431"/>
      <c r="S46" s="431"/>
      <c r="T46" s="431"/>
      <c r="U46" s="431"/>
      <c r="V46" s="410"/>
      <c r="W46" s="6"/>
    </row>
    <row r="47" spans="1:23" ht="15.6">
      <c r="A47" s="378"/>
      <c r="B47" s="379" t="s">
        <v>201</v>
      </c>
      <c r="C47" s="379"/>
      <c r="D47" s="379"/>
      <c r="E47" s="379"/>
      <c r="F47" s="379"/>
      <c r="G47" s="379"/>
      <c r="H47" s="379"/>
      <c r="I47" s="379"/>
      <c r="J47" s="379"/>
      <c r="K47" s="379"/>
      <c r="L47" s="379"/>
      <c r="M47" s="379"/>
      <c r="N47" s="379"/>
      <c r="O47" s="379"/>
      <c r="P47" s="379"/>
      <c r="Q47" s="379"/>
      <c r="R47" s="379"/>
      <c r="S47" s="379"/>
      <c r="T47" s="379"/>
      <c r="U47" s="427">
        <f>SUM(G31:Q31)/(C31+E31)</f>
        <v>0.3888888888888889</v>
      </c>
      <c r="V47" s="410"/>
      <c r="W47" s="6"/>
    </row>
    <row r="48" spans="1:23" ht="15.6">
      <c r="A48" s="378"/>
      <c r="B48" s="379" t="s">
        <v>202</v>
      </c>
      <c r="C48" s="379"/>
      <c r="D48" s="379"/>
      <c r="E48" s="379"/>
      <c r="F48" s="379"/>
      <c r="G48" s="379"/>
      <c r="H48" s="379"/>
      <c r="I48" s="379"/>
      <c r="J48" s="379"/>
      <c r="K48" s="379"/>
      <c r="L48" s="379"/>
      <c r="M48" s="379"/>
      <c r="N48" s="379"/>
      <c r="O48" s="379"/>
      <c r="P48" s="379"/>
      <c r="Q48" s="379"/>
      <c r="R48" s="379"/>
      <c r="S48" s="379"/>
      <c r="T48" s="379"/>
      <c r="U48" s="427">
        <f>SUM(F33:Q33)/(C33+E33)</f>
        <v>1.2739701654641307</v>
      </c>
      <c r="V48" s="410"/>
      <c r="W48" s="6"/>
    </row>
    <row r="49" spans="1:23" ht="15.6">
      <c r="A49" s="378"/>
      <c r="B49" s="379" t="s">
        <v>203</v>
      </c>
      <c r="C49" s="379"/>
      <c r="D49" s="379"/>
      <c r="E49" s="379"/>
      <c r="F49" s="379"/>
      <c r="G49" s="379"/>
      <c r="H49" s="379"/>
      <c r="I49" s="379"/>
      <c r="J49" s="379"/>
      <c r="K49" s="379"/>
      <c r="L49" s="379"/>
      <c r="M49" s="379"/>
      <c r="N49" s="379"/>
      <c r="O49" s="379"/>
      <c r="P49" s="379"/>
      <c r="Q49" s="379"/>
      <c r="R49" s="379"/>
      <c r="S49" s="380" t="s">
        <v>95</v>
      </c>
      <c r="T49" s="380" t="s">
        <v>117</v>
      </c>
      <c r="U49" s="394">
        <v>99000</v>
      </c>
      <c r="V49" s="410"/>
      <c r="W49" s="6"/>
    </row>
    <row r="50" spans="1:23" ht="15.6">
      <c r="A50" s="378"/>
      <c r="B50" s="379"/>
      <c r="C50" s="379"/>
      <c r="D50" s="379"/>
      <c r="E50" s="379"/>
      <c r="F50" s="379"/>
      <c r="G50" s="379"/>
      <c r="H50" s="379"/>
      <c r="I50" s="379"/>
      <c r="J50" s="379"/>
      <c r="K50" s="379"/>
      <c r="L50" s="379"/>
      <c r="M50" s="379"/>
      <c r="N50" s="379"/>
      <c r="O50" s="379"/>
      <c r="P50" s="379"/>
      <c r="Q50" s="379"/>
      <c r="R50" s="379"/>
      <c r="S50" s="379" t="s">
        <v>213</v>
      </c>
      <c r="T50" s="379"/>
      <c r="U50" s="432"/>
      <c r="V50" s="410"/>
      <c r="W50" s="6"/>
    </row>
    <row r="51" spans="1:23" ht="15.6">
      <c r="A51" s="378"/>
      <c r="B51" s="379" t="s">
        <v>19</v>
      </c>
      <c r="C51" s="379"/>
      <c r="D51" s="379"/>
      <c r="E51" s="379"/>
      <c r="F51" s="379"/>
      <c r="G51" s="379"/>
      <c r="H51" s="379"/>
      <c r="I51" s="379"/>
      <c r="J51" s="379"/>
      <c r="K51" s="379"/>
      <c r="L51" s="379"/>
      <c r="M51" s="379"/>
      <c r="N51" s="379"/>
      <c r="O51" s="379"/>
      <c r="P51" s="379"/>
      <c r="Q51" s="379"/>
      <c r="R51" s="379"/>
      <c r="S51" s="380"/>
      <c r="T51" s="380"/>
      <c r="U51" s="380" t="s">
        <v>118</v>
      </c>
      <c r="V51" s="410"/>
      <c r="W51" s="6"/>
    </row>
    <row r="52" spans="1:23" ht="15.6">
      <c r="A52" s="401"/>
      <c r="B52" s="386" t="s">
        <v>20</v>
      </c>
      <c r="C52" s="386"/>
      <c r="D52" s="386"/>
      <c r="E52" s="386"/>
      <c r="F52" s="386"/>
      <c r="G52" s="386"/>
      <c r="H52" s="386"/>
      <c r="I52" s="386"/>
      <c r="J52" s="386"/>
      <c r="K52" s="386"/>
      <c r="L52" s="386"/>
      <c r="M52" s="386"/>
      <c r="N52" s="386"/>
      <c r="O52" s="386"/>
      <c r="P52" s="386"/>
      <c r="Q52" s="386"/>
      <c r="R52" s="386"/>
      <c r="S52" s="433"/>
      <c r="T52" s="433"/>
      <c r="U52" s="434">
        <v>41562</v>
      </c>
      <c r="V52" s="435"/>
      <c r="W52" s="6"/>
    </row>
    <row r="53" spans="1:23" ht="15.6">
      <c r="A53" s="378"/>
      <c r="B53" s="379" t="s">
        <v>155</v>
      </c>
      <c r="C53" s="379"/>
      <c r="D53" s="379"/>
      <c r="E53" s="379"/>
      <c r="F53" s="379"/>
      <c r="G53" s="379"/>
      <c r="H53" s="379"/>
      <c r="I53" s="379"/>
      <c r="J53" s="379"/>
      <c r="K53" s="379"/>
      <c r="L53" s="379"/>
      <c r="M53" s="379"/>
      <c r="N53" s="379"/>
      <c r="O53" s="379"/>
      <c r="P53" s="379"/>
      <c r="Q53" s="424"/>
      <c r="R53" s="379">
        <f>U53-S53+1</f>
        <v>91</v>
      </c>
      <c r="S53" s="436">
        <v>41379</v>
      </c>
      <c r="T53" s="429"/>
      <c r="U53" s="436">
        <v>41469</v>
      </c>
      <c r="V53" s="410"/>
      <c r="W53" s="6"/>
    </row>
    <row r="54" spans="1:23" ht="15.6">
      <c r="A54" s="378"/>
      <c r="B54" s="379" t="s">
        <v>156</v>
      </c>
      <c r="C54" s="379"/>
      <c r="D54" s="379"/>
      <c r="E54" s="379"/>
      <c r="F54" s="379"/>
      <c r="G54" s="379"/>
      <c r="H54" s="379"/>
      <c r="I54" s="379"/>
      <c r="J54" s="379"/>
      <c r="K54" s="379"/>
      <c r="L54" s="379"/>
      <c r="M54" s="379"/>
      <c r="N54" s="379"/>
      <c r="O54" s="379"/>
      <c r="P54" s="379"/>
      <c r="Q54" s="424"/>
      <c r="R54" s="379">
        <f>U54-S54+1</f>
        <v>92</v>
      </c>
      <c r="S54" s="436">
        <v>41470</v>
      </c>
      <c r="T54" s="429"/>
      <c r="U54" s="436">
        <v>41561</v>
      </c>
      <c r="V54" s="410"/>
      <c r="W54" s="6"/>
    </row>
    <row r="55" spans="1:23" ht="15.6">
      <c r="A55" s="378"/>
      <c r="B55" s="379" t="s">
        <v>21</v>
      </c>
      <c r="C55" s="379"/>
      <c r="D55" s="379"/>
      <c r="E55" s="379"/>
      <c r="F55" s="379"/>
      <c r="G55" s="379"/>
      <c r="H55" s="379"/>
      <c r="I55" s="379"/>
      <c r="J55" s="379"/>
      <c r="K55" s="379"/>
      <c r="L55" s="379"/>
      <c r="M55" s="379"/>
      <c r="N55" s="379"/>
      <c r="O55" s="379"/>
      <c r="P55" s="379"/>
      <c r="Q55" s="379"/>
      <c r="R55" s="379"/>
      <c r="S55" s="436"/>
      <c r="T55" s="429"/>
      <c r="U55" s="436" t="s">
        <v>119</v>
      </c>
      <c r="V55" s="410"/>
      <c r="W55" s="6"/>
    </row>
    <row r="56" spans="1:23" ht="15.6">
      <c r="A56" s="378"/>
      <c r="B56" s="379" t="s">
        <v>22</v>
      </c>
      <c r="C56" s="379"/>
      <c r="D56" s="379"/>
      <c r="E56" s="379"/>
      <c r="F56" s="379"/>
      <c r="G56" s="379"/>
      <c r="H56" s="379"/>
      <c r="I56" s="379"/>
      <c r="J56" s="379"/>
      <c r="K56" s="379"/>
      <c r="L56" s="379"/>
      <c r="M56" s="379"/>
      <c r="N56" s="379"/>
      <c r="O56" s="379"/>
      <c r="P56" s="379"/>
      <c r="Q56" s="379"/>
      <c r="R56" s="379"/>
      <c r="S56" s="436"/>
      <c r="T56" s="429"/>
      <c r="U56" s="436">
        <v>41548</v>
      </c>
      <c r="V56" s="410"/>
      <c r="W56" s="6"/>
    </row>
    <row r="57" spans="1:23" ht="15.6">
      <c r="A57" s="242"/>
      <c r="B57" s="364"/>
      <c r="C57" s="364"/>
      <c r="D57" s="364"/>
      <c r="E57" s="364"/>
      <c r="F57" s="364"/>
      <c r="G57" s="364"/>
      <c r="H57" s="364"/>
      <c r="I57" s="364"/>
      <c r="J57" s="364"/>
      <c r="K57" s="364"/>
      <c r="L57" s="364"/>
      <c r="M57" s="364"/>
      <c r="N57" s="364"/>
      <c r="O57" s="364"/>
      <c r="P57" s="364"/>
      <c r="Q57" s="364"/>
      <c r="R57" s="364"/>
      <c r="S57" s="364"/>
      <c r="T57" s="364"/>
      <c r="U57" s="377"/>
      <c r="V57" s="303"/>
      <c r="W57" s="6"/>
    </row>
    <row r="58" spans="1:23" ht="15.6">
      <c r="A58" s="242"/>
      <c r="B58" s="288"/>
      <c r="C58" s="288"/>
      <c r="D58" s="288"/>
      <c r="E58" s="288"/>
      <c r="F58" s="288"/>
      <c r="G58" s="288"/>
      <c r="H58" s="288"/>
      <c r="I58" s="288"/>
      <c r="J58" s="288"/>
      <c r="K58" s="288"/>
      <c r="L58" s="288"/>
      <c r="M58" s="288"/>
      <c r="N58" s="288"/>
      <c r="O58" s="288"/>
      <c r="P58" s="288"/>
      <c r="Q58" s="288"/>
      <c r="R58" s="288"/>
      <c r="S58" s="288"/>
      <c r="T58" s="288"/>
      <c r="U58" s="302"/>
      <c r="V58" s="303"/>
      <c r="W58" s="6"/>
    </row>
    <row r="59" spans="1:23" ht="16.2" thickBot="1">
      <c r="A59" s="261"/>
      <c r="B59" s="304" t="s">
        <v>286</v>
      </c>
      <c r="C59" s="305"/>
      <c r="D59" s="305"/>
      <c r="E59" s="305"/>
      <c r="F59" s="305"/>
      <c r="G59" s="305"/>
      <c r="H59" s="305"/>
      <c r="I59" s="305"/>
      <c r="J59" s="305"/>
      <c r="K59" s="305"/>
      <c r="L59" s="305"/>
      <c r="M59" s="305"/>
      <c r="N59" s="305"/>
      <c r="O59" s="305"/>
      <c r="P59" s="305"/>
      <c r="Q59" s="305"/>
      <c r="R59" s="305"/>
      <c r="S59" s="305"/>
      <c r="T59" s="305"/>
      <c r="U59" s="306"/>
      <c r="V59" s="307"/>
      <c r="W59" s="6"/>
    </row>
    <row r="60" spans="1:23" ht="15.6">
      <c r="A60" s="230"/>
      <c r="B60" s="511" t="s">
        <v>23</v>
      </c>
      <c r="C60" s="511"/>
      <c r="D60" s="511"/>
      <c r="E60" s="511"/>
      <c r="F60" s="511"/>
      <c r="G60" s="511"/>
      <c r="H60" s="511"/>
      <c r="I60" s="511"/>
      <c r="J60" s="511"/>
      <c r="K60" s="511"/>
      <c r="L60" s="511"/>
      <c r="M60" s="231"/>
      <c r="N60" s="231"/>
      <c r="O60" s="231"/>
      <c r="P60" s="231"/>
      <c r="Q60" s="231"/>
      <c r="R60" s="231"/>
      <c r="S60" s="231"/>
      <c r="T60" s="231"/>
      <c r="U60" s="309"/>
      <c r="V60" s="237"/>
      <c r="W60" s="6"/>
    </row>
    <row r="61" spans="1:23" ht="15.6">
      <c r="A61" s="242"/>
      <c r="B61" s="252"/>
      <c r="C61" s="252"/>
      <c r="D61" s="252"/>
      <c r="E61" s="252"/>
      <c r="F61" s="252"/>
      <c r="G61" s="252"/>
      <c r="H61" s="252"/>
      <c r="I61" s="252"/>
      <c r="J61" s="252"/>
      <c r="K61" s="252"/>
      <c r="L61" s="252"/>
      <c r="M61" s="244"/>
      <c r="N61" s="244"/>
      <c r="O61" s="244"/>
      <c r="P61" s="244"/>
      <c r="Q61" s="244"/>
      <c r="R61" s="244"/>
      <c r="S61" s="244"/>
      <c r="T61" s="244"/>
      <c r="U61" s="263"/>
      <c r="V61" s="245"/>
      <c r="W61" s="6"/>
    </row>
    <row r="62" spans="1:23" s="151" customFormat="1" ht="46.8">
      <c r="A62" s="264"/>
      <c r="B62" s="512"/>
      <c r="C62" s="513"/>
      <c r="D62" s="513"/>
      <c r="E62" s="513"/>
      <c r="F62" s="513"/>
      <c r="G62" s="513"/>
      <c r="H62" s="513"/>
      <c r="I62" s="513"/>
      <c r="J62" s="513"/>
      <c r="K62" s="513" t="s">
        <v>197</v>
      </c>
      <c r="L62" s="513"/>
      <c r="M62" s="513" t="s">
        <v>98</v>
      </c>
      <c r="N62" s="513"/>
      <c r="O62" s="513" t="s">
        <v>107</v>
      </c>
      <c r="P62" s="513"/>
      <c r="Q62" s="513" t="s">
        <v>111</v>
      </c>
      <c r="R62" s="513"/>
      <c r="S62" s="513" t="s">
        <v>113</v>
      </c>
      <c r="T62" s="513"/>
      <c r="U62" s="514" t="s">
        <v>120</v>
      </c>
      <c r="V62" s="515"/>
      <c r="W62" s="150"/>
    </row>
    <row r="63" spans="1:23" ht="15.6">
      <c r="A63" s="378"/>
      <c r="B63" s="379" t="s">
        <v>24</v>
      </c>
      <c r="C63" s="440"/>
      <c r="D63" s="440"/>
      <c r="E63" s="440"/>
      <c r="F63" s="440"/>
      <c r="G63" s="440"/>
      <c r="H63" s="440"/>
      <c r="I63" s="440"/>
      <c r="J63" s="440"/>
      <c r="K63" s="440">
        <f>265+63566+3306</f>
        <v>67137</v>
      </c>
      <c r="L63" s="440"/>
      <c r="M63" s="440">
        <v>7130</v>
      </c>
      <c r="N63" s="440"/>
      <c r="O63" s="440">
        <f>260+4+34</f>
        <v>298</v>
      </c>
      <c r="P63" s="440"/>
      <c r="Q63" s="440">
        <v>0</v>
      </c>
      <c r="R63" s="440"/>
      <c r="S63" s="440">
        <v>0</v>
      </c>
      <c r="T63" s="440"/>
      <c r="U63" s="441">
        <f>+M63-O63+Q63-S63</f>
        <v>6832</v>
      </c>
      <c r="V63" s="410"/>
      <c r="W63" s="6"/>
    </row>
    <row r="64" spans="1:23" ht="15.6">
      <c r="A64" s="378"/>
      <c r="B64" s="379" t="s">
        <v>25</v>
      </c>
      <c r="C64" s="440"/>
      <c r="D64" s="440"/>
      <c r="E64" s="440"/>
      <c r="F64" s="440"/>
      <c r="G64" s="440"/>
      <c r="H64" s="440"/>
      <c r="I64" s="440"/>
      <c r="J64" s="440"/>
      <c r="K64" s="440"/>
      <c r="L64" s="440"/>
      <c r="M64" s="440"/>
      <c r="N64" s="440"/>
      <c r="O64" s="440"/>
      <c r="P64" s="440"/>
      <c r="Q64" s="440">
        <v>0</v>
      </c>
      <c r="R64" s="440"/>
      <c r="S64" s="440">
        <v>0</v>
      </c>
      <c r="T64" s="440"/>
      <c r="U64" s="441">
        <f>M64-O64</f>
        <v>0</v>
      </c>
      <c r="V64" s="410"/>
      <c r="W64" s="6"/>
    </row>
    <row r="65" spans="1:24" ht="15.6">
      <c r="A65" s="378"/>
      <c r="B65" s="379"/>
      <c r="C65" s="440"/>
      <c r="D65" s="440"/>
      <c r="E65" s="440"/>
      <c r="F65" s="440"/>
      <c r="G65" s="440"/>
      <c r="H65" s="440"/>
      <c r="I65" s="440"/>
      <c r="J65" s="440"/>
      <c r="K65" s="440"/>
      <c r="L65" s="440"/>
      <c r="M65" s="440"/>
      <c r="N65" s="440"/>
      <c r="O65" s="440"/>
      <c r="P65" s="440"/>
      <c r="Q65" s="440"/>
      <c r="R65" s="440"/>
      <c r="S65" s="440"/>
      <c r="T65" s="440"/>
      <c r="U65" s="441"/>
      <c r="V65" s="410"/>
      <c r="W65" s="6"/>
    </row>
    <row r="66" spans="1:24" ht="15.6">
      <c r="A66" s="378"/>
      <c r="B66" s="379" t="s">
        <v>26</v>
      </c>
      <c r="C66" s="440"/>
      <c r="D66" s="440"/>
      <c r="E66" s="440"/>
      <c r="F66" s="440"/>
      <c r="G66" s="440"/>
      <c r="H66" s="440"/>
      <c r="I66" s="440"/>
      <c r="J66" s="440"/>
      <c r="K66" s="440">
        <v>24470</v>
      </c>
      <c r="L66" s="440"/>
      <c r="M66" s="440">
        <v>1619</v>
      </c>
      <c r="N66" s="440"/>
      <c r="O66" s="440">
        <v>71</v>
      </c>
      <c r="P66" s="440"/>
      <c r="Q66" s="440">
        <v>0</v>
      </c>
      <c r="R66" s="440"/>
      <c r="S66" s="440">
        <f>SUM(S63:S65)</f>
        <v>0</v>
      </c>
      <c r="T66" s="440"/>
      <c r="U66" s="441">
        <f>+M66-O66+Q66-S66</f>
        <v>1548</v>
      </c>
      <c r="V66" s="410"/>
      <c r="W66" s="6"/>
    </row>
    <row r="67" spans="1:24" ht="15.6">
      <c r="A67" s="378"/>
      <c r="B67" s="379" t="s">
        <v>25</v>
      </c>
      <c r="C67" s="440"/>
      <c r="D67" s="440"/>
      <c r="E67" s="440"/>
      <c r="F67" s="440"/>
      <c r="G67" s="440"/>
      <c r="H67" s="440"/>
      <c r="I67" s="440"/>
      <c r="J67" s="440"/>
      <c r="K67" s="440"/>
      <c r="L67" s="440"/>
      <c r="M67" s="440"/>
      <c r="N67" s="440"/>
      <c r="O67" s="440"/>
      <c r="P67" s="440"/>
      <c r="Q67" s="440">
        <v>0</v>
      </c>
      <c r="R67" s="440"/>
      <c r="S67" s="440">
        <v>0</v>
      </c>
      <c r="T67" s="440"/>
      <c r="U67" s="440"/>
      <c r="V67" s="410"/>
      <c r="W67" s="6"/>
    </row>
    <row r="68" spans="1:24" ht="15.6">
      <c r="A68" s="378"/>
      <c r="B68" s="386"/>
      <c r="C68" s="440"/>
      <c r="D68" s="440"/>
      <c r="E68" s="440"/>
      <c r="F68" s="440"/>
      <c r="G68" s="440"/>
      <c r="H68" s="440"/>
      <c r="I68" s="440"/>
      <c r="J68" s="440"/>
      <c r="K68" s="440"/>
      <c r="L68" s="440"/>
      <c r="M68" s="440"/>
      <c r="N68" s="440"/>
      <c r="O68" s="442"/>
      <c r="P68" s="440"/>
      <c r="Q68" s="440"/>
      <c r="R68" s="440"/>
      <c r="S68" s="440"/>
      <c r="T68" s="440"/>
      <c r="U68" s="440"/>
      <c r="V68" s="410"/>
      <c r="W68" s="6"/>
    </row>
    <row r="69" spans="1:24" ht="15.6">
      <c r="A69" s="378"/>
      <c r="B69" s="379" t="s">
        <v>27</v>
      </c>
      <c r="C69" s="440"/>
      <c r="D69" s="440"/>
      <c r="E69" s="440"/>
      <c r="F69" s="440"/>
      <c r="G69" s="440"/>
      <c r="H69" s="440"/>
      <c r="I69" s="440"/>
      <c r="J69" s="440"/>
      <c r="K69" s="440">
        <v>220072</v>
      </c>
      <c r="L69" s="440"/>
      <c r="M69" s="440">
        <v>141265</v>
      </c>
      <c r="N69" s="440"/>
      <c r="O69" s="440">
        <f>5179+777</f>
        <v>5956</v>
      </c>
      <c r="P69" s="440"/>
      <c r="Q69" s="440">
        <v>0</v>
      </c>
      <c r="R69" s="440"/>
      <c r="S69" s="440">
        <v>0</v>
      </c>
      <c r="T69" s="440"/>
      <c r="U69" s="441">
        <f>+M69-O69+Q69-S69</f>
        <v>135309</v>
      </c>
      <c r="V69" s="410"/>
      <c r="W69" s="6"/>
    </row>
    <row r="70" spans="1:24" ht="15.6">
      <c r="A70" s="378"/>
      <c r="B70" s="379" t="s">
        <v>25</v>
      </c>
      <c r="C70" s="440"/>
      <c r="D70" s="440"/>
      <c r="E70" s="440"/>
      <c r="F70" s="440"/>
      <c r="G70" s="440"/>
      <c r="H70" s="440"/>
      <c r="I70" s="440"/>
      <c r="J70" s="440"/>
      <c r="K70" s="440"/>
      <c r="L70" s="440"/>
      <c r="M70" s="440"/>
      <c r="N70" s="440"/>
      <c r="O70" s="440"/>
      <c r="P70" s="440"/>
      <c r="Q70" s="440">
        <v>0</v>
      </c>
      <c r="R70" s="440"/>
      <c r="S70" s="440">
        <v>0</v>
      </c>
      <c r="T70" s="440"/>
      <c r="U70" s="441">
        <f>M70-O70+Q70-S70</f>
        <v>0</v>
      </c>
      <c r="V70" s="410"/>
      <c r="W70" s="6"/>
    </row>
    <row r="71" spans="1:24" ht="15.6">
      <c r="A71" s="378"/>
      <c r="B71" s="379"/>
      <c r="C71" s="440"/>
      <c r="D71" s="440"/>
      <c r="E71" s="440"/>
      <c r="F71" s="440"/>
      <c r="G71" s="440"/>
      <c r="H71" s="440"/>
      <c r="I71" s="440"/>
      <c r="J71" s="440"/>
      <c r="K71" s="440"/>
      <c r="L71" s="440"/>
      <c r="M71" s="440"/>
      <c r="N71" s="440"/>
      <c r="O71" s="440"/>
      <c r="P71" s="440"/>
      <c r="Q71" s="440"/>
      <c r="R71" s="440"/>
      <c r="S71" s="440"/>
      <c r="T71" s="440"/>
      <c r="U71" s="441"/>
      <c r="V71" s="410"/>
      <c r="W71" s="6"/>
    </row>
    <row r="72" spans="1:24" ht="15.6">
      <c r="A72" s="378"/>
      <c r="B72" s="379" t="s">
        <v>28</v>
      </c>
      <c r="C72" s="440"/>
      <c r="D72" s="440"/>
      <c r="E72" s="440"/>
      <c r="F72" s="440"/>
      <c r="G72" s="440"/>
      <c r="H72" s="440"/>
      <c r="I72" s="440"/>
      <c r="J72" s="440"/>
      <c r="K72" s="440">
        <v>138321</v>
      </c>
      <c r="L72" s="440"/>
      <c r="M72" s="440">
        <v>1729</v>
      </c>
      <c r="N72" s="440"/>
      <c r="O72" s="440">
        <f>193+7</f>
        <v>200</v>
      </c>
      <c r="P72" s="440"/>
      <c r="Q72" s="440">
        <v>0</v>
      </c>
      <c r="R72" s="440"/>
      <c r="S72" s="440">
        <v>0</v>
      </c>
      <c r="T72" s="440"/>
      <c r="U72" s="441">
        <f>+M72-O72+Q72-S72</f>
        <v>1529</v>
      </c>
      <c r="V72" s="410"/>
      <c r="W72" s="6"/>
    </row>
    <row r="73" spans="1:24" ht="15.6">
      <c r="A73" s="378"/>
      <c r="B73" s="379" t="s">
        <v>25</v>
      </c>
      <c r="C73" s="440"/>
      <c r="D73" s="440"/>
      <c r="E73" s="440"/>
      <c r="F73" s="440"/>
      <c r="G73" s="440"/>
      <c r="H73" s="440"/>
      <c r="I73" s="440"/>
      <c r="J73" s="440"/>
      <c r="K73" s="440"/>
      <c r="L73" s="440"/>
      <c r="M73" s="440"/>
      <c r="N73" s="440"/>
      <c r="O73" s="440"/>
      <c r="P73" s="440"/>
      <c r="Q73" s="440">
        <v>0</v>
      </c>
      <c r="R73" s="440"/>
      <c r="S73" s="440">
        <v>0</v>
      </c>
      <c r="T73" s="440"/>
      <c r="U73" s="441"/>
      <c r="V73" s="410"/>
      <c r="W73" s="6"/>
    </row>
    <row r="74" spans="1:24" ht="15.6">
      <c r="A74" s="378"/>
      <c r="B74" s="440"/>
      <c r="C74" s="440"/>
      <c r="D74" s="440"/>
      <c r="E74" s="440"/>
      <c r="F74" s="440"/>
      <c r="G74" s="440"/>
      <c r="H74" s="440"/>
      <c r="I74" s="440"/>
      <c r="J74" s="440"/>
      <c r="K74" s="440"/>
      <c r="L74" s="440"/>
      <c r="M74" s="440"/>
      <c r="N74" s="440"/>
      <c r="O74" s="440"/>
      <c r="P74" s="440"/>
      <c r="Q74" s="440"/>
      <c r="R74" s="440"/>
      <c r="S74" s="440"/>
      <c r="T74" s="440"/>
      <c r="U74" s="441"/>
      <c r="V74" s="410"/>
      <c r="W74" s="6"/>
    </row>
    <row r="75" spans="1:24" ht="15.6">
      <c r="A75" s="378"/>
      <c r="B75" s="379" t="s">
        <v>29</v>
      </c>
      <c r="C75" s="440"/>
      <c r="D75" s="440"/>
      <c r="E75" s="440"/>
      <c r="F75" s="440"/>
      <c r="G75" s="440"/>
      <c r="H75" s="440"/>
      <c r="I75" s="440"/>
      <c r="J75" s="440"/>
      <c r="K75" s="440">
        <f>SUM(K63:K72)</f>
        <v>450000</v>
      </c>
      <c r="L75" s="440"/>
      <c r="M75" s="440">
        <f>SUM(M63:M72)</f>
        <v>151743</v>
      </c>
      <c r="N75" s="440"/>
      <c r="O75" s="440">
        <f>SUM(O63:O73)</f>
        <v>6525</v>
      </c>
      <c r="P75" s="440"/>
      <c r="Q75" s="440">
        <f>SUM(Q63:Q73)</f>
        <v>0</v>
      </c>
      <c r="R75" s="440"/>
      <c r="S75" s="440">
        <f>SUM(S70:S74)</f>
        <v>0</v>
      </c>
      <c r="T75" s="440"/>
      <c r="U75" s="440">
        <f>SUM(U63:U73)</f>
        <v>145218</v>
      </c>
      <c r="V75" s="410"/>
      <c r="W75" s="6"/>
      <c r="X75" s="182"/>
    </row>
    <row r="76" spans="1:24" ht="15.6">
      <c r="A76" s="378"/>
      <c r="B76" s="379"/>
      <c r="C76" s="440"/>
      <c r="D76" s="440"/>
      <c r="E76" s="440"/>
      <c r="F76" s="440"/>
      <c r="G76" s="440"/>
      <c r="H76" s="440"/>
      <c r="I76" s="440"/>
      <c r="J76" s="440"/>
      <c r="K76" s="440"/>
      <c r="L76" s="440"/>
      <c r="M76" s="440"/>
      <c r="N76" s="440"/>
      <c r="O76" s="440"/>
      <c r="P76" s="440"/>
      <c r="Q76" s="440"/>
      <c r="R76" s="440"/>
      <c r="S76" s="440"/>
      <c r="T76" s="440"/>
      <c r="U76" s="440"/>
      <c r="V76" s="410"/>
      <c r="W76" s="6"/>
    </row>
    <row r="77" spans="1:24" ht="15.6">
      <c r="A77" s="378"/>
      <c r="B77" s="379" t="s">
        <v>214</v>
      </c>
      <c r="C77" s="440"/>
      <c r="D77" s="440"/>
      <c r="E77" s="440"/>
      <c r="F77" s="440"/>
      <c r="G77" s="440"/>
      <c r="H77" s="440"/>
      <c r="I77" s="440"/>
      <c r="J77" s="440"/>
      <c r="K77" s="440">
        <v>0</v>
      </c>
      <c r="L77" s="440"/>
      <c r="M77" s="440">
        <v>-14912</v>
      </c>
      <c r="N77" s="440"/>
      <c r="O77" s="440">
        <v>-181</v>
      </c>
      <c r="P77" s="440"/>
      <c r="Q77" s="440"/>
      <c r="R77" s="440"/>
      <c r="S77" s="440"/>
      <c r="T77" s="440"/>
      <c r="U77" s="441">
        <f>+M77-O77</f>
        <v>-14731</v>
      </c>
      <c r="V77" s="410"/>
      <c r="W77" s="6"/>
    </row>
    <row r="78" spans="1:24" ht="15.6">
      <c r="A78" s="378"/>
      <c r="B78" s="379" t="s">
        <v>30</v>
      </c>
      <c r="C78" s="440"/>
      <c r="D78" s="440"/>
      <c r="E78" s="440"/>
      <c r="F78" s="440"/>
      <c r="G78" s="440"/>
      <c r="H78" s="440"/>
      <c r="I78" s="440"/>
      <c r="J78" s="440"/>
      <c r="K78" s="440">
        <v>0</v>
      </c>
      <c r="L78" s="440"/>
      <c r="M78" s="440">
        <v>0</v>
      </c>
      <c r="N78" s="440"/>
      <c r="O78" s="440">
        <v>0</v>
      </c>
      <c r="P78" s="440"/>
      <c r="Q78" s="440">
        <v>0</v>
      </c>
      <c r="R78" s="440"/>
      <c r="S78" s="440"/>
      <c r="T78" s="440"/>
      <c r="U78" s="440">
        <v>0</v>
      </c>
      <c r="V78" s="410"/>
      <c r="W78" s="6"/>
      <c r="X78" s="182"/>
    </row>
    <row r="79" spans="1:24" ht="15.6">
      <c r="A79" s="378"/>
      <c r="B79" s="379" t="s">
        <v>31</v>
      </c>
      <c r="C79" s="440"/>
      <c r="D79" s="440"/>
      <c r="E79" s="440"/>
      <c r="F79" s="440"/>
      <c r="G79" s="440"/>
      <c r="H79" s="440"/>
      <c r="I79" s="440"/>
      <c r="J79" s="440"/>
      <c r="K79" s="440">
        <v>0</v>
      </c>
      <c r="L79" s="440"/>
      <c r="M79" s="440">
        <v>0</v>
      </c>
      <c r="N79" s="440"/>
      <c r="O79" s="440"/>
      <c r="P79" s="440"/>
      <c r="Q79" s="440">
        <v>0</v>
      </c>
      <c r="R79" s="440"/>
      <c r="S79" s="440"/>
      <c r="T79" s="440"/>
      <c r="U79" s="440">
        <f>Q79+M79</f>
        <v>0</v>
      </c>
      <c r="V79" s="410"/>
      <c r="W79" s="6"/>
    </row>
    <row r="80" spans="1:24" ht="15.6">
      <c r="A80" s="378"/>
      <c r="B80" s="379" t="s">
        <v>16</v>
      </c>
      <c r="C80" s="440"/>
      <c r="D80" s="440"/>
      <c r="E80" s="440"/>
      <c r="F80" s="440"/>
      <c r="G80" s="440"/>
      <c r="H80" s="440"/>
      <c r="I80" s="440"/>
      <c r="J80" s="440"/>
      <c r="K80" s="440">
        <f>SUM(K75:K79)</f>
        <v>450000</v>
      </c>
      <c r="L80" s="440"/>
      <c r="M80" s="440">
        <f>SUM(M75:M79)</f>
        <v>136831</v>
      </c>
      <c r="N80" s="440"/>
      <c r="O80" s="440">
        <f>O78-O79</f>
        <v>0</v>
      </c>
      <c r="P80" s="440"/>
      <c r="Q80" s="440"/>
      <c r="R80" s="440"/>
      <c r="S80" s="440"/>
      <c r="T80" s="440"/>
      <c r="U80" s="440">
        <f>SUM(U75:U79)</f>
        <v>130487</v>
      </c>
      <c r="V80" s="410"/>
      <c r="W80" s="6"/>
    </row>
    <row r="81" spans="1:24" ht="15.6">
      <c r="A81" s="242"/>
      <c r="B81" s="437"/>
      <c r="C81" s="438"/>
      <c r="D81" s="438"/>
      <c r="E81" s="438"/>
      <c r="F81" s="438"/>
      <c r="G81" s="438"/>
      <c r="H81" s="438"/>
      <c r="I81" s="438"/>
      <c r="J81" s="438"/>
      <c r="K81" s="438"/>
      <c r="L81" s="438"/>
      <c r="M81" s="438"/>
      <c r="N81" s="438"/>
      <c r="O81" s="438"/>
      <c r="P81" s="438"/>
      <c r="Q81" s="438"/>
      <c r="R81" s="438"/>
      <c r="S81" s="439"/>
      <c r="T81" s="438"/>
      <c r="U81" s="439"/>
      <c r="V81" s="245"/>
      <c r="W81" s="6"/>
    </row>
    <row r="82" spans="1:24" ht="15.6">
      <c r="A82" s="230"/>
      <c r="B82" s="511" t="s">
        <v>32</v>
      </c>
      <c r="C82" s="511"/>
      <c r="D82" s="511"/>
      <c r="E82" s="511"/>
      <c r="F82" s="511"/>
      <c r="G82" s="511"/>
      <c r="H82" s="511"/>
      <c r="I82" s="511"/>
      <c r="J82" s="511"/>
      <c r="K82" s="511"/>
      <c r="L82" s="511"/>
      <c r="M82" s="511"/>
      <c r="N82" s="511"/>
      <c r="O82" s="511"/>
      <c r="P82" s="511"/>
      <c r="Q82" s="511"/>
      <c r="R82" s="232"/>
      <c r="S82" s="232"/>
      <c r="T82" s="232"/>
      <c r="U82" s="232" t="s">
        <v>121</v>
      </c>
      <c r="V82" s="516"/>
      <c r="W82" s="6"/>
    </row>
    <row r="83" spans="1:24" ht="15.6">
      <c r="A83" s="315"/>
      <c r="B83" s="294" t="s">
        <v>33</v>
      </c>
      <c r="C83" s="294"/>
      <c r="D83" s="294"/>
      <c r="E83" s="294"/>
      <c r="F83" s="294"/>
      <c r="G83" s="294"/>
      <c r="H83" s="294"/>
      <c r="I83" s="294"/>
      <c r="J83" s="294"/>
      <c r="K83" s="294"/>
      <c r="L83" s="294"/>
      <c r="M83" s="294"/>
      <c r="N83" s="294"/>
      <c r="O83" s="310"/>
      <c r="P83" s="294"/>
      <c r="Q83" s="294"/>
      <c r="R83" s="294"/>
      <c r="S83" s="310"/>
      <c r="T83" s="294"/>
      <c r="U83" s="311">
        <v>49340</v>
      </c>
      <c r="V83" s="298"/>
      <c r="W83" s="6"/>
    </row>
    <row r="84" spans="1:24" ht="15.6">
      <c r="A84" s="444"/>
      <c r="B84" s="379" t="s">
        <v>34</v>
      </c>
      <c r="C84" s="431"/>
      <c r="D84" s="431"/>
      <c r="E84" s="431"/>
      <c r="F84" s="431"/>
      <c r="G84" s="431"/>
      <c r="H84" s="431"/>
      <c r="I84" s="431"/>
      <c r="J84" s="431"/>
      <c r="K84" s="431"/>
      <c r="L84" s="431"/>
      <c r="M84" s="430"/>
      <c r="N84" s="379"/>
      <c r="O84" s="379"/>
      <c r="P84" s="379"/>
      <c r="Q84" s="379"/>
      <c r="R84" s="379"/>
      <c r="S84" s="440"/>
      <c r="T84" s="379"/>
      <c r="U84" s="441">
        <f>283+50+2-24</f>
        <v>311</v>
      </c>
      <c r="V84" s="410"/>
      <c r="W84" s="6"/>
    </row>
    <row r="85" spans="1:24" ht="15.6">
      <c r="A85" s="444"/>
      <c r="B85" s="379" t="s">
        <v>230</v>
      </c>
      <c r="C85" s="379"/>
      <c r="D85" s="379"/>
      <c r="E85" s="379"/>
      <c r="F85" s="379"/>
      <c r="G85" s="379"/>
      <c r="H85" s="379"/>
      <c r="I85" s="379"/>
      <c r="J85" s="379"/>
      <c r="K85" s="379"/>
      <c r="L85" s="379"/>
      <c r="M85" s="379"/>
      <c r="N85" s="379"/>
      <c r="O85" s="379"/>
      <c r="P85" s="379"/>
      <c r="Q85" s="379"/>
      <c r="R85" s="379"/>
      <c r="S85" s="440"/>
      <c r="T85" s="379"/>
      <c r="U85" s="441">
        <v>0</v>
      </c>
      <c r="V85" s="410"/>
      <c r="W85" s="6"/>
      <c r="X85" s="64"/>
    </row>
    <row r="86" spans="1:24" ht="15.6">
      <c r="A86" s="444"/>
      <c r="B86" s="379" t="s">
        <v>231</v>
      </c>
      <c r="C86" s="379"/>
      <c r="D86" s="379"/>
      <c r="E86" s="379"/>
      <c r="F86" s="379"/>
      <c r="G86" s="379"/>
      <c r="H86" s="379"/>
      <c r="I86" s="379"/>
      <c r="J86" s="379"/>
      <c r="K86" s="379"/>
      <c r="L86" s="379"/>
      <c r="M86" s="379"/>
      <c r="N86" s="379"/>
      <c r="O86" s="379"/>
      <c r="P86" s="379"/>
      <c r="Q86" s="379"/>
      <c r="R86" s="379"/>
      <c r="S86" s="440"/>
      <c r="T86" s="379"/>
      <c r="U86" s="441">
        <v>0</v>
      </c>
      <c r="V86" s="410"/>
      <c r="W86" s="6"/>
      <c r="X86" s="64"/>
    </row>
    <row r="87" spans="1:24" ht="15.6">
      <c r="A87" s="444"/>
      <c r="B87" s="379" t="s">
        <v>35</v>
      </c>
      <c r="C87" s="379"/>
      <c r="D87" s="379"/>
      <c r="E87" s="379"/>
      <c r="F87" s="379"/>
      <c r="G87" s="379"/>
      <c r="H87" s="379"/>
      <c r="I87" s="379"/>
      <c r="J87" s="379"/>
      <c r="K87" s="379"/>
      <c r="L87" s="379"/>
      <c r="M87" s="379"/>
      <c r="N87" s="379"/>
      <c r="O87" s="379"/>
      <c r="P87" s="379"/>
      <c r="Q87" s="379"/>
      <c r="R87" s="379"/>
      <c r="S87" s="440"/>
      <c r="T87" s="379"/>
      <c r="U87" s="441">
        <f>SUM(U83:U86)</f>
        <v>49651</v>
      </c>
      <c r="V87" s="410"/>
      <c r="W87" s="6"/>
      <c r="X87" s="64"/>
    </row>
    <row r="88" spans="1:24" ht="15.6">
      <c r="A88" s="444"/>
      <c r="B88" s="379"/>
      <c r="C88" s="379"/>
      <c r="D88" s="379"/>
      <c r="E88" s="379"/>
      <c r="F88" s="379"/>
      <c r="G88" s="379"/>
      <c r="H88" s="379"/>
      <c r="I88" s="379"/>
      <c r="J88" s="379"/>
      <c r="K88" s="379"/>
      <c r="L88" s="379"/>
      <c r="M88" s="379"/>
      <c r="N88" s="379"/>
      <c r="O88" s="379"/>
      <c r="P88" s="379"/>
      <c r="Q88" s="379"/>
      <c r="R88" s="379"/>
      <c r="S88" s="440"/>
      <c r="T88" s="379"/>
      <c r="U88" s="440"/>
      <c r="V88" s="410"/>
      <c r="W88" s="6"/>
    </row>
    <row r="89" spans="1:24" ht="15.6">
      <c r="A89" s="444"/>
      <c r="B89" s="446" t="s">
        <v>36</v>
      </c>
      <c r="C89" s="446"/>
      <c r="D89" s="446"/>
      <c r="E89" s="446"/>
      <c r="F89" s="446"/>
      <c r="G89" s="446"/>
      <c r="H89" s="446"/>
      <c r="I89" s="446"/>
      <c r="J89" s="446"/>
      <c r="K89" s="446"/>
      <c r="L89" s="446"/>
      <c r="M89" s="379"/>
      <c r="N89" s="379"/>
      <c r="O89" s="379"/>
      <c r="P89" s="379"/>
      <c r="Q89" s="379"/>
      <c r="R89" s="379"/>
      <c r="S89" s="440"/>
      <c r="T89" s="379"/>
      <c r="U89" s="441"/>
      <c r="V89" s="410"/>
      <c r="W89" s="6"/>
      <c r="X89" s="64"/>
    </row>
    <row r="90" spans="1:24" ht="15.6">
      <c r="A90" s="444">
        <v>1</v>
      </c>
      <c r="B90" s="379" t="s">
        <v>37</v>
      </c>
      <c r="C90" s="379"/>
      <c r="D90" s="379"/>
      <c r="E90" s="379"/>
      <c r="F90" s="379"/>
      <c r="G90" s="379"/>
      <c r="H90" s="379"/>
      <c r="I90" s="379"/>
      <c r="J90" s="379"/>
      <c r="K90" s="379"/>
      <c r="L90" s="379"/>
      <c r="M90" s="379"/>
      <c r="N90" s="379"/>
      <c r="O90" s="379"/>
      <c r="P90" s="379"/>
      <c r="Q90" s="379"/>
      <c r="R90" s="379"/>
      <c r="S90" s="379"/>
      <c r="T90" s="379"/>
      <c r="U90" s="441">
        <v>-2</v>
      </c>
      <c r="V90" s="410"/>
      <c r="W90" s="6"/>
    </row>
    <row r="91" spans="1:24" ht="15.6">
      <c r="A91" s="444">
        <f>A90+1</f>
        <v>2</v>
      </c>
      <c r="B91" s="379" t="s">
        <v>168</v>
      </c>
      <c r="C91" s="379"/>
      <c r="D91" s="379"/>
      <c r="E91" s="379"/>
      <c r="F91" s="379"/>
      <c r="G91" s="379"/>
      <c r="H91" s="379"/>
      <c r="I91" s="379"/>
      <c r="J91" s="379"/>
      <c r="K91" s="379"/>
      <c r="L91" s="379"/>
      <c r="M91" s="379"/>
      <c r="N91" s="379"/>
      <c r="O91" s="379"/>
      <c r="P91" s="379"/>
      <c r="Q91" s="379"/>
      <c r="R91" s="379"/>
      <c r="S91" s="379"/>
      <c r="T91" s="379"/>
      <c r="U91" s="441">
        <f>-138-46-2</f>
        <v>-186</v>
      </c>
      <c r="V91" s="410"/>
      <c r="W91" s="6"/>
      <c r="X91" s="64"/>
    </row>
    <row r="92" spans="1:24" ht="15.6">
      <c r="A92" s="444">
        <v>3</v>
      </c>
      <c r="B92" s="379" t="s">
        <v>38</v>
      </c>
      <c r="C92" s="379"/>
      <c r="D92" s="379"/>
      <c r="E92" s="379"/>
      <c r="F92" s="379"/>
      <c r="G92" s="379"/>
      <c r="H92" s="379"/>
      <c r="I92" s="379"/>
      <c r="J92" s="379"/>
      <c r="K92" s="379"/>
      <c r="L92" s="379"/>
      <c r="M92" s="379"/>
      <c r="N92" s="379"/>
      <c r="O92" s="379"/>
      <c r="P92" s="379"/>
      <c r="Q92" s="379"/>
      <c r="R92" s="379"/>
      <c r="S92" s="379"/>
      <c r="T92" s="379"/>
      <c r="U92" s="441">
        <v>-45</v>
      </c>
      <c r="V92" s="410"/>
      <c r="W92" s="6"/>
      <c r="X92" s="64"/>
    </row>
    <row r="93" spans="1:24" ht="15.6">
      <c r="A93" s="447" t="s">
        <v>190</v>
      </c>
      <c r="B93" s="379" t="s">
        <v>169</v>
      </c>
      <c r="C93" s="379"/>
      <c r="D93" s="379"/>
      <c r="E93" s="379"/>
      <c r="F93" s="379"/>
      <c r="G93" s="379"/>
      <c r="H93" s="379"/>
      <c r="I93" s="379"/>
      <c r="J93" s="379"/>
      <c r="K93" s="379"/>
      <c r="L93" s="379"/>
      <c r="M93" s="379"/>
      <c r="N93" s="379"/>
      <c r="O93" s="379"/>
      <c r="P93" s="379"/>
      <c r="Q93" s="379"/>
      <c r="R93" s="379"/>
      <c r="S93" s="379"/>
      <c r="T93" s="379"/>
      <c r="U93" s="441">
        <v>-65</v>
      </c>
      <c r="V93" s="410"/>
      <c r="W93" s="6"/>
      <c r="X93" s="64"/>
    </row>
    <row r="94" spans="1:24" ht="15.6">
      <c r="A94" s="447" t="s">
        <v>191</v>
      </c>
      <c r="B94" s="379" t="s">
        <v>170</v>
      </c>
      <c r="C94" s="379"/>
      <c r="D94" s="379"/>
      <c r="E94" s="379"/>
      <c r="F94" s="379"/>
      <c r="G94" s="379"/>
      <c r="H94" s="379"/>
      <c r="I94" s="379"/>
      <c r="J94" s="379"/>
      <c r="K94" s="379"/>
      <c r="L94" s="379"/>
      <c r="M94" s="379"/>
      <c r="N94" s="379"/>
      <c r="O94" s="379"/>
      <c r="P94" s="379"/>
      <c r="Q94" s="379"/>
      <c r="R94" s="379"/>
      <c r="S94" s="379"/>
      <c r="T94" s="379"/>
      <c r="U94" s="441">
        <v>-84</v>
      </c>
      <c r="V94" s="410"/>
      <c r="W94" s="6"/>
      <c r="X94" s="182"/>
    </row>
    <row r="95" spans="1:24" ht="15.6">
      <c r="A95" s="444">
        <v>5</v>
      </c>
      <c r="B95" s="379" t="s">
        <v>171</v>
      </c>
      <c r="C95" s="379"/>
      <c r="D95" s="379"/>
      <c r="E95" s="379"/>
      <c r="F95" s="379"/>
      <c r="G95" s="379"/>
      <c r="H95" s="379"/>
      <c r="I95" s="379"/>
      <c r="J95" s="379"/>
      <c r="K95" s="379"/>
      <c r="L95" s="379"/>
      <c r="M95" s="379"/>
      <c r="N95" s="379"/>
      <c r="O95" s="379"/>
      <c r="P95" s="379"/>
      <c r="Q95" s="379"/>
      <c r="R95" s="379"/>
      <c r="S95" s="379"/>
      <c r="T95" s="379"/>
      <c r="U95" s="441">
        <v>-8</v>
      </c>
      <c r="V95" s="410"/>
      <c r="W95" s="6"/>
    </row>
    <row r="96" spans="1:24" ht="15.6">
      <c r="A96" s="447" t="s">
        <v>174</v>
      </c>
      <c r="B96" s="379" t="s">
        <v>172</v>
      </c>
      <c r="C96" s="379"/>
      <c r="D96" s="379"/>
      <c r="E96" s="379"/>
      <c r="F96" s="379"/>
      <c r="G96" s="379"/>
      <c r="H96" s="379"/>
      <c r="I96" s="379"/>
      <c r="J96" s="379"/>
      <c r="K96" s="379"/>
      <c r="L96" s="379"/>
      <c r="M96" s="379"/>
      <c r="N96" s="379"/>
      <c r="O96" s="379"/>
      <c r="P96" s="379"/>
      <c r="Q96" s="379"/>
      <c r="R96" s="379"/>
      <c r="S96" s="379"/>
      <c r="T96" s="379"/>
      <c r="U96" s="441">
        <v>-29</v>
      </c>
      <c r="V96" s="410"/>
      <c r="W96" s="6"/>
      <c r="X96" s="182"/>
    </row>
    <row r="97" spans="1:24" ht="15.6">
      <c r="A97" s="447" t="s">
        <v>176</v>
      </c>
      <c r="B97" s="379" t="s">
        <v>173</v>
      </c>
      <c r="C97" s="379"/>
      <c r="D97" s="379"/>
      <c r="E97" s="379"/>
      <c r="F97" s="379"/>
      <c r="G97" s="379"/>
      <c r="H97" s="379"/>
      <c r="I97" s="379"/>
      <c r="J97" s="379"/>
      <c r="K97" s="379"/>
      <c r="L97" s="379"/>
      <c r="M97" s="379"/>
      <c r="N97" s="379"/>
      <c r="O97" s="379"/>
      <c r="P97" s="379"/>
      <c r="Q97" s="379"/>
      <c r="R97" s="379"/>
      <c r="S97" s="379"/>
      <c r="T97" s="379"/>
      <c r="U97" s="441">
        <v>-47</v>
      </c>
      <c r="V97" s="410"/>
      <c r="W97" s="119"/>
      <c r="X97" s="182"/>
    </row>
    <row r="98" spans="1:24" ht="15.6">
      <c r="A98" s="447" t="s">
        <v>178</v>
      </c>
      <c r="B98" s="379" t="s">
        <v>175</v>
      </c>
      <c r="C98" s="379"/>
      <c r="D98" s="379"/>
      <c r="E98" s="379"/>
      <c r="F98" s="379"/>
      <c r="G98" s="379"/>
      <c r="H98" s="379"/>
      <c r="I98" s="379"/>
      <c r="J98" s="379"/>
      <c r="K98" s="379"/>
      <c r="L98" s="379"/>
      <c r="M98" s="379"/>
      <c r="N98" s="379"/>
      <c r="O98" s="379"/>
      <c r="P98" s="379"/>
      <c r="Q98" s="379"/>
      <c r="R98" s="379"/>
      <c r="S98" s="379"/>
      <c r="T98" s="379"/>
      <c r="U98" s="441">
        <v>-47</v>
      </c>
      <c r="V98" s="410"/>
      <c r="W98" s="6"/>
      <c r="X98" s="182"/>
    </row>
    <row r="99" spans="1:24" ht="15.6">
      <c r="A99" s="447" t="s">
        <v>180</v>
      </c>
      <c r="B99" s="379" t="s">
        <v>177</v>
      </c>
      <c r="C99" s="379"/>
      <c r="D99" s="379"/>
      <c r="E99" s="379"/>
      <c r="F99" s="379"/>
      <c r="G99" s="379"/>
      <c r="H99" s="379"/>
      <c r="I99" s="379"/>
      <c r="J99" s="379"/>
      <c r="K99" s="379"/>
      <c r="L99" s="379"/>
      <c r="M99" s="379"/>
      <c r="N99" s="379"/>
      <c r="O99" s="379"/>
      <c r="P99" s="379"/>
      <c r="Q99" s="379"/>
      <c r="R99" s="379"/>
      <c r="S99" s="379"/>
      <c r="T99" s="379"/>
      <c r="U99" s="441">
        <v>-61</v>
      </c>
      <c r="V99" s="410"/>
      <c r="W99" s="119"/>
      <c r="X99" s="182"/>
    </row>
    <row r="100" spans="1:24" ht="15.6">
      <c r="A100" s="447" t="s">
        <v>192</v>
      </c>
      <c r="B100" s="379" t="s">
        <v>179</v>
      </c>
      <c r="C100" s="379"/>
      <c r="D100" s="379"/>
      <c r="E100" s="379"/>
      <c r="F100" s="379"/>
      <c r="G100" s="379"/>
      <c r="H100" s="379"/>
      <c r="I100" s="379"/>
      <c r="J100" s="379"/>
      <c r="K100" s="379"/>
      <c r="L100" s="379"/>
      <c r="M100" s="379"/>
      <c r="N100" s="379"/>
      <c r="O100" s="379"/>
      <c r="P100" s="379"/>
      <c r="Q100" s="379"/>
      <c r="R100" s="379"/>
      <c r="S100" s="379"/>
      <c r="T100" s="379"/>
      <c r="U100" s="441">
        <v>-91</v>
      </c>
      <c r="V100" s="410"/>
      <c r="W100" s="6"/>
      <c r="X100" s="182"/>
    </row>
    <row r="101" spans="1:24" ht="15.6">
      <c r="A101" s="447" t="s">
        <v>193</v>
      </c>
      <c r="B101" s="379" t="s">
        <v>181</v>
      </c>
      <c r="C101" s="379"/>
      <c r="D101" s="379"/>
      <c r="E101" s="379"/>
      <c r="F101" s="379"/>
      <c r="G101" s="379"/>
      <c r="H101" s="379"/>
      <c r="I101" s="379"/>
      <c r="J101" s="379"/>
      <c r="K101" s="379"/>
      <c r="L101" s="379"/>
      <c r="M101" s="379"/>
      <c r="N101" s="379"/>
      <c r="O101" s="379"/>
      <c r="P101" s="379"/>
      <c r="Q101" s="379"/>
      <c r="R101" s="379"/>
      <c r="S101" s="379"/>
      <c r="T101" s="379"/>
      <c r="U101" s="441">
        <v>-78</v>
      </c>
      <c r="V101" s="410"/>
      <c r="W101" s="119"/>
      <c r="X101" s="182"/>
    </row>
    <row r="102" spans="1:24" ht="15.6">
      <c r="A102" s="444">
        <v>9</v>
      </c>
      <c r="B102" s="379" t="s">
        <v>257</v>
      </c>
      <c r="C102" s="379"/>
      <c r="D102" s="379"/>
      <c r="E102" s="379"/>
      <c r="F102" s="379"/>
      <c r="G102" s="379"/>
      <c r="H102" s="379"/>
      <c r="I102" s="379"/>
      <c r="J102" s="379"/>
      <c r="K102" s="379"/>
      <c r="L102" s="379"/>
      <c r="M102" s="379"/>
      <c r="N102" s="379"/>
      <c r="O102" s="379"/>
      <c r="P102" s="379"/>
      <c r="Q102" s="379"/>
      <c r="R102" s="379"/>
      <c r="S102" s="379"/>
      <c r="T102" s="379"/>
      <c r="U102" s="441">
        <f>+S219-U32</f>
        <v>-6344.1184000000067</v>
      </c>
      <c r="V102" s="410"/>
      <c r="W102" s="6"/>
      <c r="X102" s="182"/>
    </row>
    <row r="103" spans="1:24" ht="15.6">
      <c r="A103" s="444">
        <v>10</v>
      </c>
      <c r="B103" s="379" t="s">
        <v>234</v>
      </c>
      <c r="C103" s="379"/>
      <c r="D103" s="379"/>
      <c r="E103" s="379"/>
      <c r="F103" s="379"/>
      <c r="G103" s="379"/>
      <c r="H103" s="379"/>
      <c r="I103" s="379"/>
      <c r="J103" s="379"/>
      <c r="K103" s="379"/>
      <c r="L103" s="379"/>
      <c r="M103" s="379"/>
      <c r="N103" s="379"/>
      <c r="O103" s="379"/>
      <c r="P103" s="379"/>
      <c r="Q103" s="379"/>
      <c r="R103" s="379"/>
      <c r="S103" s="379"/>
      <c r="T103" s="379"/>
      <c r="U103" s="441">
        <v>-40500</v>
      </c>
      <c r="V103" s="410"/>
      <c r="W103" s="6"/>
      <c r="X103" s="64"/>
    </row>
    <row r="104" spans="1:24" ht="15.6">
      <c r="A104" s="444">
        <v>11</v>
      </c>
      <c r="B104" s="379" t="s">
        <v>183</v>
      </c>
      <c r="C104" s="379"/>
      <c r="D104" s="379"/>
      <c r="E104" s="379"/>
      <c r="F104" s="379"/>
      <c r="G104" s="379"/>
      <c r="H104" s="379"/>
      <c r="I104" s="379"/>
      <c r="J104" s="379"/>
      <c r="K104" s="379"/>
      <c r="L104" s="379"/>
      <c r="M104" s="379"/>
      <c r="N104" s="379"/>
      <c r="O104" s="379"/>
      <c r="P104" s="379"/>
      <c r="Q104" s="379"/>
      <c r="R104" s="379"/>
      <c r="S104" s="379"/>
      <c r="T104" s="379"/>
      <c r="U104" s="441">
        <v>0</v>
      </c>
      <c r="V104" s="410"/>
      <c r="W104" s="6"/>
      <c r="X104" s="64"/>
    </row>
    <row r="105" spans="1:24" ht="15.6">
      <c r="A105" s="444">
        <v>12</v>
      </c>
      <c r="B105" s="379" t="s">
        <v>184</v>
      </c>
      <c r="C105" s="379"/>
      <c r="D105" s="379"/>
      <c r="E105" s="379"/>
      <c r="F105" s="379"/>
      <c r="G105" s="379"/>
      <c r="H105" s="379"/>
      <c r="I105" s="379"/>
      <c r="J105" s="379"/>
      <c r="K105" s="379"/>
      <c r="L105" s="379"/>
      <c r="M105" s="379"/>
      <c r="N105" s="379"/>
      <c r="O105" s="379"/>
      <c r="P105" s="379"/>
      <c r="Q105" s="379"/>
      <c r="R105" s="379"/>
      <c r="S105" s="379"/>
      <c r="T105" s="379"/>
      <c r="U105" s="441">
        <v>-155</v>
      </c>
      <c r="V105" s="410"/>
      <c r="W105" s="6"/>
      <c r="X105" s="182"/>
    </row>
    <row r="106" spans="1:24" ht="15.6">
      <c r="A106" s="444">
        <v>13</v>
      </c>
      <c r="B106" s="379" t="s">
        <v>40</v>
      </c>
      <c r="C106" s="379"/>
      <c r="D106" s="379"/>
      <c r="E106" s="379"/>
      <c r="F106" s="379"/>
      <c r="G106" s="379"/>
      <c r="H106" s="379"/>
      <c r="I106" s="379"/>
      <c r="J106" s="379"/>
      <c r="K106" s="379"/>
      <c r="L106" s="379"/>
      <c r="M106" s="379"/>
      <c r="N106" s="379"/>
      <c r="O106" s="379"/>
      <c r="P106" s="379"/>
      <c r="Q106" s="379"/>
      <c r="R106" s="379"/>
      <c r="S106" s="379"/>
      <c r="T106" s="379"/>
      <c r="U106" s="441">
        <f>-SUM(U87:V105)</f>
        <v>-1908.8815999999933</v>
      </c>
      <c r="V106" s="410"/>
      <c r="W106" s="6"/>
      <c r="X106" s="182"/>
    </row>
    <row r="107" spans="1:24" ht="15.6">
      <c r="A107" s="316"/>
      <c r="B107" s="443"/>
      <c r="C107" s="364"/>
      <c r="D107" s="364"/>
      <c r="E107" s="364"/>
      <c r="F107" s="364"/>
      <c r="G107" s="364"/>
      <c r="H107" s="364"/>
      <c r="I107" s="364"/>
      <c r="J107" s="364"/>
      <c r="K107" s="364"/>
      <c r="L107" s="364"/>
      <c r="M107" s="364"/>
      <c r="N107" s="364"/>
      <c r="O107" s="364"/>
      <c r="P107" s="364"/>
      <c r="Q107" s="364"/>
      <c r="R107" s="364"/>
      <c r="S107" s="360"/>
      <c r="T107" s="360"/>
      <c r="U107" s="360"/>
      <c r="V107" s="303"/>
      <c r="W107" s="6"/>
      <c r="X107" s="182"/>
    </row>
    <row r="108" spans="1:24" ht="15.6">
      <c r="A108" s="316"/>
      <c r="B108" s="317"/>
      <c r="C108" s="288"/>
      <c r="D108" s="288"/>
      <c r="E108" s="288"/>
      <c r="F108" s="288"/>
      <c r="G108" s="288"/>
      <c r="H108" s="288"/>
      <c r="I108" s="288"/>
      <c r="J108" s="288"/>
      <c r="K108" s="288"/>
      <c r="L108" s="288"/>
      <c r="M108" s="288"/>
      <c r="N108" s="288"/>
      <c r="O108" s="288"/>
      <c r="P108" s="288"/>
      <c r="Q108" s="288"/>
      <c r="R108" s="288"/>
      <c r="S108" s="318"/>
      <c r="T108" s="318"/>
      <c r="U108" s="318"/>
      <c r="V108" s="303"/>
      <c r="W108" s="6"/>
    </row>
    <row r="109" spans="1:24" ht="16.2" thickBot="1">
      <c r="A109" s="319"/>
      <c r="B109" s="304" t="str">
        <f>+B59</f>
        <v>PPAF3 INVESTOR REPORT QUARTER ENDING SEPTEMBER 2013</v>
      </c>
      <c r="C109" s="305"/>
      <c r="D109" s="305"/>
      <c r="E109" s="305"/>
      <c r="F109" s="305"/>
      <c r="G109" s="305"/>
      <c r="H109" s="305"/>
      <c r="I109" s="305"/>
      <c r="J109" s="305"/>
      <c r="K109" s="305"/>
      <c r="L109" s="305"/>
      <c r="M109" s="305"/>
      <c r="N109" s="305"/>
      <c r="O109" s="305"/>
      <c r="P109" s="305"/>
      <c r="Q109" s="305"/>
      <c r="R109" s="305"/>
      <c r="S109" s="320"/>
      <c r="T109" s="320"/>
      <c r="U109" s="320"/>
      <c r="V109" s="307"/>
      <c r="W109" s="6"/>
    </row>
    <row r="110" spans="1:24" ht="15.6">
      <c r="A110" s="238"/>
      <c r="B110" s="240"/>
      <c r="C110" s="240"/>
      <c r="D110" s="240"/>
      <c r="E110" s="240"/>
      <c r="F110" s="240"/>
      <c r="G110" s="240"/>
      <c r="H110" s="240"/>
      <c r="I110" s="240"/>
      <c r="J110" s="240"/>
      <c r="K110" s="240"/>
      <c r="L110" s="240"/>
      <c r="M110" s="240"/>
      <c r="N110" s="240"/>
      <c r="O110" s="240"/>
      <c r="P110" s="240"/>
      <c r="Q110" s="240"/>
      <c r="R110" s="240"/>
      <c r="S110" s="269"/>
      <c r="T110" s="269"/>
      <c r="U110" s="269"/>
      <c r="V110" s="241"/>
      <c r="W110" s="6"/>
    </row>
    <row r="111" spans="1:24" ht="15.6">
      <c r="A111" s="321"/>
      <c r="B111" s="517" t="s">
        <v>41</v>
      </c>
      <c r="C111" s="322"/>
      <c r="D111" s="322"/>
      <c r="E111" s="322"/>
      <c r="F111" s="322"/>
      <c r="G111" s="322"/>
      <c r="H111" s="322"/>
      <c r="I111" s="322"/>
      <c r="J111" s="322"/>
      <c r="K111" s="322"/>
      <c r="L111" s="322"/>
      <c r="M111" s="322"/>
      <c r="N111" s="322"/>
      <c r="O111" s="322"/>
      <c r="P111" s="322"/>
      <c r="Q111" s="322"/>
      <c r="R111" s="322"/>
      <c r="S111" s="322"/>
      <c r="T111" s="322"/>
      <c r="U111" s="323"/>
      <c r="V111" s="324"/>
      <c r="W111" s="6"/>
    </row>
    <row r="112" spans="1:24" ht="15.6">
      <c r="A112" s="270"/>
      <c r="B112" s="271"/>
      <c r="C112" s="271"/>
      <c r="D112" s="271"/>
      <c r="E112" s="271"/>
      <c r="F112" s="271"/>
      <c r="G112" s="271"/>
      <c r="H112" s="271"/>
      <c r="I112" s="271"/>
      <c r="J112" s="271"/>
      <c r="K112" s="271"/>
      <c r="L112" s="271"/>
      <c r="M112" s="271"/>
      <c r="N112" s="271"/>
      <c r="O112" s="271"/>
      <c r="P112" s="271"/>
      <c r="Q112" s="271"/>
      <c r="R112" s="271"/>
      <c r="S112" s="271"/>
      <c r="T112" s="271"/>
      <c r="U112" s="272"/>
      <c r="V112" s="273"/>
      <c r="W112" s="6"/>
    </row>
    <row r="113" spans="1:24" ht="15.6">
      <c r="A113" s="242"/>
      <c r="B113" s="274" t="s">
        <v>42</v>
      </c>
      <c r="C113" s="252"/>
      <c r="D113" s="252"/>
      <c r="E113" s="252"/>
      <c r="F113" s="252"/>
      <c r="G113" s="252"/>
      <c r="H113" s="252"/>
      <c r="I113" s="252"/>
      <c r="J113" s="252"/>
      <c r="K113" s="252"/>
      <c r="L113" s="252"/>
      <c r="M113" s="244"/>
      <c r="N113" s="244"/>
      <c r="O113" s="244"/>
      <c r="P113" s="244"/>
      <c r="Q113" s="244"/>
      <c r="R113" s="244"/>
      <c r="S113" s="244"/>
      <c r="T113" s="244"/>
      <c r="U113" s="263"/>
      <c r="V113" s="245"/>
      <c r="W113" s="6"/>
    </row>
    <row r="114" spans="1:24" ht="15.6">
      <c r="A114" s="378"/>
      <c r="B114" s="379" t="s">
        <v>43</v>
      </c>
      <c r="C114" s="379"/>
      <c r="D114" s="379"/>
      <c r="E114" s="379"/>
      <c r="F114" s="379"/>
      <c r="G114" s="379"/>
      <c r="H114" s="379"/>
      <c r="I114" s="379"/>
      <c r="J114" s="379"/>
      <c r="K114" s="379"/>
      <c r="L114" s="379"/>
      <c r="M114" s="379"/>
      <c r="N114" s="379"/>
      <c r="O114" s="379"/>
      <c r="P114" s="379"/>
      <c r="Q114" s="379"/>
      <c r="R114" s="379"/>
      <c r="S114" s="379"/>
      <c r="T114" s="379"/>
      <c r="U114" s="441">
        <v>40500</v>
      </c>
      <c r="V114" s="410"/>
      <c r="W114" s="6"/>
    </row>
    <row r="115" spans="1:24" ht="15.6">
      <c r="A115" s="378"/>
      <c r="B115" s="379" t="s">
        <v>240</v>
      </c>
      <c r="C115" s="379"/>
      <c r="D115" s="379"/>
      <c r="E115" s="379"/>
      <c r="F115" s="379"/>
      <c r="G115" s="379"/>
      <c r="H115" s="379"/>
      <c r="I115" s="379"/>
      <c r="J115" s="379"/>
      <c r="K115" s="379"/>
      <c r="L115" s="379"/>
      <c r="M115" s="379"/>
      <c r="N115" s="379"/>
      <c r="O115" s="379"/>
      <c r="P115" s="379"/>
      <c r="Q115" s="379"/>
      <c r="R115" s="379"/>
      <c r="S115" s="379"/>
      <c r="T115" s="379"/>
      <c r="U115" s="441">
        <v>40500</v>
      </c>
      <c r="V115" s="410"/>
      <c r="W115" s="6"/>
    </row>
    <row r="116" spans="1:24" ht="15.6">
      <c r="A116" s="378"/>
      <c r="B116" s="379" t="s">
        <v>241</v>
      </c>
      <c r="C116" s="379"/>
      <c r="D116" s="379"/>
      <c r="E116" s="379"/>
      <c r="F116" s="379"/>
      <c r="G116" s="379"/>
      <c r="H116" s="379"/>
      <c r="I116" s="379"/>
      <c r="J116" s="379"/>
      <c r="K116" s="379"/>
      <c r="L116" s="379"/>
      <c r="M116" s="379"/>
      <c r="N116" s="379"/>
      <c r="O116" s="379"/>
      <c r="P116" s="379"/>
      <c r="Q116" s="379"/>
      <c r="R116" s="379"/>
      <c r="S116" s="379"/>
      <c r="T116" s="379"/>
      <c r="U116" s="441">
        <v>0</v>
      </c>
      <c r="V116" s="410"/>
      <c r="W116" s="6"/>
    </row>
    <row r="117" spans="1:24" ht="15.6">
      <c r="A117" s="378"/>
      <c r="B117" s="379" t="s">
        <v>209</v>
      </c>
      <c r="C117" s="379"/>
      <c r="D117" s="379"/>
      <c r="E117" s="379"/>
      <c r="F117" s="379"/>
      <c r="G117" s="379"/>
      <c r="H117" s="379"/>
      <c r="I117" s="379"/>
      <c r="J117" s="379"/>
      <c r="K117" s="379"/>
      <c r="L117" s="379"/>
      <c r="M117" s="379"/>
      <c r="N117" s="379"/>
      <c r="O117" s="379"/>
      <c r="P117" s="379"/>
      <c r="Q117" s="379"/>
      <c r="R117" s="379"/>
      <c r="S117" s="379"/>
      <c r="T117" s="379"/>
      <c r="U117" s="441">
        <v>0</v>
      </c>
      <c r="V117" s="410"/>
      <c r="W117" s="6"/>
    </row>
    <row r="118" spans="1:24" ht="15.6">
      <c r="A118" s="378"/>
      <c r="B118" s="379" t="s">
        <v>210</v>
      </c>
      <c r="C118" s="379"/>
      <c r="D118" s="379"/>
      <c r="E118" s="379"/>
      <c r="F118" s="379"/>
      <c r="G118" s="379"/>
      <c r="H118" s="379"/>
      <c r="I118" s="379"/>
      <c r="J118" s="379"/>
      <c r="K118" s="379"/>
      <c r="L118" s="379"/>
      <c r="M118" s="379"/>
      <c r="N118" s="379"/>
      <c r="O118" s="379"/>
      <c r="P118" s="379"/>
      <c r="Q118" s="379"/>
      <c r="R118" s="379"/>
      <c r="S118" s="379"/>
      <c r="T118" s="379"/>
      <c r="U118" s="441">
        <v>0</v>
      </c>
      <c r="V118" s="410"/>
      <c r="W118" s="6"/>
    </row>
    <row r="119" spans="1:24" ht="15.6">
      <c r="A119" s="378"/>
      <c r="B119" s="379" t="s">
        <v>211</v>
      </c>
      <c r="C119" s="379"/>
      <c r="D119" s="379"/>
      <c r="E119" s="379"/>
      <c r="F119" s="379"/>
      <c r="G119" s="379"/>
      <c r="H119" s="379"/>
      <c r="I119" s="379"/>
      <c r="J119" s="379"/>
      <c r="K119" s="379"/>
      <c r="L119" s="379"/>
      <c r="M119" s="379"/>
      <c r="N119" s="379"/>
      <c r="O119" s="379"/>
      <c r="P119" s="379"/>
      <c r="Q119" s="379"/>
      <c r="R119" s="379"/>
      <c r="S119" s="379"/>
      <c r="T119" s="379"/>
      <c r="U119" s="441">
        <v>0</v>
      </c>
      <c r="V119" s="410"/>
      <c r="W119" s="6"/>
    </row>
    <row r="120" spans="1:24" ht="15.6">
      <c r="A120" s="378"/>
      <c r="B120" s="379" t="s">
        <v>212</v>
      </c>
      <c r="C120" s="379"/>
      <c r="D120" s="379"/>
      <c r="E120" s="379"/>
      <c r="F120" s="379"/>
      <c r="G120" s="379"/>
      <c r="H120" s="379"/>
      <c r="I120" s="379"/>
      <c r="J120" s="379"/>
      <c r="K120" s="379"/>
      <c r="L120" s="379"/>
      <c r="M120" s="379"/>
      <c r="N120" s="379"/>
      <c r="O120" s="379"/>
      <c r="P120" s="379"/>
      <c r="Q120" s="379"/>
      <c r="R120" s="379"/>
      <c r="S120" s="379"/>
      <c r="T120" s="379"/>
      <c r="U120" s="441">
        <v>0</v>
      </c>
      <c r="V120" s="410"/>
      <c r="W120" s="6"/>
    </row>
    <row r="121" spans="1:24" ht="15.6">
      <c r="A121" s="378"/>
      <c r="B121" s="379" t="s">
        <v>242</v>
      </c>
      <c r="C121" s="379"/>
      <c r="D121" s="379"/>
      <c r="E121" s="379"/>
      <c r="F121" s="379"/>
      <c r="G121" s="379"/>
      <c r="H121" s="379"/>
      <c r="I121" s="379"/>
      <c r="J121" s="379"/>
      <c r="K121" s="379"/>
      <c r="L121" s="379"/>
      <c r="M121" s="379"/>
      <c r="N121" s="379"/>
      <c r="O121" s="379"/>
      <c r="P121" s="379"/>
      <c r="Q121" s="379"/>
      <c r="R121" s="379"/>
      <c r="S121" s="379"/>
      <c r="T121" s="379"/>
      <c r="U121" s="441">
        <v>0</v>
      </c>
      <c r="V121" s="410"/>
      <c r="W121" s="6"/>
    </row>
    <row r="122" spans="1:24" ht="15.6">
      <c r="A122" s="378"/>
      <c r="B122" s="379" t="s">
        <v>45</v>
      </c>
      <c r="C122" s="379"/>
      <c r="D122" s="379"/>
      <c r="E122" s="379"/>
      <c r="F122" s="379"/>
      <c r="G122" s="379"/>
      <c r="H122" s="379"/>
      <c r="I122" s="379"/>
      <c r="J122" s="379"/>
      <c r="K122" s="379"/>
      <c r="L122" s="379"/>
      <c r="M122" s="379"/>
      <c r="N122" s="379"/>
      <c r="O122" s="379"/>
      <c r="P122" s="379"/>
      <c r="Q122" s="379"/>
      <c r="R122" s="379"/>
      <c r="S122" s="379"/>
      <c r="T122" s="379"/>
      <c r="U122" s="441">
        <f>SUM(U115:U121)</f>
        <v>40500</v>
      </c>
      <c r="V122" s="410"/>
      <c r="W122" s="6"/>
    </row>
    <row r="123" spans="1:24" ht="15.6">
      <c r="A123" s="242"/>
      <c r="B123" s="438"/>
      <c r="C123" s="438"/>
      <c r="D123" s="438"/>
      <c r="E123" s="438"/>
      <c r="F123" s="438"/>
      <c r="G123" s="438"/>
      <c r="H123" s="438"/>
      <c r="I123" s="438"/>
      <c r="J123" s="438"/>
      <c r="K123" s="438"/>
      <c r="L123" s="438"/>
      <c r="M123" s="438"/>
      <c r="N123" s="438"/>
      <c r="O123" s="438"/>
      <c r="P123" s="438"/>
      <c r="Q123" s="438"/>
      <c r="R123" s="438"/>
      <c r="S123" s="438"/>
      <c r="T123" s="438"/>
      <c r="U123" s="448"/>
      <c r="V123" s="245"/>
      <c r="W123" s="6"/>
    </row>
    <row r="124" spans="1:24" ht="15.6">
      <c r="A124" s="242"/>
      <c r="B124" s="274" t="s">
        <v>46</v>
      </c>
      <c r="C124" s="252"/>
      <c r="D124" s="252"/>
      <c r="E124" s="252"/>
      <c r="F124" s="252"/>
      <c r="G124" s="252"/>
      <c r="H124" s="252"/>
      <c r="I124" s="252"/>
      <c r="J124" s="252"/>
      <c r="K124" s="252"/>
      <c r="L124" s="252"/>
      <c r="M124" s="244"/>
      <c r="N124" s="244"/>
      <c r="O124" s="244"/>
      <c r="P124" s="275"/>
      <c r="Q124" s="244"/>
      <c r="R124" s="244"/>
      <c r="S124" s="244"/>
      <c r="T124" s="244"/>
      <c r="U124" s="276"/>
      <c r="V124" s="245"/>
      <c r="W124" s="6"/>
    </row>
    <row r="125" spans="1:24" ht="15.6">
      <c r="A125" s="230"/>
      <c r="B125" s="511"/>
      <c r="C125" s="232" t="s">
        <v>185</v>
      </c>
      <c r="D125" s="232"/>
      <c r="E125" s="232" t="s">
        <v>99</v>
      </c>
      <c r="F125" s="232"/>
      <c r="G125" s="232" t="s">
        <v>102</v>
      </c>
      <c r="H125" s="232"/>
      <c r="I125" s="232" t="s">
        <v>108</v>
      </c>
      <c r="J125" s="232"/>
      <c r="K125" s="232"/>
      <c r="L125" s="232"/>
      <c r="M125" s="232"/>
      <c r="N125" s="232"/>
      <c r="O125" s="232"/>
      <c r="P125" s="326"/>
      <c r="Q125" s="326"/>
      <c r="R125" s="231"/>
      <c r="S125" s="231"/>
      <c r="T125" s="231"/>
      <c r="U125" s="309"/>
      <c r="V125" s="237"/>
      <c r="W125" s="6"/>
    </row>
    <row r="126" spans="1:24" ht="15.6">
      <c r="A126" s="257"/>
      <c r="B126" s="294" t="s">
        <v>122</v>
      </c>
      <c r="C126" s="310">
        <f>+N199-'June 13'!N199</f>
        <v>-82</v>
      </c>
      <c r="D126" s="294"/>
      <c r="E126" s="310">
        <f>+S199-'June 13'!S199</f>
        <v>-39</v>
      </c>
      <c r="F126" s="294"/>
      <c r="G126" s="310">
        <f>+'September 13'!N212-'June 13'!N212</f>
        <v>-53</v>
      </c>
      <c r="H126" s="294"/>
      <c r="I126" s="310">
        <f>+S212-'June 13'!S212</f>
        <v>-7</v>
      </c>
      <c r="J126" s="294"/>
      <c r="K126" s="294"/>
      <c r="L126" s="294"/>
      <c r="M126" s="294"/>
      <c r="N126" s="294"/>
      <c r="O126" s="294"/>
      <c r="P126" s="325"/>
      <c r="Q126" s="325"/>
      <c r="R126" s="294"/>
      <c r="S126" s="294"/>
      <c r="T126" s="294"/>
      <c r="U126" s="311">
        <f>SUM(C126:I126)</f>
        <v>-181</v>
      </c>
      <c r="V126" s="298"/>
      <c r="W126" s="6"/>
      <c r="X126" s="182"/>
    </row>
    <row r="127" spans="1:24" ht="15.6">
      <c r="A127" s="378"/>
      <c r="B127" s="379" t="s">
        <v>47</v>
      </c>
      <c r="C127" s="379">
        <v>34</v>
      </c>
      <c r="D127" s="379"/>
      <c r="E127" s="379">
        <v>0</v>
      </c>
      <c r="F127" s="379"/>
      <c r="G127" s="379">
        <v>777</v>
      </c>
      <c r="H127" s="379"/>
      <c r="I127" s="440">
        <v>7</v>
      </c>
      <c r="J127" s="379"/>
      <c r="K127" s="379"/>
      <c r="L127" s="379"/>
      <c r="M127" s="379"/>
      <c r="N127" s="379"/>
      <c r="O127" s="379"/>
      <c r="P127" s="450"/>
      <c r="Q127" s="450"/>
      <c r="R127" s="379"/>
      <c r="S127" s="379"/>
      <c r="T127" s="379"/>
      <c r="U127" s="441">
        <f>SUM(C127:I127)</f>
        <v>818</v>
      </c>
      <c r="V127" s="410"/>
      <c r="W127" s="6"/>
    </row>
    <row r="128" spans="1:24" ht="15.6">
      <c r="A128" s="242"/>
      <c r="B128" s="364" t="s">
        <v>48</v>
      </c>
      <c r="C128" s="364"/>
      <c r="D128" s="364"/>
      <c r="E128" s="364"/>
      <c r="F128" s="364"/>
      <c r="G128" s="364"/>
      <c r="H128" s="364"/>
      <c r="I128" s="364"/>
      <c r="J128" s="364"/>
      <c r="K128" s="364"/>
      <c r="L128" s="364"/>
      <c r="M128" s="364"/>
      <c r="N128" s="364"/>
      <c r="O128" s="364"/>
      <c r="P128" s="364"/>
      <c r="Q128" s="364"/>
      <c r="R128" s="364"/>
      <c r="S128" s="364"/>
      <c r="T128" s="364"/>
      <c r="U128" s="449">
        <f>SUM(U126:U127)</f>
        <v>637</v>
      </c>
      <c r="V128" s="303"/>
      <c r="W128" s="6"/>
      <c r="X128" s="182"/>
    </row>
    <row r="129" spans="1:25" ht="15.6">
      <c r="A129" s="242"/>
      <c r="B129" s="274" t="s">
        <v>49</v>
      </c>
      <c r="C129" s="252"/>
      <c r="D129" s="252"/>
      <c r="E129" s="252"/>
      <c r="F129" s="252"/>
      <c r="G129" s="252"/>
      <c r="H129" s="252"/>
      <c r="I129" s="252"/>
      <c r="J129" s="252"/>
      <c r="K129" s="252"/>
      <c r="L129" s="252"/>
      <c r="M129" s="244"/>
      <c r="N129" s="244"/>
      <c r="O129" s="244"/>
      <c r="P129" s="244"/>
      <c r="Q129" s="244"/>
      <c r="R129" s="244"/>
      <c r="S129" s="244"/>
      <c r="T129" s="244"/>
      <c r="U129" s="263"/>
      <c r="V129" s="245"/>
      <c r="W129" s="6"/>
    </row>
    <row r="130" spans="1:25" ht="15.6">
      <c r="A130" s="444"/>
      <c r="B130" s="379" t="s">
        <v>50</v>
      </c>
      <c r="C130" s="386"/>
      <c r="D130" s="386"/>
      <c r="E130" s="386"/>
      <c r="F130" s="386"/>
      <c r="G130" s="386"/>
      <c r="H130" s="386"/>
      <c r="I130" s="386"/>
      <c r="J130" s="386"/>
      <c r="K130" s="386"/>
      <c r="L130" s="386"/>
      <c r="M130" s="379"/>
      <c r="N130" s="379"/>
      <c r="O130" s="379"/>
      <c r="P130" s="379"/>
      <c r="Q130" s="379"/>
      <c r="R130" s="379"/>
      <c r="S130" s="379"/>
      <c r="T130" s="379"/>
      <c r="U130" s="441">
        <f>U75+U77</f>
        <v>130487</v>
      </c>
      <c r="V130" s="410"/>
      <c r="W130" s="6"/>
      <c r="X130" s="182"/>
    </row>
    <row r="131" spans="1:25" ht="15.6">
      <c r="A131" s="444"/>
      <c r="B131" s="379" t="s">
        <v>51</v>
      </c>
      <c r="C131" s="386"/>
      <c r="D131" s="386"/>
      <c r="E131" s="386"/>
      <c r="F131" s="386"/>
      <c r="G131" s="386"/>
      <c r="H131" s="386"/>
      <c r="I131" s="386"/>
      <c r="J131" s="386"/>
      <c r="K131" s="386"/>
      <c r="L131" s="386"/>
      <c r="M131" s="379"/>
      <c r="N131" s="379"/>
      <c r="O131" s="379"/>
      <c r="P131" s="379"/>
      <c r="Q131" s="379"/>
      <c r="R131" s="379"/>
      <c r="S131" s="379"/>
      <c r="T131" s="379"/>
      <c r="U131" s="441">
        <v>0</v>
      </c>
      <c r="V131" s="410"/>
      <c r="W131" s="6"/>
      <c r="Y131" s="182"/>
    </row>
    <row r="132" spans="1:25" ht="15.6">
      <c r="A132" s="444"/>
      <c r="B132" s="379" t="s">
        <v>52</v>
      </c>
      <c r="C132" s="386"/>
      <c r="D132" s="386"/>
      <c r="E132" s="386"/>
      <c r="F132" s="386"/>
      <c r="G132" s="386"/>
      <c r="H132" s="386"/>
      <c r="I132" s="386"/>
      <c r="J132" s="386"/>
      <c r="K132" s="386"/>
      <c r="L132" s="386"/>
      <c r="M132" s="379"/>
      <c r="N132" s="379"/>
      <c r="O132" s="379"/>
      <c r="P132" s="379"/>
      <c r="Q132" s="379"/>
      <c r="R132" s="379"/>
      <c r="S132" s="379"/>
      <c r="T132" s="379"/>
      <c r="U132" s="441">
        <f>+U130+U131</f>
        <v>130487</v>
      </c>
      <c r="V132" s="410"/>
      <c r="W132" s="6"/>
    </row>
    <row r="133" spans="1:25" ht="15.6">
      <c r="A133" s="444"/>
      <c r="B133" s="379" t="s">
        <v>53</v>
      </c>
      <c r="C133" s="386"/>
      <c r="D133" s="386"/>
      <c r="E133" s="386"/>
      <c r="F133" s="386"/>
      <c r="G133" s="386"/>
      <c r="H133" s="386"/>
      <c r="I133" s="386"/>
      <c r="J133" s="386"/>
      <c r="K133" s="386"/>
      <c r="L133" s="386"/>
      <c r="M133" s="379"/>
      <c r="N133" s="379"/>
      <c r="O133" s="379"/>
      <c r="P133" s="379"/>
      <c r="Q133" s="379"/>
      <c r="R133" s="379"/>
      <c r="S133" s="379"/>
      <c r="T133" s="379"/>
      <c r="U133" s="441">
        <f>U80</f>
        <v>130487</v>
      </c>
      <c r="V133" s="410"/>
      <c r="W133" s="6"/>
      <c r="X133" s="64"/>
    </row>
    <row r="134" spans="1:25" ht="15.6">
      <c r="A134" s="242"/>
      <c r="B134" s="438"/>
      <c r="C134" s="438"/>
      <c r="D134" s="438"/>
      <c r="E134" s="438"/>
      <c r="F134" s="438"/>
      <c r="G134" s="438"/>
      <c r="H134" s="438"/>
      <c r="I134" s="438"/>
      <c r="J134" s="438"/>
      <c r="K134" s="438"/>
      <c r="L134" s="438"/>
      <c r="M134" s="438"/>
      <c r="N134" s="438"/>
      <c r="O134" s="438"/>
      <c r="P134" s="438"/>
      <c r="Q134" s="438"/>
      <c r="R134" s="438"/>
      <c r="S134" s="438"/>
      <c r="T134" s="438"/>
      <c r="U134" s="451"/>
      <c r="V134" s="245"/>
      <c r="W134" s="6"/>
    </row>
    <row r="135" spans="1:25" ht="15.6">
      <c r="A135" s="242"/>
      <c r="B135" s="274" t="s">
        <v>54</v>
      </c>
      <c r="C135" s="247"/>
      <c r="D135" s="247"/>
      <c r="E135" s="247"/>
      <c r="F135" s="247"/>
      <c r="G135" s="247"/>
      <c r="H135" s="247"/>
      <c r="I135" s="247"/>
      <c r="J135" s="247"/>
      <c r="K135" s="247"/>
      <c r="L135" s="247"/>
      <c r="M135" s="247"/>
      <c r="N135" s="247"/>
      <c r="O135" s="247"/>
      <c r="P135" s="247"/>
      <c r="Q135" s="277" t="s">
        <v>112</v>
      </c>
      <c r="R135" s="278"/>
      <c r="S135" s="277" t="s">
        <v>114</v>
      </c>
      <c r="T135" s="247"/>
      <c r="U135" s="279" t="s">
        <v>90</v>
      </c>
      <c r="V135" s="245"/>
      <c r="W135" s="6"/>
    </row>
    <row r="136" spans="1:25" ht="15.6">
      <c r="A136" s="378"/>
      <c r="B136" s="379" t="s">
        <v>55</v>
      </c>
      <c r="C136" s="379"/>
      <c r="D136" s="379"/>
      <c r="E136" s="379"/>
      <c r="F136" s="379"/>
      <c r="G136" s="379"/>
      <c r="H136" s="379"/>
      <c r="I136" s="379"/>
      <c r="J136" s="379"/>
      <c r="K136" s="379"/>
      <c r="L136" s="379"/>
      <c r="M136" s="379"/>
      <c r="N136" s="379"/>
      <c r="O136" s="379"/>
      <c r="P136" s="379"/>
      <c r="Q136" s="441">
        <v>0</v>
      </c>
      <c r="R136" s="379"/>
      <c r="S136" s="453" t="s">
        <v>115</v>
      </c>
      <c r="T136" s="379"/>
      <c r="U136" s="441">
        <f>Q136</f>
        <v>0</v>
      </c>
      <c r="V136" s="385"/>
      <c r="W136" s="6"/>
    </row>
    <row r="137" spans="1:25" ht="15.6">
      <c r="A137" s="378"/>
      <c r="B137" s="379" t="s">
        <v>56</v>
      </c>
      <c r="C137" s="379"/>
      <c r="D137" s="379"/>
      <c r="E137" s="379"/>
      <c r="F137" s="379"/>
      <c r="G137" s="379"/>
      <c r="H137" s="379"/>
      <c r="I137" s="379"/>
      <c r="J137" s="379"/>
      <c r="K137" s="379"/>
      <c r="L137" s="379"/>
      <c r="M137" s="379"/>
      <c r="N137" s="379"/>
      <c r="O137" s="379"/>
      <c r="P137" s="379"/>
      <c r="Q137" s="441">
        <f>+'June 13'!Q139</f>
        <v>4229</v>
      </c>
      <c r="R137" s="379"/>
      <c r="S137" s="453" t="s">
        <v>115</v>
      </c>
      <c r="T137" s="379"/>
      <c r="U137" s="441">
        <f>Q137</f>
        <v>4229</v>
      </c>
      <c r="V137" s="385"/>
      <c r="W137" s="6"/>
    </row>
    <row r="138" spans="1:25" ht="15.6">
      <c r="A138" s="378"/>
      <c r="B138" s="379" t="s">
        <v>57</v>
      </c>
      <c r="C138" s="379"/>
      <c r="D138" s="379"/>
      <c r="E138" s="379"/>
      <c r="F138" s="379"/>
      <c r="G138" s="379"/>
      <c r="H138" s="379"/>
      <c r="I138" s="379"/>
      <c r="J138" s="379"/>
      <c r="K138" s="379"/>
      <c r="L138" s="379"/>
      <c r="M138" s="379"/>
      <c r="N138" s="379"/>
      <c r="O138" s="379"/>
      <c r="P138" s="379"/>
      <c r="Q138" s="441">
        <v>0</v>
      </c>
      <c r="R138" s="379"/>
      <c r="S138" s="453" t="s">
        <v>115</v>
      </c>
      <c r="T138" s="379"/>
      <c r="U138" s="441">
        <f>Q138</f>
        <v>0</v>
      </c>
      <c r="V138" s="385"/>
      <c r="W138" s="6"/>
    </row>
    <row r="139" spans="1:25" ht="15.6">
      <c r="A139" s="378"/>
      <c r="B139" s="379" t="s">
        <v>58</v>
      </c>
      <c r="C139" s="379"/>
      <c r="D139" s="379"/>
      <c r="E139" s="379"/>
      <c r="F139" s="379"/>
      <c r="G139" s="379"/>
      <c r="H139" s="379"/>
      <c r="I139" s="379"/>
      <c r="J139" s="379"/>
      <c r="K139" s="379"/>
      <c r="L139" s="379"/>
      <c r="M139" s="379"/>
      <c r="N139" s="379"/>
      <c r="O139" s="379"/>
      <c r="P139" s="379"/>
      <c r="Q139" s="441">
        <f>SUM(Q137:Q138)</f>
        <v>4229</v>
      </c>
      <c r="R139" s="379"/>
      <c r="S139" s="453" t="s">
        <v>115</v>
      </c>
      <c r="T139" s="379"/>
      <c r="U139" s="441">
        <f>Q139</f>
        <v>4229</v>
      </c>
      <c r="V139" s="385"/>
      <c r="W139" s="6"/>
    </row>
    <row r="140" spans="1:25" ht="15.6">
      <c r="A140" s="378"/>
      <c r="B140" s="379" t="s">
        <v>215</v>
      </c>
      <c r="C140" s="379"/>
      <c r="D140" s="379"/>
      <c r="E140" s="379"/>
      <c r="F140" s="379"/>
      <c r="G140" s="379"/>
      <c r="H140" s="379"/>
      <c r="I140" s="379"/>
      <c r="J140" s="379"/>
      <c r="K140" s="379"/>
      <c r="L140" s="379"/>
      <c r="M140" s="379"/>
      <c r="N140" s="379"/>
      <c r="O140" s="379"/>
      <c r="P140" s="379"/>
      <c r="Q140" s="441"/>
      <c r="R140" s="379"/>
      <c r="S140" s="453"/>
      <c r="T140" s="379"/>
      <c r="U140" s="441"/>
      <c r="V140" s="385"/>
      <c r="W140" s="6"/>
    </row>
    <row r="141" spans="1:25" ht="15.6">
      <c r="A141" s="378"/>
      <c r="B141" s="454"/>
      <c r="C141" s="454"/>
      <c r="D141" s="454"/>
      <c r="E141" s="454"/>
      <c r="F141" s="454"/>
      <c r="G141" s="454"/>
      <c r="H141" s="454"/>
      <c r="I141" s="454"/>
      <c r="J141" s="454"/>
      <c r="K141" s="454"/>
      <c r="L141" s="454"/>
      <c r="M141" s="454"/>
      <c r="N141" s="454"/>
      <c r="O141" s="454"/>
      <c r="P141" s="454"/>
      <c r="Q141" s="454"/>
      <c r="R141" s="454"/>
      <c r="S141" s="454"/>
      <c r="T141" s="454"/>
      <c r="U141" s="454"/>
      <c r="V141" s="385"/>
      <c r="W141" s="6"/>
    </row>
    <row r="142" spans="1:25" ht="15.6">
      <c r="A142" s="242"/>
      <c r="B142" s="452"/>
      <c r="C142" s="452"/>
      <c r="D142" s="452"/>
      <c r="E142" s="452"/>
      <c r="F142" s="452"/>
      <c r="G142" s="452"/>
      <c r="H142" s="452"/>
      <c r="I142" s="452"/>
      <c r="J142" s="452"/>
      <c r="K142" s="452"/>
      <c r="L142" s="452"/>
      <c r="M142" s="452"/>
      <c r="N142" s="452"/>
      <c r="O142" s="452"/>
      <c r="P142" s="452"/>
      <c r="Q142" s="452"/>
      <c r="R142" s="452"/>
      <c r="S142" s="452"/>
      <c r="T142" s="452"/>
      <c r="U142" s="452"/>
      <c r="V142" s="284"/>
      <c r="W142" s="6"/>
    </row>
    <row r="143" spans="1:25" ht="15.6">
      <c r="A143" s="230"/>
      <c r="B143" s="511" t="s">
        <v>59</v>
      </c>
      <c r="C143" s="518"/>
      <c r="D143" s="518"/>
      <c r="E143" s="518"/>
      <c r="F143" s="518"/>
      <c r="G143" s="518"/>
      <c r="H143" s="518"/>
      <c r="I143" s="518"/>
      <c r="J143" s="518"/>
      <c r="K143" s="518"/>
      <c r="L143" s="518"/>
      <c r="M143" s="518"/>
      <c r="N143" s="518"/>
      <c r="O143" s="518"/>
      <c r="P143" s="519"/>
      <c r="Q143" s="519"/>
      <c r="R143" s="519"/>
      <c r="S143" s="519">
        <v>41547</v>
      </c>
      <c r="T143" s="231"/>
      <c r="U143" s="231"/>
      <c r="V143" s="237"/>
      <c r="W143" s="6"/>
    </row>
    <row r="144" spans="1:25" ht="15.6">
      <c r="A144" s="281"/>
      <c r="B144" s="294" t="s">
        <v>60</v>
      </c>
      <c r="C144" s="329"/>
      <c r="D144" s="329"/>
      <c r="E144" s="329"/>
      <c r="F144" s="329"/>
      <c r="G144" s="329"/>
      <c r="H144" s="329"/>
      <c r="I144" s="329"/>
      <c r="J144" s="329"/>
      <c r="K144" s="329"/>
      <c r="L144" s="329"/>
      <c r="M144" s="329"/>
      <c r="N144" s="329"/>
      <c r="O144" s="329"/>
      <c r="P144" s="300"/>
      <c r="Q144" s="300"/>
      <c r="R144" s="300"/>
      <c r="S144" s="299">
        <v>0.10630000000000001</v>
      </c>
      <c r="T144" s="294"/>
      <c r="U144" s="294"/>
      <c r="V144" s="260"/>
      <c r="W144" s="6"/>
    </row>
    <row r="145" spans="1:23" ht="15.6">
      <c r="A145" s="458"/>
      <c r="B145" s="379" t="s">
        <v>61</v>
      </c>
      <c r="C145" s="459"/>
      <c r="D145" s="459"/>
      <c r="E145" s="459"/>
      <c r="F145" s="459"/>
      <c r="G145" s="459"/>
      <c r="H145" s="459"/>
      <c r="I145" s="459"/>
      <c r="J145" s="459"/>
      <c r="K145" s="459"/>
      <c r="L145" s="459"/>
      <c r="M145" s="459"/>
      <c r="N145" s="459"/>
      <c r="O145" s="459"/>
      <c r="P145" s="433"/>
      <c r="Q145" s="433"/>
      <c r="R145" s="433"/>
      <c r="S145" s="427">
        <v>5.2200000000000003E-2</v>
      </c>
      <c r="T145" s="427"/>
      <c r="U145" s="379"/>
      <c r="V145" s="385"/>
      <c r="W145" s="6"/>
    </row>
    <row r="146" spans="1:23" ht="15.6">
      <c r="A146" s="458"/>
      <c r="B146" s="379" t="s">
        <v>62</v>
      </c>
      <c r="C146" s="459"/>
      <c r="D146" s="459"/>
      <c r="E146" s="459"/>
      <c r="F146" s="459"/>
      <c r="G146" s="459"/>
      <c r="H146" s="459"/>
      <c r="I146" s="459"/>
      <c r="J146" s="459"/>
      <c r="K146" s="459"/>
      <c r="L146" s="459"/>
      <c r="M146" s="459"/>
      <c r="N146" s="459"/>
      <c r="O146" s="459"/>
      <c r="P146" s="433"/>
      <c r="Q146" s="433"/>
      <c r="R146" s="433"/>
      <c r="S146" s="427">
        <f>S144-S145</f>
        <v>5.4100000000000002E-2</v>
      </c>
      <c r="T146" s="379"/>
      <c r="U146" s="379"/>
      <c r="V146" s="385"/>
      <c r="W146" s="6"/>
    </row>
    <row r="147" spans="1:23" ht="15.6">
      <c r="A147" s="458"/>
      <c r="B147" s="379" t="s">
        <v>63</v>
      </c>
      <c r="C147" s="459"/>
      <c r="D147" s="459"/>
      <c r="E147" s="459"/>
      <c r="F147" s="459"/>
      <c r="G147" s="459"/>
      <c r="H147" s="459"/>
      <c r="I147" s="459"/>
      <c r="J147" s="459"/>
      <c r="K147" s="459"/>
      <c r="L147" s="459"/>
      <c r="M147" s="459"/>
      <c r="N147" s="459"/>
      <c r="O147" s="459"/>
      <c r="P147" s="433"/>
      <c r="Q147" s="433"/>
      <c r="R147" s="433"/>
      <c r="S147" s="427">
        <v>9.1209999999999999E-2</v>
      </c>
      <c r="T147" s="379"/>
      <c r="U147" s="379"/>
      <c r="V147" s="385"/>
      <c r="W147" s="6"/>
    </row>
    <row r="148" spans="1:23" ht="15.6">
      <c r="A148" s="458"/>
      <c r="B148" s="379" t="s">
        <v>64</v>
      </c>
      <c r="C148" s="459"/>
      <c r="D148" s="459"/>
      <c r="E148" s="459"/>
      <c r="F148" s="459"/>
      <c r="G148" s="459"/>
      <c r="H148" s="459"/>
      <c r="I148" s="459"/>
      <c r="J148" s="459"/>
      <c r="K148" s="459"/>
      <c r="L148" s="459"/>
      <c r="M148" s="459"/>
      <c r="N148" s="459"/>
      <c r="O148" s="459"/>
      <c r="P148" s="433"/>
      <c r="Q148" s="433"/>
      <c r="R148" s="433"/>
      <c r="S148" s="427">
        <f>+U40</f>
        <v>1.4530196953375481E-2</v>
      </c>
      <c r="T148" s="379"/>
      <c r="U148" s="379"/>
      <c r="V148" s="385"/>
      <c r="W148" s="6"/>
    </row>
    <row r="149" spans="1:23" ht="15.6">
      <c r="A149" s="458"/>
      <c r="B149" s="379" t="s">
        <v>65</v>
      </c>
      <c r="C149" s="459"/>
      <c r="D149" s="459"/>
      <c r="E149" s="459"/>
      <c r="F149" s="459"/>
      <c r="G149" s="459"/>
      <c r="H149" s="459"/>
      <c r="I149" s="459"/>
      <c r="J149" s="459"/>
      <c r="K149" s="459"/>
      <c r="L149" s="459"/>
      <c r="M149" s="459"/>
      <c r="N149" s="459"/>
      <c r="O149" s="459"/>
      <c r="P149" s="433"/>
      <c r="Q149" s="433"/>
      <c r="R149" s="433"/>
      <c r="S149" s="427">
        <f>S147-S148</f>
        <v>7.6679803046624515E-2</v>
      </c>
      <c r="T149" s="379"/>
      <c r="U149" s="379"/>
      <c r="V149" s="385"/>
      <c r="W149" s="6"/>
    </row>
    <row r="150" spans="1:23" ht="15.6">
      <c r="A150" s="458"/>
      <c r="B150" s="379" t="s">
        <v>204</v>
      </c>
      <c r="C150" s="459"/>
      <c r="D150" s="459"/>
      <c r="E150" s="459"/>
      <c r="F150" s="459"/>
      <c r="G150" s="459"/>
      <c r="H150" s="459"/>
      <c r="I150" s="459"/>
      <c r="J150" s="459"/>
      <c r="K150" s="459"/>
      <c r="L150" s="459"/>
      <c r="M150" s="459"/>
      <c r="N150" s="459"/>
      <c r="O150" s="459"/>
      <c r="P150" s="433"/>
      <c r="Q150" s="433"/>
      <c r="R150" s="433"/>
      <c r="S150" s="429">
        <v>49780</v>
      </c>
      <c r="T150" s="379"/>
      <c r="U150" s="379"/>
      <c r="V150" s="385"/>
      <c r="W150" s="6"/>
    </row>
    <row r="151" spans="1:23" ht="15.6">
      <c r="A151" s="458"/>
      <c r="B151" s="379" t="s">
        <v>205</v>
      </c>
      <c r="C151" s="459"/>
      <c r="D151" s="459"/>
      <c r="E151" s="459"/>
      <c r="F151" s="459"/>
      <c r="G151" s="459"/>
      <c r="H151" s="459"/>
      <c r="I151" s="459"/>
      <c r="J151" s="459"/>
      <c r="K151" s="459"/>
      <c r="L151" s="459"/>
      <c r="M151" s="459"/>
      <c r="N151" s="459"/>
      <c r="O151" s="459"/>
      <c r="P151" s="433"/>
      <c r="Q151" s="433"/>
      <c r="R151" s="433"/>
      <c r="S151" s="429">
        <v>49780</v>
      </c>
      <c r="T151" s="379"/>
      <c r="U151" s="379"/>
      <c r="V151" s="385"/>
      <c r="W151" s="6"/>
    </row>
    <row r="152" spans="1:23" ht="15.6">
      <c r="A152" s="458"/>
      <c r="B152" s="379" t="s">
        <v>206</v>
      </c>
      <c r="C152" s="459"/>
      <c r="D152" s="459"/>
      <c r="E152" s="459"/>
      <c r="F152" s="459"/>
      <c r="G152" s="459"/>
      <c r="H152" s="459"/>
      <c r="I152" s="459"/>
      <c r="J152" s="459"/>
      <c r="K152" s="459"/>
      <c r="L152" s="459"/>
      <c r="M152" s="459"/>
      <c r="N152" s="459"/>
      <c r="O152" s="459"/>
      <c r="P152" s="433"/>
      <c r="Q152" s="433"/>
      <c r="R152" s="433"/>
      <c r="S152" s="429">
        <v>49780</v>
      </c>
      <c r="T152" s="379"/>
      <c r="U152" s="379"/>
      <c r="V152" s="385"/>
      <c r="W152" s="6"/>
    </row>
    <row r="153" spans="1:23" ht="15.6">
      <c r="A153" s="458"/>
      <c r="B153" s="379" t="s">
        <v>207</v>
      </c>
      <c r="C153" s="459"/>
      <c r="D153" s="459"/>
      <c r="E153" s="459"/>
      <c r="F153" s="459"/>
      <c r="G153" s="459"/>
      <c r="H153" s="459"/>
      <c r="I153" s="459"/>
      <c r="J153" s="459"/>
      <c r="K153" s="459"/>
      <c r="L153" s="459"/>
      <c r="M153" s="459"/>
      <c r="N153" s="459"/>
      <c r="O153" s="459"/>
      <c r="P153" s="433"/>
      <c r="Q153" s="433"/>
      <c r="R153" s="433"/>
      <c r="S153" s="429">
        <v>49780</v>
      </c>
      <c r="T153" s="379"/>
      <c r="U153" s="379"/>
      <c r="V153" s="385"/>
      <c r="W153" s="6"/>
    </row>
    <row r="154" spans="1:23" ht="15.6">
      <c r="A154" s="458"/>
      <c r="B154" s="379" t="s">
        <v>221</v>
      </c>
      <c r="C154" s="459"/>
      <c r="D154" s="459"/>
      <c r="E154" s="459"/>
      <c r="F154" s="459"/>
      <c r="G154" s="459"/>
      <c r="H154" s="459"/>
      <c r="I154" s="459"/>
      <c r="J154" s="459"/>
      <c r="K154" s="459"/>
      <c r="L154" s="459"/>
      <c r="M154" s="459"/>
      <c r="N154" s="459"/>
      <c r="O154" s="459"/>
      <c r="P154" s="433"/>
      <c r="Q154" s="433"/>
      <c r="R154" s="433"/>
      <c r="S154" s="432">
        <v>111.34</v>
      </c>
      <c r="T154" s="379"/>
      <c r="U154" s="379"/>
      <c r="V154" s="385"/>
      <c r="W154" s="6"/>
    </row>
    <row r="155" spans="1:23" ht="15.6">
      <c r="A155" s="458"/>
      <c r="B155" s="379" t="s">
        <v>222</v>
      </c>
      <c r="C155" s="459"/>
      <c r="D155" s="459"/>
      <c r="E155" s="459"/>
      <c r="F155" s="459"/>
      <c r="G155" s="459"/>
      <c r="H155" s="459"/>
      <c r="I155" s="459"/>
      <c r="J155" s="459"/>
      <c r="K155" s="459"/>
      <c r="L155" s="459"/>
      <c r="M155" s="459"/>
      <c r="N155" s="459"/>
      <c r="O155" s="459"/>
      <c r="P155" s="433"/>
      <c r="Q155" s="433"/>
      <c r="R155" s="433"/>
      <c r="S155" s="432">
        <v>149.02000000000001</v>
      </c>
      <c r="T155" s="379"/>
      <c r="U155" s="379"/>
      <c r="V155" s="385"/>
      <c r="W155" s="6"/>
    </row>
    <row r="156" spans="1:23" ht="15.6">
      <c r="A156" s="458" t="s">
        <v>223</v>
      </c>
      <c r="B156" s="379" t="s">
        <v>66</v>
      </c>
      <c r="C156" s="459"/>
      <c r="D156" s="459"/>
      <c r="E156" s="459"/>
      <c r="F156" s="459"/>
      <c r="G156" s="459"/>
      <c r="H156" s="459"/>
      <c r="I156" s="459"/>
      <c r="J156" s="459"/>
      <c r="K156" s="459"/>
      <c r="L156" s="459"/>
      <c r="M156" s="459"/>
      <c r="N156" s="459"/>
      <c r="O156" s="459"/>
      <c r="P156" s="433"/>
      <c r="Q156" s="433"/>
      <c r="R156" s="433"/>
      <c r="S156" s="427">
        <v>4.1700000000000001E-2</v>
      </c>
      <c r="T156" s="379"/>
      <c r="U156" s="379"/>
      <c r="V156" s="385"/>
      <c r="W156" s="6"/>
    </row>
    <row r="157" spans="1:23" ht="15.6">
      <c r="A157" s="458"/>
      <c r="B157" s="379" t="s">
        <v>67</v>
      </c>
      <c r="C157" s="459"/>
      <c r="D157" s="459"/>
      <c r="E157" s="459"/>
      <c r="F157" s="459"/>
      <c r="G157" s="459"/>
      <c r="H157" s="459"/>
      <c r="I157" s="459"/>
      <c r="J157" s="459"/>
      <c r="K157" s="459"/>
      <c r="L157" s="459"/>
      <c r="M157" s="459"/>
      <c r="N157" s="459"/>
      <c r="O157" s="459"/>
      <c r="P157" s="433"/>
      <c r="Q157" s="433"/>
      <c r="R157" s="433"/>
      <c r="S157" s="427">
        <v>0.27939999999999998</v>
      </c>
      <c r="T157" s="379"/>
      <c r="U157" s="379"/>
      <c r="V157" s="385"/>
      <c r="W157" s="6"/>
    </row>
    <row r="158" spans="1:23" ht="15.6">
      <c r="A158" s="280"/>
      <c r="B158" s="364"/>
      <c r="C158" s="364"/>
      <c r="D158" s="364"/>
      <c r="E158" s="364"/>
      <c r="F158" s="364"/>
      <c r="G158" s="364"/>
      <c r="H158" s="364"/>
      <c r="I158" s="364"/>
      <c r="J158" s="364"/>
      <c r="K158" s="364"/>
      <c r="L158" s="364"/>
      <c r="M158" s="364"/>
      <c r="N158" s="364"/>
      <c r="O158" s="364"/>
      <c r="P158" s="364"/>
      <c r="Q158" s="364"/>
      <c r="R158" s="455"/>
      <c r="S158" s="456"/>
      <c r="T158" s="364"/>
      <c r="U158" s="457"/>
      <c r="V158" s="245"/>
      <c r="W158" s="6"/>
    </row>
    <row r="159" spans="1:23" ht="15.6">
      <c r="A159" s="280"/>
      <c r="B159" s="288"/>
      <c r="C159" s="288"/>
      <c r="D159" s="288"/>
      <c r="E159" s="288"/>
      <c r="F159" s="288"/>
      <c r="G159" s="288"/>
      <c r="H159" s="288"/>
      <c r="I159" s="288"/>
      <c r="J159" s="288"/>
      <c r="K159" s="288"/>
      <c r="L159" s="288"/>
      <c r="M159" s="288"/>
      <c r="N159" s="288"/>
      <c r="O159" s="288"/>
      <c r="P159" s="288"/>
      <c r="Q159" s="288"/>
      <c r="R159" s="331"/>
      <c r="S159" s="332"/>
      <c r="T159" s="288"/>
      <c r="U159" s="333"/>
      <c r="V159" s="245"/>
      <c r="W159" s="6"/>
    </row>
    <row r="160" spans="1:23" ht="16.2" thickBot="1">
      <c r="A160" s="282"/>
      <c r="B160" s="304" t="str">
        <f>+B109</f>
        <v>PPAF3 INVESTOR REPORT QUARTER ENDING SEPTEMBER 2013</v>
      </c>
      <c r="C160" s="305"/>
      <c r="D160" s="305"/>
      <c r="E160" s="305"/>
      <c r="F160" s="305"/>
      <c r="G160" s="305"/>
      <c r="H160" s="305"/>
      <c r="I160" s="305"/>
      <c r="J160" s="305"/>
      <c r="K160" s="305"/>
      <c r="L160" s="305"/>
      <c r="M160" s="305"/>
      <c r="N160" s="305"/>
      <c r="O160" s="305"/>
      <c r="P160" s="305"/>
      <c r="Q160" s="305"/>
      <c r="R160" s="334"/>
      <c r="S160" s="335"/>
      <c r="T160" s="305"/>
      <c r="U160" s="336"/>
      <c r="V160" s="262"/>
      <c r="W160" s="6"/>
    </row>
    <row r="161" spans="1:23" ht="15.6">
      <c r="A161" s="337"/>
      <c r="B161" s="520" t="s">
        <v>68</v>
      </c>
      <c r="C161" s="521"/>
      <c r="D161" s="521"/>
      <c r="E161" s="521"/>
      <c r="F161" s="521"/>
      <c r="G161" s="521"/>
      <c r="H161" s="521"/>
      <c r="I161" s="521"/>
      <c r="J161" s="521"/>
      <c r="K161" s="521"/>
      <c r="L161" s="521"/>
      <c r="M161" s="522"/>
      <c r="N161" s="521"/>
      <c r="O161" s="522"/>
      <c r="P161" s="521"/>
      <c r="Q161" s="522"/>
      <c r="R161" s="521" t="s">
        <v>94</v>
      </c>
      <c r="S161" s="522" t="s">
        <v>116</v>
      </c>
      <c r="T161" s="340"/>
      <c r="U161" s="340"/>
      <c r="V161" s="341"/>
      <c r="W161" s="6"/>
    </row>
    <row r="162" spans="1:23" ht="15.6">
      <c r="A162" s="283"/>
      <c r="B162" s="294" t="s">
        <v>216</v>
      </c>
      <c r="C162" s="310"/>
      <c r="D162" s="310"/>
      <c r="E162" s="310"/>
      <c r="F162" s="310"/>
      <c r="G162" s="310"/>
      <c r="H162" s="310"/>
      <c r="I162" s="310"/>
      <c r="J162" s="310"/>
      <c r="K162" s="310"/>
      <c r="L162" s="310"/>
      <c r="M162" s="310"/>
      <c r="N162" s="310"/>
      <c r="O162" s="294"/>
      <c r="P162" s="294"/>
      <c r="Q162" s="294"/>
      <c r="R162" s="310">
        <v>708</v>
      </c>
      <c r="S162" s="311">
        <v>17890</v>
      </c>
      <c r="T162" s="311"/>
      <c r="U162" s="330"/>
      <c r="V162" s="342"/>
      <c r="W162" s="6"/>
    </row>
    <row r="163" spans="1:23" ht="15.6">
      <c r="A163" s="465"/>
      <c r="B163" s="379" t="s">
        <v>217</v>
      </c>
      <c r="C163" s="440"/>
      <c r="D163" s="440"/>
      <c r="E163" s="440"/>
      <c r="F163" s="440"/>
      <c r="G163" s="440"/>
      <c r="H163" s="440"/>
      <c r="I163" s="440"/>
      <c r="J163" s="440"/>
      <c r="K163" s="440"/>
      <c r="L163" s="440"/>
      <c r="M163" s="440"/>
      <c r="N163" s="440"/>
      <c r="O163" s="379"/>
      <c r="P163" s="379"/>
      <c r="Q163" s="379"/>
      <c r="R163" s="545">
        <v>3</v>
      </c>
      <c r="S163" s="546">
        <v>12</v>
      </c>
      <c r="T163" s="441"/>
      <c r="U163" s="466"/>
      <c r="V163" s="467"/>
      <c r="W163" s="6"/>
    </row>
    <row r="164" spans="1:23" ht="15.6">
      <c r="A164" s="465"/>
      <c r="B164" s="379" t="s">
        <v>218</v>
      </c>
      <c r="C164" s="440"/>
      <c r="D164" s="440"/>
      <c r="E164" s="440"/>
      <c r="F164" s="440"/>
      <c r="G164" s="440"/>
      <c r="H164" s="440"/>
      <c r="I164" s="440"/>
      <c r="J164" s="440"/>
      <c r="K164" s="440"/>
      <c r="L164" s="440"/>
      <c r="M164" s="440"/>
      <c r="N164" s="440"/>
      <c r="O164" s="379"/>
      <c r="P164" s="379"/>
      <c r="Q164" s="379"/>
      <c r="R164" s="545">
        <v>118</v>
      </c>
      <c r="S164" s="546">
        <v>110</v>
      </c>
      <c r="T164" s="441"/>
      <c r="U164" s="466"/>
      <c r="V164" s="467"/>
      <c r="W164" s="6"/>
    </row>
    <row r="165" spans="1:23" ht="15.6">
      <c r="A165" s="465"/>
      <c r="B165" s="379" t="s">
        <v>219</v>
      </c>
      <c r="C165" s="440"/>
      <c r="D165" s="440"/>
      <c r="E165" s="440"/>
      <c r="F165" s="440"/>
      <c r="G165" s="440"/>
      <c r="H165" s="440"/>
      <c r="I165" s="440"/>
      <c r="J165" s="440"/>
      <c r="K165" s="440"/>
      <c r="L165" s="440"/>
      <c r="M165" s="440"/>
      <c r="N165" s="440"/>
      <c r="O165" s="379"/>
      <c r="P165" s="379"/>
      <c r="Q165" s="379"/>
      <c r="R165" s="545">
        <v>93</v>
      </c>
      <c r="S165" s="546">
        <v>221</v>
      </c>
      <c r="T165" s="441"/>
      <c r="U165" s="466"/>
      <c r="V165" s="467"/>
      <c r="W165" s="6"/>
    </row>
    <row r="166" spans="1:23" ht="15.6">
      <c r="A166" s="465"/>
      <c r="B166" s="379" t="s">
        <v>90</v>
      </c>
      <c r="C166" s="440"/>
      <c r="D166" s="440"/>
      <c r="E166" s="440"/>
      <c r="F166" s="440"/>
      <c r="G166" s="440"/>
      <c r="H166" s="440"/>
      <c r="I166" s="440"/>
      <c r="J166" s="440"/>
      <c r="K166" s="440"/>
      <c r="L166" s="440"/>
      <c r="M166" s="440"/>
      <c r="N166" s="440"/>
      <c r="O166" s="379"/>
      <c r="P166" s="379"/>
      <c r="Q166" s="379"/>
      <c r="R166" s="547">
        <f>SUM(R162:R165)</f>
        <v>922</v>
      </c>
      <c r="S166" s="546">
        <f>SUM(S162:S165)</f>
        <v>18233</v>
      </c>
      <c r="T166" s="441"/>
      <c r="U166" s="466"/>
      <c r="V166" s="467"/>
      <c r="W166" s="6"/>
    </row>
    <row r="167" spans="1:23" ht="15.6">
      <c r="A167" s="465"/>
      <c r="B167" s="379"/>
      <c r="C167" s="440"/>
      <c r="D167" s="440"/>
      <c r="E167" s="440"/>
      <c r="F167" s="440"/>
      <c r="G167" s="440"/>
      <c r="H167" s="440"/>
      <c r="I167" s="440"/>
      <c r="J167" s="440"/>
      <c r="K167" s="440"/>
      <c r="L167" s="440"/>
      <c r="M167" s="440"/>
      <c r="N167" s="440"/>
      <c r="O167" s="379"/>
      <c r="P167" s="379"/>
      <c r="Q167" s="379"/>
      <c r="R167" s="545"/>
      <c r="S167" s="546"/>
      <c r="T167" s="441"/>
      <c r="U167" s="466"/>
      <c r="V167" s="467"/>
      <c r="W167" s="6"/>
    </row>
    <row r="168" spans="1:23" ht="15.6">
      <c r="A168" s="465"/>
      <c r="B168" s="379" t="s">
        <v>220</v>
      </c>
      <c r="C168" s="440"/>
      <c r="D168" s="440"/>
      <c r="E168" s="440"/>
      <c r="F168" s="440"/>
      <c r="G168" s="440"/>
      <c r="H168" s="440"/>
      <c r="I168" s="440"/>
      <c r="J168" s="440"/>
      <c r="K168" s="440"/>
      <c r="L168" s="440"/>
      <c r="M168" s="440"/>
      <c r="N168" s="440"/>
      <c r="O168" s="379"/>
      <c r="P168" s="379"/>
      <c r="Q168" s="379"/>
      <c r="R168" s="545">
        <v>0</v>
      </c>
      <c r="S168" s="546">
        <v>0</v>
      </c>
      <c r="T168" s="441"/>
      <c r="U168" s="466"/>
      <c r="V168" s="467"/>
      <c r="W168" s="6"/>
    </row>
    <row r="169" spans="1:23" ht="15.6">
      <c r="A169" s="465"/>
      <c r="B169" s="379" t="s">
        <v>224</v>
      </c>
      <c r="C169" s="440"/>
      <c r="D169" s="440"/>
      <c r="E169" s="440"/>
      <c r="F169" s="440"/>
      <c r="G169" s="440"/>
      <c r="H169" s="440"/>
      <c r="I169" s="440"/>
      <c r="J169" s="440"/>
      <c r="K169" s="440"/>
      <c r="L169" s="440"/>
      <c r="M169" s="440"/>
      <c r="N169" s="440"/>
      <c r="O169" s="379"/>
      <c r="P169" s="379"/>
      <c r="Q169" s="379"/>
      <c r="R169" s="545">
        <v>4</v>
      </c>
      <c r="S169" s="546">
        <v>107</v>
      </c>
      <c r="T169" s="441"/>
      <c r="U169" s="466"/>
      <c r="V169" s="467"/>
      <c r="W169" s="6"/>
    </row>
    <row r="170" spans="1:23" ht="15.6">
      <c r="A170" s="465"/>
      <c r="B170" s="468" t="s">
        <v>69</v>
      </c>
      <c r="C170" s="469"/>
      <c r="D170" s="469"/>
      <c r="E170" s="469"/>
      <c r="F170" s="469"/>
      <c r="G170" s="469"/>
      <c r="H170" s="469"/>
      <c r="I170" s="469"/>
      <c r="J170" s="469"/>
      <c r="K170" s="469"/>
      <c r="L170" s="469"/>
      <c r="M170" s="469"/>
      <c r="N170" s="469"/>
      <c r="O170" s="454"/>
      <c r="P170" s="454"/>
      <c r="Q170" s="454"/>
      <c r="R170" s="539"/>
      <c r="S170" s="540">
        <v>0</v>
      </c>
      <c r="T170" s="454"/>
      <c r="U170" s="470"/>
      <c r="V170" s="471"/>
      <c r="W170" s="6"/>
    </row>
    <row r="171" spans="1:23" ht="15.6">
      <c r="A171" s="465"/>
      <c r="B171" s="468" t="s">
        <v>70</v>
      </c>
      <c r="C171" s="469"/>
      <c r="D171" s="469"/>
      <c r="E171" s="469"/>
      <c r="F171" s="469"/>
      <c r="G171" s="469"/>
      <c r="H171" s="469"/>
      <c r="I171" s="469"/>
      <c r="J171" s="469"/>
      <c r="K171" s="469"/>
      <c r="L171" s="469"/>
      <c r="M171" s="469"/>
      <c r="N171" s="469"/>
      <c r="O171" s="454"/>
      <c r="P171" s="454"/>
      <c r="Q171" s="454"/>
      <c r="R171" s="539"/>
      <c r="S171" s="540">
        <f>Q75</f>
        <v>0</v>
      </c>
      <c r="T171" s="454"/>
      <c r="U171" s="470"/>
      <c r="V171" s="471"/>
      <c r="W171" s="6"/>
    </row>
    <row r="172" spans="1:23" ht="15.6">
      <c r="A172" s="472"/>
      <c r="B172" s="468" t="s">
        <v>71</v>
      </c>
      <c r="C172" s="469"/>
      <c r="D172" s="469"/>
      <c r="E172" s="469"/>
      <c r="F172" s="469"/>
      <c r="G172" s="469"/>
      <c r="H172" s="469"/>
      <c r="I172" s="469"/>
      <c r="J172" s="469"/>
      <c r="K172" s="469"/>
      <c r="L172" s="469"/>
      <c r="M172" s="473"/>
      <c r="N172" s="473"/>
      <c r="O172" s="473"/>
      <c r="P172" s="454"/>
      <c r="Q172" s="454"/>
      <c r="R172" s="379"/>
      <c r="S172" s="500"/>
      <c r="T172" s="454"/>
      <c r="U172" s="470"/>
      <c r="V172" s="474"/>
      <c r="W172" s="6"/>
    </row>
    <row r="173" spans="1:23" ht="15.6">
      <c r="A173" s="465"/>
      <c r="B173" s="379" t="s">
        <v>72</v>
      </c>
      <c r="C173" s="469"/>
      <c r="D173" s="469"/>
      <c r="E173" s="469"/>
      <c r="F173" s="469"/>
      <c r="G173" s="469"/>
      <c r="H173" s="469"/>
      <c r="I173" s="469"/>
      <c r="J173" s="469"/>
      <c r="K173" s="469"/>
      <c r="L173" s="469"/>
      <c r="M173" s="469"/>
      <c r="N173" s="469"/>
      <c r="O173" s="469"/>
      <c r="P173" s="454"/>
      <c r="Q173" s="454"/>
      <c r="R173" s="379"/>
      <c r="S173" s="546">
        <f>U128</f>
        <v>637</v>
      </c>
      <c r="T173" s="454"/>
      <c r="U173" s="470"/>
      <c r="V173" s="474"/>
      <c r="W173" s="6"/>
    </row>
    <row r="174" spans="1:23" ht="15.6">
      <c r="A174" s="465"/>
      <c r="B174" s="379" t="s">
        <v>73</v>
      </c>
      <c r="C174" s="469"/>
      <c r="D174" s="469"/>
      <c r="E174" s="469"/>
      <c r="F174" s="469"/>
      <c r="G174" s="469"/>
      <c r="H174" s="469"/>
      <c r="I174" s="469"/>
      <c r="J174" s="469"/>
      <c r="K174" s="469"/>
      <c r="L174" s="469"/>
      <c r="M174" s="469"/>
      <c r="N174" s="469"/>
      <c r="O174" s="469"/>
      <c r="P174" s="454"/>
      <c r="Q174" s="454"/>
      <c r="R174" s="379"/>
      <c r="S174" s="546">
        <f>'June 13'!S174+S173</f>
        <v>86450</v>
      </c>
      <c r="T174" s="454"/>
      <c r="U174" s="470"/>
      <c r="V174" s="474"/>
      <c r="W174" s="6"/>
    </row>
    <row r="175" spans="1:23" ht="15.6">
      <c r="A175" s="465"/>
      <c r="B175" s="379" t="s">
        <v>74</v>
      </c>
      <c r="C175" s="469"/>
      <c r="D175" s="469"/>
      <c r="E175" s="469"/>
      <c r="F175" s="469"/>
      <c r="G175" s="469"/>
      <c r="H175" s="469"/>
      <c r="I175" s="469"/>
      <c r="J175" s="469"/>
      <c r="K175" s="469"/>
      <c r="L175" s="469"/>
      <c r="M175" s="469"/>
      <c r="N175" s="469"/>
      <c r="O175" s="469"/>
      <c r="P175" s="454"/>
      <c r="Q175" s="454"/>
      <c r="R175" s="379"/>
      <c r="S175" s="546">
        <f>'June 13'!S175+728</f>
        <v>21693</v>
      </c>
      <c r="T175" s="454"/>
      <c r="U175" s="470"/>
      <c r="V175" s="474"/>
      <c r="W175" s="6"/>
    </row>
    <row r="176" spans="1:23" ht="15.6">
      <c r="A176" s="465"/>
      <c r="B176" s="473"/>
      <c r="C176" s="469"/>
      <c r="D176" s="469"/>
      <c r="E176" s="469"/>
      <c r="F176" s="469"/>
      <c r="G176" s="469"/>
      <c r="H176" s="469"/>
      <c r="I176" s="469"/>
      <c r="J176" s="469"/>
      <c r="K176" s="469"/>
      <c r="L176" s="469"/>
      <c r="M176" s="469"/>
      <c r="N176" s="469"/>
      <c r="O176" s="469"/>
      <c r="P176" s="454"/>
      <c r="Q176" s="454"/>
      <c r="R176" s="379"/>
      <c r="S176" s="546"/>
      <c r="T176" s="454"/>
      <c r="U176" s="470"/>
      <c r="V176" s="474"/>
      <c r="W176" s="6"/>
    </row>
    <row r="177" spans="1:23" ht="15.6">
      <c r="A177" s="472"/>
      <c r="B177" s="468" t="s">
        <v>259</v>
      </c>
      <c r="C177" s="469"/>
      <c r="D177" s="469"/>
      <c r="E177" s="469"/>
      <c r="F177" s="469"/>
      <c r="G177" s="469"/>
      <c r="H177" s="469"/>
      <c r="I177" s="469"/>
      <c r="J177" s="469"/>
      <c r="K177" s="469"/>
      <c r="L177" s="469"/>
      <c r="M177" s="473"/>
      <c r="N177" s="473"/>
      <c r="O177" s="473"/>
      <c r="P177" s="454"/>
      <c r="Q177" s="454"/>
      <c r="R177" s="379"/>
      <c r="S177" s="548"/>
      <c r="T177" s="454"/>
      <c r="U177" s="470"/>
      <c r="V177" s="474"/>
      <c r="W177" s="6"/>
    </row>
    <row r="178" spans="1:23" ht="15.6">
      <c r="A178" s="472"/>
      <c r="B178" s="379" t="s">
        <v>254</v>
      </c>
      <c r="C178" s="469"/>
      <c r="D178" s="469"/>
      <c r="E178" s="469"/>
      <c r="F178" s="469"/>
      <c r="G178" s="469"/>
      <c r="H178" s="469"/>
      <c r="I178" s="469"/>
      <c r="J178" s="469"/>
      <c r="K178" s="469"/>
      <c r="L178" s="469"/>
      <c r="M178" s="473"/>
      <c r="N178" s="473"/>
      <c r="O178" s="473"/>
      <c r="P178" s="454"/>
      <c r="Q178" s="454"/>
      <c r="R178" s="379"/>
      <c r="S178" s="548">
        <v>2</v>
      </c>
      <c r="T178" s="454"/>
      <c r="U178" s="470"/>
      <c r="V178" s="474"/>
      <c r="W178" s="6"/>
    </row>
    <row r="179" spans="1:23" ht="15.6">
      <c r="A179" s="465"/>
      <c r="B179" s="379" t="s">
        <v>75</v>
      </c>
      <c r="C179" s="469"/>
      <c r="D179" s="469"/>
      <c r="E179" s="469"/>
      <c r="F179" s="469"/>
      <c r="G179" s="469"/>
      <c r="H179" s="469"/>
      <c r="I179" s="469"/>
      <c r="J179" s="469"/>
      <c r="K179" s="469"/>
      <c r="L179" s="469"/>
      <c r="M179" s="475"/>
      <c r="N179" s="475"/>
      <c r="O179" s="476"/>
      <c r="P179" s="454"/>
      <c r="Q179" s="454"/>
      <c r="R179" s="379"/>
      <c r="S179" s="549">
        <v>12.04</v>
      </c>
      <c r="T179" s="454"/>
      <c r="U179" s="470"/>
      <c r="V179" s="474"/>
      <c r="W179" s="6"/>
    </row>
    <row r="180" spans="1:23" ht="15.6">
      <c r="A180" s="465"/>
      <c r="B180" s="379" t="s">
        <v>76</v>
      </c>
      <c r="C180" s="469"/>
      <c r="D180" s="469"/>
      <c r="E180" s="469"/>
      <c r="F180" s="469"/>
      <c r="G180" s="469"/>
      <c r="H180" s="469"/>
      <c r="I180" s="469"/>
      <c r="J180" s="469"/>
      <c r="K180" s="469"/>
      <c r="L180" s="469"/>
      <c r="M180" s="475"/>
      <c r="N180" s="475"/>
      <c r="O180" s="476"/>
      <c r="P180" s="454"/>
      <c r="Q180" s="454"/>
      <c r="R180" s="379"/>
      <c r="S180" s="548">
        <v>153</v>
      </c>
      <c r="T180" s="454"/>
      <c r="U180" s="470"/>
      <c r="V180" s="474"/>
      <c r="W180" s="6"/>
    </row>
    <row r="181" spans="1:23" ht="15.6">
      <c r="A181" s="465"/>
      <c r="B181" s="473"/>
      <c r="C181" s="469"/>
      <c r="D181" s="469"/>
      <c r="E181" s="469"/>
      <c r="F181" s="469"/>
      <c r="G181" s="469"/>
      <c r="H181" s="469"/>
      <c r="I181" s="469"/>
      <c r="J181" s="469"/>
      <c r="K181" s="469"/>
      <c r="L181" s="469"/>
      <c r="M181" s="477"/>
      <c r="N181" s="475"/>
      <c r="O181" s="476"/>
      <c r="P181" s="454"/>
      <c r="Q181" s="454"/>
      <c r="R181" s="379"/>
      <c r="S181" s="537"/>
      <c r="T181" s="454"/>
      <c r="U181" s="470"/>
      <c r="V181" s="474"/>
      <c r="W181" s="6"/>
    </row>
    <row r="182" spans="1:23" ht="15.6">
      <c r="A182" s="465"/>
      <c r="B182" s="468" t="s">
        <v>77</v>
      </c>
      <c r="C182" s="469"/>
      <c r="D182" s="469"/>
      <c r="E182" s="469"/>
      <c r="F182" s="469"/>
      <c r="G182" s="469"/>
      <c r="H182" s="469"/>
      <c r="I182" s="469"/>
      <c r="J182" s="469"/>
      <c r="K182" s="469"/>
      <c r="L182" s="469"/>
      <c r="M182" s="469"/>
      <c r="N182" s="477"/>
      <c r="O182" s="475"/>
      <c r="P182" s="476"/>
      <c r="Q182" s="454"/>
      <c r="R182" s="380"/>
      <c r="S182" s="538"/>
      <c r="T182" s="478"/>
      <c r="U182" s="390"/>
      <c r="V182" s="479"/>
      <c r="W182" s="6"/>
    </row>
    <row r="183" spans="1:23" ht="15.6">
      <c r="A183" s="465"/>
      <c r="B183" s="379" t="s">
        <v>78</v>
      </c>
      <c r="C183" s="469"/>
      <c r="D183" s="469"/>
      <c r="E183" s="469"/>
      <c r="F183" s="469"/>
      <c r="G183" s="469"/>
      <c r="H183" s="469"/>
      <c r="I183" s="469"/>
      <c r="J183" s="469"/>
      <c r="K183" s="469"/>
      <c r="L183" s="469"/>
      <c r="M183" s="469"/>
      <c r="N183" s="477"/>
      <c r="O183" s="475"/>
      <c r="P183" s="476"/>
      <c r="Q183" s="454"/>
      <c r="R183" s="380"/>
      <c r="S183" s="550">
        <v>1</v>
      </c>
      <c r="T183" s="480"/>
      <c r="U183" s="390"/>
      <c r="V183" s="479"/>
      <c r="W183" s="6"/>
    </row>
    <row r="184" spans="1:23" ht="15.6">
      <c r="A184" s="465"/>
      <c r="B184" s="379" t="s">
        <v>75</v>
      </c>
      <c r="C184" s="469"/>
      <c r="D184" s="469"/>
      <c r="E184" s="469"/>
      <c r="F184" s="469"/>
      <c r="G184" s="469"/>
      <c r="H184" s="469"/>
      <c r="I184" s="469"/>
      <c r="J184" s="469"/>
      <c r="K184" s="469"/>
      <c r="L184" s="469"/>
      <c r="M184" s="469"/>
      <c r="N184" s="477"/>
      <c r="O184" s="475"/>
      <c r="P184" s="476"/>
      <c r="Q184" s="454"/>
      <c r="R184" s="380"/>
      <c r="S184" s="550">
        <v>30.87</v>
      </c>
      <c r="T184" s="480"/>
      <c r="U184" s="390"/>
      <c r="V184" s="479"/>
      <c r="W184" s="6"/>
    </row>
    <row r="185" spans="1:23" ht="15.6">
      <c r="A185" s="465"/>
      <c r="B185" s="379" t="s">
        <v>79</v>
      </c>
      <c r="C185" s="469"/>
      <c r="D185" s="469"/>
      <c r="E185" s="469"/>
      <c r="F185" s="469"/>
      <c r="G185" s="469"/>
      <c r="H185" s="469"/>
      <c r="I185" s="469"/>
      <c r="J185" s="469"/>
      <c r="K185" s="469"/>
      <c r="L185" s="469"/>
      <c r="M185" s="469"/>
      <c r="N185" s="477"/>
      <c r="O185" s="475"/>
      <c r="P185" s="476"/>
      <c r="Q185" s="454"/>
      <c r="R185" s="380"/>
      <c r="S185" s="550">
        <v>1077</v>
      </c>
      <c r="T185" s="480"/>
      <c r="U185" s="390"/>
      <c r="V185" s="479"/>
      <c r="W185" s="6"/>
    </row>
    <row r="186" spans="1:23" ht="15.6">
      <c r="A186" s="465"/>
      <c r="B186" s="473"/>
      <c r="C186" s="469"/>
      <c r="D186" s="469"/>
      <c r="E186" s="469"/>
      <c r="F186" s="469"/>
      <c r="G186" s="469"/>
      <c r="H186" s="469"/>
      <c r="I186" s="469"/>
      <c r="J186" s="469"/>
      <c r="K186" s="469"/>
      <c r="L186" s="469"/>
      <c r="M186" s="477"/>
      <c r="N186" s="475"/>
      <c r="O186" s="476"/>
      <c r="P186" s="454"/>
      <c r="Q186" s="454"/>
      <c r="R186" s="454"/>
      <c r="S186" s="537"/>
      <c r="T186" s="454"/>
      <c r="U186" s="470"/>
      <c r="V186" s="474"/>
      <c r="W186" s="6"/>
    </row>
    <row r="187" spans="1:23" ht="17.399999999999999">
      <c r="A187" s="465"/>
      <c r="B187" s="482" t="s">
        <v>196</v>
      </c>
      <c r="C187" s="469"/>
      <c r="D187" s="469"/>
      <c r="E187" s="469"/>
      <c r="F187" s="469"/>
      <c r="G187" s="469"/>
      <c r="H187" s="469"/>
      <c r="I187" s="469"/>
      <c r="J187" s="469"/>
      <c r="K187" s="483" t="s">
        <v>195</v>
      </c>
      <c r="L187" s="469"/>
      <c r="M187" s="477"/>
      <c r="N187" s="475"/>
      <c r="O187" s="476"/>
      <c r="P187" s="454"/>
      <c r="Q187" s="454"/>
      <c r="R187" s="454"/>
      <c r="S187" s="481"/>
      <c r="T187" s="454"/>
      <c r="U187" s="470"/>
      <c r="V187" s="474"/>
      <c r="W187" s="6"/>
    </row>
    <row r="188" spans="1:23" ht="15.6">
      <c r="A188" s="242"/>
      <c r="B188" s="460"/>
      <c r="C188" s="461"/>
      <c r="D188" s="461"/>
      <c r="E188" s="461"/>
      <c r="F188" s="461"/>
      <c r="G188" s="461"/>
      <c r="H188" s="461"/>
      <c r="I188" s="461"/>
      <c r="J188" s="461"/>
      <c r="K188" s="461"/>
      <c r="L188" s="461"/>
      <c r="M188" s="462"/>
      <c r="N188" s="461"/>
      <c r="O188" s="462"/>
      <c r="P188" s="461"/>
      <c r="Q188" s="462"/>
      <c r="R188" s="461"/>
      <c r="S188" s="462"/>
      <c r="T188" s="461"/>
      <c r="U188" s="463"/>
      <c r="V188" s="464"/>
      <c r="W188" s="6"/>
    </row>
    <row r="189" spans="1:23" ht="15.6">
      <c r="A189" s="348"/>
      <c r="B189" s="525" t="s">
        <v>80</v>
      </c>
      <c r="C189" s="343"/>
      <c r="D189" s="343"/>
      <c r="E189" s="343"/>
      <c r="F189" s="343"/>
      <c r="G189" s="343"/>
      <c r="H189" s="343"/>
      <c r="I189" s="343"/>
      <c r="J189" s="343"/>
      <c r="K189" s="343"/>
      <c r="L189" s="343"/>
      <c r="M189" s="525" t="s">
        <v>100</v>
      </c>
      <c r="N189" s="526"/>
      <c r="O189" s="527"/>
      <c r="P189" s="526"/>
      <c r="Q189" s="525"/>
      <c r="R189" s="525" t="s">
        <v>26</v>
      </c>
      <c r="S189" s="527"/>
      <c r="T189" s="526"/>
      <c r="U189" s="346"/>
      <c r="V189" s="528"/>
      <c r="W189" s="6"/>
    </row>
    <row r="190" spans="1:23" ht="15.6">
      <c r="A190" s="365"/>
      <c r="B190" s="366"/>
      <c r="C190" s="529"/>
      <c r="D190" s="529"/>
      <c r="E190" s="529"/>
      <c r="F190" s="529"/>
      <c r="G190" s="529"/>
      <c r="H190" s="529"/>
      <c r="I190" s="529"/>
      <c r="J190" s="529"/>
      <c r="K190" s="529"/>
      <c r="L190" s="529" t="s">
        <v>94</v>
      </c>
      <c r="M190" s="530" t="s">
        <v>101</v>
      </c>
      <c r="N190" s="529" t="s">
        <v>103</v>
      </c>
      <c r="O190" s="530" t="s">
        <v>101</v>
      </c>
      <c r="P190" s="530"/>
      <c r="Q190" s="529" t="s">
        <v>94</v>
      </c>
      <c r="R190" s="530" t="s">
        <v>101</v>
      </c>
      <c r="S190" s="529" t="s">
        <v>103</v>
      </c>
      <c r="T190" s="530" t="s">
        <v>101</v>
      </c>
      <c r="U190" s="369"/>
      <c r="V190" s="531"/>
      <c r="W190" s="6"/>
    </row>
    <row r="191" spans="1:23" ht="15.6">
      <c r="A191" s="316"/>
      <c r="B191" s="360" t="s">
        <v>81</v>
      </c>
      <c r="C191" s="361"/>
      <c r="D191" s="361"/>
      <c r="E191" s="361"/>
      <c r="F191" s="361"/>
      <c r="G191" s="361"/>
      <c r="H191" s="361"/>
      <c r="I191" s="361"/>
      <c r="J191" s="361"/>
      <c r="K191" s="361"/>
      <c r="L191" s="361">
        <v>364</v>
      </c>
      <c r="M191" s="362">
        <f t="shared" ref="M191:M197" si="0">+L191/$L$198</f>
        <v>0.69333333333333336</v>
      </c>
      <c r="N191" s="361">
        <v>1456</v>
      </c>
      <c r="O191" s="362">
        <f t="shared" ref="O191:O197" si="1">N191/$N$198</f>
        <v>0.83199999999999996</v>
      </c>
      <c r="P191" s="363"/>
      <c r="Q191" s="361">
        <v>86</v>
      </c>
      <c r="R191" s="362">
        <f t="shared" ref="R191:R197" si="2">+Q191/$Q$198</f>
        <v>0.30496453900709219</v>
      </c>
      <c r="S191" s="361">
        <v>168</v>
      </c>
      <c r="T191" s="362">
        <f>+S191/$S$198</f>
        <v>0.52500000000000002</v>
      </c>
      <c r="U191" s="364"/>
      <c r="V191" s="312"/>
      <c r="W191" s="6"/>
    </row>
    <row r="192" spans="1:23" ht="15.6">
      <c r="A192" s="444"/>
      <c r="B192" s="440" t="s">
        <v>82</v>
      </c>
      <c r="C192" s="489"/>
      <c r="D192" s="489"/>
      <c r="E192" s="489"/>
      <c r="F192" s="489"/>
      <c r="G192" s="489"/>
      <c r="H192" s="489"/>
      <c r="I192" s="489"/>
      <c r="J192" s="489"/>
      <c r="K192" s="489"/>
      <c r="L192" s="489">
        <v>7</v>
      </c>
      <c r="M192" s="427">
        <f t="shared" si="0"/>
        <v>1.3333333333333334E-2</v>
      </c>
      <c r="N192" s="489">
        <v>6</v>
      </c>
      <c r="O192" s="427">
        <f t="shared" si="1"/>
        <v>3.4285714285714284E-3</v>
      </c>
      <c r="P192" s="381"/>
      <c r="Q192" s="489">
        <v>6</v>
      </c>
      <c r="R192" s="427">
        <f t="shared" si="2"/>
        <v>2.1276595744680851E-2</v>
      </c>
      <c r="S192" s="489">
        <v>1</v>
      </c>
      <c r="T192" s="427">
        <f t="shared" ref="T192:T197" si="3">+S192/$S$198</f>
        <v>3.1250000000000002E-3</v>
      </c>
      <c r="U192" s="379"/>
      <c r="V192" s="435"/>
      <c r="W192" s="6"/>
    </row>
    <row r="193" spans="1:24" ht="15.6">
      <c r="A193" s="444"/>
      <c r="B193" s="440" t="s">
        <v>83</v>
      </c>
      <c r="C193" s="489"/>
      <c r="D193" s="489"/>
      <c r="E193" s="489"/>
      <c r="F193" s="489"/>
      <c r="G193" s="489"/>
      <c r="H193" s="489"/>
      <c r="I193" s="489"/>
      <c r="J193" s="489"/>
      <c r="K193" s="489"/>
      <c r="L193" s="489">
        <v>11</v>
      </c>
      <c r="M193" s="427">
        <f t="shared" si="0"/>
        <v>2.0952380952380951E-2</v>
      </c>
      <c r="N193" s="489">
        <v>27</v>
      </c>
      <c r="O193" s="427">
        <f t="shared" si="1"/>
        <v>1.5428571428571429E-2</v>
      </c>
      <c r="P193" s="381"/>
      <c r="Q193" s="489">
        <v>14</v>
      </c>
      <c r="R193" s="427">
        <f t="shared" si="2"/>
        <v>4.9645390070921988E-2</v>
      </c>
      <c r="S193" s="489">
        <v>4</v>
      </c>
      <c r="T193" s="427">
        <f t="shared" si="3"/>
        <v>1.2500000000000001E-2</v>
      </c>
      <c r="U193" s="379"/>
      <c r="V193" s="435"/>
      <c r="W193" s="6"/>
    </row>
    <row r="194" spans="1:24" ht="15.6">
      <c r="A194" s="444"/>
      <c r="B194" s="440" t="s">
        <v>186</v>
      </c>
      <c r="C194" s="489"/>
      <c r="D194" s="489"/>
      <c r="E194" s="489"/>
      <c r="F194" s="489"/>
      <c r="G194" s="489"/>
      <c r="H194" s="489"/>
      <c r="I194" s="489"/>
      <c r="J194" s="489"/>
      <c r="K194" s="489"/>
      <c r="L194" s="489">
        <v>20</v>
      </c>
      <c r="M194" s="427">
        <f t="shared" si="0"/>
        <v>3.8095238095238099E-2</v>
      </c>
      <c r="N194" s="489">
        <v>28</v>
      </c>
      <c r="O194" s="427">
        <f t="shared" si="1"/>
        <v>1.6E-2</v>
      </c>
      <c r="P194" s="381"/>
      <c r="Q194" s="489">
        <v>18</v>
      </c>
      <c r="R194" s="427">
        <f t="shared" si="2"/>
        <v>6.3829787234042548E-2</v>
      </c>
      <c r="S194" s="489">
        <v>11</v>
      </c>
      <c r="T194" s="427">
        <f t="shared" si="3"/>
        <v>3.4375000000000003E-2</v>
      </c>
      <c r="U194" s="379"/>
      <c r="V194" s="435"/>
      <c r="W194" s="6"/>
    </row>
    <row r="195" spans="1:24" ht="15.6">
      <c r="A195" s="444"/>
      <c r="B195" s="440" t="s">
        <v>187</v>
      </c>
      <c r="C195" s="489"/>
      <c r="D195" s="489"/>
      <c r="E195" s="489"/>
      <c r="F195" s="489"/>
      <c r="G195" s="489"/>
      <c r="H195" s="489"/>
      <c r="I195" s="489"/>
      <c r="J195" s="489"/>
      <c r="K195" s="489"/>
      <c r="L195" s="489">
        <v>17</v>
      </c>
      <c r="M195" s="427">
        <f t="shared" si="0"/>
        <v>3.2380952380952378E-2</v>
      </c>
      <c r="N195" s="489">
        <v>16</v>
      </c>
      <c r="O195" s="427">
        <f t="shared" si="1"/>
        <v>9.1428571428571435E-3</v>
      </c>
      <c r="P195" s="381"/>
      <c r="Q195" s="489">
        <v>17</v>
      </c>
      <c r="R195" s="427">
        <f t="shared" si="2"/>
        <v>6.0283687943262408E-2</v>
      </c>
      <c r="S195" s="489">
        <v>12</v>
      </c>
      <c r="T195" s="427">
        <f t="shared" si="3"/>
        <v>3.7499999999999999E-2</v>
      </c>
      <c r="U195" s="379"/>
      <c r="V195" s="435"/>
      <c r="W195" s="6"/>
    </row>
    <row r="196" spans="1:24" ht="15.6">
      <c r="A196" s="444"/>
      <c r="B196" s="440" t="s">
        <v>188</v>
      </c>
      <c r="C196" s="489"/>
      <c r="D196" s="489"/>
      <c r="E196" s="489"/>
      <c r="F196" s="489"/>
      <c r="G196" s="489"/>
      <c r="H196" s="489"/>
      <c r="I196" s="489"/>
      <c r="J196" s="489"/>
      <c r="K196" s="489"/>
      <c r="L196" s="489">
        <v>19</v>
      </c>
      <c r="M196" s="427">
        <f t="shared" si="0"/>
        <v>3.619047619047619E-2</v>
      </c>
      <c r="N196" s="489">
        <v>19</v>
      </c>
      <c r="O196" s="427">
        <f t="shared" si="1"/>
        <v>1.0857142857142857E-2</v>
      </c>
      <c r="P196" s="381"/>
      <c r="Q196" s="489">
        <v>23</v>
      </c>
      <c r="R196" s="427">
        <f t="shared" si="2"/>
        <v>8.1560283687943269E-2</v>
      </c>
      <c r="S196" s="489">
        <v>14</v>
      </c>
      <c r="T196" s="427">
        <f t="shared" si="3"/>
        <v>4.3749999999999997E-2</v>
      </c>
      <c r="U196" s="379"/>
      <c r="V196" s="435"/>
      <c r="W196" s="6"/>
    </row>
    <row r="197" spans="1:24" ht="15.6">
      <c r="A197" s="444"/>
      <c r="B197" s="440" t="s">
        <v>189</v>
      </c>
      <c r="C197" s="489"/>
      <c r="D197" s="489"/>
      <c r="E197" s="489"/>
      <c r="F197" s="489"/>
      <c r="G197" s="489"/>
      <c r="H197" s="489"/>
      <c r="I197" s="489"/>
      <c r="J197" s="489"/>
      <c r="K197" s="489"/>
      <c r="L197" s="489">
        <v>87</v>
      </c>
      <c r="M197" s="427">
        <f t="shared" si="0"/>
        <v>0.1657142857142857</v>
      </c>
      <c r="N197" s="489">
        <v>198</v>
      </c>
      <c r="O197" s="427">
        <f t="shared" si="1"/>
        <v>0.11314285714285714</v>
      </c>
      <c r="P197" s="381"/>
      <c r="Q197" s="489">
        <v>118</v>
      </c>
      <c r="R197" s="427">
        <f t="shared" si="2"/>
        <v>0.41843971631205673</v>
      </c>
      <c r="S197" s="489">
        <v>110</v>
      </c>
      <c r="T197" s="427">
        <f t="shared" si="3"/>
        <v>0.34375</v>
      </c>
      <c r="U197" s="379"/>
      <c r="V197" s="435"/>
      <c r="W197" s="6"/>
    </row>
    <row r="198" spans="1:24" ht="15.6">
      <c r="A198" s="444"/>
      <c r="B198" s="440" t="s">
        <v>84</v>
      </c>
      <c r="C198" s="489"/>
      <c r="D198" s="489"/>
      <c r="E198" s="489"/>
      <c r="F198" s="489"/>
      <c r="G198" s="489"/>
      <c r="H198" s="489"/>
      <c r="I198" s="489"/>
      <c r="J198" s="489"/>
      <c r="K198" s="489"/>
      <c r="L198" s="489">
        <f>SUM(L191:L197)</f>
        <v>525</v>
      </c>
      <c r="M198" s="427">
        <f>SUM(M191:M197)</f>
        <v>1</v>
      </c>
      <c r="N198" s="489">
        <f>SUM(N191:N197)</f>
        <v>1750</v>
      </c>
      <c r="O198" s="427">
        <f>SUM(O191:O197)</f>
        <v>1</v>
      </c>
      <c r="P198" s="381"/>
      <c r="Q198" s="489">
        <f>SUM(Q191:Q197)</f>
        <v>282</v>
      </c>
      <c r="R198" s="427">
        <f>SUM(R191:R197)</f>
        <v>1</v>
      </c>
      <c r="S198" s="489">
        <f>SUM(S191:S197)</f>
        <v>320</v>
      </c>
      <c r="T198" s="427">
        <f>SUM(T191:T197)</f>
        <v>1</v>
      </c>
      <c r="U198" s="379"/>
      <c r="V198" s="435"/>
      <c r="W198" s="6"/>
      <c r="X198" s="64"/>
    </row>
    <row r="199" spans="1:24" ht="15.6">
      <c r="A199" s="444"/>
      <c r="B199" s="440" t="s">
        <v>85</v>
      </c>
      <c r="C199" s="489"/>
      <c r="D199" s="489"/>
      <c r="E199" s="489"/>
      <c r="F199" s="489"/>
      <c r="G199" s="489"/>
      <c r="H199" s="489"/>
      <c r="I199" s="489"/>
      <c r="J199" s="489"/>
      <c r="K199" s="489"/>
      <c r="L199" s="489">
        <v>870</v>
      </c>
      <c r="M199" s="380"/>
      <c r="N199" s="489">
        <v>5082</v>
      </c>
      <c r="O199" s="380"/>
      <c r="P199" s="381"/>
      <c r="Q199" s="489">
        <v>546</v>
      </c>
      <c r="R199" s="380"/>
      <c r="S199" s="489">
        <v>1228</v>
      </c>
      <c r="T199" s="380"/>
      <c r="U199" s="379"/>
      <c r="V199" s="435"/>
      <c r="W199" s="6"/>
      <c r="X199" s="64"/>
    </row>
    <row r="200" spans="1:24" ht="15.6">
      <c r="A200" s="444"/>
      <c r="B200" s="440" t="s">
        <v>86</v>
      </c>
      <c r="C200" s="489"/>
      <c r="D200" s="489"/>
      <c r="E200" s="489"/>
      <c r="F200" s="489"/>
      <c r="G200" s="489"/>
      <c r="H200" s="489"/>
      <c r="I200" s="489"/>
      <c r="J200" s="489"/>
      <c r="K200" s="489"/>
      <c r="L200" s="489">
        <f>SUM(L198:L199)</f>
        <v>1395</v>
      </c>
      <c r="M200" s="450"/>
      <c r="N200" s="489">
        <f>SUM(N198:N199)</f>
        <v>6832</v>
      </c>
      <c r="O200" s="490"/>
      <c r="P200" s="450"/>
      <c r="Q200" s="489">
        <f>SUM(Q198:Q199)</f>
        <v>828</v>
      </c>
      <c r="R200" s="450"/>
      <c r="S200" s="489">
        <f>SUM(S198:S199)</f>
        <v>1548</v>
      </c>
      <c r="T200" s="450"/>
      <c r="U200" s="450"/>
      <c r="V200" s="435"/>
      <c r="W200" s="6"/>
      <c r="X200" s="64"/>
    </row>
    <row r="201" spans="1:24" ht="15.6">
      <c r="A201" s="242"/>
      <c r="B201" s="484"/>
      <c r="C201" s="485"/>
      <c r="D201" s="485"/>
      <c r="E201" s="485"/>
      <c r="F201" s="485"/>
      <c r="G201" s="485"/>
      <c r="H201" s="485"/>
      <c r="I201" s="485"/>
      <c r="J201" s="485"/>
      <c r="K201" s="485"/>
      <c r="L201" s="532"/>
      <c r="M201" s="533"/>
      <c r="N201" s="532"/>
      <c r="O201" s="533"/>
      <c r="P201" s="488"/>
      <c r="Q201" s="532"/>
      <c r="R201" s="533"/>
      <c r="S201" s="532"/>
      <c r="T201" s="533"/>
      <c r="U201" s="463"/>
      <c r="V201" s="464"/>
      <c r="W201" s="6"/>
    </row>
    <row r="202" spans="1:24" ht="15.6">
      <c r="A202" s="349"/>
      <c r="B202" s="525" t="s">
        <v>80</v>
      </c>
      <c r="C202" s="526"/>
      <c r="D202" s="526"/>
      <c r="E202" s="526"/>
      <c r="F202" s="526"/>
      <c r="G202" s="526"/>
      <c r="H202" s="526"/>
      <c r="I202" s="526"/>
      <c r="J202" s="526"/>
      <c r="K202" s="526"/>
      <c r="L202" s="526"/>
      <c r="M202" s="525" t="s">
        <v>27</v>
      </c>
      <c r="N202" s="526"/>
      <c r="O202" s="527"/>
      <c r="P202" s="526"/>
      <c r="Q202" s="525"/>
      <c r="R202" s="525" t="s">
        <v>28</v>
      </c>
      <c r="S202" s="527"/>
      <c r="T202" s="526"/>
      <c r="U202" s="346"/>
      <c r="V202" s="528"/>
      <c r="W202" s="6"/>
    </row>
    <row r="203" spans="1:24" ht="15.6">
      <c r="A203" s="371"/>
      <c r="B203" s="372"/>
      <c r="C203" s="534"/>
      <c r="D203" s="534"/>
      <c r="E203" s="534"/>
      <c r="F203" s="534"/>
      <c r="G203" s="534"/>
      <c r="H203" s="534"/>
      <c r="I203" s="534"/>
      <c r="J203" s="534"/>
      <c r="K203" s="534"/>
      <c r="L203" s="534" t="s">
        <v>94</v>
      </c>
      <c r="M203" s="535" t="s">
        <v>101</v>
      </c>
      <c r="N203" s="534" t="s">
        <v>103</v>
      </c>
      <c r="O203" s="535" t="s">
        <v>101</v>
      </c>
      <c r="P203" s="535"/>
      <c r="Q203" s="534" t="s">
        <v>94</v>
      </c>
      <c r="R203" s="535" t="s">
        <v>101</v>
      </c>
      <c r="S203" s="534" t="s">
        <v>103</v>
      </c>
      <c r="T203" s="535" t="s">
        <v>101</v>
      </c>
      <c r="U203" s="375"/>
      <c r="V203" s="536"/>
      <c r="W203" s="6"/>
    </row>
    <row r="204" spans="1:24" ht="15.6">
      <c r="A204" s="315"/>
      <c r="B204" s="310" t="s">
        <v>81</v>
      </c>
      <c r="C204" s="351"/>
      <c r="D204" s="351"/>
      <c r="E204" s="351"/>
      <c r="F204" s="351"/>
      <c r="G204" s="351"/>
      <c r="H204" s="351"/>
      <c r="I204" s="351"/>
      <c r="J204" s="351"/>
      <c r="K204" s="351"/>
      <c r="L204" s="351">
        <v>4892</v>
      </c>
      <c r="M204" s="299">
        <f t="shared" ref="M204:M210" si="4">+L204/$L$211</f>
        <v>0.87357142857142855</v>
      </c>
      <c r="N204" s="351">
        <v>109507</v>
      </c>
      <c r="O204" s="299">
        <f t="shared" ref="O204:O210" si="5">+N204/$N$211</f>
        <v>0.85957283138535445</v>
      </c>
      <c r="P204" s="296"/>
      <c r="Q204" s="351">
        <v>98</v>
      </c>
      <c r="R204" s="299">
        <f t="shared" ref="R204:R210" si="6">Q204/$Q$211</f>
        <v>0.85217391304347823</v>
      </c>
      <c r="S204" s="351">
        <v>881</v>
      </c>
      <c r="T204" s="299">
        <f t="shared" ref="T204:T210" si="7">+S204/$S$211</f>
        <v>0.86372549019607847</v>
      </c>
      <c r="U204" s="294"/>
      <c r="V204" s="301"/>
      <c r="W204" s="6"/>
    </row>
    <row r="205" spans="1:24" ht="15.6">
      <c r="A205" s="444"/>
      <c r="B205" s="440" t="s">
        <v>82</v>
      </c>
      <c r="C205" s="489"/>
      <c r="D205" s="489"/>
      <c r="E205" s="489"/>
      <c r="F205" s="489"/>
      <c r="G205" s="489"/>
      <c r="H205" s="489"/>
      <c r="I205" s="489"/>
      <c r="J205" s="489"/>
      <c r="K205" s="489"/>
      <c r="L205" s="489">
        <v>165</v>
      </c>
      <c r="M205" s="427">
        <f t="shared" si="4"/>
        <v>2.9464285714285714E-2</v>
      </c>
      <c r="N205" s="489">
        <v>3763</v>
      </c>
      <c r="O205" s="427">
        <f t="shared" si="5"/>
        <v>2.9537587227328743E-2</v>
      </c>
      <c r="P205" s="381"/>
      <c r="Q205" s="489">
        <v>9</v>
      </c>
      <c r="R205" s="427">
        <f t="shared" si="6"/>
        <v>7.8260869565217397E-2</v>
      </c>
      <c r="S205" s="489">
        <v>103</v>
      </c>
      <c r="T205" s="427">
        <f t="shared" si="7"/>
        <v>0.10098039215686275</v>
      </c>
      <c r="U205" s="379"/>
      <c r="V205" s="435"/>
      <c r="W205" s="6"/>
    </row>
    <row r="206" spans="1:24" ht="15.6">
      <c r="A206" s="444"/>
      <c r="B206" s="440" t="s">
        <v>83</v>
      </c>
      <c r="C206" s="489"/>
      <c r="D206" s="489"/>
      <c r="E206" s="489"/>
      <c r="F206" s="489"/>
      <c r="G206" s="489"/>
      <c r="H206" s="489"/>
      <c r="I206" s="489"/>
      <c r="J206" s="489"/>
      <c r="K206" s="489"/>
      <c r="L206" s="489">
        <v>119</v>
      </c>
      <c r="M206" s="427">
        <f t="shared" si="4"/>
        <v>2.1250000000000002E-2</v>
      </c>
      <c r="N206" s="489">
        <v>2979</v>
      </c>
      <c r="O206" s="427">
        <f t="shared" si="5"/>
        <v>2.3383596160035165E-2</v>
      </c>
      <c r="P206" s="381"/>
      <c r="Q206" s="489">
        <v>3</v>
      </c>
      <c r="R206" s="427">
        <f t="shared" si="6"/>
        <v>2.6086956521739129E-2</v>
      </c>
      <c r="S206" s="489">
        <v>7</v>
      </c>
      <c r="T206" s="427">
        <f t="shared" si="7"/>
        <v>6.8627450980392156E-3</v>
      </c>
      <c r="U206" s="379"/>
      <c r="V206" s="435"/>
      <c r="W206" s="6"/>
      <c r="X206" s="182"/>
    </row>
    <row r="207" spans="1:24" ht="15.6">
      <c r="A207" s="444"/>
      <c r="B207" s="440" t="s">
        <v>186</v>
      </c>
      <c r="C207" s="489"/>
      <c r="D207" s="489"/>
      <c r="E207" s="489"/>
      <c r="F207" s="489"/>
      <c r="G207" s="489"/>
      <c r="H207" s="489"/>
      <c r="I207" s="489"/>
      <c r="J207" s="489"/>
      <c r="K207" s="489"/>
      <c r="L207" s="489">
        <v>72</v>
      </c>
      <c r="M207" s="427">
        <f t="shared" si="4"/>
        <v>1.2857142857142857E-2</v>
      </c>
      <c r="N207" s="489">
        <v>1772</v>
      </c>
      <c r="O207" s="427">
        <f t="shared" si="5"/>
        <v>1.3909275728627832E-2</v>
      </c>
      <c r="P207" s="381"/>
      <c r="Q207" s="489">
        <v>1</v>
      </c>
      <c r="R207" s="427">
        <f t="shared" si="6"/>
        <v>8.6956521739130436E-3</v>
      </c>
      <c r="S207" s="489">
        <v>6</v>
      </c>
      <c r="T207" s="427">
        <f t="shared" si="7"/>
        <v>5.8823529411764705E-3</v>
      </c>
      <c r="U207" s="379"/>
      <c r="V207" s="435"/>
      <c r="W207" s="6"/>
    </row>
    <row r="208" spans="1:24" ht="15.6">
      <c r="A208" s="444"/>
      <c r="B208" s="440" t="s">
        <v>187</v>
      </c>
      <c r="C208" s="489"/>
      <c r="D208" s="489"/>
      <c r="E208" s="489"/>
      <c r="F208" s="489"/>
      <c r="G208" s="489"/>
      <c r="H208" s="489"/>
      <c r="I208" s="489"/>
      <c r="J208" s="489"/>
      <c r="K208" s="489"/>
      <c r="L208" s="489">
        <v>79</v>
      </c>
      <c r="M208" s="427">
        <f t="shared" si="4"/>
        <v>1.4107142857142856E-2</v>
      </c>
      <c r="N208" s="489">
        <v>2142</v>
      </c>
      <c r="O208" s="427">
        <f t="shared" si="5"/>
        <v>1.6813582737427099E-2</v>
      </c>
      <c r="P208" s="381"/>
      <c r="Q208" s="489">
        <v>2</v>
      </c>
      <c r="R208" s="427">
        <f t="shared" si="6"/>
        <v>1.7391304347826087E-2</v>
      </c>
      <c r="S208" s="489">
        <v>19</v>
      </c>
      <c r="T208" s="427">
        <f t="shared" si="7"/>
        <v>1.8627450980392157E-2</v>
      </c>
      <c r="U208" s="379"/>
      <c r="V208" s="435"/>
      <c r="W208" s="6"/>
    </row>
    <row r="209" spans="1:24" ht="15.6">
      <c r="A209" s="444"/>
      <c r="B209" s="440" t="s">
        <v>188</v>
      </c>
      <c r="C209" s="489"/>
      <c r="D209" s="489"/>
      <c r="E209" s="489"/>
      <c r="F209" s="489"/>
      <c r="G209" s="489"/>
      <c r="H209" s="489"/>
      <c r="I209" s="489"/>
      <c r="J209" s="489"/>
      <c r="K209" s="489"/>
      <c r="L209" s="489">
        <v>60</v>
      </c>
      <c r="M209" s="427">
        <f t="shared" si="4"/>
        <v>1.0714285714285714E-2</v>
      </c>
      <c r="N209" s="489">
        <v>1519</v>
      </c>
      <c r="O209" s="427">
        <f t="shared" si="5"/>
        <v>1.1923357692881309E-2</v>
      </c>
      <c r="P209" s="381"/>
      <c r="Q209" s="489">
        <v>0</v>
      </c>
      <c r="R209" s="427">
        <f t="shared" si="6"/>
        <v>0</v>
      </c>
      <c r="S209" s="489">
        <v>0</v>
      </c>
      <c r="T209" s="427">
        <f t="shared" si="7"/>
        <v>0</v>
      </c>
      <c r="U209" s="379"/>
      <c r="V209" s="435"/>
      <c r="W209" s="6"/>
    </row>
    <row r="210" spans="1:24" ht="15.6">
      <c r="A210" s="444"/>
      <c r="B210" s="440" t="s">
        <v>189</v>
      </c>
      <c r="C210" s="489"/>
      <c r="D210" s="489"/>
      <c r="E210" s="489"/>
      <c r="F210" s="489"/>
      <c r="G210" s="489"/>
      <c r="H210" s="489"/>
      <c r="I210" s="489"/>
      <c r="J210" s="489"/>
      <c r="K210" s="489"/>
      <c r="L210" s="489">
        <v>213</v>
      </c>
      <c r="M210" s="427">
        <f t="shared" si="4"/>
        <v>3.8035714285714284E-2</v>
      </c>
      <c r="N210" s="489">
        <v>5715</v>
      </c>
      <c r="O210" s="427">
        <f t="shared" si="5"/>
        <v>4.4859769068345406E-2</v>
      </c>
      <c r="P210" s="381"/>
      <c r="Q210" s="489">
        <v>2</v>
      </c>
      <c r="R210" s="427">
        <f t="shared" si="6"/>
        <v>1.7391304347826087E-2</v>
      </c>
      <c r="S210" s="489">
        <v>4</v>
      </c>
      <c r="T210" s="427">
        <f t="shared" si="7"/>
        <v>3.9215686274509803E-3</v>
      </c>
      <c r="U210" s="379"/>
      <c r="V210" s="435"/>
      <c r="W210" s="6"/>
    </row>
    <row r="211" spans="1:24" ht="15.6">
      <c r="A211" s="444"/>
      <c r="B211" s="440" t="str">
        <f>B198</f>
        <v>Total Performing  Assets</v>
      </c>
      <c r="C211" s="489"/>
      <c r="D211" s="489"/>
      <c r="E211" s="489"/>
      <c r="F211" s="489"/>
      <c r="G211" s="489"/>
      <c r="H211" s="489"/>
      <c r="I211" s="489"/>
      <c r="J211" s="489"/>
      <c r="K211" s="489"/>
      <c r="L211" s="489">
        <f>SUM(L204:L210)</f>
        <v>5600</v>
      </c>
      <c r="M211" s="427">
        <f>SUM(M204:M210)</f>
        <v>1</v>
      </c>
      <c r="N211" s="489">
        <f>SUM(N204:N210)</f>
        <v>127397</v>
      </c>
      <c r="O211" s="427">
        <f>SUM(O204:O210)</f>
        <v>1</v>
      </c>
      <c r="P211" s="381"/>
      <c r="Q211" s="489">
        <f>SUM(Q204:Q210)</f>
        <v>115</v>
      </c>
      <c r="R211" s="427">
        <f>SUM(R204:R210)</f>
        <v>0.99999999999999989</v>
      </c>
      <c r="S211" s="489">
        <f>SUM(S204:S210)</f>
        <v>1020</v>
      </c>
      <c r="T211" s="427">
        <f>SUM(T204:T210)</f>
        <v>1</v>
      </c>
      <c r="U211" s="379"/>
      <c r="V211" s="435"/>
      <c r="W211" s="6"/>
    </row>
    <row r="212" spans="1:24" ht="15.6">
      <c r="A212" s="444"/>
      <c r="B212" s="440" t="s">
        <v>85</v>
      </c>
      <c r="C212" s="489"/>
      <c r="D212" s="489"/>
      <c r="E212" s="489"/>
      <c r="F212" s="489"/>
      <c r="G212" s="489"/>
      <c r="H212" s="489"/>
      <c r="I212" s="489"/>
      <c r="J212" s="489"/>
      <c r="K212" s="489"/>
      <c r="L212" s="489">
        <v>279</v>
      </c>
      <c r="M212" s="381"/>
      <c r="N212" s="489">
        <v>7912</v>
      </c>
      <c r="O212" s="380"/>
      <c r="P212" s="381"/>
      <c r="Q212" s="489">
        <v>28</v>
      </c>
      <c r="R212" s="381"/>
      <c r="S212" s="489">
        <v>509</v>
      </c>
      <c r="T212" s="381"/>
      <c r="U212" s="379"/>
      <c r="V212" s="435"/>
      <c r="W212" s="6"/>
    </row>
    <row r="213" spans="1:24" ht="15.6">
      <c r="A213" s="444"/>
      <c r="B213" s="440" t="s">
        <v>86</v>
      </c>
      <c r="C213" s="489"/>
      <c r="D213" s="489"/>
      <c r="E213" s="489"/>
      <c r="F213" s="489"/>
      <c r="G213" s="489"/>
      <c r="H213" s="489"/>
      <c r="I213" s="489"/>
      <c r="J213" s="489"/>
      <c r="K213" s="489"/>
      <c r="L213" s="489">
        <f>SUM(L211:L212)</f>
        <v>5879</v>
      </c>
      <c r="M213" s="450"/>
      <c r="N213" s="489">
        <f>SUM(N211:N212)</f>
        <v>135309</v>
      </c>
      <c r="O213" s="427"/>
      <c r="P213" s="450"/>
      <c r="Q213" s="489">
        <f>SUM(Q211:Q212)</f>
        <v>143</v>
      </c>
      <c r="R213" s="450"/>
      <c r="S213" s="489">
        <f>SUM(S211:S212)</f>
        <v>1529</v>
      </c>
      <c r="T213" s="450"/>
      <c r="U213" s="450"/>
      <c r="V213" s="492"/>
    </row>
    <row r="214" spans="1:24" ht="15.6">
      <c r="A214" s="444"/>
      <c r="B214" s="440"/>
      <c r="C214" s="381"/>
      <c r="D214" s="381"/>
      <c r="E214" s="381"/>
      <c r="F214" s="381"/>
      <c r="G214" s="381"/>
      <c r="H214" s="381"/>
      <c r="I214" s="381"/>
      <c r="J214" s="381"/>
      <c r="K214" s="381"/>
      <c r="L214" s="381"/>
      <c r="M214" s="493"/>
      <c r="N214" s="381"/>
      <c r="O214" s="493"/>
      <c r="P214" s="381"/>
      <c r="Q214" s="493"/>
      <c r="R214" s="381"/>
      <c r="S214" s="489"/>
      <c r="T214" s="381"/>
      <c r="U214" s="379"/>
      <c r="V214" s="435"/>
      <c r="W214" s="6"/>
    </row>
    <row r="215" spans="1:24" ht="15.6">
      <c r="A215" s="444"/>
      <c r="B215" s="440" t="s">
        <v>86</v>
      </c>
      <c r="C215" s="381"/>
      <c r="D215" s="381"/>
      <c r="E215" s="381"/>
      <c r="F215" s="381"/>
      <c r="G215" s="381"/>
      <c r="H215" s="381"/>
      <c r="I215" s="381"/>
      <c r="J215" s="381"/>
      <c r="K215" s="381"/>
      <c r="L215" s="493"/>
      <c r="M215" s="493"/>
      <c r="N215" s="493"/>
      <c r="O215" s="493"/>
      <c r="P215" s="381"/>
      <c r="Q215" s="493"/>
      <c r="R215" s="381"/>
      <c r="S215" s="489">
        <f>+N200+S200+N213+S213</f>
        <v>145218</v>
      </c>
      <c r="T215" s="490"/>
      <c r="U215" s="379"/>
      <c r="V215" s="435"/>
      <c r="W215" s="6"/>
      <c r="X215" s="182"/>
    </row>
    <row r="216" spans="1:24" ht="15.6">
      <c r="A216" s="316"/>
      <c r="B216" s="360"/>
      <c r="C216" s="363"/>
      <c r="D216" s="363"/>
      <c r="E216" s="363"/>
      <c r="F216" s="363"/>
      <c r="G216" s="363"/>
      <c r="H216" s="363"/>
      <c r="I216" s="363"/>
      <c r="J216" s="363"/>
      <c r="K216" s="363"/>
      <c r="L216" s="491"/>
      <c r="M216" s="491"/>
      <c r="N216" s="491"/>
      <c r="O216" s="491"/>
      <c r="P216" s="363"/>
      <c r="Q216" s="491"/>
      <c r="R216" s="363"/>
      <c r="S216" s="361"/>
      <c r="T216" s="363"/>
      <c r="U216" s="364"/>
      <c r="V216" s="312"/>
      <c r="W216" s="6"/>
    </row>
    <row r="217" spans="1:24" ht="15.6">
      <c r="A217" s="349"/>
      <c r="B217" s="357" t="s">
        <v>87</v>
      </c>
      <c r="C217" s="526"/>
      <c r="D217" s="526"/>
      <c r="E217" s="526"/>
      <c r="F217" s="526"/>
      <c r="G217" s="526"/>
      <c r="H217" s="526"/>
      <c r="I217" s="526"/>
      <c r="J217" s="526"/>
      <c r="K217" s="526"/>
      <c r="L217" s="526"/>
      <c r="M217" s="527"/>
      <c r="N217" s="526"/>
      <c r="O217" s="527"/>
      <c r="P217" s="526"/>
      <c r="Q217" s="527"/>
      <c r="R217" s="526"/>
      <c r="S217" s="358"/>
      <c r="T217" s="526"/>
      <c r="U217" s="350"/>
      <c r="V217" s="528"/>
      <c r="W217" s="6"/>
    </row>
    <row r="218" spans="1:24" ht="15.6">
      <c r="A218" s="315"/>
      <c r="B218" s="310"/>
      <c r="C218" s="296"/>
      <c r="D218" s="296"/>
      <c r="E218" s="296"/>
      <c r="F218" s="296"/>
      <c r="G218" s="296"/>
      <c r="H218" s="296"/>
      <c r="I218" s="296"/>
      <c r="J218" s="296"/>
      <c r="K218" s="296"/>
      <c r="L218" s="296"/>
      <c r="M218" s="352"/>
      <c r="N218" s="296"/>
      <c r="O218" s="352"/>
      <c r="P218" s="296"/>
      <c r="Q218" s="352"/>
      <c r="R218" s="296"/>
      <c r="S218" s="351"/>
      <c r="T218" s="296"/>
      <c r="U218" s="294"/>
      <c r="V218" s="301"/>
      <c r="W218" s="6"/>
    </row>
    <row r="219" spans="1:24" ht="15.6">
      <c r="A219" s="444"/>
      <c r="B219" s="440" t="s">
        <v>88</v>
      </c>
      <c r="C219" s="381"/>
      <c r="D219" s="381"/>
      <c r="E219" s="381"/>
      <c r="F219" s="381"/>
      <c r="G219" s="381"/>
      <c r="H219" s="381"/>
      <c r="I219" s="381"/>
      <c r="J219" s="381"/>
      <c r="K219" s="381"/>
      <c r="L219" s="381"/>
      <c r="M219" s="493"/>
      <c r="N219" s="381"/>
      <c r="O219" s="493"/>
      <c r="P219" s="381"/>
      <c r="Q219" s="493"/>
      <c r="R219" s="381"/>
      <c r="S219" s="489">
        <f>+N198+S198+N211+S211</f>
        <v>130487</v>
      </c>
      <c r="T219" s="381"/>
      <c r="U219" s="379"/>
      <c r="V219" s="435"/>
      <c r="W219" s="6"/>
      <c r="X219" s="182"/>
    </row>
    <row r="220" spans="1:24" ht="15.6">
      <c r="A220" s="444"/>
      <c r="B220" s="440" t="s">
        <v>89</v>
      </c>
      <c r="C220" s="381"/>
      <c r="D220" s="381"/>
      <c r="E220" s="381"/>
      <c r="F220" s="381"/>
      <c r="G220" s="381"/>
      <c r="H220" s="381"/>
      <c r="I220" s="381"/>
      <c r="J220" s="381"/>
      <c r="K220" s="381"/>
      <c r="L220" s="381"/>
      <c r="M220" s="493"/>
      <c r="N220" s="381"/>
      <c r="O220" s="493"/>
      <c r="P220" s="381"/>
      <c r="Q220" s="493"/>
      <c r="R220" s="381"/>
      <c r="S220" s="489">
        <f>+U78</f>
        <v>0</v>
      </c>
      <c r="T220" s="381"/>
      <c r="U220" s="379"/>
      <c r="V220" s="435"/>
      <c r="W220" s="119"/>
    </row>
    <row r="221" spans="1:24" ht="15.6">
      <c r="A221" s="444"/>
      <c r="B221" s="440" t="s">
        <v>90</v>
      </c>
      <c r="C221" s="381"/>
      <c r="D221" s="381"/>
      <c r="E221" s="381"/>
      <c r="F221" s="381"/>
      <c r="G221" s="381"/>
      <c r="H221" s="381"/>
      <c r="I221" s="381"/>
      <c r="J221" s="381"/>
      <c r="K221" s="381"/>
      <c r="L221" s="381"/>
      <c r="M221" s="493"/>
      <c r="N221" s="381"/>
      <c r="O221" s="493"/>
      <c r="P221" s="381"/>
      <c r="Q221" s="493"/>
      <c r="R221" s="381"/>
      <c r="S221" s="489">
        <f>SUM(S219:S220)</f>
        <v>130487</v>
      </c>
      <c r="T221" s="381"/>
      <c r="U221" s="379"/>
      <c r="V221" s="435"/>
      <c r="W221" s="6"/>
    </row>
    <row r="222" spans="1:24" ht="15.6">
      <c r="A222" s="444"/>
      <c r="B222" s="440"/>
      <c r="C222" s="381"/>
      <c r="D222" s="381"/>
      <c r="E222" s="381"/>
      <c r="F222" s="381"/>
      <c r="G222" s="381"/>
      <c r="H222" s="381"/>
      <c r="I222" s="381"/>
      <c r="J222" s="381"/>
      <c r="K222" s="381"/>
      <c r="L222" s="381"/>
      <c r="M222" s="493"/>
      <c r="N222" s="381"/>
      <c r="O222" s="493"/>
      <c r="P222" s="381"/>
      <c r="Q222" s="493"/>
      <c r="R222" s="381"/>
      <c r="S222" s="489"/>
      <c r="T222" s="381"/>
      <c r="U222" s="379"/>
      <c r="V222" s="435"/>
      <c r="W222" s="6"/>
    </row>
    <row r="223" spans="1:24" ht="15.6">
      <c r="A223" s="444"/>
      <c r="B223" s="440" t="s">
        <v>91</v>
      </c>
      <c r="C223" s="381"/>
      <c r="D223" s="381"/>
      <c r="E223" s="381"/>
      <c r="F223" s="381"/>
      <c r="G223" s="381"/>
      <c r="H223" s="381"/>
      <c r="I223" s="381"/>
      <c r="J223" s="381"/>
      <c r="K223" s="381"/>
      <c r="L223" s="381"/>
      <c r="M223" s="493"/>
      <c r="N223" s="381"/>
      <c r="O223" s="493"/>
      <c r="P223" s="381"/>
      <c r="Q223" s="493"/>
      <c r="R223" s="381"/>
      <c r="S223" s="489">
        <f>U33</f>
        <v>130486.62239999999</v>
      </c>
      <c r="T223" s="381"/>
      <c r="U223" s="379"/>
      <c r="V223" s="435"/>
      <c r="W223" s="6"/>
    </row>
    <row r="224" spans="1:24" ht="15.6">
      <c r="A224" s="444"/>
      <c r="B224" s="440"/>
      <c r="C224" s="381"/>
      <c r="D224" s="381"/>
      <c r="E224" s="381"/>
      <c r="F224" s="381"/>
      <c r="G224" s="381"/>
      <c r="H224" s="381"/>
      <c r="I224" s="381"/>
      <c r="J224" s="381"/>
      <c r="K224" s="381"/>
      <c r="L224" s="381"/>
      <c r="M224" s="493"/>
      <c r="N224" s="381"/>
      <c r="O224" s="493"/>
      <c r="P224" s="381"/>
      <c r="Q224" s="493"/>
      <c r="R224" s="381"/>
      <c r="S224" s="489"/>
      <c r="T224" s="381"/>
      <c r="U224" s="379"/>
      <c r="V224" s="435"/>
      <c r="W224" s="6"/>
    </row>
    <row r="225" spans="1:23" ht="15.6">
      <c r="A225" s="444"/>
      <c r="B225" s="440" t="s">
        <v>92</v>
      </c>
      <c r="C225" s="381"/>
      <c r="D225" s="381"/>
      <c r="E225" s="381"/>
      <c r="F225" s="381"/>
      <c r="G225" s="381"/>
      <c r="H225" s="381"/>
      <c r="I225" s="381"/>
      <c r="J225" s="381"/>
      <c r="K225" s="381"/>
      <c r="L225" s="381"/>
      <c r="M225" s="493"/>
      <c r="N225" s="381"/>
      <c r="O225" s="493"/>
      <c r="P225" s="381"/>
      <c r="Q225" s="493"/>
      <c r="R225" s="381"/>
      <c r="S225" s="489">
        <f>S221/S223</f>
        <v>1.0000028937832328</v>
      </c>
      <c r="T225" s="381"/>
      <c r="U225" s="379"/>
      <c r="V225" s="435"/>
      <c r="W225" s="6"/>
    </row>
    <row r="226" spans="1:23" ht="15.6">
      <c r="A226" s="444"/>
      <c r="B226" s="379"/>
      <c r="C226" s="379"/>
      <c r="D226" s="379"/>
      <c r="E226" s="379"/>
      <c r="F226" s="379"/>
      <c r="G226" s="379"/>
      <c r="H226" s="379"/>
      <c r="I226" s="379"/>
      <c r="J226" s="379"/>
      <c r="K226" s="379"/>
      <c r="L226" s="379"/>
      <c r="M226" s="380"/>
      <c r="N226" s="379"/>
      <c r="O226" s="379"/>
      <c r="P226" s="379"/>
      <c r="Q226" s="440"/>
      <c r="R226" s="497"/>
      <c r="S226" s="441"/>
      <c r="T226" s="497"/>
      <c r="U226" s="466"/>
      <c r="V226" s="410"/>
      <c r="W226" s="6"/>
    </row>
    <row r="227" spans="1:23" ht="15.6">
      <c r="A227" s="353"/>
      <c r="B227" s="494" t="s">
        <v>127</v>
      </c>
      <c r="C227" s="495"/>
      <c r="D227" s="495"/>
      <c r="E227" s="495"/>
      <c r="F227" s="495"/>
      <c r="G227" s="495"/>
      <c r="H227" s="495"/>
      <c r="I227" s="495"/>
      <c r="J227" s="495"/>
      <c r="K227" s="495"/>
      <c r="L227" s="495"/>
      <c r="M227" s="363"/>
      <c r="N227" s="364"/>
      <c r="O227" s="494"/>
      <c r="P227" s="443"/>
      <c r="Q227" s="443"/>
      <c r="R227" s="443"/>
      <c r="S227" s="496"/>
      <c r="T227" s="443"/>
      <c r="U227" s="443"/>
      <c r="V227" s="355"/>
      <c r="W227" s="6"/>
    </row>
    <row r="228" spans="1:23" ht="15.6">
      <c r="A228" s="353"/>
      <c r="B228" s="287" t="s">
        <v>128</v>
      </c>
      <c r="C228" s="354"/>
      <c r="D228" s="354"/>
      <c r="E228" s="354"/>
      <c r="F228" s="354"/>
      <c r="G228" s="354"/>
      <c r="H228" s="354"/>
      <c r="I228" s="354"/>
      <c r="J228" s="354"/>
      <c r="K228" s="354"/>
      <c r="L228" s="354"/>
      <c r="M228" s="290"/>
      <c r="N228" s="287"/>
      <c r="O228" s="287"/>
      <c r="P228" s="354"/>
      <c r="Q228" s="354"/>
      <c r="R228" s="317"/>
      <c r="S228" s="317"/>
      <c r="T228" s="317"/>
      <c r="U228" s="317"/>
      <c r="V228" s="355"/>
      <c r="W228" s="6"/>
    </row>
    <row r="229" spans="1:23" ht="15.6">
      <c r="A229" s="353"/>
      <c r="B229" s="287" t="s">
        <v>246</v>
      </c>
      <c r="C229" s="287"/>
      <c r="D229" s="287"/>
      <c r="E229" s="287"/>
      <c r="F229" s="287"/>
      <c r="G229" s="287"/>
      <c r="H229" s="287"/>
      <c r="I229" s="287"/>
      <c r="J229" s="287"/>
      <c r="K229" s="287"/>
      <c r="L229" s="287"/>
      <c r="M229" s="287"/>
      <c r="N229" s="287"/>
      <c r="O229" s="287"/>
      <c r="P229" s="287"/>
      <c r="Q229" s="287"/>
      <c r="R229" s="287"/>
      <c r="S229" s="287"/>
      <c r="T229" s="287"/>
      <c r="U229" s="287"/>
      <c r="V229" s="355"/>
      <c r="W229" s="6"/>
    </row>
    <row r="230" spans="1:23" ht="15.6">
      <c r="A230" s="353"/>
      <c r="B230" s="287" t="s">
        <v>129</v>
      </c>
      <c r="C230" s="354"/>
      <c r="D230" s="354"/>
      <c r="E230" s="354"/>
      <c r="F230" s="354"/>
      <c r="G230" s="354"/>
      <c r="H230" s="354"/>
      <c r="I230" s="354"/>
      <c r="J230" s="354"/>
      <c r="K230" s="354"/>
      <c r="L230" s="354"/>
      <c r="M230" s="290"/>
      <c r="N230" s="287"/>
      <c r="O230" s="287"/>
      <c r="P230" s="354"/>
      <c r="Q230" s="354"/>
      <c r="R230" s="317"/>
      <c r="S230" s="317"/>
      <c r="T230" s="317"/>
      <c r="U230" s="317"/>
      <c r="V230" s="355"/>
      <c r="W230" s="6"/>
    </row>
    <row r="231" spans="1:23" ht="15.6">
      <c r="A231" s="353"/>
      <c r="B231" s="287"/>
      <c r="C231" s="354"/>
      <c r="D231" s="354"/>
      <c r="E231" s="354"/>
      <c r="F231" s="354"/>
      <c r="G231" s="354"/>
      <c r="H231" s="354"/>
      <c r="I231" s="354"/>
      <c r="J231" s="354"/>
      <c r="K231" s="354"/>
      <c r="L231" s="354"/>
      <c r="M231" s="290"/>
      <c r="N231" s="287"/>
      <c r="O231" s="287"/>
      <c r="P231" s="354"/>
      <c r="Q231" s="354"/>
      <c r="R231" s="317"/>
      <c r="S231" s="317"/>
      <c r="T231" s="317"/>
      <c r="U231" s="317"/>
      <c r="V231" s="355"/>
      <c r="W231" s="6"/>
    </row>
    <row r="232" spans="1:23" ht="15.6">
      <c r="A232" s="353"/>
      <c r="B232" s="287"/>
      <c r="C232" s="354"/>
      <c r="D232" s="354"/>
      <c r="E232" s="354"/>
      <c r="F232" s="354"/>
      <c r="G232" s="354"/>
      <c r="H232" s="354"/>
      <c r="I232" s="354"/>
      <c r="J232" s="354"/>
      <c r="K232" s="354"/>
      <c r="L232" s="354"/>
      <c r="M232" s="290"/>
      <c r="N232" s="287"/>
      <c r="O232" s="287"/>
      <c r="P232" s="354"/>
      <c r="Q232" s="354"/>
      <c r="R232" s="317"/>
      <c r="S232" s="317"/>
      <c r="T232" s="317"/>
      <c r="U232" s="317"/>
      <c r="V232" s="355"/>
      <c r="W232" s="6"/>
    </row>
    <row r="233" spans="1:23" ht="16.2" thickBot="1">
      <c r="A233" s="353"/>
      <c r="B233" s="287" t="str">
        <f>+B160</f>
        <v>PPAF3 INVESTOR REPORT QUARTER ENDING SEPTEMBER 2013</v>
      </c>
      <c r="C233" s="354"/>
      <c r="D233" s="354"/>
      <c r="E233" s="354"/>
      <c r="F233" s="354"/>
      <c r="G233" s="354"/>
      <c r="H233" s="354"/>
      <c r="I233" s="354"/>
      <c r="J233" s="354"/>
      <c r="K233" s="354"/>
      <c r="L233" s="354"/>
      <c r="M233" s="290"/>
      <c r="N233" s="287"/>
      <c r="O233" s="287"/>
      <c r="P233" s="354"/>
      <c r="Q233" s="354"/>
      <c r="R233" s="317"/>
      <c r="S233" s="317"/>
      <c r="T233" s="317"/>
      <c r="U233" s="317"/>
      <c r="V233" s="356"/>
      <c r="W233" s="6"/>
    </row>
    <row r="234" spans="1:2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row>
  </sheetData>
  <hyperlinks>
    <hyperlink ref="I9" r:id="rId1"/>
    <hyperlink ref="K187"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21" man="1"/>
    <brk id="109" max="16383" man="1"/>
    <brk id="160" max="21" man="1"/>
    <brk id="239" man="1"/>
  </rowBreaks>
  <colBreaks count="1" manualBreakCount="1">
    <brk id="23" max="1048575" man="1"/>
  </colBreaks>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0099"/>
  </sheetPr>
  <dimension ref="A1:Y234"/>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38" t="s">
        <v>223</v>
      </c>
      <c r="B1" s="285" t="s">
        <v>123</v>
      </c>
      <c r="C1" s="239"/>
      <c r="D1" s="239"/>
      <c r="E1" s="239"/>
      <c r="F1" s="239"/>
      <c r="G1" s="239"/>
      <c r="H1" s="239"/>
      <c r="I1" s="239"/>
      <c r="J1" s="239"/>
      <c r="K1" s="239"/>
      <c r="L1" s="239"/>
      <c r="M1" s="240"/>
      <c r="N1" s="240"/>
      <c r="O1" s="240"/>
      <c r="P1" s="240"/>
      <c r="Q1" s="240"/>
      <c r="R1" s="240"/>
      <c r="S1" s="240"/>
      <c r="T1" s="240"/>
      <c r="U1" s="240"/>
      <c r="V1" s="241"/>
      <c r="W1" s="6"/>
    </row>
    <row r="2" spans="1:23" ht="15.6">
      <c r="A2" s="242"/>
      <c r="B2" s="243"/>
      <c r="C2" s="243"/>
      <c r="D2" s="243"/>
      <c r="E2" s="243"/>
      <c r="F2" s="243"/>
      <c r="G2" s="243"/>
      <c r="H2" s="243"/>
      <c r="I2" s="243"/>
      <c r="J2" s="243"/>
      <c r="K2" s="243"/>
      <c r="L2" s="243"/>
      <c r="M2" s="244"/>
      <c r="N2" s="244"/>
      <c r="O2" s="244"/>
      <c r="P2" s="244"/>
      <c r="Q2" s="244"/>
      <c r="R2" s="244"/>
      <c r="S2" s="244"/>
      <c r="T2" s="244"/>
      <c r="U2" s="244"/>
      <c r="V2" s="245"/>
      <c r="W2" s="6"/>
    </row>
    <row r="3" spans="1:23" ht="15.6">
      <c r="A3" s="246"/>
      <c r="B3" s="247" t="s">
        <v>125</v>
      </c>
      <c r="C3" s="244"/>
      <c r="D3" s="244"/>
      <c r="E3" s="244"/>
      <c r="F3" s="244"/>
      <c r="G3" s="244"/>
      <c r="H3" s="244"/>
      <c r="I3" s="244"/>
      <c r="J3" s="244"/>
      <c r="K3" s="244"/>
      <c r="L3" s="244"/>
      <c r="M3" s="244"/>
      <c r="N3" s="244"/>
      <c r="O3" s="244"/>
      <c r="P3" s="244"/>
      <c r="Q3" s="244"/>
      <c r="R3" s="244"/>
      <c r="S3" s="244"/>
      <c r="T3" s="244"/>
      <c r="U3" s="244"/>
      <c r="V3" s="245"/>
      <c r="W3" s="6"/>
    </row>
    <row r="4" spans="1:23" ht="15.6">
      <c r="A4" s="242"/>
      <c r="B4" s="243"/>
      <c r="C4" s="243"/>
      <c r="D4" s="243"/>
      <c r="E4" s="243"/>
      <c r="F4" s="243"/>
      <c r="G4" s="243"/>
      <c r="H4" s="243"/>
      <c r="I4" s="243"/>
      <c r="J4" s="243"/>
      <c r="K4" s="243"/>
      <c r="L4" s="243"/>
      <c r="M4" s="244"/>
      <c r="N4" s="244"/>
      <c r="O4" s="244"/>
      <c r="P4" s="244"/>
      <c r="Q4" s="244"/>
      <c r="R4" s="244"/>
      <c r="S4" s="244"/>
      <c r="T4" s="244"/>
      <c r="U4" s="244"/>
      <c r="V4" s="245"/>
      <c r="W4" s="6"/>
    </row>
    <row r="5" spans="1:23" ht="16.2">
      <c r="A5" s="242"/>
      <c r="B5" s="286" t="s">
        <v>0</v>
      </c>
      <c r="C5" s="248"/>
      <c r="D5" s="248"/>
      <c r="E5" s="248"/>
      <c r="F5" s="248"/>
      <c r="G5" s="248"/>
      <c r="H5" s="248"/>
      <c r="I5" s="248"/>
      <c r="J5" s="248"/>
      <c r="K5" s="248"/>
      <c r="L5" s="248"/>
      <c r="M5" s="244"/>
      <c r="N5" s="244"/>
      <c r="O5" s="244"/>
      <c r="P5" s="244"/>
      <c r="Q5" s="244"/>
      <c r="R5" s="244"/>
      <c r="S5" s="244"/>
      <c r="T5" s="244"/>
      <c r="U5" s="244"/>
      <c r="V5" s="245"/>
      <c r="W5" s="6"/>
    </row>
    <row r="6" spans="1:23" ht="16.2">
      <c r="A6" s="242"/>
      <c r="B6" s="286" t="s">
        <v>1</v>
      </c>
      <c r="C6" s="248"/>
      <c r="D6" s="248"/>
      <c r="E6" s="248"/>
      <c r="F6" s="248"/>
      <c r="G6" s="248"/>
      <c r="H6" s="248"/>
      <c r="I6" s="248"/>
      <c r="J6" s="248"/>
      <c r="K6" s="248"/>
      <c r="L6" s="248"/>
      <c r="M6" s="244"/>
      <c r="N6" s="244"/>
      <c r="O6" s="244"/>
      <c r="P6" s="244"/>
      <c r="Q6" s="244"/>
      <c r="R6" s="244"/>
      <c r="S6" s="244"/>
      <c r="T6" s="244"/>
      <c r="U6" s="244"/>
      <c r="V6" s="245"/>
      <c r="W6" s="6"/>
    </row>
    <row r="7" spans="1:23" ht="16.2">
      <c r="A7" s="242"/>
      <c r="B7" s="286" t="s">
        <v>2</v>
      </c>
      <c r="C7" s="248"/>
      <c r="D7" s="248"/>
      <c r="E7" s="248"/>
      <c r="F7" s="248"/>
      <c r="G7" s="248"/>
      <c r="H7" s="248"/>
      <c r="I7" s="248"/>
      <c r="J7" s="248"/>
      <c r="K7" s="248"/>
      <c r="L7" s="248"/>
      <c r="M7" s="244"/>
      <c r="N7" s="244"/>
      <c r="O7" s="244"/>
      <c r="P7" s="244"/>
      <c r="Q7" s="244"/>
      <c r="R7" s="244"/>
      <c r="S7" s="244"/>
      <c r="T7" s="244"/>
      <c r="U7" s="244"/>
      <c r="V7" s="245"/>
      <c r="W7" s="6"/>
    </row>
    <row r="8" spans="1:23" ht="16.2">
      <c r="A8" s="242"/>
      <c r="B8" s="249"/>
      <c r="C8" s="248"/>
      <c r="D8" s="248"/>
      <c r="E8" s="248"/>
      <c r="F8" s="248"/>
      <c r="G8" s="248"/>
      <c r="H8" s="248"/>
      <c r="I8" s="248"/>
      <c r="J8" s="248"/>
      <c r="K8" s="248"/>
      <c r="L8" s="248"/>
      <c r="M8" s="244"/>
      <c r="N8" s="244"/>
      <c r="O8" s="244"/>
      <c r="P8" s="244"/>
      <c r="Q8" s="244"/>
      <c r="R8" s="244"/>
      <c r="S8" s="244"/>
      <c r="T8" s="244"/>
      <c r="U8" s="244"/>
      <c r="V8" s="245"/>
      <c r="W8" s="6"/>
    </row>
    <row r="9" spans="1:23" ht="18">
      <c r="A9" s="242"/>
      <c r="B9" s="250" t="s">
        <v>194</v>
      </c>
      <c r="C9" s="248"/>
      <c r="D9" s="248"/>
      <c r="E9" s="248"/>
      <c r="F9" s="248"/>
      <c r="G9" s="248"/>
      <c r="H9" s="248"/>
      <c r="I9" s="251" t="s">
        <v>195</v>
      </c>
      <c r="J9" s="248"/>
      <c r="K9" s="248"/>
      <c r="L9" s="248"/>
      <c r="M9" s="244"/>
      <c r="N9" s="244"/>
      <c r="O9" s="244"/>
      <c r="P9" s="244"/>
      <c r="Q9" s="244"/>
      <c r="R9" s="244"/>
      <c r="S9" s="244"/>
      <c r="T9" s="244"/>
      <c r="U9" s="244"/>
      <c r="V9" s="245"/>
      <c r="W9" s="6"/>
    </row>
    <row r="10" spans="1:23" ht="16.2">
      <c r="A10" s="242"/>
      <c r="B10" s="248"/>
      <c r="C10" s="248"/>
      <c r="D10" s="248"/>
      <c r="E10" s="248"/>
      <c r="F10" s="248"/>
      <c r="G10" s="248"/>
      <c r="H10" s="248"/>
      <c r="I10" s="248"/>
      <c r="J10" s="248"/>
      <c r="K10" s="248"/>
      <c r="L10" s="248"/>
      <c r="M10" s="252"/>
      <c r="N10" s="252"/>
      <c r="O10" s="244"/>
      <c r="P10" s="244"/>
      <c r="Q10" s="244"/>
      <c r="R10" s="244"/>
      <c r="S10" s="244"/>
      <c r="T10" s="244"/>
      <c r="U10" s="244"/>
      <c r="V10" s="245"/>
      <c r="W10" s="6"/>
    </row>
    <row r="11" spans="1:23" ht="15.6">
      <c r="A11" s="242"/>
      <c r="B11" s="287" t="s">
        <v>3</v>
      </c>
      <c r="C11" s="252"/>
      <c r="D11" s="252"/>
      <c r="E11" s="252"/>
      <c r="F11" s="252"/>
      <c r="G11" s="252"/>
      <c r="H11" s="252"/>
      <c r="I11" s="252"/>
      <c r="J11" s="252"/>
      <c r="K11" s="252"/>
      <c r="L11" s="252"/>
      <c r="M11" s="244"/>
      <c r="N11" s="244"/>
      <c r="O11" s="244"/>
      <c r="P11" s="244"/>
      <c r="Q11" s="244"/>
      <c r="R11" s="244"/>
      <c r="S11" s="244"/>
      <c r="T11" s="244"/>
      <c r="U11" s="244"/>
      <c r="V11" s="245"/>
      <c r="W11" s="6"/>
    </row>
    <row r="12" spans="1:23" ht="16.2" thickBot="1">
      <c r="A12" s="242"/>
      <c r="B12" s="252"/>
      <c r="C12" s="252"/>
      <c r="D12" s="252"/>
      <c r="E12" s="252"/>
      <c r="F12" s="252"/>
      <c r="G12" s="252"/>
      <c r="H12" s="252"/>
      <c r="I12" s="252"/>
      <c r="J12" s="252"/>
      <c r="K12" s="252"/>
      <c r="L12" s="252"/>
      <c r="M12" s="244"/>
      <c r="N12" s="244"/>
      <c r="O12" s="244"/>
      <c r="P12" s="244"/>
      <c r="Q12" s="244"/>
      <c r="R12" s="244"/>
      <c r="S12" s="244"/>
      <c r="T12" s="244"/>
      <c r="U12" s="244"/>
      <c r="V12" s="245"/>
      <c r="W12" s="6"/>
    </row>
    <row r="13" spans="1:23" ht="15.6">
      <c r="A13" s="238"/>
      <c r="B13" s="240"/>
      <c r="C13" s="240"/>
      <c r="D13" s="240"/>
      <c r="E13" s="240"/>
      <c r="F13" s="240"/>
      <c r="G13" s="240"/>
      <c r="H13" s="240"/>
      <c r="I13" s="240"/>
      <c r="J13" s="240"/>
      <c r="K13" s="240"/>
      <c r="L13" s="240"/>
      <c r="M13" s="240"/>
      <c r="N13" s="240"/>
      <c r="O13" s="240"/>
      <c r="P13" s="240"/>
      <c r="Q13" s="240"/>
      <c r="R13" s="240"/>
      <c r="S13" s="240"/>
      <c r="T13" s="240"/>
      <c r="U13" s="240"/>
      <c r="V13" s="241"/>
      <c r="W13" s="6"/>
    </row>
    <row r="14" spans="1:23" ht="15.6">
      <c r="A14" s="242"/>
      <c r="B14" s="287" t="s">
        <v>4</v>
      </c>
      <c r="C14" s="253"/>
      <c r="D14" s="253"/>
      <c r="E14" s="253"/>
      <c r="F14" s="253"/>
      <c r="G14" s="253"/>
      <c r="H14" s="253"/>
      <c r="I14" s="253"/>
      <c r="J14" s="253"/>
      <c r="K14" s="253"/>
      <c r="L14" s="253"/>
      <c r="M14" s="288"/>
      <c r="N14" s="288"/>
      <c r="O14" s="288"/>
      <c r="P14" s="288"/>
      <c r="Q14" s="288"/>
      <c r="R14" s="288"/>
      <c r="S14" s="288"/>
      <c r="T14" s="288"/>
      <c r="U14" s="289" t="s">
        <v>126</v>
      </c>
      <c r="V14" s="245"/>
      <c r="W14" s="6"/>
    </row>
    <row r="15" spans="1:23" ht="15.6">
      <c r="A15" s="242"/>
      <c r="B15" s="287" t="s">
        <v>5</v>
      </c>
      <c r="C15" s="253"/>
      <c r="D15" s="253"/>
      <c r="E15" s="253"/>
      <c r="F15" s="253"/>
      <c r="G15" s="253"/>
      <c r="H15" s="253"/>
      <c r="I15" s="253"/>
      <c r="J15" s="253"/>
      <c r="K15" s="253"/>
      <c r="L15" s="253"/>
      <c r="M15" s="290" t="s">
        <v>93</v>
      </c>
      <c r="N15" s="291">
        <v>0.1492</v>
      </c>
      <c r="O15" s="290" t="s">
        <v>99</v>
      </c>
      <c r="P15" s="291">
        <v>5.4399999999999997E-2</v>
      </c>
      <c r="Q15" s="290" t="s">
        <v>102</v>
      </c>
      <c r="R15" s="291">
        <v>0.48899999999999999</v>
      </c>
      <c r="S15" s="290" t="s">
        <v>108</v>
      </c>
      <c r="T15" s="291">
        <v>0.30740000000000001</v>
      </c>
      <c r="U15" s="289"/>
      <c r="V15" s="254"/>
      <c r="W15" s="6"/>
    </row>
    <row r="16" spans="1:23" ht="15.6">
      <c r="A16" s="242"/>
      <c r="B16" s="287" t="s">
        <v>6</v>
      </c>
      <c r="C16" s="253"/>
      <c r="D16" s="253"/>
      <c r="E16" s="253"/>
      <c r="F16" s="253"/>
      <c r="G16" s="253"/>
      <c r="H16" s="253"/>
      <c r="I16" s="253"/>
      <c r="J16" s="253"/>
      <c r="K16" s="253"/>
      <c r="L16" s="253"/>
      <c r="M16" s="290" t="s">
        <v>93</v>
      </c>
      <c r="N16" s="291">
        <f>+N198/S221</f>
        <v>1.3181993445151341E-2</v>
      </c>
      <c r="O16" s="290" t="s">
        <v>99</v>
      </c>
      <c r="P16" s="291">
        <f>+S198/S221</f>
        <v>2.3375747059957586E-3</v>
      </c>
      <c r="Q16" s="290" t="s">
        <v>102</v>
      </c>
      <c r="R16" s="291">
        <f>+N211/S221</f>
        <v>0.97718655613392458</v>
      </c>
      <c r="S16" s="290" t="s">
        <v>108</v>
      </c>
      <c r="T16" s="291">
        <f>+S211/S221</f>
        <v>7.2938757149283466E-3</v>
      </c>
      <c r="U16" s="289"/>
      <c r="V16" s="254"/>
      <c r="W16" s="6"/>
    </row>
    <row r="17" spans="1:23" ht="15.6">
      <c r="A17" s="242"/>
      <c r="B17" s="287" t="s">
        <v>7</v>
      </c>
      <c r="C17" s="253"/>
      <c r="D17" s="253"/>
      <c r="E17" s="253"/>
      <c r="F17" s="253"/>
      <c r="G17" s="253"/>
      <c r="H17" s="253"/>
      <c r="I17" s="253"/>
      <c r="J17" s="253"/>
      <c r="K17" s="253"/>
      <c r="L17" s="253"/>
      <c r="M17" s="288"/>
      <c r="N17" s="288"/>
      <c r="O17" s="288"/>
      <c r="P17" s="288"/>
      <c r="Q17" s="288"/>
      <c r="R17" s="288"/>
      <c r="S17" s="288"/>
      <c r="T17" s="288"/>
      <c r="U17" s="292">
        <v>38491</v>
      </c>
      <c r="V17" s="245"/>
      <c r="W17" s="6"/>
    </row>
    <row r="18" spans="1:23" ht="15.6">
      <c r="A18" s="242"/>
      <c r="B18" s="287" t="s">
        <v>8</v>
      </c>
      <c r="C18" s="253"/>
      <c r="D18" s="253"/>
      <c r="E18" s="253"/>
      <c r="F18" s="253"/>
      <c r="G18" s="253"/>
      <c r="H18" s="253"/>
      <c r="I18" s="253"/>
      <c r="J18" s="253"/>
      <c r="K18" s="253"/>
      <c r="L18" s="253"/>
      <c r="M18" s="288"/>
      <c r="N18" s="288"/>
      <c r="O18" s="288"/>
      <c r="P18" s="288"/>
      <c r="Q18" s="288"/>
      <c r="R18" s="288"/>
      <c r="S18" s="288"/>
      <c r="T18" s="288"/>
      <c r="U18" s="292">
        <v>41661</v>
      </c>
      <c r="V18" s="245"/>
      <c r="W18" s="6"/>
    </row>
    <row r="19" spans="1:23" ht="15.6">
      <c r="A19" s="242"/>
      <c r="B19" s="288"/>
      <c r="C19" s="244"/>
      <c r="D19" s="244"/>
      <c r="E19" s="244"/>
      <c r="F19" s="244"/>
      <c r="G19" s="244"/>
      <c r="H19" s="244"/>
      <c r="I19" s="244"/>
      <c r="J19" s="244"/>
      <c r="K19" s="244"/>
      <c r="L19" s="244"/>
      <c r="M19" s="244"/>
      <c r="N19" s="244"/>
      <c r="O19" s="244"/>
      <c r="P19" s="244"/>
      <c r="Q19" s="244"/>
      <c r="R19" s="244"/>
      <c r="S19" s="244"/>
      <c r="T19" s="244"/>
      <c r="U19" s="255"/>
      <c r="V19" s="245"/>
      <c r="W19" s="6"/>
    </row>
    <row r="20" spans="1:23" ht="15.6">
      <c r="A20" s="242"/>
      <c r="B20" s="293" t="s">
        <v>9</v>
      </c>
      <c r="C20" s="244"/>
      <c r="D20" s="244"/>
      <c r="E20" s="244"/>
      <c r="F20" s="244"/>
      <c r="G20" s="244"/>
      <c r="H20" s="244"/>
      <c r="I20" s="244"/>
      <c r="J20" s="244"/>
      <c r="K20" s="244"/>
      <c r="L20" s="244"/>
      <c r="M20" s="244"/>
      <c r="N20" s="244"/>
      <c r="O20" s="244"/>
      <c r="P20" s="244"/>
      <c r="Q20" s="244"/>
      <c r="R20" s="244"/>
      <c r="S20" s="255"/>
      <c r="T20" s="244"/>
      <c r="U20" s="249"/>
      <c r="V20" s="245"/>
      <c r="W20" s="6"/>
    </row>
    <row r="21" spans="1:23" ht="15.6">
      <c r="A21" s="242"/>
      <c r="B21" s="244"/>
      <c r="C21" s="244"/>
      <c r="D21" s="244"/>
      <c r="E21" s="244"/>
      <c r="F21" s="244"/>
      <c r="G21" s="244"/>
      <c r="H21" s="244"/>
      <c r="I21" s="244"/>
      <c r="J21" s="244"/>
      <c r="K21" s="244"/>
      <c r="L21" s="244"/>
      <c r="M21" s="244"/>
      <c r="N21" s="244"/>
      <c r="O21" s="244"/>
      <c r="P21" s="244"/>
      <c r="Q21" s="244"/>
      <c r="R21" s="244"/>
      <c r="S21" s="244"/>
      <c r="T21" s="244"/>
      <c r="U21" s="256"/>
      <c r="V21" s="245"/>
      <c r="W21" s="6"/>
    </row>
    <row r="22" spans="1:23" ht="15.6">
      <c r="A22" s="230"/>
      <c r="B22" s="231"/>
      <c r="C22" s="232" t="s">
        <v>130</v>
      </c>
      <c r="D22" s="232"/>
      <c r="E22" s="232" t="s">
        <v>131</v>
      </c>
      <c r="F22" s="232"/>
      <c r="G22" s="232" t="s">
        <v>132</v>
      </c>
      <c r="H22" s="232"/>
      <c r="I22" s="232" t="s">
        <v>133</v>
      </c>
      <c r="J22" s="232"/>
      <c r="K22" s="232" t="s">
        <v>134</v>
      </c>
      <c r="L22" s="232"/>
      <c r="M22" s="233" t="s">
        <v>135</v>
      </c>
      <c r="N22" s="233"/>
      <c r="O22" s="233" t="s">
        <v>136</v>
      </c>
      <c r="P22" s="233"/>
      <c r="Q22" s="233" t="s">
        <v>137</v>
      </c>
      <c r="R22" s="233"/>
      <c r="S22" s="235"/>
      <c r="T22" s="236"/>
      <c r="U22" s="236"/>
      <c r="V22" s="237"/>
      <c r="W22" s="6"/>
    </row>
    <row r="23" spans="1:23" ht="15.6">
      <c r="A23" s="257"/>
      <c r="B23" s="294" t="s">
        <v>10</v>
      </c>
      <c r="C23" s="295" t="s">
        <v>96</v>
      </c>
      <c r="D23" s="295"/>
      <c r="E23" s="295" t="s">
        <v>96</v>
      </c>
      <c r="F23" s="295"/>
      <c r="G23" s="295" t="s">
        <v>138</v>
      </c>
      <c r="H23" s="295"/>
      <c r="I23" s="295" t="s">
        <v>138</v>
      </c>
      <c r="J23" s="295"/>
      <c r="K23" s="295" t="s">
        <v>104</v>
      </c>
      <c r="L23" s="296"/>
      <c r="M23" s="297" t="s">
        <v>104</v>
      </c>
      <c r="N23" s="297"/>
      <c r="O23" s="297" t="s">
        <v>109</v>
      </c>
      <c r="P23" s="297"/>
      <c r="Q23" s="297" t="s">
        <v>109</v>
      </c>
      <c r="R23" s="258"/>
      <c r="S23" s="258"/>
      <c r="T23" s="259"/>
      <c r="U23" s="259"/>
      <c r="V23" s="260"/>
      <c r="W23" s="6"/>
    </row>
    <row r="24" spans="1:23" ht="15.6">
      <c r="A24" s="378"/>
      <c r="B24" s="379" t="s">
        <v>11</v>
      </c>
      <c r="C24" s="380" t="s">
        <v>97</v>
      </c>
      <c r="D24" s="380"/>
      <c r="E24" s="380" t="s">
        <v>97</v>
      </c>
      <c r="F24" s="380"/>
      <c r="G24" s="380" t="s">
        <v>139</v>
      </c>
      <c r="H24" s="380"/>
      <c r="I24" s="380" t="s">
        <v>139</v>
      </c>
      <c r="J24" s="380"/>
      <c r="K24" s="380" t="s">
        <v>105</v>
      </c>
      <c r="L24" s="381"/>
      <c r="M24" s="382" t="s">
        <v>105</v>
      </c>
      <c r="N24" s="382"/>
      <c r="O24" s="382" t="s">
        <v>110</v>
      </c>
      <c r="P24" s="382"/>
      <c r="Q24" s="382" t="s">
        <v>110</v>
      </c>
      <c r="R24" s="383"/>
      <c r="S24" s="383"/>
      <c r="T24" s="384"/>
      <c r="U24" s="384"/>
      <c r="V24" s="385"/>
      <c r="W24" s="6"/>
    </row>
    <row r="25" spans="1:23" ht="15.6">
      <c r="A25" s="378"/>
      <c r="B25" s="386" t="s">
        <v>12</v>
      </c>
      <c r="C25" s="381" t="s">
        <v>284</v>
      </c>
      <c r="D25" s="381"/>
      <c r="E25" s="381" t="s">
        <v>284</v>
      </c>
      <c r="F25" s="381"/>
      <c r="G25" s="381" t="s">
        <v>284</v>
      </c>
      <c r="H25" s="381"/>
      <c r="I25" s="381" t="s">
        <v>284</v>
      </c>
      <c r="J25" s="386"/>
      <c r="K25" s="381" t="s">
        <v>138</v>
      </c>
      <c r="L25" s="386"/>
      <c r="M25" s="387" t="s">
        <v>138</v>
      </c>
      <c r="N25" s="382"/>
      <c r="O25" s="387" t="s">
        <v>288</v>
      </c>
      <c r="P25" s="382"/>
      <c r="Q25" s="387" t="s">
        <v>288</v>
      </c>
      <c r="R25" s="388"/>
      <c r="S25" s="388"/>
      <c r="T25" s="389"/>
      <c r="U25" s="384"/>
      <c r="V25" s="385"/>
      <c r="W25" s="6"/>
    </row>
    <row r="26" spans="1:23" ht="15.6">
      <c r="A26" s="378"/>
      <c r="B26" s="386" t="s">
        <v>13</v>
      </c>
      <c r="C26" s="381" t="s">
        <v>139</v>
      </c>
      <c r="D26" s="381"/>
      <c r="E26" s="381" t="s">
        <v>139</v>
      </c>
      <c r="F26" s="381"/>
      <c r="G26" s="381" t="s">
        <v>139</v>
      </c>
      <c r="H26" s="381"/>
      <c r="I26" s="381" t="s">
        <v>139</v>
      </c>
      <c r="J26" s="386"/>
      <c r="K26" s="381" t="s">
        <v>280</v>
      </c>
      <c r="L26" s="386"/>
      <c r="M26" s="387" t="s">
        <v>280</v>
      </c>
      <c r="N26" s="382"/>
      <c r="O26" s="387" t="s">
        <v>110</v>
      </c>
      <c r="P26" s="382"/>
      <c r="Q26" s="387" t="s">
        <v>110</v>
      </c>
      <c r="R26" s="388"/>
      <c r="S26" s="388"/>
      <c r="T26" s="389"/>
      <c r="U26" s="384"/>
      <c r="V26" s="385"/>
      <c r="W26" s="6"/>
    </row>
    <row r="27" spans="1:23" ht="15.6">
      <c r="A27" s="378"/>
      <c r="B27" s="379" t="s">
        <v>14</v>
      </c>
      <c r="C27" s="380" t="s">
        <v>140</v>
      </c>
      <c r="D27" s="379"/>
      <c r="E27" s="380" t="s">
        <v>141</v>
      </c>
      <c r="F27" s="379"/>
      <c r="G27" s="380" t="s">
        <v>142</v>
      </c>
      <c r="H27" s="379"/>
      <c r="I27" s="380" t="s">
        <v>258</v>
      </c>
      <c r="J27" s="379"/>
      <c r="K27" s="380" t="s">
        <v>143</v>
      </c>
      <c r="L27" s="379"/>
      <c r="M27" s="379" t="s">
        <v>144</v>
      </c>
      <c r="N27" s="382"/>
      <c r="O27" s="379" t="s">
        <v>145</v>
      </c>
      <c r="P27" s="382"/>
      <c r="Q27" s="379" t="s">
        <v>146</v>
      </c>
      <c r="R27" s="383"/>
      <c r="S27" s="390"/>
      <c r="T27" s="384"/>
      <c r="U27" s="384"/>
      <c r="V27" s="385"/>
      <c r="W27" s="6"/>
    </row>
    <row r="28" spans="1:23" ht="15.6">
      <c r="A28" s="378"/>
      <c r="B28" s="379" t="s">
        <v>147</v>
      </c>
      <c r="C28" s="391">
        <v>146000</v>
      </c>
      <c r="D28" s="380"/>
      <c r="E28" s="392">
        <v>259500</v>
      </c>
      <c r="F28" s="380"/>
      <c r="G28" s="391">
        <v>16000</v>
      </c>
      <c r="H28" s="380"/>
      <c r="I28" s="392">
        <v>35500</v>
      </c>
      <c r="J28" s="379"/>
      <c r="K28" s="391">
        <v>18000</v>
      </c>
      <c r="L28" s="379"/>
      <c r="M28" s="392">
        <v>33000</v>
      </c>
      <c r="N28" s="393"/>
      <c r="O28" s="394">
        <v>24500</v>
      </c>
      <c r="P28" s="394"/>
      <c r="Q28" s="392">
        <v>30000</v>
      </c>
      <c r="R28" s="395"/>
      <c r="S28" s="395"/>
      <c r="T28" s="396"/>
      <c r="U28" s="395"/>
      <c r="V28" s="397"/>
      <c r="W28" s="6"/>
    </row>
    <row r="29" spans="1:23" ht="15.6">
      <c r="A29" s="378"/>
      <c r="B29" s="379" t="s">
        <v>15</v>
      </c>
      <c r="C29" s="391">
        <f>C28*C35</f>
        <v>25857.6512</v>
      </c>
      <c r="D29" s="398"/>
      <c r="E29" s="392">
        <f>E28*E35</f>
        <v>45959.318399999996</v>
      </c>
      <c r="F29" s="398"/>
      <c r="G29" s="391">
        <f>G28*G35</f>
        <v>9283.0335999999988</v>
      </c>
      <c r="H29" s="398"/>
      <c r="I29" s="392">
        <f>I28*I35</f>
        <v>20596.730799999998</v>
      </c>
      <c r="J29" s="399"/>
      <c r="K29" s="391">
        <f>K28*K35</f>
        <v>10443.4128</v>
      </c>
      <c r="L29" s="399"/>
      <c r="M29" s="392">
        <f>M28*M35</f>
        <v>19146.256799999999</v>
      </c>
      <c r="N29" s="393"/>
      <c r="O29" s="391">
        <f>O28*O35</f>
        <v>14214.645199999999</v>
      </c>
      <c r="P29" s="394"/>
      <c r="Q29" s="392">
        <f>Q28*Q35</f>
        <v>17405.687999999998</v>
      </c>
      <c r="R29" s="400"/>
      <c r="S29" s="395"/>
      <c r="T29" s="396"/>
      <c r="U29" s="395"/>
      <c r="V29" s="397"/>
      <c r="W29" s="6"/>
    </row>
    <row r="30" spans="1:23" ht="15.6">
      <c r="A30" s="401"/>
      <c r="B30" s="386" t="s">
        <v>148</v>
      </c>
      <c r="C30" s="415">
        <f>C34*C28</f>
        <v>24668.89</v>
      </c>
      <c r="D30" s="505"/>
      <c r="E30" s="406">
        <f>E34*E28</f>
        <v>43846.417500000003</v>
      </c>
      <c r="F30" s="505"/>
      <c r="G30" s="415">
        <f>G34*G28</f>
        <v>8856.3232000000007</v>
      </c>
      <c r="H30" s="505"/>
      <c r="I30" s="406">
        <f>I34*I28</f>
        <v>19649.967100000002</v>
      </c>
      <c r="J30" s="506"/>
      <c r="K30" s="415">
        <f>K34*K28</f>
        <v>9963.3636000000006</v>
      </c>
      <c r="L30" s="399"/>
      <c r="M30" s="406">
        <f>M34*M28</f>
        <v>18266.1666</v>
      </c>
      <c r="N30" s="407"/>
      <c r="O30" s="415">
        <f>O34*O28</f>
        <v>13561.2449</v>
      </c>
      <c r="P30" s="408"/>
      <c r="Q30" s="406">
        <f>Q34*Q28</f>
        <v>16605.606</v>
      </c>
      <c r="R30" s="408"/>
      <c r="S30" s="408"/>
      <c r="T30" s="409"/>
      <c r="U30" s="408"/>
      <c r="V30" s="410"/>
      <c r="W30" s="6"/>
    </row>
    <row r="31" spans="1:23" ht="15.6">
      <c r="A31" s="401"/>
      <c r="B31" s="379" t="s">
        <v>260</v>
      </c>
      <c r="C31" s="391">
        <v>146000</v>
      </c>
      <c r="D31" s="398"/>
      <c r="E31" s="391">
        <v>178000</v>
      </c>
      <c r="F31" s="391"/>
      <c r="G31" s="391">
        <v>16000</v>
      </c>
      <c r="H31" s="391"/>
      <c r="I31" s="391">
        <v>24500</v>
      </c>
      <c r="J31" s="412"/>
      <c r="K31" s="391">
        <v>18000</v>
      </c>
      <c r="L31" s="412"/>
      <c r="M31" s="391">
        <v>22500</v>
      </c>
      <c r="N31" s="414"/>
      <c r="O31" s="391">
        <v>24500</v>
      </c>
      <c r="P31" s="415"/>
      <c r="Q31" s="391">
        <v>20500</v>
      </c>
      <c r="R31" s="408"/>
      <c r="S31" s="408"/>
      <c r="T31" s="409"/>
      <c r="U31" s="394">
        <f>+Q31+O31+M31+K31+I31+G31+E31+C31</f>
        <v>450000</v>
      </c>
      <c r="V31" s="410"/>
      <c r="W31" s="6"/>
    </row>
    <row r="32" spans="1:23" ht="15.6">
      <c r="A32" s="401"/>
      <c r="B32" s="379" t="s">
        <v>261</v>
      </c>
      <c r="C32" s="391">
        <f>C28*C35</f>
        <v>25857.6512</v>
      </c>
      <c r="D32" s="398"/>
      <c r="E32" s="391">
        <f>E31*E35</f>
        <v>31525.081599999998</v>
      </c>
      <c r="F32" s="391"/>
      <c r="G32" s="391">
        <f>G28*G35</f>
        <v>9283.0335999999988</v>
      </c>
      <c r="H32" s="391"/>
      <c r="I32" s="391">
        <f>I31*I35</f>
        <v>14214.645199999999</v>
      </c>
      <c r="J32" s="412"/>
      <c r="K32" s="391">
        <f>K28*K35</f>
        <v>10443.4128</v>
      </c>
      <c r="L32" s="412"/>
      <c r="M32" s="391">
        <f>M31*M35</f>
        <v>13054.266</v>
      </c>
      <c r="N32" s="414"/>
      <c r="O32" s="391">
        <f>O28*O35</f>
        <v>14214.645199999999</v>
      </c>
      <c r="P32" s="415"/>
      <c r="Q32" s="391">
        <f>Q31*Q35</f>
        <v>11893.8868</v>
      </c>
      <c r="R32" s="391"/>
      <c r="S32" s="408"/>
      <c r="T32" s="409"/>
      <c r="U32" s="394">
        <f>+Q32+O32+M32+K32+I32+G32+E32+C32</f>
        <v>130486.62239999999</v>
      </c>
      <c r="V32" s="410"/>
      <c r="W32" s="6"/>
    </row>
    <row r="33" spans="1:23" ht="15.6">
      <c r="A33" s="401"/>
      <c r="B33" s="386" t="s">
        <v>262</v>
      </c>
      <c r="C33" s="415">
        <f>C34*C28</f>
        <v>24668.89</v>
      </c>
      <c r="D33" s="415"/>
      <c r="E33" s="415">
        <f>E34*E31</f>
        <v>30075.77</v>
      </c>
      <c r="F33" s="415"/>
      <c r="G33" s="415">
        <f>G34*G28</f>
        <v>8856.3232000000007</v>
      </c>
      <c r="H33" s="415"/>
      <c r="I33" s="415">
        <f>I34*I31</f>
        <v>13561.2449</v>
      </c>
      <c r="J33" s="414"/>
      <c r="K33" s="415">
        <f>K34*K28</f>
        <v>9963.3636000000006</v>
      </c>
      <c r="L33" s="414"/>
      <c r="M33" s="415">
        <f>M34*M31</f>
        <v>12454.2045</v>
      </c>
      <c r="N33" s="414"/>
      <c r="O33" s="415">
        <f>O34*O28</f>
        <v>13561.2449</v>
      </c>
      <c r="P33" s="415"/>
      <c r="Q33" s="415">
        <f>Q34*Q31</f>
        <v>11347.1641</v>
      </c>
      <c r="R33" s="408"/>
      <c r="S33" s="408"/>
      <c r="T33" s="409"/>
      <c r="U33" s="408">
        <f>+Q33+O33+M33+K33+I33+G33+E33+C33</f>
        <v>124488.20520000001</v>
      </c>
      <c r="V33" s="410"/>
      <c r="W33" s="6"/>
    </row>
    <row r="34" spans="1:23" ht="15.6">
      <c r="A34" s="401"/>
      <c r="B34" s="468" t="s">
        <v>149</v>
      </c>
      <c r="C34" s="507">
        <v>0.168965</v>
      </c>
      <c r="D34" s="507"/>
      <c r="E34" s="507">
        <v>0.168965</v>
      </c>
      <c r="F34" s="507"/>
      <c r="G34" s="507">
        <v>0.55352020000000002</v>
      </c>
      <c r="H34" s="507"/>
      <c r="I34" s="507">
        <v>0.55352020000000002</v>
      </c>
      <c r="J34" s="507"/>
      <c r="K34" s="507">
        <v>0.55352020000000002</v>
      </c>
      <c r="L34" s="507"/>
      <c r="M34" s="507">
        <v>0.55352020000000002</v>
      </c>
      <c r="N34" s="507"/>
      <c r="O34" s="507">
        <v>0.55352020000000002</v>
      </c>
      <c r="P34" s="507"/>
      <c r="Q34" s="507">
        <v>0.55352020000000002</v>
      </c>
      <c r="R34" s="508"/>
      <c r="S34" s="420"/>
      <c r="T34" s="421"/>
      <c r="U34" s="420"/>
      <c r="V34" s="385"/>
      <c r="W34" s="6"/>
    </row>
    <row r="35" spans="1:23" ht="15.6">
      <c r="A35" s="401"/>
      <c r="B35" s="468" t="s">
        <v>150</v>
      </c>
      <c r="C35" s="507">
        <v>0.17710719999999999</v>
      </c>
      <c r="D35" s="507"/>
      <c r="E35" s="507">
        <v>0.17710719999999999</v>
      </c>
      <c r="F35" s="507"/>
      <c r="G35" s="507">
        <v>0.58018959999999997</v>
      </c>
      <c r="H35" s="507"/>
      <c r="I35" s="507">
        <v>0.58018959999999997</v>
      </c>
      <c r="J35" s="507"/>
      <c r="K35" s="507">
        <v>0.58018959999999997</v>
      </c>
      <c r="L35" s="507"/>
      <c r="M35" s="507">
        <v>0.58018959999999997</v>
      </c>
      <c r="N35" s="507"/>
      <c r="O35" s="507">
        <v>0.58018959999999997</v>
      </c>
      <c r="P35" s="507"/>
      <c r="Q35" s="507">
        <v>0.58018959999999997</v>
      </c>
      <c r="R35" s="508"/>
      <c r="S35" s="420"/>
      <c r="T35" s="421"/>
      <c r="U35" s="420"/>
      <c r="V35" s="385"/>
      <c r="W35" s="6"/>
    </row>
    <row r="36" spans="1:23" ht="15.6">
      <c r="A36" s="378"/>
      <c r="B36" s="379" t="s">
        <v>153</v>
      </c>
      <c r="C36" s="380" t="s">
        <v>163</v>
      </c>
      <c r="D36" s="380"/>
      <c r="E36" s="380" t="s">
        <v>163</v>
      </c>
      <c r="F36" s="380"/>
      <c r="G36" s="380" t="s">
        <v>164</v>
      </c>
      <c r="H36" s="380"/>
      <c r="I36" s="380" t="s">
        <v>164</v>
      </c>
      <c r="J36" s="380"/>
      <c r="K36" s="380" t="s">
        <v>106</v>
      </c>
      <c r="L36" s="380"/>
      <c r="M36" s="380" t="s">
        <v>165</v>
      </c>
      <c r="N36" s="380"/>
      <c r="O36" s="380" t="s">
        <v>166</v>
      </c>
      <c r="P36" s="380"/>
      <c r="Q36" s="380" t="s">
        <v>167</v>
      </c>
      <c r="R36" s="380"/>
      <c r="S36" s="380"/>
      <c r="T36" s="379"/>
      <c r="U36" s="424"/>
      <c r="V36" s="410"/>
      <c r="W36" s="6"/>
    </row>
    <row r="37" spans="1:23" ht="15.6">
      <c r="A37" s="378"/>
      <c r="B37" s="379" t="s">
        <v>151</v>
      </c>
      <c r="C37" s="509">
        <v>9.5949999999999994E-3</v>
      </c>
      <c r="D37" s="509"/>
      <c r="E37" s="509">
        <v>6.6699999999999997E-3</v>
      </c>
      <c r="F37" s="509"/>
      <c r="G37" s="509">
        <v>1.1795E-2</v>
      </c>
      <c r="H37" s="509"/>
      <c r="I37" s="509">
        <v>8.8699999999999994E-3</v>
      </c>
      <c r="J37" s="509"/>
      <c r="K37" s="509">
        <v>1.7194999999999998E-2</v>
      </c>
      <c r="L37" s="509"/>
      <c r="M37" s="509">
        <v>1.367E-2</v>
      </c>
      <c r="N37" s="509"/>
      <c r="O37" s="509">
        <v>2.4195000000000001E-2</v>
      </c>
      <c r="P37" s="509"/>
      <c r="Q37" s="509">
        <v>2.027E-2</v>
      </c>
      <c r="R37" s="427"/>
      <c r="S37" s="509"/>
      <c r="T37" s="379"/>
      <c r="U37" s="380"/>
      <c r="V37" s="410"/>
      <c r="W37" s="6"/>
    </row>
    <row r="38" spans="1:23" ht="15.6">
      <c r="A38" s="378"/>
      <c r="B38" s="379" t="s">
        <v>152</v>
      </c>
      <c r="C38" s="509">
        <v>9.4938000000000002E-3</v>
      </c>
      <c r="D38" s="509"/>
      <c r="E38" s="509">
        <v>6.5799999999999999E-3</v>
      </c>
      <c r="F38" s="509"/>
      <c r="G38" s="509">
        <v>1.1693800000000001E-2</v>
      </c>
      <c r="H38" s="509"/>
      <c r="I38" s="509">
        <v>8.7799999999999996E-3</v>
      </c>
      <c r="J38" s="509"/>
      <c r="K38" s="509">
        <v>1.7093799999999999E-2</v>
      </c>
      <c r="L38" s="509"/>
      <c r="M38" s="509">
        <v>1.358E-2</v>
      </c>
      <c r="N38" s="509"/>
      <c r="O38" s="509">
        <v>2.4093799999999999E-2</v>
      </c>
      <c r="P38" s="509"/>
      <c r="Q38" s="509">
        <v>2.018E-2</v>
      </c>
      <c r="R38" s="427"/>
      <c r="S38" s="509"/>
      <c r="T38" s="379"/>
      <c r="U38" s="424"/>
      <c r="V38" s="410"/>
      <c r="W38" s="6"/>
    </row>
    <row r="39" spans="1:23" ht="15.6">
      <c r="A39" s="378"/>
      <c r="B39" s="379" t="s">
        <v>263</v>
      </c>
      <c r="C39" s="380" t="s">
        <v>163</v>
      </c>
      <c r="D39" s="379"/>
      <c r="E39" s="380" t="s">
        <v>228</v>
      </c>
      <c r="F39" s="379"/>
      <c r="G39" s="380" t="s">
        <v>164</v>
      </c>
      <c r="H39" s="379"/>
      <c r="I39" s="380" t="s">
        <v>226</v>
      </c>
      <c r="J39" s="379"/>
      <c r="K39" s="380" t="s">
        <v>106</v>
      </c>
      <c r="L39" s="379"/>
      <c r="M39" s="380" t="s">
        <v>227</v>
      </c>
      <c r="N39" s="379"/>
      <c r="O39" s="380" t="s">
        <v>166</v>
      </c>
      <c r="P39" s="380"/>
      <c r="Q39" s="380" t="s">
        <v>229</v>
      </c>
      <c r="R39" s="427"/>
      <c r="S39" s="509"/>
      <c r="T39" s="379"/>
      <c r="U39" s="424"/>
      <c r="V39" s="410"/>
      <c r="W39" s="6"/>
    </row>
    <row r="40" spans="1:23" ht="15.6">
      <c r="A40" s="378"/>
      <c r="B40" s="379" t="s">
        <v>264</v>
      </c>
      <c r="C40" s="509">
        <f>+C37</f>
        <v>9.5949999999999994E-3</v>
      </c>
      <c r="D40" s="509"/>
      <c r="E40" s="509">
        <v>1.0170999999999999E-2</v>
      </c>
      <c r="F40" s="509"/>
      <c r="G40" s="509">
        <f>+G37</f>
        <v>1.1795E-2</v>
      </c>
      <c r="H40" s="509"/>
      <c r="I40" s="509">
        <v>1.2527999999999999E-2</v>
      </c>
      <c r="J40" s="509"/>
      <c r="K40" s="509">
        <f>+K37</f>
        <v>1.7194999999999998E-2</v>
      </c>
      <c r="L40" s="510"/>
      <c r="M40" s="509">
        <v>1.7755400000000001E-2</v>
      </c>
      <c r="N40" s="510"/>
      <c r="O40" s="509">
        <f>+O37</f>
        <v>2.4195000000000001E-2</v>
      </c>
      <c r="P40" s="509"/>
      <c r="Q40" s="509">
        <v>2.5021399999999999E-2</v>
      </c>
      <c r="R40" s="427"/>
      <c r="S40" s="509"/>
      <c r="T40" s="379"/>
      <c r="U40" s="427">
        <f>SUMPRODUCT(C40:Q40,C32:Q32)/U32</f>
        <v>1.4631411457387222E-2</v>
      </c>
      <c r="V40" s="410"/>
      <c r="W40" s="6"/>
    </row>
    <row r="41" spans="1:23" ht="15.6">
      <c r="A41" s="378"/>
      <c r="B41" s="379" t="s">
        <v>265</v>
      </c>
      <c r="C41" s="509">
        <f>+C38</f>
        <v>9.4938000000000002E-3</v>
      </c>
      <c r="D41" s="509"/>
      <c r="E41" s="509">
        <v>1.00698E-2</v>
      </c>
      <c r="F41" s="509"/>
      <c r="G41" s="509">
        <f>+G38</f>
        <v>1.1693800000000001E-2</v>
      </c>
      <c r="H41" s="509"/>
      <c r="I41" s="509">
        <v>1.24268E-2</v>
      </c>
      <c r="J41" s="509"/>
      <c r="K41" s="509">
        <f>+K38</f>
        <v>1.7093799999999999E-2</v>
      </c>
      <c r="L41" s="510"/>
      <c r="M41" s="509">
        <v>1.7654199999999998E-2</v>
      </c>
      <c r="N41" s="510"/>
      <c r="O41" s="509">
        <f>+O38</f>
        <v>2.4093799999999999E-2</v>
      </c>
      <c r="P41" s="509"/>
      <c r="Q41" s="509">
        <v>2.49202E-2</v>
      </c>
      <c r="R41" s="427"/>
      <c r="S41" s="509"/>
      <c r="T41" s="379"/>
      <c r="U41" s="424"/>
      <c r="V41" s="410"/>
      <c r="W41" s="6"/>
    </row>
    <row r="42" spans="1:23" ht="15.6">
      <c r="A42" s="378"/>
      <c r="B42" s="379" t="s">
        <v>17</v>
      </c>
      <c r="C42" s="429">
        <v>39918</v>
      </c>
      <c r="D42" s="429"/>
      <c r="E42" s="429">
        <v>39918</v>
      </c>
      <c r="F42" s="429"/>
      <c r="G42" s="429">
        <v>39918</v>
      </c>
      <c r="H42" s="429"/>
      <c r="I42" s="429">
        <v>39918</v>
      </c>
      <c r="J42" s="429"/>
      <c r="K42" s="429">
        <v>39918</v>
      </c>
      <c r="L42" s="429"/>
      <c r="M42" s="429">
        <v>39918</v>
      </c>
      <c r="N42" s="429"/>
      <c r="O42" s="429">
        <v>39918</v>
      </c>
      <c r="P42" s="429"/>
      <c r="Q42" s="429">
        <v>39918</v>
      </c>
      <c r="R42" s="380"/>
      <c r="S42" s="380"/>
      <c r="T42" s="379"/>
      <c r="U42" s="424"/>
      <c r="V42" s="410"/>
      <c r="W42" s="6"/>
    </row>
    <row r="43" spans="1:23" ht="15.6">
      <c r="A43" s="378"/>
      <c r="B43" s="379" t="s">
        <v>18</v>
      </c>
      <c r="C43" s="429">
        <v>40283</v>
      </c>
      <c r="D43" s="430"/>
      <c r="E43" s="429">
        <v>40283</v>
      </c>
      <c r="F43" s="430"/>
      <c r="G43" s="429">
        <v>40283</v>
      </c>
      <c r="H43" s="430"/>
      <c r="I43" s="429">
        <v>40283</v>
      </c>
      <c r="J43" s="430"/>
      <c r="K43" s="429">
        <v>40283</v>
      </c>
      <c r="L43" s="430"/>
      <c r="M43" s="429">
        <v>40283</v>
      </c>
      <c r="N43" s="430"/>
      <c r="O43" s="429">
        <v>40283</v>
      </c>
      <c r="P43" s="429"/>
      <c r="Q43" s="429">
        <v>40283</v>
      </c>
      <c r="R43" s="380"/>
      <c r="S43" s="380"/>
      <c r="T43" s="424"/>
      <c r="U43" s="424"/>
      <c r="V43" s="410"/>
      <c r="W43" s="6"/>
    </row>
    <row r="44" spans="1:23" ht="15.6">
      <c r="A44" s="378"/>
      <c r="B44" s="379" t="s">
        <v>154</v>
      </c>
      <c r="C44" s="380" t="s">
        <v>163</v>
      </c>
      <c r="D44" s="380"/>
      <c r="E44" s="380" t="s">
        <v>163</v>
      </c>
      <c r="F44" s="380"/>
      <c r="G44" s="380" t="s">
        <v>164</v>
      </c>
      <c r="H44" s="380"/>
      <c r="I44" s="380" t="s">
        <v>164</v>
      </c>
      <c r="J44" s="380"/>
      <c r="K44" s="380" t="s">
        <v>106</v>
      </c>
      <c r="L44" s="380"/>
      <c r="M44" s="380" t="s">
        <v>165</v>
      </c>
      <c r="N44" s="380"/>
      <c r="O44" s="380" t="s">
        <v>166</v>
      </c>
      <c r="P44" s="380"/>
      <c r="Q44" s="380" t="s">
        <v>167</v>
      </c>
      <c r="R44" s="380"/>
      <c r="S44" s="380"/>
      <c r="T44" s="424"/>
      <c r="U44" s="424"/>
      <c r="V44" s="410"/>
      <c r="W44" s="6"/>
    </row>
    <row r="45" spans="1:23" ht="15.6">
      <c r="A45" s="378"/>
      <c r="B45" s="379" t="s">
        <v>266</v>
      </c>
      <c r="C45" s="380" t="s">
        <v>163</v>
      </c>
      <c r="D45" s="379"/>
      <c r="E45" s="380" t="s">
        <v>228</v>
      </c>
      <c r="F45" s="379"/>
      <c r="G45" s="380" t="s">
        <v>164</v>
      </c>
      <c r="H45" s="379"/>
      <c r="I45" s="380" t="s">
        <v>226</v>
      </c>
      <c r="J45" s="379"/>
      <c r="K45" s="380" t="s">
        <v>106</v>
      </c>
      <c r="L45" s="379"/>
      <c r="M45" s="380" t="s">
        <v>227</v>
      </c>
      <c r="N45" s="379"/>
      <c r="O45" s="380" t="s">
        <v>166</v>
      </c>
      <c r="P45" s="380"/>
      <c r="Q45" s="380" t="s">
        <v>229</v>
      </c>
      <c r="R45" s="380"/>
      <c r="S45" s="380"/>
      <c r="T45" s="424"/>
      <c r="U45" s="424"/>
      <c r="V45" s="410"/>
      <c r="W45" s="6"/>
    </row>
    <row r="46" spans="1:23" ht="15.6">
      <c r="A46" s="378"/>
      <c r="B46" s="379"/>
      <c r="C46" s="379"/>
      <c r="D46" s="379"/>
      <c r="E46" s="379"/>
      <c r="F46" s="379"/>
      <c r="G46" s="379"/>
      <c r="H46" s="379"/>
      <c r="I46" s="379"/>
      <c r="J46" s="379"/>
      <c r="K46" s="379"/>
      <c r="L46" s="379"/>
      <c r="M46" s="431"/>
      <c r="N46" s="431"/>
      <c r="O46" s="379"/>
      <c r="P46" s="431"/>
      <c r="Q46" s="431"/>
      <c r="R46" s="431"/>
      <c r="S46" s="431"/>
      <c r="T46" s="431"/>
      <c r="U46" s="431"/>
      <c r="V46" s="410"/>
      <c r="W46" s="6"/>
    </row>
    <row r="47" spans="1:23" ht="15.6">
      <c r="A47" s="378"/>
      <c r="B47" s="379" t="s">
        <v>201</v>
      </c>
      <c r="C47" s="379"/>
      <c r="D47" s="379"/>
      <c r="E47" s="379"/>
      <c r="F47" s="379"/>
      <c r="G47" s="379"/>
      <c r="H47" s="379"/>
      <c r="I47" s="379"/>
      <c r="J47" s="379"/>
      <c r="K47" s="379"/>
      <c r="L47" s="379"/>
      <c r="M47" s="379"/>
      <c r="N47" s="379"/>
      <c r="O47" s="379"/>
      <c r="P47" s="379"/>
      <c r="Q47" s="379"/>
      <c r="R47" s="379"/>
      <c r="S47" s="379"/>
      <c r="T47" s="379"/>
      <c r="U47" s="427">
        <f>SUM(G31:Q31)/(C31+E31)</f>
        <v>0.3888888888888889</v>
      </c>
      <c r="V47" s="410"/>
      <c r="W47" s="6"/>
    </row>
    <row r="48" spans="1:23" ht="15.6">
      <c r="A48" s="378"/>
      <c r="B48" s="379" t="s">
        <v>202</v>
      </c>
      <c r="C48" s="379"/>
      <c r="D48" s="379"/>
      <c r="E48" s="379"/>
      <c r="F48" s="379"/>
      <c r="G48" s="379"/>
      <c r="H48" s="379"/>
      <c r="I48" s="379"/>
      <c r="J48" s="379"/>
      <c r="K48" s="379"/>
      <c r="L48" s="379"/>
      <c r="M48" s="379"/>
      <c r="N48" s="379"/>
      <c r="O48" s="379"/>
      <c r="P48" s="379"/>
      <c r="Q48" s="379"/>
      <c r="R48" s="379"/>
      <c r="S48" s="379"/>
      <c r="T48" s="379"/>
      <c r="U48" s="427">
        <f>SUM(F33:Q33)/(C33+E33)</f>
        <v>1.2739789634276657</v>
      </c>
      <c r="V48" s="410"/>
      <c r="W48" s="6"/>
    </row>
    <row r="49" spans="1:23" ht="15.6">
      <c r="A49" s="378"/>
      <c r="B49" s="379" t="s">
        <v>203</v>
      </c>
      <c r="C49" s="379"/>
      <c r="D49" s="379"/>
      <c r="E49" s="379"/>
      <c r="F49" s="379"/>
      <c r="G49" s="379"/>
      <c r="H49" s="379"/>
      <c r="I49" s="379"/>
      <c r="J49" s="379"/>
      <c r="K49" s="379"/>
      <c r="L49" s="379"/>
      <c r="M49" s="379"/>
      <c r="N49" s="379"/>
      <c r="O49" s="379"/>
      <c r="P49" s="379"/>
      <c r="Q49" s="379"/>
      <c r="R49" s="379"/>
      <c r="S49" s="380" t="s">
        <v>95</v>
      </c>
      <c r="T49" s="380" t="s">
        <v>117</v>
      </c>
      <c r="U49" s="394">
        <v>99000</v>
      </c>
      <c r="V49" s="410"/>
      <c r="W49" s="6"/>
    </row>
    <row r="50" spans="1:23" ht="15.6">
      <c r="A50" s="378"/>
      <c r="B50" s="379"/>
      <c r="C50" s="379"/>
      <c r="D50" s="379"/>
      <c r="E50" s="379"/>
      <c r="F50" s="379"/>
      <c r="G50" s="379"/>
      <c r="H50" s="379"/>
      <c r="I50" s="379"/>
      <c r="J50" s="379"/>
      <c r="K50" s="379"/>
      <c r="L50" s="379"/>
      <c r="M50" s="379"/>
      <c r="N50" s="379"/>
      <c r="O50" s="379"/>
      <c r="P50" s="379"/>
      <c r="Q50" s="379"/>
      <c r="R50" s="379"/>
      <c r="S50" s="379" t="s">
        <v>213</v>
      </c>
      <c r="T50" s="379"/>
      <c r="U50" s="432"/>
      <c r="V50" s="410"/>
      <c r="W50" s="6"/>
    </row>
    <row r="51" spans="1:23" ht="15.6">
      <c r="A51" s="378"/>
      <c r="B51" s="379" t="s">
        <v>19</v>
      </c>
      <c r="C51" s="379"/>
      <c r="D51" s="379"/>
      <c r="E51" s="379"/>
      <c r="F51" s="379"/>
      <c r="G51" s="379"/>
      <c r="H51" s="379"/>
      <c r="I51" s="379"/>
      <c r="J51" s="379"/>
      <c r="K51" s="379"/>
      <c r="L51" s="379"/>
      <c r="M51" s="379"/>
      <c r="N51" s="379"/>
      <c r="O51" s="379"/>
      <c r="P51" s="379"/>
      <c r="Q51" s="379"/>
      <c r="R51" s="379"/>
      <c r="S51" s="380"/>
      <c r="T51" s="380"/>
      <c r="U51" s="380" t="s">
        <v>118</v>
      </c>
      <c r="V51" s="410"/>
      <c r="W51" s="6"/>
    </row>
    <row r="52" spans="1:23" ht="15.6">
      <c r="A52" s="401"/>
      <c r="B52" s="386" t="s">
        <v>20</v>
      </c>
      <c r="C52" s="386"/>
      <c r="D52" s="386"/>
      <c r="E52" s="386"/>
      <c r="F52" s="386"/>
      <c r="G52" s="386"/>
      <c r="H52" s="386"/>
      <c r="I52" s="386"/>
      <c r="J52" s="386"/>
      <c r="K52" s="386"/>
      <c r="L52" s="386"/>
      <c r="M52" s="386"/>
      <c r="N52" s="386"/>
      <c r="O52" s="386"/>
      <c r="P52" s="386"/>
      <c r="Q52" s="386"/>
      <c r="R52" s="386"/>
      <c r="S52" s="433"/>
      <c r="T52" s="433"/>
      <c r="U52" s="434">
        <v>41654</v>
      </c>
      <c r="V52" s="435"/>
      <c r="W52" s="6"/>
    </row>
    <row r="53" spans="1:23" ht="15.6">
      <c r="A53" s="378"/>
      <c r="B53" s="379" t="s">
        <v>155</v>
      </c>
      <c r="C53" s="379"/>
      <c r="D53" s="379"/>
      <c r="E53" s="379"/>
      <c r="F53" s="379"/>
      <c r="G53" s="379"/>
      <c r="H53" s="379"/>
      <c r="I53" s="379"/>
      <c r="J53" s="379"/>
      <c r="K53" s="379"/>
      <c r="L53" s="379"/>
      <c r="M53" s="379"/>
      <c r="N53" s="379"/>
      <c r="O53" s="379"/>
      <c r="P53" s="379"/>
      <c r="Q53" s="424"/>
      <c r="R53" s="379">
        <f>U53-S53+1</f>
        <v>92</v>
      </c>
      <c r="S53" s="436">
        <v>41470</v>
      </c>
      <c r="T53" s="429"/>
      <c r="U53" s="436">
        <v>41561</v>
      </c>
      <c r="V53" s="410"/>
      <c r="W53" s="6"/>
    </row>
    <row r="54" spans="1:23" ht="15.6">
      <c r="A54" s="378"/>
      <c r="B54" s="379" t="s">
        <v>156</v>
      </c>
      <c r="C54" s="379"/>
      <c r="D54" s="379"/>
      <c r="E54" s="379"/>
      <c r="F54" s="379"/>
      <c r="G54" s="379"/>
      <c r="H54" s="379"/>
      <c r="I54" s="379"/>
      <c r="J54" s="379"/>
      <c r="K54" s="379"/>
      <c r="L54" s="379"/>
      <c r="M54" s="379"/>
      <c r="N54" s="379"/>
      <c r="O54" s="379"/>
      <c r="P54" s="379"/>
      <c r="Q54" s="424"/>
      <c r="R54" s="379">
        <f>U54-S54+1</f>
        <v>92</v>
      </c>
      <c r="S54" s="436">
        <v>41562</v>
      </c>
      <c r="T54" s="429"/>
      <c r="U54" s="436">
        <v>41653</v>
      </c>
      <c r="V54" s="410"/>
      <c r="W54" s="6"/>
    </row>
    <row r="55" spans="1:23" ht="15.6">
      <c r="A55" s="378"/>
      <c r="B55" s="379" t="s">
        <v>21</v>
      </c>
      <c r="C55" s="379"/>
      <c r="D55" s="379"/>
      <c r="E55" s="379"/>
      <c r="F55" s="379"/>
      <c r="G55" s="379"/>
      <c r="H55" s="379"/>
      <c r="I55" s="379"/>
      <c r="J55" s="379"/>
      <c r="K55" s="379"/>
      <c r="L55" s="379"/>
      <c r="M55" s="379"/>
      <c r="N55" s="379"/>
      <c r="O55" s="379"/>
      <c r="P55" s="379"/>
      <c r="Q55" s="379"/>
      <c r="R55" s="379"/>
      <c r="S55" s="436"/>
      <c r="T55" s="429"/>
      <c r="U55" s="436" t="s">
        <v>119</v>
      </c>
      <c r="V55" s="410"/>
      <c r="W55" s="6"/>
    </row>
    <row r="56" spans="1:23" ht="15.6">
      <c r="A56" s="378"/>
      <c r="B56" s="379" t="s">
        <v>22</v>
      </c>
      <c r="C56" s="379"/>
      <c r="D56" s="379"/>
      <c r="E56" s="379"/>
      <c r="F56" s="379"/>
      <c r="G56" s="379"/>
      <c r="H56" s="379"/>
      <c r="I56" s="379"/>
      <c r="J56" s="379"/>
      <c r="K56" s="379"/>
      <c r="L56" s="379"/>
      <c r="M56" s="379"/>
      <c r="N56" s="379"/>
      <c r="O56" s="379"/>
      <c r="P56" s="379"/>
      <c r="Q56" s="379"/>
      <c r="R56" s="379"/>
      <c r="S56" s="436"/>
      <c r="T56" s="429"/>
      <c r="U56" s="436">
        <v>41641</v>
      </c>
      <c r="V56" s="410"/>
      <c r="W56" s="6"/>
    </row>
    <row r="57" spans="1:23" ht="15.6">
      <c r="A57" s="242"/>
      <c r="B57" s="364"/>
      <c r="C57" s="364"/>
      <c r="D57" s="364"/>
      <c r="E57" s="364"/>
      <c r="F57" s="364"/>
      <c r="G57" s="364"/>
      <c r="H57" s="364"/>
      <c r="I57" s="364"/>
      <c r="J57" s="364"/>
      <c r="K57" s="364"/>
      <c r="L57" s="364"/>
      <c r="M57" s="364"/>
      <c r="N57" s="364"/>
      <c r="O57" s="364"/>
      <c r="P57" s="364"/>
      <c r="Q57" s="364"/>
      <c r="R57" s="364"/>
      <c r="S57" s="364"/>
      <c r="T57" s="364"/>
      <c r="U57" s="377"/>
      <c r="V57" s="303"/>
      <c r="W57" s="6"/>
    </row>
    <row r="58" spans="1:23" ht="15.6">
      <c r="A58" s="242"/>
      <c r="B58" s="288"/>
      <c r="C58" s="288"/>
      <c r="D58" s="288"/>
      <c r="E58" s="288"/>
      <c r="F58" s="288"/>
      <c r="G58" s="288"/>
      <c r="H58" s="288"/>
      <c r="I58" s="288"/>
      <c r="J58" s="288"/>
      <c r="K58" s="288"/>
      <c r="L58" s="288"/>
      <c r="M58" s="288"/>
      <c r="N58" s="288"/>
      <c r="O58" s="288"/>
      <c r="P58" s="288"/>
      <c r="Q58" s="288"/>
      <c r="R58" s="288"/>
      <c r="S58" s="288"/>
      <c r="T58" s="288"/>
      <c r="U58" s="302"/>
      <c r="V58" s="303"/>
      <c r="W58" s="6"/>
    </row>
    <row r="59" spans="1:23" ht="16.2" thickBot="1">
      <c r="A59" s="261"/>
      <c r="B59" s="304" t="s">
        <v>287</v>
      </c>
      <c r="C59" s="305"/>
      <c r="D59" s="305"/>
      <c r="E59" s="305"/>
      <c r="F59" s="305"/>
      <c r="G59" s="305"/>
      <c r="H59" s="305"/>
      <c r="I59" s="305"/>
      <c r="J59" s="305"/>
      <c r="K59" s="305"/>
      <c r="L59" s="305"/>
      <c r="M59" s="305"/>
      <c r="N59" s="305"/>
      <c r="O59" s="305"/>
      <c r="P59" s="305"/>
      <c r="Q59" s="305"/>
      <c r="R59" s="305"/>
      <c r="S59" s="305"/>
      <c r="T59" s="305"/>
      <c r="U59" s="306"/>
      <c r="V59" s="307"/>
      <c r="W59" s="6"/>
    </row>
    <row r="60" spans="1:23" ht="15.6">
      <c r="A60" s="230"/>
      <c r="B60" s="511" t="s">
        <v>23</v>
      </c>
      <c r="C60" s="511"/>
      <c r="D60" s="511"/>
      <c r="E60" s="511"/>
      <c r="F60" s="511"/>
      <c r="G60" s="511"/>
      <c r="H60" s="511"/>
      <c r="I60" s="511"/>
      <c r="J60" s="511"/>
      <c r="K60" s="511"/>
      <c r="L60" s="511"/>
      <c r="M60" s="231"/>
      <c r="N60" s="231"/>
      <c r="O60" s="231"/>
      <c r="P60" s="231"/>
      <c r="Q60" s="231"/>
      <c r="R60" s="231"/>
      <c r="S60" s="231"/>
      <c r="T60" s="231"/>
      <c r="U60" s="309"/>
      <c r="V60" s="237"/>
      <c r="W60" s="6"/>
    </row>
    <row r="61" spans="1:23" ht="15.6">
      <c r="A61" s="242"/>
      <c r="B61" s="252"/>
      <c r="C61" s="252"/>
      <c r="D61" s="252"/>
      <c r="E61" s="252"/>
      <c r="F61" s="252"/>
      <c r="G61" s="252"/>
      <c r="H61" s="252"/>
      <c r="I61" s="252"/>
      <c r="J61" s="252"/>
      <c r="K61" s="252"/>
      <c r="L61" s="252"/>
      <c r="M61" s="244"/>
      <c r="N61" s="244"/>
      <c r="O61" s="244"/>
      <c r="P61" s="244"/>
      <c r="Q61" s="244"/>
      <c r="R61" s="244"/>
      <c r="S61" s="244"/>
      <c r="T61" s="244"/>
      <c r="U61" s="263"/>
      <c r="V61" s="245"/>
      <c r="W61" s="6"/>
    </row>
    <row r="62" spans="1:23" s="151" customFormat="1" ht="46.8">
      <c r="A62" s="264"/>
      <c r="B62" s="512"/>
      <c r="C62" s="513"/>
      <c r="D62" s="513"/>
      <c r="E62" s="513"/>
      <c r="F62" s="513"/>
      <c r="G62" s="513"/>
      <c r="H62" s="513"/>
      <c r="I62" s="513"/>
      <c r="J62" s="513"/>
      <c r="K62" s="513" t="s">
        <v>197</v>
      </c>
      <c r="L62" s="513"/>
      <c r="M62" s="513" t="s">
        <v>98</v>
      </c>
      <c r="N62" s="513"/>
      <c r="O62" s="513" t="s">
        <v>107</v>
      </c>
      <c r="P62" s="513"/>
      <c r="Q62" s="513" t="s">
        <v>111</v>
      </c>
      <c r="R62" s="513"/>
      <c r="S62" s="513" t="s">
        <v>113</v>
      </c>
      <c r="T62" s="513"/>
      <c r="U62" s="514" t="s">
        <v>120</v>
      </c>
      <c r="V62" s="515"/>
      <c r="W62" s="150"/>
    </row>
    <row r="63" spans="1:23" ht="15.6">
      <c r="A63" s="378"/>
      <c r="B63" s="379" t="s">
        <v>24</v>
      </c>
      <c r="C63" s="440"/>
      <c r="D63" s="440"/>
      <c r="E63" s="440"/>
      <c r="F63" s="440"/>
      <c r="G63" s="440"/>
      <c r="H63" s="440"/>
      <c r="I63" s="440"/>
      <c r="J63" s="440"/>
      <c r="K63" s="440">
        <f>265+63566+3306</f>
        <v>67137</v>
      </c>
      <c r="L63" s="440"/>
      <c r="M63" s="440">
        <v>6832</v>
      </c>
      <c r="N63" s="440"/>
      <c r="O63" s="440">
        <f>131+2+28</f>
        <v>161</v>
      </c>
      <c r="P63" s="440"/>
      <c r="Q63" s="440">
        <v>0</v>
      </c>
      <c r="R63" s="440"/>
      <c r="S63" s="440">
        <v>0</v>
      </c>
      <c r="T63" s="440"/>
      <c r="U63" s="441">
        <f>+M63-O63+Q63-S63</f>
        <v>6671</v>
      </c>
      <c r="V63" s="410"/>
      <c r="W63" s="6"/>
    </row>
    <row r="64" spans="1:23" ht="15.6">
      <c r="A64" s="378"/>
      <c r="B64" s="379" t="s">
        <v>25</v>
      </c>
      <c r="C64" s="440"/>
      <c r="D64" s="440"/>
      <c r="E64" s="440"/>
      <c r="F64" s="440"/>
      <c r="G64" s="440"/>
      <c r="H64" s="440"/>
      <c r="I64" s="440"/>
      <c r="J64" s="440"/>
      <c r="K64" s="440"/>
      <c r="L64" s="440"/>
      <c r="M64" s="440"/>
      <c r="N64" s="440"/>
      <c r="O64" s="440"/>
      <c r="P64" s="440"/>
      <c r="Q64" s="440">
        <v>0</v>
      </c>
      <c r="R64" s="440"/>
      <c r="S64" s="440">
        <v>0</v>
      </c>
      <c r="T64" s="440"/>
      <c r="U64" s="441">
        <f>M64-O64</f>
        <v>0</v>
      </c>
      <c r="V64" s="410"/>
      <c r="W64" s="6"/>
    </row>
    <row r="65" spans="1:24" ht="15.6">
      <c r="A65" s="378"/>
      <c r="B65" s="379"/>
      <c r="C65" s="440"/>
      <c r="D65" s="440"/>
      <c r="E65" s="440"/>
      <c r="F65" s="440"/>
      <c r="G65" s="440"/>
      <c r="H65" s="440"/>
      <c r="I65" s="440"/>
      <c r="J65" s="440"/>
      <c r="K65" s="440"/>
      <c r="L65" s="440"/>
      <c r="M65" s="440"/>
      <c r="N65" s="440"/>
      <c r="O65" s="440"/>
      <c r="P65" s="440"/>
      <c r="Q65" s="440"/>
      <c r="R65" s="440"/>
      <c r="S65" s="440"/>
      <c r="T65" s="440"/>
      <c r="U65" s="441"/>
      <c r="V65" s="410"/>
      <c r="W65" s="6"/>
    </row>
    <row r="66" spans="1:24" ht="15.6">
      <c r="A66" s="378"/>
      <c r="B66" s="379" t="s">
        <v>26</v>
      </c>
      <c r="C66" s="440"/>
      <c r="D66" s="440"/>
      <c r="E66" s="440"/>
      <c r="F66" s="440"/>
      <c r="G66" s="440"/>
      <c r="H66" s="440"/>
      <c r="I66" s="440"/>
      <c r="J66" s="440"/>
      <c r="K66" s="440">
        <v>24470</v>
      </c>
      <c r="L66" s="440"/>
      <c r="M66" s="440">
        <v>1548</v>
      </c>
      <c r="N66" s="440"/>
      <c r="O66" s="440">
        <v>40</v>
      </c>
      <c r="P66" s="440"/>
      <c r="Q66" s="440">
        <v>0</v>
      </c>
      <c r="R66" s="440"/>
      <c r="S66" s="440">
        <f>SUM(S63:S65)</f>
        <v>0</v>
      </c>
      <c r="T66" s="440"/>
      <c r="U66" s="441">
        <f>+M66-O66+Q66-S66</f>
        <v>1508</v>
      </c>
      <c r="V66" s="410"/>
      <c r="W66" s="6"/>
    </row>
    <row r="67" spans="1:24" ht="15.6">
      <c r="A67" s="378"/>
      <c r="B67" s="379" t="s">
        <v>25</v>
      </c>
      <c r="C67" s="440"/>
      <c r="D67" s="440"/>
      <c r="E67" s="440"/>
      <c r="F67" s="440"/>
      <c r="G67" s="440"/>
      <c r="H67" s="440"/>
      <c r="I67" s="440"/>
      <c r="J67" s="440"/>
      <c r="K67" s="440"/>
      <c r="L67" s="440"/>
      <c r="M67" s="440"/>
      <c r="N67" s="440"/>
      <c r="O67" s="440"/>
      <c r="P67" s="440"/>
      <c r="Q67" s="440">
        <v>0</v>
      </c>
      <c r="R67" s="440"/>
      <c r="S67" s="440">
        <v>0</v>
      </c>
      <c r="T67" s="440"/>
      <c r="U67" s="440"/>
      <c r="V67" s="410"/>
      <c r="W67" s="6"/>
    </row>
    <row r="68" spans="1:24" ht="15.6">
      <c r="A68" s="378"/>
      <c r="B68" s="386"/>
      <c r="C68" s="440"/>
      <c r="D68" s="440"/>
      <c r="E68" s="440"/>
      <c r="F68" s="440"/>
      <c r="G68" s="440"/>
      <c r="H68" s="440"/>
      <c r="I68" s="440"/>
      <c r="J68" s="440"/>
      <c r="K68" s="440"/>
      <c r="L68" s="440"/>
      <c r="M68" s="440"/>
      <c r="N68" s="440"/>
      <c r="O68" s="442"/>
      <c r="P68" s="440"/>
      <c r="Q68" s="440"/>
      <c r="R68" s="440"/>
      <c r="S68" s="440"/>
      <c r="T68" s="440"/>
      <c r="U68" s="440"/>
      <c r="V68" s="410"/>
      <c r="W68" s="6"/>
    </row>
    <row r="69" spans="1:24" ht="15.6">
      <c r="A69" s="378"/>
      <c r="B69" s="379" t="s">
        <v>27</v>
      </c>
      <c r="C69" s="440"/>
      <c r="D69" s="440"/>
      <c r="E69" s="440"/>
      <c r="F69" s="440"/>
      <c r="G69" s="440"/>
      <c r="H69" s="440"/>
      <c r="I69" s="440"/>
      <c r="J69" s="440"/>
      <c r="K69" s="440">
        <v>220072</v>
      </c>
      <c r="L69" s="440"/>
      <c r="M69" s="440">
        <v>135309</v>
      </c>
      <c r="N69" s="440"/>
      <c r="O69" s="440">
        <f>4877+382</f>
        <v>5259</v>
      </c>
      <c r="P69" s="440"/>
      <c r="Q69" s="440">
        <v>0</v>
      </c>
      <c r="R69" s="440"/>
      <c r="S69" s="440">
        <v>0</v>
      </c>
      <c r="T69" s="440"/>
      <c r="U69" s="441">
        <f>+M69-O69+Q69-S69</f>
        <v>130050</v>
      </c>
      <c r="V69" s="410"/>
      <c r="W69" s="6"/>
    </row>
    <row r="70" spans="1:24" ht="15.6">
      <c r="A70" s="378"/>
      <c r="B70" s="379" t="s">
        <v>25</v>
      </c>
      <c r="C70" s="440"/>
      <c r="D70" s="440"/>
      <c r="E70" s="440"/>
      <c r="F70" s="440"/>
      <c r="G70" s="440"/>
      <c r="H70" s="440"/>
      <c r="I70" s="440"/>
      <c r="J70" s="440"/>
      <c r="K70" s="440"/>
      <c r="L70" s="440"/>
      <c r="M70" s="440"/>
      <c r="N70" s="440"/>
      <c r="O70" s="440"/>
      <c r="P70" s="440"/>
      <c r="Q70" s="440">
        <v>0</v>
      </c>
      <c r="R70" s="440"/>
      <c r="S70" s="440">
        <v>0</v>
      </c>
      <c r="T70" s="440"/>
      <c r="U70" s="441">
        <f>M70-O70+Q70-S70</f>
        <v>0</v>
      </c>
      <c r="V70" s="410"/>
      <c r="W70" s="6"/>
    </row>
    <row r="71" spans="1:24" ht="15.6">
      <c r="A71" s="378"/>
      <c r="B71" s="379"/>
      <c r="C71" s="440"/>
      <c r="D71" s="440"/>
      <c r="E71" s="440"/>
      <c r="F71" s="440"/>
      <c r="G71" s="440"/>
      <c r="H71" s="440"/>
      <c r="I71" s="440"/>
      <c r="J71" s="440"/>
      <c r="K71" s="440"/>
      <c r="L71" s="440"/>
      <c r="M71" s="440"/>
      <c r="N71" s="440"/>
      <c r="O71" s="440"/>
      <c r="P71" s="440"/>
      <c r="Q71" s="440"/>
      <c r="R71" s="440"/>
      <c r="S71" s="440"/>
      <c r="T71" s="440"/>
      <c r="U71" s="441"/>
      <c r="V71" s="410"/>
      <c r="W71" s="6"/>
    </row>
    <row r="72" spans="1:24" ht="15.6">
      <c r="A72" s="378"/>
      <c r="B72" s="379" t="s">
        <v>28</v>
      </c>
      <c r="C72" s="440"/>
      <c r="D72" s="440"/>
      <c r="E72" s="440"/>
      <c r="F72" s="440"/>
      <c r="G72" s="440"/>
      <c r="H72" s="440"/>
      <c r="I72" s="440"/>
      <c r="J72" s="440"/>
      <c r="K72" s="440">
        <v>138321</v>
      </c>
      <c r="L72" s="440"/>
      <c r="M72" s="440">
        <v>1529</v>
      </c>
      <c r="N72" s="440"/>
      <c r="O72" s="440">
        <f>132+27</f>
        <v>159</v>
      </c>
      <c r="P72" s="440"/>
      <c r="Q72" s="440">
        <v>0</v>
      </c>
      <c r="R72" s="440"/>
      <c r="S72" s="440">
        <v>0</v>
      </c>
      <c r="T72" s="440"/>
      <c r="U72" s="441">
        <f>+M72-O72+Q72-S72</f>
        <v>1370</v>
      </c>
      <c r="V72" s="410"/>
      <c r="W72" s="6"/>
    </row>
    <row r="73" spans="1:24" ht="15.6">
      <c r="A73" s="378"/>
      <c r="B73" s="379" t="s">
        <v>25</v>
      </c>
      <c r="C73" s="440"/>
      <c r="D73" s="440"/>
      <c r="E73" s="440"/>
      <c r="F73" s="440"/>
      <c r="G73" s="440"/>
      <c r="H73" s="440"/>
      <c r="I73" s="440"/>
      <c r="J73" s="440"/>
      <c r="K73" s="440"/>
      <c r="L73" s="440"/>
      <c r="M73" s="440"/>
      <c r="N73" s="440"/>
      <c r="O73" s="440"/>
      <c r="P73" s="440"/>
      <c r="Q73" s="440">
        <v>0</v>
      </c>
      <c r="R73" s="440"/>
      <c r="S73" s="440">
        <v>0</v>
      </c>
      <c r="T73" s="440"/>
      <c r="U73" s="441"/>
      <c r="V73" s="410"/>
      <c r="W73" s="6"/>
    </row>
    <row r="74" spans="1:24" ht="15.6">
      <c r="A74" s="378"/>
      <c r="B74" s="440"/>
      <c r="C74" s="440"/>
      <c r="D74" s="440"/>
      <c r="E74" s="440"/>
      <c r="F74" s="440"/>
      <c r="G74" s="440"/>
      <c r="H74" s="440"/>
      <c r="I74" s="440"/>
      <c r="J74" s="440"/>
      <c r="K74" s="440"/>
      <c r="L74" s="440"/>
      <c r="M74" s="440"/>
      <c r="N74" s="440"/>
      <c r="O74" s="440"/>
      <c r="P74" s="440"/>
      <c r="Q74" s="440"/>
      <c r="R74" s="440"/>
      <c r="S74" s="440"/>
      <c r="T74" s="440"/>
      <c r="U74" s="441"/>
      <c r="V74" s="410"/>
      <c r="W74" s="6"/>
    </row>
    <row r="75" spans="1:24" ht="15.6">
      <c r="A75" s="378"/>
      <c r="B75" s="379" t="s">
        <v>29</v>
      </c>
      <c r="C75" s="440"/>
      <c r="D75" s="440"/>
      <c r="E75" s="440"/>
      <c r="F75" s="440"/>
      <c r="G75" s="440"/>
      <c r="H75" s="440"/>
      <c r="I75" s="440"/>
      <c r="J75" s="440"/>
      <c r="K75" s="440">
        <f>SUM(K63:K72)</f>
        <v>450000</v>
      </c>
      <c r="L75" s="440"/>
      <c r="M75" s="440">
        <f>SUM(M63:M72)</f>
        <v>145218</v>
      </c>
      <c r="N75" s="440"/>
      <c r="O75" s="440">
        <f>SUM(O63:O73)</f>
        <v>5619</v>
      </c>
      <c r="P75" s="440"/>
      <c r="Q75" s="440">
        <f>SUM(Q63:Q73)</f>
        <v>0</v>
      </c>
      <c r="R75" s="440"/>
      <c r="S75" s="440">
        <f>SUM(S70:S74)</f>
        <v>0</v>
      </c>
      <c r="T75" s="440"/>
      <c r="U75" s="440">
        <f>SUM(U63:U73)</f>
        <v>139599</v>
      </c>
      <c r="V75" s="410"/>
      <c r="W75" s="6"/>
      <c r="X75" s="182"/>
    </row>
    <row r="76" spans="1:24" ht="15.6">
      <c r="A76" s="378"/>
      <c r="B76" s="379"/>
      <c r="C76" s="440"/>
      <c r="D76" s="440"/>
      <c r="E76" s="440"/>
      <c r="F76" s="440"/>
      <c r="G76" s="440"/>
      <c r="H76" s="440"/>
      <c r="I76" s="440"/>
      <c r="J76" s="440"/>
      <c r="K76" s="440"/>
      <c r="L76" s="440"/>
      <c r="M76" s="440"/>
      <c r="N76" s="440"/>
      <c r="O76" s="440"/>
      <c r="P76" s="440"/>
      <c r="Q76" s="440"/>
      <c r="R76" s="440"/>
      <c r="S76" s="440"/>
      <c r="T76" s="440"/>
      <c r="U76" s="440"/>
      <c r="V76" s="410"/>
      <c r="W76" s="6"/>
    </row>
    <row r="77" spans="1:24" ht="15.6">
      <c r="A77" s="378"/>
      <c r="B77" s="379" t="s">
        <v>214</v>
      </c>
      <c r="C77" s="440"/>
      <c r="D77" s="440"/>
      <c r="E77" s="440"/>
      <c r="F77" s="440"/>
      <c r="G77" s="440"/>
      <c r="H77" s="440"/>
      <c r="I77" s="440"/>
      <c r="J77" s="440"/>
      <c r="K77" s="440">
        <v>0</v>
      </c>
      <c r="L77" s="440"/>
      <c r="M77" s="440">
        <v>-14731</v>
      </c>
      <c r="N77" s="440"/>
      <c r="O77" s="440">
        <v>380</v>
      </c>
      <c r="P77" s="440"/>
      <c r="Q77" s="440"/>
      <c r="R77" s="440"/>
      <c r="S77" s="440"/>
      <c r="T77" s="440"/>
      <c r="U77" s="441">
        <f>+M77-O77</f>
        <v>-15111</v>
      </c>
      <c r="V77" s="410"/>
      <c r="W77" s="6"/>
    </row>
    <row r="78" spans="1:24" ht="15.6">
      <c r="A78" s="378"/>
      <c r="B78" s="379" t="s">
        <v>30</v>
      </c>
      <c r="C78" s="440"/>
      <c r="D78" s="440"/>
      <c r="E78" s="440"/>
      <c r="F78" s="440"/>
      <c r="G78" s="440"/>
      <c r="H78" s="440"/>
      <c r="I78" s="440"/>
      <c r="J78" s="440"/>
      <c r="K78" s="440">
        <v>0</v>
      </c>
      <c r="L78" s="440"/>
      <c r="M78" s="440">
        <v>0</v>
      </c>
      <c r="N78" s="440"/>
      <c r="O78" s="440">
        <v>0</v>
      </c>
      <c r="P78" s="440"/>
      <c r="Q78" s="440">
        <v>0</v>
      </c>
      <c r="R78" s="440"/>
      <c r="S78" s="440"/>
      <c r="T78" s="440"/>
      <c r="U78" s="440">
        <v>0</v>
      </c>
      <c r="V78" s="410"/>
      <c r="W78" s="6"/>
      <c r="X78" s="182"/>
    </row>
    <row r="79" spans="1:24" ht="15.6">
      <c r="A79" s="378"/>
      <c r="B79" s="379" t="s">
        <v>31</v>
      </c>
      <c r="C79" s="440"/>
      <c r="D79" s="440"/>
      <c r="E79" s="440"/>
      <c r="F79" s="440"/>
      <c r="G79" s="440"/>
      <c r="H79" s="440"/>
      <c r="I79" s="440"/>
      <c r="J79" s="440"/>
      <c r="K79" s="440">
        <v>0</v>
      </c>
      <c r="L79" s="440"/>
      <c r="M79" s="440">
        <v>0</v>
      </c>
      <c r="N79" s="440"/>
      <c r="O79" s="440"/>
      <c r="P79" s="440"/>
      <c r="Q79" s="440">
        <v>0</v>
      </c>
      <c r="R79" s="440"/>
      <c r="S79" s="440"/>
      <c r="T79" s="440"/>
      <c r="U79" s="440">
        <f>Q79+M79</f>
        <v>0</v>
      </c>
      <c r="V79" s="410"/>
      <c r="W79" s="6"/>
    </row>
    <row r="80" spans="1:24" ht="15.6">
      <c r="A80" s="378"/>
      <c r="B80" s="379" t="s">
        <v>16</v>
      </c>
      <c r="C80" s="440"/>
      <c r="D80" s="440"/>
      <c r="E80" s="440"/>
      <c r="F80" s="440"/>
      <c r="G80" s="440"/>
      <c r="H80" s="440"/>
      <c r="I80" s="440"/>
      <c r="J80" s="440"/>
      <c r="K80" s="440">
        <f>SUM(K75:K79)</f>
        <v>450000</v>
      </c>
      <c r="L80" s="440"/>
      <c r="M80" s="440">
        <f>SUM(M75:M79)</f>
        <v>130487</v>
      </c>
      <c r="N80" s="440"/>
      <c r="O80" s="440">
        <f>O78-O79</f>
        <v>0</v>
      </c>
      <c r="P80" s="440"/>
      <c r="Q80" s="440"/>
      <c r="R80" s="440"/>
      <c r="S80" s="440"/>
      <c r="T80" s="440"/>
      <c r="U80" s="440">
        <f>SUM(U75:U79)</f>
        <v>124488</v>
      </c>
      <c r="V80" s="410"/>
      <c r="W80" s="6"/>
    </row>
    <row r="81" spans="1:24" ht="15.6">
      <c r="A81" s="242"/>
      <c r="B81" s="437"/>
      <c r="C81" s="438"/>
      <c r="D81" s="438"/>
      <c r="E81" s="438"/>
      <c r="F81" s="438"/>
      <c r="G81" s="438"/>
      <c r="H81" s="438"/>
      <c r="I81" s="438"/>
      <c r="J81" s="438"/>
      <c r="K81" s="438"/>
      <c r="L81" s="438"/>
      <c r="M81" s="438"/>
      <c r="N81" s="438"/>
      <c r="O81" s="438"/>
      <c r="P81" s="438"/>
      <c r="Q81" s="438"/>
      <c r="R81" s="438"/>
      <c r="S81" s="439"/>
      <c r="T81" s="438"/>
      <c r="U81" s="439"/>
      <c r="V81" s="245"/>
      <c r="W81" s="6"/>
    </row>
    <row r="82" spans="1:24" ht="15.6">
      <c r="A82" s="230"/>
      <c r="B82" s="511" t="s">
        <v>32</v>
      </c>
      <c r="C82" s="511"/>
      <c r="D82" s="511"/>
      <c r="E82" s="511"/>
      <c r="F82" s="511"/>
      <c r="G82" s="511"/>
      <c r="H82" s="511"/>
      <c r="I82" s="511"/>
      <c r="J82" s="511"/>
      <c r="K82" s="511"/>
      <c r="L82" s="511"/>
      <c r="M82" s="511"/>
      <c r="N82" s="511"/>
      <c r="O82" s="511"/>
      <c r="P82" s="511"/>
      <c r="Q82" s="511"/>
      <c r="R82" s="232"/>
      <c r="S82" s="232"/>
      <c r="T82" s="232"/>
      <c r="U82" s="232" t="s">
        <v>121</v>
      </c>
      <c r="V82" s="516"/>
      <c r="W82" s="6"/>
    </row>
    <row r="83" spans="1:24" ht="15.6">
      <c r="A83" s="315"/>
      <c r="B83" s="294" t="s">
        <v>33</v>
      </c>
      <c r="C83" s="294"/>
      <c r="D83" s="294"/>
      <c r="E83" s="294"/>
      <c r="F83" s="294"/>
      <c r="G83" s="294"/>
      <c r="H83" s="294"/>
      <c r="I83" s="294"/>
      <c r="J83" s="294"/>
      <c r="K83" s="294"/>
      <c r="L83" s="294"/>
      <c r="M83" s="294"/>
      <c r="N83" s="294"/>
      <c r="O83" s="310"/>
      <c r="P83" s="294"/>
      <c r="Q83" s="294"/>
      <c r="R83" s="294"/>
      <c r="S83" s="310"/>
      <c r="T83" s="294"/>
      <c r="U83" s="311">
        <v>48875</v>
      </c>
      <c r="V83" s="298"/>
      <c r="W83" s="6"/>
    </row>
    <row r="84" spans="1:24" ht="15.6">
      <c r="A84" s="444"/>
      <c r="B84" s="379" t="s">
        <v>34</v>
      </c>
      <c r="C84" s="431"/>
      <c r="D84" s="431"/>
      <c r="E84" s="431"/>
      <c r="F84" s="431"/>
      <c r="G84" s="431"/>
      <c r="H84" s="431"/>
      <c r="I84" s="431"/>
      <c r="J84" s="431"/>
      <c r="K84" s="431"/>
      <c r="L84" s="431"/>
      <c r="M84" s="430"/>
      <c r="N84" s="379"/>
      <c r="O84" s="379"/>
      <c r="P84" s="379"/>
      <c r="Q84" s="379"/>
      <c r="R84" s="379"/>
      <c r="S84" s="440"/>
      <c r="T84" s="379"/>
      <c r="U84" s="441">
        <f>-29+107+49+1</f>
        <v>128</v>
      </c>
      <c r="V84" s="410"/>
      <c r="W84" s="6"/>
    </row>
    <row r="85" spans="1:24" ht="15.6">
      <c r="A85" s="444"/>
      <c r="B85" s="379" t="s">
        <v>230</v>
      </c>
      <c r="C85" s="379"/>
      <c r="D85" s="379"/>
      <c r="E85" s="379"/>
      <c r="F85" s="379"/>
      <c r="G85" s="379"/>
      <c r="H85" s="379"/>
      <c r="I85" s="379"/>
      <c r="J85" s="379"/>
      <c r="K85" s="379"/>
      <c r="L85" s="379"/>
      <c r="M85" s="379"/>
      <c r="N85" s="379"/>
      <c r="O85" s="379"/>
      <c r="P85" s="379"/>
      <c r="Q85" s="379"/>
      <c r="R85" s="379"/>
      <c r="S85" s="440"/>
      <c r="T85" s="379"/>
      <c r="U85" s="441">
        <v>0</v>
      </c>
      <c r="V85" s="410"/>
      <c r="W85" s="6"/>
      <c r="X85" s="64"/>
    </row>
    <row r="86" spans="1:24" ht="15.6">
      <c r="A86" s="444"/>
      <c r="B86" s="379" t="s">
        <v>231</v>
      </c>
      <c r="C86" s="379"/>
      <c r="D86" s="379"/>
      <c r="E86" s="379"/>
      <c r="F86" s="379"/>
      <c r="G86" s="379"/>
      <c r="H86" s="379"/>
      <c r="I86" s="379"/>
      <c r="J86" s="379"/>
      <c r="K86" s="379"/>
      <c r="L86" s="379"/>
      <c r="M86" s="379"/>
      <c r="N86" s="379"/>
      <c r="O86" s="379"/>
      <c r="P86" s="379"/>
      <c r="Q86" s="379"/>
      <c r="R86" s="379"/>
      <c r="S86" s="440"/>
      <c r="T86" s="379"/>
      <c r="U86" s="441">
        <v>0</v>
      </c>
      <c r="V86" s="410"/>
      <c r="W86" s="6"/>
      <c r="X86" s="64"/>
    </row>
    <row r="87" spans="1:24" ht="15.6">
      <c r="A87" s="444"/>
      <c r="B87" s="379" t="s">
        <v>35</v>
      </c>
      <c r="C87" s="379"/>
      <c r="D87" s="379"/>
      <c r="E87" s="379"/>
      <c r="F87" s="379"/>
      <c r="G87" s="379"/>
      <c r="H87" s="379"/>
      <c r="I87" s="379"/>
      <c r="J87" s="379"/>
      <c r="K87" s="379"/>
      <c r="L87" s="379"/>
      <c r="M87" s="379"/>
      <c r="N87" s="379"/>
      <c r="O87" s="379"/>
      <c r="P87" s="379"/>
      <c r="Q87" s="379"/>
      <c r="R87" s="379"/>
      <c r="S87" s="440"/>
      <c r="T87" s="379"/>
      <c r="U87" s="441">
        <f>SUM(U83:U86)</f>
        <v>49003</v>
      </c>
      <c r="V87" s="410"/>
      <c r="W87" s="6"/>
      <c r="X87" s="64"/>
    </row>
    <row r="88" spans="1:24" ht="15.6">
      <c r="A88" s="444"/>
      <c r="B88" s="379"/>
      <c r="C88" s="379"/>
      <c r="D88" s="379"/>
      <c r="E88" s="379"/>
      <c r="F88" s="379"/>
      <c r="G88" s="379"/>
      <c r="H88" s="379"/>
      <c r="I88" s="379"/>
      <c r="J88" s="379"/>
      <c r="K88" s="379"/>
      <c r="L88" s="379"/>
      <c r="M88" s="379"/>
      <c r="N88" s="379"/>
      <c r="O88" s="379"/>
      <c r="P88" s="379"/>
      <c r="Q88" s="379"/>
      <c r="R88" s="379"/>
      <c r="S88" s="440"/>
      <c r="T88" s="379"/>
      <c r="U88" s="440"/>
      <c r="V88" s="410"/>
      <c r="W88" s="6"/>
    </row>
    <row r="89" spans="1:24" ht="15.6">
      <c r="A89" s="444"/>
      <c r="B89" s="446" t="s">
        <v>36</v>
      </c>
      <c r="C89" s="446"/>
      <c r="D89" s="446"/>
      <c r="E89" s="446"/>
      <c r="F89" s="446"/>
      <c r="G89" s="446"/>
      <c r="H89" s="446"/>
      <c r="I89" s="446"/>
      <c r="J89" s="446"/>
      <c r="K89" s="446"/>
      <c r="L89" s="446"/>
      <c r="M89" s="379"/>
      <c r="N89" s="379"/>
      <c r="O89" s="379"/>
      <c r="P89" s="379"/>
      <c r="Q89" s="379"/>
      <c r="R89" s="379"/>
      <c r="S89" s="440"/>
      <c r="T89" s="379"/>
      <c r="U89" s="441"/>
      <c r="V89" s="410"/>
      <c r="W89" s="6"/>
      <c r="X89" s="64"/>
    </row>
    <row r="90" spans="1:24" ht="15.6">
      <c r="A90" s="444">
        <v>1</v>
      </c>
      <c r="B90" s="379" t="s">
        <v>37</v>
      </c>
      <c r="C90" s="379"/>
      <c r="D90" s="379"/>
      <c r="E90" s="379"/>
      <c r="F90" s="379"/>
      <c r="G90" s="379"/>
      <c r="H90" s="379"/>
      <c r="I90" s="379"/>
      <c r="J90" s="379"/>
      <c r="K90" s="379"/>
      <c r="L90" s="379"/>
      <c r="M90" s="379"/>
      <c r="N90" s="379"/>
      <c r="O90" s="379"/>
      <c r="P90" s="379"/>
      <c r="Q90" s="379"/>
      <c r="R90" s="379"/>
      <c r="S90" s="379"/>
      <c r="T90" s="379"/>
      <c r="U90" s="441">
        <v>-2</v>
      </c>
      <c r="V90" s="410"/>
      <c r="W90" s="6"/>
    </row>
    <row r="91" spans="1:24" ht="15.6">
      <c r="A91" s="444">
        <f>A90+1</f>
        <v>2</v>
      </c>
      <c r="B91" s="379" t="s">
        <v>168</v>
      </c>
      <c r="C91" s="379"/>
      <c r="D91" s="379"/>
      <c r="E91" s="379"/>
      <c r="F91" s="379"/>
      <c r="G91" s="379"/>
      <c r="H91" s="379"/>
      <c r="I91" s="379"/>
      <c r="J91" s="379"/>
      <c r="K91" s="379"/>
      <c r="L91" s="379"/>
      <c r="M91" s="379"/>
      <c r="N91" s="379"/>
      <c r="O91" s="379"/>
      <c r="P91" s="379"/>
      <c r="Q91" s="379"/>
      <c r="R91" s="379"/>
      <c r="S91" s="379"/>
      <c r="T91" s="379"/>
      <c r="U91" s="441">
        <f>-132-47-2</f>
        <v>-181</v>
      </c>
      <c r="V91" s="410"/>
      <c r="W91" s="6"/>
      <c r="X91" s="64"/>
    </row>
    <row r="92" spans="1:24" ht="15.6">
      <c r="A92" s="444">
        <v>3</v>
      </c>
      <c r="B92" s="379" t="s">
        <v>38</v>
      </c>
      <c r="C92" s="379"/>
      <c r="D92" s="379"/>
      <c r="E92" s="379"/>
      <c r="F92" s="379"/>
      <c r="G92" s="379"/>
      <c r="H92" s="379"/>
      <c r="I92" s="379"/>
      <c r="J92" s="379"/>
      <c r="K92" s="379"/>
      <c r="L92" s="379"/>
      <c r="M92" s="379"/>
      <c r="N92" s="379"/>
      <c r="O92" s="379"/>
      <c r="P92" s="379"/>
      <c r="Q92" s="379"/>
      <c r="R92" s="379"/>
      <c r="S92" s="379"/>
      <c r="T92" s="379"/>
      <c r="U92" s="441">
        <v>-38</v>
      </c>
      <c r="V92" s="410"/>
      <c r="W92" s="6"/>
      <c r="X92" s="64"/>
    </row>
    <row r="93" spans="1:24" ht="15.6">
      <c r="A93" s="447" t="s">
        <v>190</v>
      </c>
      <c r="B93" s="379" t="s">
        <v>169</v>
      </c>
      <c r="C93" s="379"/>
      <c r="D93" s="379"/>
      <c r="E93" s="379"/>
      <c r="F93" s="379"/>
      <c r="G93" s="379"/>
      <c r="H93" s="379"/>
      <c r="I93" s="379"/>
      <c r="J93" s="379"/>
      <c r="K93" s="379"/>
      <c r="L93" s="379"/>
      <c r="M93" s="379"/>
      <c r="N93" s="379"/>
      <c r="O93" s="379"/>
      <c r="P93" s="379"/>
      <c r="Q93" s="379"/>
      <c r="R93" s="379"/>
      <c r="S93" s="379"/>
      <c r="T93" s="379"/>
      <c r="U93" s="441">
        <v>-62</v>
      </c>
      <c r="V93" s="410"/>
      <c r="W93" s="6"/>
      <c r="X93" s="64"/>
    </row>
    <row r="94" spans="1:24" ht="15.6">
      <c r="A94" s="447" t="s">
        <v>191</v>
      </c>
      <c r="B94" s="379" t="s">
        <v>170</v>
      </c>
      <c r="C94" s="379"/>
      <c r="D94" s="379"/>
      <c r="E94" s="379"/>
      <c r="F94" s="379"/>
      <c r="G94" s="379"/>
      <c r="H94" s="379"/>
      <c r="I94" s="379"/>
      <c r="J94" s="379"/>
      <c r="K94" s="379"/>
      <c r="L94" s="379"/>
      <c r="M94" s="379"/>
      <c r="N94" s="379"/>
      <c r="O94" s="379"/>
      <c r="P94" s="379"/>
      <c r="Q94" s="379"/>
      <c r="R94" s="379"/>
      <c r="S94" s="379"/>
      <c r="T94" s="379"/>
      <c r="U94" s="441">
        <v>-81</v>
      </c>
      <c r="V94" s="410"/>
      <c r="W94" s="6"/>
      <c r="X94" s="182"/>
    </row>
    <row r="95" spans="1:24" ht="15.6">
      <c r="A95" s="444">
        <v>5</v>
      </c>
      <c r="B95" s="379" t="s">
        <v>171</v>
      </c>
      <c r="C95" s="379"/>
      <c r="D95" s="379"/>
      <c r="E95" s="379"/>
      <c r="F95" s="379"/>
      <c r="G95" s="379"/>
      <c r="H95" s="379"/>
      <c r="I95" s="379"/>
      <c r="J95" s="379"/>
      <c r="K95" s="379"/>
      <c r="L95" s="379"/>
      <c r="M95" s="379"/>
      <c r="N95" s="379"/>
      <c r="O95" s="379"/>
      <c r="P95" s="379"/>
      <c r="Q95" s="379"/>
      <c r="R95" s="379"/>
      <c r="S95" s="379"/>
      <c r="T95" s="379"/>
      <c r="U95" s="441">
        <v>-8</v>
      </c>
      <c r="V95" s="410"/>
      <c r="W95" s="6"/>
    </row>
    <row r="96" spans="1:24" ht="15.6">
      <c r="A96" s="447" t="s">
        <v>174</v>
      </c>
      <c r="B96" s="379" t="s">
        <v>172</v>
      </c>
      <c r="C96" s="379"/>
      <c r="D96" s="379"/>
      <c r="E96" s="379"/>
      <c r="F96" s="379"/>
      <c r="G96" s="379"/>
      <c r="H96" s="379"/>
      <c r="I96" s="379"/>
      <c r="J96" s="379"/>
      <c r="K96" s="379"/>
      <c r="L96" s="379"/>
      <c r="M96" s="379"/>
      <c r="N96" s="379"/>
      <c r="O96" s="379"/>
      <c r="P96" s="379"/>
      <c r="Q96" s="379"/>
      <c r="R96" s="379"/>
      <c r="S96" s="379"/>
      <c r="T96" s="379"/>
      <c r="U96" s="441">
        <v>-28</v>
      </c>
      <c r="V96" s="410"/>
      <c r="W96" s="6"/>
      <c r="X96" s="182"/>
    </row>
    <row r="97" spans="1:24" ht="15.6">
      <c r="A97" s="447" t="s">
        <v>176</v>
      </c>
      <c r="B97" s="379" t="s">
        <v>173</v>
      </c>
      <c r="C97" s="379"/>
      <c r="D97" s="379"/>
      <c r="E97" s="379"/>
      <c r="F97" s="379"/>
      <c r="G97" s="379"/>
      <c r="H97" s="379"/>
      <c r="I97" s="379"/>
      <c r="J97" s="379"/>
      <c r="K97" s="379"/>
      <c r="L97" s="379"/>
      <c r="M97" s="379"/>
      <c r="N97" s="379"/>
      <c r="O97" s="379"/>
      <c r="P97" s="379"/>
      <c r="Q97" s="379"/>
      <c r="R97" s="379"/>
      <c r="S97" s="379"/>
      <c r="T97" s="379"/>
      <c r="U97" s="441">
        <v>-44</v>
      </c>
      <c r="V97" s="410"/>
      <c r="W97" s="119"/>
      <c r="X97" s="182"/>
    </row>
    <row r="98" spans="1:24" ht="15.6">
      <c r="A98" s="447" t="s">
        <v>178</v>
      </c>
      <c r="B98" s="379" t="s">
        <v>175</v>
      </c>
      <c r="C98" s="379"/>
      <c r="D98" s="379"/>
      <c r="E98" s="379"/>
      <c r="F98" s="379"/>
      <c r="G98" s="379"/>
      <c r="H98" s="379"/>
      <c r="I98" s="379"/>
      <c r="J98" s="379"/>
      <c r="K98" s="379"/>
      <c r="L98" s="379"/>
      <c r="M98" s="379"/>
      <c r="N98" s="379"/>
      <c r="O98" s="379"/>
      <c r="P98" s="379"/>
      <c r="Q98" s="379"/>
      <c r="R98" s="379"/>
      <c r="S98" s="379"/>
      <c r="T98" s="379"/>
      <c r="U98" s="441">
        <v>-45</v>
      </c>
      <c r="V98" s="410"/>
      <c r="W98" s="6"/>
      <c r="X98" s="182"/>
    </row>
    <row r="99" spans="1:24" ht="15.6">
      <c r="A99" s="447" t="s">
        <v>180</v>
      </c>
      <c r="B99" s="379" t="s">
        <v>177</v>
      </c>
      <c r="C99" s="379"/>
      <c r="D99" s="379"/>
      <c r="E99" s="379"/>
      <c r="F99" s="379"/>
      <c r="G99" s="379"/>
      <c r="H99" s="379"/>
      <c r="I99" s="379"/>
      <c r="J99" s="379"/>
      <c r="K99" s="379"/>
      <c r="L99" s="379"/>
      <c r="M99" s="379"/>
      <c r="N99" s="379"/>
      <c r="O99" s="379"/>
      <c r="P99" s="379"/>
      <c r="Q99" s="379"/>
      <c r="R99" s="379"/>
      <c r="S99" s="379"/>
      <c r="T99" s="379"/>
      <c r="U99" s="441">
        <v>-59</v>
      </c>
      <c r="V99" s="410"/>
      <c r="W99" s="119"/>
      <c r="X99" s="182"/>
    </row>
    <row r="100" spans="1:24" ht="15.6">
      <c r="A100" s="447" t="s">
        <v>192</v>
      </c>
      <c r="B100" s="379" t="s">
        <v>179</v>
      </c>
      <c r="C100" s="379"/>
      <c r="D100" s="379"/>
      <c r="E100" s="379"/>
      <c r="F100" s="379"/>
      <c r="G100" s="379"/>
      <c r="H100" s="379"/>
      <c r="I100" s="379"/>
      <c r="J100" s="379"/>
      <c r="K100" s="379"/>
      <c r="L100" s="379"/>
      <c r="M100" s="379"/>
      <c r="N100" s="379"/>
      <c r="O100" s="379"/>
      <c r="P100" s="379"/>
      <c r="Q100" s="379"/>
      <c r="R100" s="379"/>
      <c r="S100" s="379"/>
      <c r="T100" s="379"/>
      <c r="U100" s="441">
        <v>-87</v>
      </c>
      <c r="V100" s="410"/>
      <c r="W100" s="6"/>
      <c r="X100" s="182"/>
    </row>
    <row r="101" spans="1:24" ht="15.6">
      <c r="A101" s="447" t="s">
        <v>193</v>
      </c>
      <c r="B101" s="379" t="s">
        <v>181</v>
      </c>
      <c r="C101" s="379"/>
      <c r="D101" s="379"/>
      <c r="E101" s="379"/>
      <c r="F101" s="379"/>
      <c r="G101" s="379"/>
      <c r="H101" s="379"/>
      <c r="I101" s="379"/>
      <c r="J101" s="379"/>
      <c r="K101" s="379"/>
      <c r="L101" s="379"/>
      <c r="M101" s="379"/>
      <c r="N101" s="379"/>
      <c r="O101" s="379"/>
      <c r="P101" s="379"/>
      <c r="Q101" s="379"/>
      <c r="R101" s="379"/>
      <c r="S101" s="379"/>
      <c r="T101" s="379"/>
      <c r="U101" s="441">
        <v>-75</v>
      </c>
      <c r="V101" s="410"/>
      <c r="W101" s="119"/>
      <c r="X101" s="182"/>
    </row>
    <row r="102" spans="1:24" ht="15.6">
      <c r="A102" s="444">
        <v>9</v>
      </c>
      <c r="B102" s="379" t="s">
        <v>257</v>
      </c>
      <c r="C102" s="379"/>
      <c r="D102" s="379"/>
      <c r="E102" s="379"/>
      <c r="F102" s="379"/>
      <c r="G102" s="379"/>
      <c r="H102" s="379"/>
      <c r="I102" s="379"/>
      <c r="J102" s="379"/>
      <c r="K102" s="379"/>
      <c r="L102" s="379"/>
      <c r="M102" s="379"/>
      <c r="N102" s="379"/>
      <c r="O102" s="379"/>
      <c r="P102" s="379"/>
      <c r="Q102" s="379"/>
      <c r="R102" s="379"/>
      <c r="S102" s="379"/>
      <c r="T102" s="379"/>
      <c r="U102" s="441">
        <f>+S219-U32+1</f>
        <v>-5997.6223999999929</v>
      </c>
      <c r="V102" s="410"/>
      <c r="W102" s="6"/>
      <c r="X102" s="182"/>
    </row>
    <row r="103" spans="1:24" ht="15.6">
      <c r="A103" s="444">
        <v>10</v>
      </c>
      <c r="B103" s="379" t="s">
        <v>234</v>
      </c>
      <c r="C103" s="379"/>
      <c r="D103" s="379"/>
      <c r="E103" s="379"/>
      <c r="F103" s="379"/>
      <c r="G103" s="379"/>
      <c r="H103" s="379"/>
      <c r="I103" s="379"/>
      <c r="J103" s="379"/>
      <c r="K103" s="379"/>
      <c r="L103" s="379"/>
      <c r="M103" s="379"/>
      <c r="N103" s="379"/>
      <c r="O103" s="379"/>
      <c r="P103" s="379"/>
      <c r="Q103" s="379"/>
      <c r="R103" s="379"/>
      <c r="S103" s="379"/>
      <c r="T103" s="379"/>
      <c r="U103" s="441">
        <v>-40500</v>
      </c>
      <c r="V103" s="410"/>
      <c r="W103" s="6"/>
      <c r="X103" s="64"/>
    </row>
    <row r="104" spans="1:24" ht="15.6">
      <c r="A104" s="444">
        <v>11</v>
      </c>
      <c r="B104" s="379" t="s">
        <v>183</v>
      </c>
      <c r="C104" s="379"/>
      <c r="D104" s="379"/>
      <c r="E104" s="379"/>
      <c r="F104" s="379"/>
      <c r="G104" s="379"/>
      <c r="H104" s="379"/>
      <c r="I104" s="379"/>
      <c r="J104" s="379"/>
      <c r="K104" s="379"/>
      <c r="L104" s="379"/>
      <c r="M104" s="379"/>
      <c r="N104" s="379"/>
      <c r="O104" s="379"/>
      <c r="P104" s="379"/>
      <c r="Q104" s="379"/>
      <c r="R104" s="379"/>
      <c r="S104" s="379"/>
      <c r="T104" s="379"/>
      <c r="U104" s="441">
        <v>0</v>
      </c>
      <c r="V104" s="410"/>
      <c r="W104" s="6"/>
      <c r="X104" s="64"/>
    </row>
    <row r="105" spans="1:24" ht="15.6">
      <c r="A105" s="444">
        <v>12</v>
      </c>
      <c r="B105" s="379" t="s">
        <v>184</v>
      </c>
      <c r="C105" s="379"/>
      <c r="D105" s="379"/>
      <c r="E105" s="379"/>
      <c r="F105" s="379"/>
      <c r="G105" s="379"/>
      <c r="H105" s="379"/>
      <c r="I105" s="379"/>
      <c r="J105" s="379"/>
      <c r="K105" s="379"/>
      <c r="L105" s="379"/>
      <c r="M105" s="379"/>
      <c r="N105" s="379"/>
      <c r="O105" s="379"/>
      <c r="P105" s="379"/>
      <c r="Q105" s="379"/>
      <c r="R105" s="379"/>
      <c r="S105" s="379"/>
      <c r="T105" s="379"/>
      <c r="U105" s="441">
        <v>-148</v>
      </c>
      <c r="V105" s="410"/>
      <c r="W105" s="6"/>
      <c r="X105" s="182"/>
    </row>
    <row r="106" spans="1:24" ht="15.6">
      <c r="A106" s="444">
        <v>13</v>
      </c>
      <c r="B106" s="379" t="s">
        <v>40</v>
      </c>
      <c r="C106" s="379"/>
      <c r="D106" s="379"/>
      <c r="E106" s="379"/>
      <c r="F106" s="379"/>
      <c r="G106" s="379"/>
      <c r="H106" s="379"/>
      <c r="I106" s="379"/>
      <c r="J106" s="379"/>
      <c r="K106" s="379"/>
      <c r="L106" s="379"/>
      <c r="M106" s="379"/>
      <c r="N106" s="379"/>
      <c r="O106" s="379"/>
      <c r="P106" s="379"/>
      <c r="Q106" s="379"/>
      <c r="R106" s="379"/>
      <c r="S106" s="379"/>
      <c r="T106" s="379"/>
      <c r="U106" s="441">
        <f>-SUM(U87:V105)</f>
        <v>-1647.3776000000071</v>
      </c>
      <c r="V106" s="410"/>
      <c r="W106" s="6"/>
      <c r="X106" s="182"/>
    </row>
    <row r="107" spans="1:24" ht="15.6">
      <c r="A107" s="316"/>
      <c r="B107" s="443"/>
      <c r="C107" s="364"/>
      <c r="D107" s="364"/>
      <c r="E107" s="364"/>
      <c r="F107" s="364"/>
      <c r="G107" s="364"/>
      <c r="H107" s="364"/>
      <c r="I107" s="364"/>
      <c r="J107" s="364"/>
      <c r="K107" s="364"/>
      <c r="L107" s="364"/>
      <c r="M107" s="364"/>
      <c r="N107" s="364"/>
      <c r="O107" s="364"/>
      <c r="P107" s="364"/>
      <c r="Q107" s="364"/>
      <c r="R107" s="364"/>
      <c r="S107" s="360"/>
      <c r="T107" s="360"/>
      <c r="U107" s="360"/>
      <c r="V107" s="303"/>
      <c r="W107" s="6"/>
      <c r="X107" s="182"/>
    </row>
    <row r="108" spans="1:24" ht="15.6">
      <c r="A108" s="316"/>
      <c r="B108" s="317"/>
      <c r="C108" s="288"/>
      <c r="D108" s="288"/>
      <c r="E108" s="288"/>
      <c r="F108" s="288"/>
      <c r="G108" s="288"/>
      <c r="H108" s="288"/>
      <c r="I108" s="288"/>
      <c r="J108" s="288"/>
      <c r="K108" s="288"/>
      <c r="L108" s="288"/>
      <c r="M108" s="288"/>
      <c r="N108" s="288"/>
      <c r="O108" s="288"/>
      <c r="P108" s="288"/>
      <c r="Q108" s="288"/>
      <c r="R108" s="288"/>
      <c r="S108" s="318"/>
      <c r="T108" s="318"/>
      <c r="U108" s="318"/>
      <c r="V108" s="303"/>
      <c r="W108" s="6"/>
    </row>
    <row r="109" spans="1:24" ht="16.2" thickBot="1">
      <c r="A109" s="319"/>
      <c r="B109" s="304" t="str">
        <f>+B59</f>
        <v>PPAF3 INVESTOR REPORT QUARTER ENDING DECEMBER 2013</v>
      </c>
      <c r="C109" s="305"/>
      <c r="D109" s="305"/>
      <c r="E109" s="305"/>
      <c r="F109" s="305"/>
      <c r="G109" s="305"/>
      <c r="H109" s="305"/>
      <c r="I109" s="305"/>
      <c r="J109" s="305"/>
      <c r="K109" s="305"/>
      <c r="L109" s="305"/>
      <c r="M109" s="305"/>
      <c r="N109" s="305"/>
      <c r="O109" s="305"/>
      <c r="P109" s="305"/>
      <c r="Q109" s="305"/>
      <c r="R109" s="305"/>
      <c r="S109" s="320"/>
      <c r="T109" s="320"/>
      <c r="U109" s="320"/>
      <c r="V109" s="307"/>
      <c r="W109" s="6"/>
    </row>
    <row r="110" spans="1:24" ht="15.6">
      <c r="A110" s="238"/>
      <c r="B110" s="240"/>
      <c r="C110" s="240"/>
      <c r="D110" s="240"/>
      <c r="E110" s="240"/>
      <c r="F110" s="240"/>
      <c r="G110" s="240"/>
      <c r="H110" s="240"/>
      <c r="I110" s="240"/>
      <c r="J110" s="240"/>
      <c r="K110" s="240"/>
      <c r="L110" s="240"/>
      <c r="M110" s="240"/>
      <c r="N110" s="240"/>
      <c r="O110" s="240"/>
      <c r="P110" s="240"/>
      <c r="Q110" s="240"/>
      <c r="R110" s="240"/>
      <c r="S110" s="269"/>
      <c r="T110" s="269"/>
      <c r="U110" s="269"/>
      <c r="V110" s="241"/>
      <c r="W110" s="6"/>
    </row>
    <row r="111" spans="1:24" ht="15.6">
      <c r="A111" s="321"/>
      <c r="B111" s="517" t="s">
        <v>41</v>
      </c>
      <c r="C111" s="322"/>
      <c r="D111" s="322"/>
      <c r="E111" s="322"/>
      <c r="F111" s="322"/>
      <c r="G111" s="322"/>
      <c r="H111" s="322"/>
      <c r="I111" s="322"/>
      <c r="J111" s="322"/>
      <c r="K111" s="322"/>
      <c r="L111" s="322"/>
      <c r="M111" s="322"/>
      <c r="N111" s="322"/>
      <c r="O111" s="322"/>
      <c r="P111" s="322"/>
      <c r="Q111" s="322"/>
      <c r="R111" s="322"/>
      <c r="S111" s="322"/>
      <c r="T111" s="322"/>
      <c r="U111" s="323"/>
      <c r="V111" s="324"/>
      <c r="W111" s="6"/>
    </row>
    <row r="112" spans="1:24" ht="15.6">
      <c r="A112" s="270"/>
      <c r="B112" s="271"/>
      <c r="C112" s="271"/>
      <c r="D112" s="271"/>
      <c r="E112" s="271"/>
      <c r="F112" s="271"/>
      <c r="G112" s="271"/>
      <c r="H112" s="271"/>
      <c r="I112" s="271"/>
      <c r="J112" s="271"/>
      <c r="K112" s="271"/>
      <c r="L112" s="271"/>
      <c r="M112" s="271"/>
      <c r="N112" s="271"/>
      <c r="O112" s="271"/>
      <c r="P112" s="271"/>
      <c r="Q112" s="271"/>
      <c r="R112" s="271"/>
      <c r="S112" s="271"/>
      <c r="T112" s="271"/>
      <c r="U112" s="272"/>
      <c r="V112" s="273"/>
      <c r="W112" s="6"/>
    </row>
    <row r="113" spans="1:24" ht="15.6">
      <c r="A113" s="242"/>
      <c r="B113" s="274" t="s">
        <v>42</v>
      </c>
      <c r="C113" s="252"/>
      <c r="D113" s="252"/>
      <c r="E113" s="252"/>
      <c r="F113" s="252"/>
      <c r="G113" s="252"/>
      <c r="H113" s="252"/>
      <c r="I113" s="252"/>
      <c r="J113" s="252"/>
      <c r="K113" s="252"/>
      <c r="L113" s="252"/>
      <c r="M113" s="244"/>
      <c r="N113" s="244"/>
      <c r="O113" s="244"/>
      <c r="P113" s="244"/>
      <c r="Q113" s="244"/>
      <c r="R113" s="244"/>
      <c r="S113" s="244"/>
      <c r="T113" s="244"/>
      <c r="U113" s="263"/>
      <c r="V113" s="245"/>
      <c r="W113" s="6"/>
    </row>
    <row r="114" spans="1:24" ht="15.6">
      <c r="A114" s="378"/>
      <c r="B114" s="379" t="s">
        <v>43</v>
      </c>
      <c r="C114" s="379"/>
      <c r="D114" s="379"/>
      <c r="E114" s="379"/>
      <c r="F114" s="379"/>
      <c r="G114" s="379"/>
      <c r="H114" s="379"/>
      <c r="I114" s="379"/>
      <c r="J114" s="379"/>
      <c r="K114" s="379"/>
      <c r="L114" s="379"/>
      <c r="M114" s="379"/>
      <c r="N114" s="379"/>
      <c r="O114" s="379"/>
      <c r="P114" s="379"/>
      <c r="Q114" s="379"/>
      <c r="R114" s="379"/>
      <c r="S114" s="379"/>
      <c r="T114" s="379"/>
      <c r="U114" s="441">
        <v>40500</v>
      </c>
      <c r="V114" s="410"/>
      <c r="W114" s="6"/>
    </row>
    <row r="115" spans="1:24" ht="15.6">
      <c r="A115" s="378"/>
      <c r="B115" s="379" t="s">
        <v>240</v>
      </c>
      <c r="C115" s="379"/>
      <c r="D115" s="379"/>
      <c r="E115" s="379"/>
      <c r="F115" s="379"/>
      <c r="G115" s="379"/>
      <c r="H115" s="379"/>
      <c r="I115" s="379"/>
      <c r="J115" s="379"/>
      <c r="K115" s="379"/>
      <c r="L115" s="379"/>
      <c r="M115" s="379"/>
      <c r="N115" s="379"/>
      <c r="O115" s="379"/>
      <c r="P115" s="379"/>
      <c r="Q115" s="379"/>
      <c r="R115" s="379"/>
      <c r="S115" s="379"/>
      <c r="T115" s="379"/>
      <c r="U115" s="441">
        <v>40500</v>
      </c>
      <c r="V115" s="410"/>
      <c r="W115" s="6"/>
    </row>
    <row r="116" spans="1:24" ht="15.6">
      <c r="A116" s="378"/>
      <c r="B116" s="379" t="s">
        <v>241</v>
      </c>
      <c r="C116" s="379"/>
      <c r="D116" s="379"/>
      <c r="E116" s="379"/>
      <c r="F116" s="379"/>
      <c r="G116" s="379"/>
      <c r="H116" s="379"/>
      <c r="I116" s="379"/>
      <c r="J116" s="379"/>
      <c r="K116" s="379"/>
      <c r="L116" s="379"/>
      <c r="M116" s="379"/>
      <c r="N116" s="379"/>
      <c r="O116" s="379"/>
      <c r="P116" s="379"/>
      <c r="Q116" s="379"/>
      <c r="R116" s="379"/>
      <c r="S116" s="379"/>
      <c r="T116" s="379"/>
      <c r="U116" s="441">
        <v>0</v>
      </c>
      <c r="V116" s="410"/>
      <c r="W116" s="6"/>
    </row>
    <row r="117" spans="1:24" ht="15.6">
      <c r="A117" s="378"/>
      <c r="B117" s="379" t="s">
        <v>209</v>
      </c>
      <c r="C117" s="379"/>
      <c r="D117" s="379"/>
      <c r="E117" s="379"/>
      <c r="F117" s="379"/>
      <c r="G117" s="379"/>
      <c r="H117" s="379"/>
      <c r="I117" s="379"/>
      <c r="J117" s="379"/>
      <c r="K117" s="379"/>
      <c r="L117" s="379"/>
      <c r="M117" s="379"/>
      <c r="N117" s="379"/>
      <c r="O117" s="379"/>
      <c r="P117" s="379"/>
      <c r="Q117" s="379"/>
      <c r="R117" s="379"/>
      <c r="S117" s="379"/>
      <c r="T117" s="379"/>
      <c r="U117" s="441">
        <v>0</v>
      </c>
      <c r="V117" s="410"/>
      <c r="W117" s="6"/>
    </row>
    <row r="118" spans="1:24" ht="15.6">
      <c r="A118" s="378"/>
      <c r="B118" s="379" t="s">
        <v>210</v>
      </c>
      <c r="C118" s="379"/>
      <c r="D118" s="379"/>
      <c r="E118" s="379"/>
      <c r="F118" s="379"/>
      <c r="G118" s="379"/>
      <c r="H118" s="379"/>
      <c r="I118" s="379"/>
      <c r="J118" s="379"/>
      <c r="K118" s="379"/>
      <c r="L118" s="379"/>
      <c r="M118" s="379"/>
      <c r="N118" s="379"/>
      <c r="O118" s="379"/>
      <c r="P118" s="379"/>
      <c r="Q118" s="379"/>
      <c r="R118" s="379"/>
      <c r="S118" s="379"/>
      <c r="T118" s="379"/>
      <c r="U118" s="441">
        <v>0</v>
      </c>
      <c r="V118" s="410"/>
      <c r="W118" s="6"/>
    </row>
    <row r="119" spans="1:24" ht="15.6">
      <c r="A119" s="378"/>
      <c r="B119" s="379" t="s">
        <v>211</v>
      </c>
      <c r="C119" s="379"/>
      <c r="D119" s="379"/>
      <c r="E119" s="379"/>
      <c r="F119" s="379"/>
      <c r="G119" s="379"/>
      <c r="H119" s="379"/>
      <c r="I119" s="379"/>
      <c r="J119" s="379"/>
      <c r="K119" s="379"/>
      <c r="L119" s="379"/>
      <c r="M119" s="379"/>
      <c r="N119" s="379"/>
      <c r="O119" s="379"/>
      <c r="P119" s="379"/>
      <c r="Q119" s="379"/>
      <c r="R119" s="379"/>
      <c r="S119" s="379"/>
      <c r="T119" s="379"/>
      <c r="U119" s="441">
        <v>0</v>
      </c>
      <c r="V119" s="410"/>
      <c r="W119" s="6"/>
    </row>
    <row r="120" spans="1:24" ht="15.6">
      <c r="A120" s="378"/>
      <c r="B120" s="379" t="s">
        <v>212</v>
      </c>
      <c r="C120" s="379"/>
      <c r="D120" s="379"/>
      <c r="E120" s="379"/>
      <c r="F120" s="379"/>
      <c r="G120" s="379"/>
      <c r="H120" s="379"/>
      <c r="I120" s="379"/>
      <c r="J120" s="379"/>
      <c r="K120" s="379"/>
      <c r="L120" s="379"/>
      <c r="M120" s="379"/>
      <c r="N120" s="379"/>
      <c r="O120" s="379"/>
      <c r="P120" s="379"/>
      <c r="Q120" s="379"/>
      <c r="R120" s="379"/>
      <c r="S120" s="379"/>
      <c r="T120" s="379"/>
      <c r="U120" s="441">
        <v>0</v>
      </c>
      <c r="V120" s="410"/>
      <c r="W120" s="6"/>
    </row>
    <row r="121" spans="1:24" ht="15.6">
      <c r="A121" s="378"/>
      <c r="B121" s="379" t="s">
        <v>242</v>
      </c>
      <c r="C121" s="379"/>
      <c r="D121" s="379"/>
      <c r="E121" s="379"/>
      <c r="F121" s="379"/>
      <c r="G121" s="379"/>
      <c r="H121" s="379"/>
      <c r="I121" s="379"/>
      <c r="J121" s="379"/>
      <c r="K121" s="379"/>
      <c r="L121" s="379"/>
      <c r="M121" s="379"/>
      <c r="N121" s="379"/>
      <c r="O121" s="379"/>
      <c r="P121" s="379"/>
      <c r="Q121" s="379"/>
      <c r="R121" s="379"/>
      <c r="S121" s="379"/>
      <c r="T121" s="379"/>
      <c r="U121" s="441">
        <v>0</v>
      </c>
      <c r="V121" s="410"/>
      <c r="W121" s="6"/>
    </row>
    <row r="122" spans="1:24" ht="15.6">
      <c r="A122" s="378"/>
      <c r="B122" s="379" t="s">
        <v>45</v>
      </c>
      <c r="C122" s="379"/>
      <c r="D122" s="379"/>
      <c r="E122" s="379"/>
      <c r="F122" s="379"/>
      <c r="G122" s="379"/>
      <c r="H122" s="379"/>
      <c r="I122" s="379"/>
      <c r="J122" s="379"/>
      <c r="K122" s="379"/>
      <c r="L122" s="379"/>
      <c r="M122" s="379"/>
      <c r="N122" s="379"/>
      <c r="O122" s="379"/>
      <c r="P122" s="379"/>
      <c r="Q122" s="379"/>
      <c r="R122" s="379"/>
      <c r="S122" s="379"/>
      <c r="T122" s="379"/>
      <c r="U122" s="441">
        <f>SUM(U115:U121)</f>
        <v>40500</v>
      </c>
      <c r="V122" s="410"/>
      <c r="W122" s="6"/>
    </row>
    <row r="123" spans="1:24" ht="15.6">
      <c r="A123" s="242"/>
      <c r="B123" s="438"/>
      <c r="C123" s="438"/>
      <c r="D123" s="438"/>
      <c r="E123" s="438"/>
      <c r="F123" s="438"/>
      <c r="G123" s="438"/>
      <c r="H123" s="438"/>
      <c r="I123" s="438"/>
      <c r="J123" s="438"/>
      <c r="K123" s="438"/>
      <c r="L123" s="438"/>
      <c r="M123" s="438"/>
      <c r="N123" s="438"/>
      <c r="O123" s="438"/>
      <c r="P123" s="438"/>
      <c r="Q123" s="438"/>
      <c r="R123" s="438"/>
      <c r="S123" s="438"/>
      <c r="T123" s="438"/>
      <c r="U123" s="448"/>
      <c r="V123" s="245"/>
      <c r="W123" s="6"/>
    </row>
    <row r="124" spans="1:24" ht="15.6">
      <c r="A124" s="242"/>
      <c r="B124" s="274" t="s">
        <v>46</v>
      </c>
      <c r="C124" s="252"/>
      <c r="D124" s="252"/>
      <c r="E124" s="252"/>
      <c r="F124" s="252"/>
      <c r="G124" s="252"/>
      <c r="H124" s="252"/>
      <c r="I124" s="252"/>
      <c r="J124" s="252"/>
      <c r="K124" s="252"/>
      <c r="L124" s="252"/>
      <c r="M124" s="244"/>
      <c r="N124" s="244"/>
      <c r="O124" s="244"/>
      <c r="P124" s="275"/>
      <c r="Q124" s="244"/>
      <c r="R124" s="244"/>
      <c r="S124" s="244"/>
      <c r="T124" s="244"/>
      <c r="U124" s="276"/>
      <c r="V124" s="245"/>
      <c r="W124" s="6"/>
    </row>
    <row r="125" spans="1:24" ht="15.6">
      <c r="A125" s="230"/>
      <c r="B125" s="511"/>
      <c r="C125" s="232" t="s">
        <v>185</v>
      </c>
      <c r="D125" s="232"/>
      <c r="E125" s="232" t="s">
        <v>99</v>
      </c>
      <c r="F125" s="232"/>
      <c r="G125" s="232" t="s">
        <v>102</v>
      </c>
      <c r="H125" s="232"/>
      <c r="I125" s="232" t="s">
        <v>108</v>
      </c>
      <c r="J125" s="232"/>
      <c r="K125" s="232"/>
      <c r="L125" s="232"/>
      <c r="M125" s="232"/>
      <c r="N125" s="232"/>
      <c r="O125" s="232"/>
      <c r="P125" s="326"/>
      <c r="Q125" s="326"/>
      <c r="R125" s="231"/>
      <c r="S125" s="231"/>
      <c r="T125" s="231"/>
      <c r="U125" s="309"/>
      <c r="V125" s="237"/>
      <c r="W125" s="6"/>
    </row>
    <row r="126" spans="1:24" ht="15.6">
      <c r="A126" s="257"/>
      <c r="B126" s="294" t="s">
        <v>122</v>
      </c>
      <c r="C126" s="310">
        <f>+N199-'September 13'!N199</f>
        <v>-52</v>
      </c>
      <c r="D126" s="294"/>
      <c r="E126" s="310">
        <f>+S199-'September 13'!S199</f>
        <v>-10</v>
      </c>
      <c r="F126" s="294"/>
      <c r="G126" s="310">
        <f>+'Dec 13'!N212-'September 13'!N212</f>
        <v>489</v>
      </c>
      <c r="H126" s="294"/>
      <c r="I126" s="310">
        <f>+S212-'September 13'!S212</f>
        <v>-47</v>
      </c>
      <c r="J126" s="294"/>
      <c r="K126" s="294"/>
      <c r="L126" s="294"/>
      <c r="M126" s="294"/>
      <c r="N126" s="294"/>
      <c r="O126" s="294"/>
      <c r="P126" s="325"/>
      <c r="Q126" s="325"/>
      <c r="R126" s="294"/>
      <c r="S126" s="294"/>
      <c r="T126" s="294"/>
      <c r="U126" s="311">
        <f>SUM(C126:I126)</f>
        <v>380</v>
      </c>
      <c r="V126" s="298"/>
      <c r="W126" s="6"/>
      <c r="X126" s="182"/>
    </row>
    <row r="127" spans="1:24" ht="15.6">
      <c r="A127" s="378"/>
      <c r="B127" s="379" t="s">
        <v>47</v>
      </c>
      <c r="C127" s="379">
        <v>28</v>
      </c>
      <c r="D127" s="379"/>
      <c r="E127" s="379">
        <v>0</v>
      </c>
      <c r="F127" s="379"/>
      <c r="G127" s="379">
        <v>382</v>
      </c>
      <c r="H127" s="379"/>
      <c r="I127" s="440">
        <v>27</v>
      </c>
      <c r="J127" s="379"/>
      <c r="K127" s="379"/>
      <c r="L127" s="379"/>
      <c r="M127" s="379"/>
      <c r="N127" s="379"/>
      <c r="O127" s="379"/>
      <c r="P127" s="450"/>
      <c r="Q127" s="450"/>
      <c r="R127" s="379"/>
      <c r="S127" s="379"/>
      <c r="T127" s="379"/>
      <c r="U127" s="441">
        <f>SUM(C127:I127)</f>
        <v>437</v>
      </c>
      <c r="V127" s="410"/>
      <c r="W127" s="6"/>
    </row>
    <row r="128" spans="1:24" ht="15.6">
      <c r="A128" s="242"/>
      <c r="B128" s="364" t="s">
        <v>48</v>
      </c>
      <c r="C128" s="364"/>
      <c r="D128" s="364"/>
      <c r="E128" s="364"/>
      <c r="F128" s="364"/>
      <c r="G128" s="364"/>
      <c r="H128" s="364"/>
      <c r="I128" s="364"/>
      <c r="J128" s="364"/>
      <c r="K128" s="364"/>
      <c r="L128" s="364"/>
      <c r="M128" s="364"/>
      <c r="N128" s="364"/>
      <c r="O128" s="364"/>
      <c r="P128" s="364"/>
      <c r="Q128" s="364"/>
      <c r="R128" s="364"/>
      <c r="S128" s="364"/>
      <c r="T128" s="364"/>
      <c r="U128" s="449">
        <f>SUM(U126:U127)</f>
        <v>817</v>
      </c>
      <c r="V128" s="303"/>
      <c r="W128" s="6"/>
      <c r="X128" s="182"/>
    </row>
    <row r="129" spans="1:25" ht="15.6">
      <c r="A129" s="242"/>
      <c r="B129" s="274" t="s">
        <v>49</v>
      </c>
      <c r="C129" s="252"/>
      <c r="D129" s="252"/>
      <c r="E129" s="252"/>
      <c r="F129" s="252"/>
      <c r="G129" s="252"/>
      <c r="H129" s="252"/>
      <c r="I129" s="252"/>
      <c r="J129" s="252"/>
      <c r="K129" s="252"/>
      <c r="L129" s="252"/>
      <c r="M129" s="244"/>
      <c r="N129" s="244"/>
      <c r="O129" s="244"/>
      <c r="P129" s="244"/>
      <c r="Q129" s="244"/>
      <c r="R129" s="244"/>
      <c r="S129" s="244"/>
      <c r="T129" s="244"/>
      <c r="U129" s="263"/>
      <c r="V129" s="245"/>
      <c r="W129" s="6"/>
    </row>
    <row r="130" spans="1:25" ht="15.6">
      <c r="A130" s="444"/>
      <c r="B130" s="379" t="s">
        <v>50</v>
      </c>
      <c r="C130" s="386"/>
      <c r="D130" s="386"/>
      <c r="E130" s="386"/>
      <c r="F130" s="386"/>
      <c r="G130" s="386"/>
      <c r="H130" s="386"/>
      <c r="I130" s="386"/>
      <c r="J130" s="386"/>
      <c r="K130" s="386"/>
      <c r="L130" s="386"/>
      <c r="M130" s="379"/>
      <c r="N130" s="379"/>
      <c r="O130" s="379"/>
      <c r="P130" s="379"/>
      <c r="Q130" s="379"/>
      <c r="R130" s="379"/>
      <c r="S130" s="379"/>
      <c r="T130" s="379"/>
      <c r="U130" s="441">
        <f>U75+U77</f>
        <v>124488</v>
      </c>
      <c r="V130" s="410"/>
      <c r="W130" s="6"/>
      <c r="X130" s="182"/>
    </row>
    <row r="131" spans="1:25" ht="15.6">
      <c r="A131" s="444"/>
      <c r="B131" s="379" t="s">
        <v>51</v>
      </c>
      <c r="C131" s="386"/>
      <c r="D131" s="386"/>
      <c r="E131" s="386"/>
      <c r="F131" s="386"/>
      <c r="G131" s="386"/>
      <c r="H131" s="386"/>
      <c r="I131" s="386"/>
      <c r="J131" s="386"/>
      <c r="K131" s="386"/>
      <c r="L131" s="386"/>
      <c r="M131" s="379"/>
      <c r="N131" s="379"/>
      <c r="O131" s="379"/>
      <c r="P131" s="379"/>
      <c r="Q131" s="379"/>
      <c r="R131" s="379"/>
      <c r="S131" s="379"/>
      <c r="T131" s="379"/>
      <c r="U131" s="441">
        <v>0</v>
      </c>
      <c r="V131" s="410"/>
      <c r="W131" s="6"/>
      <c r="Y131" s="182"/>
    </row>
    <row r="132" spans="1:25" ht="15.6">
      <c r="A132" s="444"/>
      <c r="B132" s="379" t="s">
        <v>52</v>
      </c>
      <c r="C132" s="386"/>
      <c r="D132" s="386"/>
      <c r="E132" s="386"/>
      <c r="F132" s="386"/>
      <c r="G132" s="386"/>
      <c r="H132" s="386"/>
      <c r="I132" s="386"/>
      <c r="J132" s="386"/>
      <c r="K132" s="386"/>
      <c r="L132" s="386"/>
      <c r="M132" s="379"/>
      <c r="N132" s="379"/>
      <c r="O132" s="379"/>
      <c r="P132" s="379"/>
      <c r="Q132" s="379"/>
      <c r="R132" s="379"/>
      <c r="S132" s="379"/>
      <c r="T132" s="379"/>
      <c r="U132" s="441">
        <f>+U130+U131</f>
        <v>124488</v>
      </c>
      <c r="V132" s="410"/>
      <c r="W132" s="6"/>
    </row>
    <row r="133" spans="1:25" ht="15.6">
      <c r="A133" s="444"/>
      <c r="B133" s="379" t="s">
        <v>53</v>
      </c>
      <c r="C133" s="386"/>
      <c r="D133" s="386"/>
      <c r="E133" s="386"/>
      <c r="F133" s="386"/>
      <c r="G133" s="386"/>
      <c r="H133" s="386"/>
      <c r="I133" s="386"/>
      <c r="J133" s="386"/>
      <c r="K133" s="386"/>
      <c r="L133" s="386"/>
      <c r="M133" s="379"/>
      <c r="N133" s="379"/>
      <c r="O133" s="379"/>
      <c r="P133" s="379"/>
      <c r="Q133" s="379"/>
      <c r="R133" s="379"/>
      <c r="S133" s="379"/>
      <c r="T133" s="379"/>
      <c r="U133" s="441">
        <f>U80</f>
        <v>124488</v>
      </c>
      <c r="V133" s="410"/>
      <c r="W133" s="6"/>
      <c r="X133" s="64"/>
    </row>
    <row r="134" spans="1:25" ht="15.6">
      <c r="A134" s="242"/>
      <c r="B134" s="438"/>
      <c r="C134" s="438"/>
      <c r="D134" s="438"/>
      <c r="E134" s="438"/>
      <c r="F134" s="438"/>
      <c r="G134" s="438"/>
      <c r="H134" s="438"/>
      <c r="I134" s="438"/>
      <c r="J134" s="438"/>
      <c r="K134" s="438"/>
      <c r="L134" s="438"/>
      <c r="M134" s="438"/>
      <c r="N134" s="438"/>
      <c r="O134" s="438"/>
      <c r="P134" s="438"/>
      <c r="Q134" s="438"/>
      <c r="R134" s="438"/>
      <c r="S134" s="438"/>
      <c r="T134" s="438"/>
      <c r="U134" s="451"/>
      <c r="V134" s="245"/>
      <c r="W134" s="6"/>
    </row>
    <row r="135" spans="1:25" ht="15.6">
      <c r="A135" s="242"/>
      <c r="B135" s="274" t="s">
        <v>54</v>
      </c>
      <c r="C135" s="247"/>
      <c r="D135" s="247"/>
      <c r="E135" s="247"/>
      <c r="F135" s="247"/>
      <c r="G135" s="247"/>
      <c r="H135" s="247"/>
      <c r="I135" s="247"/>
      <c r="J135" s="247"/>
      <c r="K135" s="247"/>
      <c r="L135" s="247"/>
      <c r="M135" s="247"/>
      <c r="N135" s="247"/>
      <c r="O135" s="247"/>
      <c r="P135" s="247"/>
      <c r="Q135" s="277" t="s">
        <v>112</v>
      </c>
      <c r="R135" s="278"/>
      <c r="S135" s="277" t="s">
        <v>114</v>
      </c>
      <c r="T135" s="247"/>
      <c r="U135" s="279" t="s">
        <v>90</v>
      </c>
      <c r="V135" s="245"/>
      <c r="W135" s="6"/>
    </row>
    <row r="136" spans="1:25" ht="15.6">
      <c r="A136" s="378"/>
      <c r="B136" s="379" t="s">
        <v>55</v>
      </c>
      <c r="C136" s="379"/>
      <c r="D136" s="379"/>
      <c r="E136" s="379"/>
      <c r="F136" s="379"/>
      <c r="G136" s="379"/>
      <c r="H136" s="379"/>
      <c r="I136" s="379"/>
      <c r="J136" s="379"/>
      <c r="K136" s="379"/>
      <c r="L136" s="379"/>
      <c r="M136" s="379"/>
      <c r="N136" s="379"/>
      <c r="O136" s="379"/>
      <c r="P136" s="379"/>
      <c r="Q136" s="441">
        <v>0</v>
      </c>
      <c r="R136" s="379"/>
      <c r="S136" s="453" t="s">
        <v>115</v>
      </c>
      <c r="T136" s="379"/>
      <c r="U136" s="441">
        <f>Q136</f>
        <v>0</v>
      </c>
      <c r="V136" s="385"/>
      <c r="W136" s="6"/>
    </row>
    <row r="137" spans="1:25" ht="15.6">
      <c r="A137" s="378"/>
      <c r="B137" s="379" t="s">
        <v>56</v>
      </c>
      <c r="C137" s="379"/>
      <c r="D137" s="379"/>
      <c r="E137" s="379"/>
      <c r="F137" s="379"/>
      <c r="G137" s="379"/>
      <c r="H137" s="379"/>
      <c r="I137" s="379"/>
      <c r="J137" s="379"/>
      <c r="K137" s="379"/>
      <c r="L137" s="379"/>
      <c r="M137" s="379"/>
      <c r="N137" s="379"/>
      <c r="O137" s="379"/>
      <c r="P137" s="379"/>
      <c r="Q137" s="441">
        <f>+'September 13'!Q139</f>
        <v>4229</v>
      </c>
      <c r="R137" s="379"/>
      <c r="S137" s="453" t="s">
        <v>115</v>
      </c>
      <c r="T137" s="379"/>
      <c r="U137" s="441">
        <f>Q137</f>
        <v>4229</v>
      </c>
      <c r="V137" s="385"/>
      <c r="W137" s="6"/>
    </row>
    <row r="138" spans="1:25" ht="15.6">
      <c r="A138" s="378"/>
      <c r="B138" s="379" t="s">
        <v>57</v>
      </c>
      <c r="C138" s="379"/>
      <c r="D138" s="379"/>
      <c r="E138" s="379"/>
      <c r="F138" s="379"/>
      <c r="G138" s="379"/>
      <c r="H138" s="379"/>
      <c r="I138" s="379"/>
      <c r="J138" s="379"/>
      <c r="K138" s="379"/>
      <c r="L138" s="379"/>
      <c r="M138" s="379"/>
      <c r="N138" s="379"/>
      <c r="O138" s="379"/>
      <c r="P138" s="379"/>
      <c r="Q138" s="441">
        <v>0</v>
      </c>
      <c r="R138" s="379"/>
      <c r="S138" s="453" t="s">
        <v>115</v>
      </c>
      <c r="T138" s="379"/>
      <c r="U138" s="441">
        <f>Q138</f>
        <v>0</v>
      </c>
      <c r="V138" s="385"/>
      <c r="W138" s="6"/>
    </row>
    <row r="139" spans="1:25" ht="15.6">
      <c r="A139" s="378"/>
      <c r="B139" s="379" t="s">
        <v>58</v>
      </c>
      <c r="C139" s="379"/>
      <c r="D139" s="379"/>
      <c r="E139" s="379"/>
      <c r="F139" s="379"/>
      <c r="G139" s="379"/>
      <c r="H139" s="379"/>
      <c r="I139" s="379"/>
      <c r="J139" s="379"/>
      <c r="K139" s="379"/>
      <c r="L139" s="379"/>
      <c r="M139" s="379"/>
      <c r="N139" s="379"/>
      <c r="O139" s="379"/>
      <c r="P139" s="379"/>
      <c r="Q139" s="441">
        <f>SUM(Q137:Q138)</f>
        <v>4229</v>
      </c>
      <c r="R139" s="379"/>
      <c r="S139" s="453" t="s">
        <v>115</v>
      </c>
      <c r="T139" s="379"/>
      <c r="U139" s="441">
        <f>Q139</f>
        <v>4229</v>
      </c>
      <c r="V139" s="385"/>
      <c r="W139" s="6"/>
    </row>
    <row r="140" spans="1:25" ht="15.6">
      <c r="A140" s="378"/>
      <c r="B140" s="379" t="s">
        <v>215</v>
      </c>
      <c r="C140" s="379"/>
      <c r="D140" s="379"/>
      <c r="E140" s="379"/>
      <c r="F140" s="379"/>
      <c r="G140" s="379"/>
      <c r="H140" s="379"/>
      <c r="I140" s="379"/>
      <c r="J140" s="379"/>
      <c r="K140" s="379"/>
      <c r="L140" s="379"/>
      <c r="M140" s="379"/>
      <c r="N140" s="379"/>
      <c r="O140" s="379"/>
      <c r="P140" s="379"/>
      <c r="Q140" s="441"/>
      <c r="R140" s="379"/>
      <c r="S140" s="453"/>
      <c r="T140" s="379"/>
      <c r="U140" s="441"/>
      <c r="V140" s="385"/>
      <c r="W140" s="6"/>
    </row>
    <row r="141" spans="1:25" ht="15.6">
      <c r="A141" s="378"/>
      <c r="B141" s="454"/>
      <c r="C141" s="454"/>
      <c r="D141" s="454"/>
      <c r="E141" s="454"/>
      <c r="F141" s="454"/>
      <c r="G141" s="454"/>
      <c r="H141" s="454"/>
      <c r="I141" s="454"/>
      <c r="J141" s="454"/>
      <c r="K141" s="454"/>
      <c r="L141" s="454"/>
      <c r="M141" s="454"/>
      <c r="N141" s="454"/>
      <c r="O141" s="454"/>
      <c r="P141" s="454"/>
      <c r="Q141" s="454"/>
      <c r="R141" s="454"/>
      <c r="S141" s="454"/>
      <c r="T141" s="454"/>
      <c r="U141" s="454"/>
      <c r="V141" s="385"/>
      <c r="W141" s="6"/>
    </row>
    <row r="142" spans="1:25" ht="15.6">
      <c r="A142" s="242"/>
      <c r="B142" s="452"/>
      <c r="C142" s="452"/>
      <c r="D142" s="452"/>
      <c r="E142" s="452"/>
      <c r="F142" s="452"/>
      <c r="G142" s="452"/>
      <c r="H142" s="452"/>
      <c r="I142" s="452"/>
      <c r="J142" s="452"/>
      <c r="K142" s="452"/>
      <c r="L142" s="452"/>
      <c r="M142" s="452"/>
      <c r="N142" s="452"/>
      <c r="O142" s="452"/>
      <c r="P142" s="452"/>
      <c r="Q142" s="452"/>
      <c r="R142" s="452"/>
      <c r="S142" s="452"/>
      <c r="T142" s="452"/>
      <c r="U142" s="452"/>
      <c r="V142" s="284"/>
      <c r="W142" s="6"/>
    </row>
    <row r="143" spans="1:25" ht="15.6">
      <c r="A143" s="230"/>
      <c r="B143" s="511" t="s">
        <v>59</v>
      </c>
      <c r="C143" s="518"/>
      <c r="D143" s="518"/>
      <c r="E143" s="518"/>
      <c r="F143" s="518"/>
      <c r="G143" s="518"/>
      <c r="H143" s="518"/>
      <c r="I143" s="518"/>
      <c r="J143" s="518"/>
      <c r="K143" s="518"/>
      <c r="L143" s="518"/>
      <c r="M143" s="518"/>
      <c r="N143" s="518"/>
      <c r="O143" s="518"/>
      <c r="P143" s="519"/>
      <c r="Q143" s="519"/>
      <c r="R143" s="519"/>
      <c r="S143" s="519">
        <v>41639</v>
      </c>
      <c r="T143" s="231"/>
      <c r="U143" s="231"/>
      <c r="V143" s="237"/>
      <c r="W143" s="6"/>
    </row>
    <row r="144" spans="1:25" ht="15.6">
      <c r="A144" s="281"/>
      <c r="B144" s="294" t="s">
        <v>60</v>
      </c>
      <c r="C144" s="329"/>
      <c r="D144" s="329"/>
      <c r="E144" s="329"/>
      <c r="F144" s="329"/>
      <c r="G144" s="329"/>
      <c r="H144" s="329"/>
      <c r="I144" s="329"/>
      <c r="J144" s="329"/>
      <c r="K144" s="329"/>
      <c r="L144" s="329"/>
      <c r="M144" s="329"/>
      <c r="N144" s="329"/>
      <c r="O144" s="329"/>
      <c r="P144" s="300"/>
      <c r="Q144" s="300"/>
      <c r="R144" s="300"/>
      <c r="S144" s="299">
        <v>0.10630000000000001</v>
      </c>
      <c r="T144" s="294"/>
      <c r="U144" s="294"/>
      <c r="V144" s="260"/>
      <c r="W144" s="6"/>
    </row>
    <row r="145" spans="1:23" ht="15.6">
      <c r="A145" s="458"/>
      <c r="B145" s="379" t="s">
        <v>61</v>
      </c>
      <c r="C145" s="459"/>
      <c r="D145" s="459"/>
      <c r="E145" s="459"/>
      <c r="F145" s="459"/>
      <c r="G145" s="459"/>
      <c r="H145" s="459"/>
      <c r="I145" s="459"/>
      <c r="J145" s="459"/>
      <c r="K145" s="459"/>
      <c r="L145" s="459"/>
      <c r="M145" s="459"/>
      <c r="N145" s="459"/>
      <c r="O145" s="459"/>
      <c r="P145" s="433"/>
      <c r="Q145" s="433"/>
      <c r="R145" s="433"/>
      <c r="S145" s="427">
        <v>5.2200000000000003E-2</v>
      </c>
      <c r="T145" s="427"/>
      <c r="U145" s="379"/>
      <c r="V145" s="385"/>
      <c r="W145" s="6"/>
    </row>
    <row r="146" spans="1:23" ht="15.6">
      <c r="A146" s="458"/>
      <c r="B146" s="379" t="s">
        <v>62</v>
      </c>
      <c r="C146" s="459"/>
      <c r="D146" s="459"/>
      <c r="E146" s="459"/>
      <c r="F146" s="459"/>
      <c r="G146" s="459"/>
      <c r="H146" s="459"/>
      <c r="I146" s="459"/>
      <c r="J146" s="459"/>
      <c r="K146" s="459"/>
      <c r="L146" s="459"/>
      <c r="M146" s="459"/>
      <c r="N146" s="459"/>
      <c r="O146" s="459"/>
      <c r="P146" s="433"/>
      <c r="Q146" s="433"/>
      <c r="R146" s="433"/>
      <c r="S146" s="427">
        <f>S144-S145</f>
        <v>5.4100000000000002E-2</v>
      </c>
      <c r="T146" s="379"/>
      <c r="U146" s="379"/>
      <c r="V146" s="385"/>
      <c r="W146" s="6"/>
    </row>
    <row r="147" spans="1:23" ht="15.6">
      <c r="A147" s="458"/>
      <c r="B147" s="379" t="s">
        <v>63</v>
      </c>
      <c r="C147" s="459"/>
      <c r="D147" s="459"/>
      <c r="E147" s="459"/>
      <c r="F147" s="459"/>
      <c r="G147" s="459"/>
      <c r="H147" s="459"/>
      <c r="I147" s="459"/>
      <c r="J147" s="459"/>
      <c r="K147" s="459"/>
      <c r="L147" s="459"/>
      <c r="M147" s="459"/>
      <c r="N147" s="459"/>
      <c r="O147" s="459"/>
      <c r="P147" s="433"/>
      <c r="Q147" s="433"/>
      <c r="R147" s="433"/>
      <c r="S147" s="427">
        <v>9.1149999999999995E-2</v>
      </c>
      <c r="T147" s="379"/>
      <c r="U147" s="379"/>
      <c r="V147" s="385"/>
      <c r="W147" s="6"/>
    </row>
    <row r="148" spans="1:23" ht="15.6">
      <c r="A148" s="458"/>
      <c r="B148" s="379" t="s">
        <v>64</v>
      </c>
      <c r="C148" s="459"/>
      <c r="D148" s="459"/>
      <c r="E148" s="459"/>
      <c r="F148" s="459"/>
      <c r="G148" s="459"/>
      <c r="H148" s="459"/>
      <c r="I148" s="459"/>
      <c r="J148" s="459"/>
      <c r="K148" s="459"/>
      <c r="L148" s="459"/>
      <c r="M148" s="459"/>
      <c r="N148" s="459"/>
      <c r="O148" s="459"/>
      <c r="P148" s="433"/>
      <c r="Q148" s="433"/>
      <c r="R148" s="433"/>
      <c r="S148" s="427">
        <f>+U40</f>
        <v>1.4631411457387222E-2</v>
      </c>
      <c r="T148" s="379"/>
      <c r="U148" s="379"/>
      <c r="V148" s="385"/>
      <c r="W148" s="6"/>
    </row>
    <row r="149" spans="1:23" ht="15.6">
      <c r="A149" s="458"/>
      <c r="B149" s="379" t="s">
        <v>65</v>
      </c>
      <c r="C149" s="459"/>
      <c r="D149" s="459"/>
      <c r="E149" s="459"/>
      <c r="F149" s="459"/>
      <c r="G149" s="459"/>
      <c r="H149" s="459"/>
      <c r="I149" s="459"/>
      <c r="J149" s="459"/>
      <c r="K149" s="459"/>
      <c r="L149" s="459"/>
      <c r="M149" s="459"/>
      <c r="N149" s="459"/>
      <c r="O149" s="459"/>
      <c r="P149" s="433"/>
      <c r="Q149" s="433"/>
      <c r="R149" s="433"/>
      <c r="S149" s="427">
        <f>S147-S148</f>
        <v>7.6518588542612773E-2</v>
      </c>
      <c r="T149" s="379"/>
      <c r="U149" s="379"/>
      <c r="V149" s="385"/>
      <c r="W149" s="6"/>
    </row>
    <row r="150" spans="1:23" ht="15.6">
      <c r="A150" s="458"/>
      <c r="B150" s="379" t="s">
        <v>204</v>
      </c>
      <c r="C150" s="459"/>
      <c r="D150" s="459"/>
      <c r="E150" s="459"/>
      <c r="F150" s="459"/>
      <c r="G150" s="459"/>
      <c r="H150" s="459"/>
      <c r="I150" s="459"/>
      <c r="J150" s="459"/>
      <c r="K150" s="459"/>
      <c r="L150" s="459"/>
      <c r="M150" s="459"/>
      <c r="N150" s="459"/>
      <c r="O150" s="459"/>
      <c r="P150" s="433"/>
      <c r="Q150" s="433"/>
      <c r="R150" s="433"/>
      <c r="S150" s="429">
        <v>49780</v>
      </c>
      <c r="T150" s="379"/>
      <c r="U150" s="379"/>
      <c r="V150" s="385"/>
      <c r="W150" s="6"/>
    </row>
    <row r="151" spans="1:23" ht="15.6">
      <c r="A151" s="458"/>
      <c r="B151" s="379" t="s">
        <v>205</v>
      </c>
      <c r="C151" s="459"/>
      <c r="D151" s="459"/>
      <c r="E151" s="459"/>
      <c r="F151" s="459"/>
      <c r="G151" s="459"/>
      <c r="H151" s="459"/>
      <c r="I151" s="459"/>
      <c r="J151" s="459"/>
      <c r="K151" s="459"/>
      <c r="L151" s="459"/>
      <c r="M151" s="459"/>
      <c r="N151" s="459"/>
      <c r="O151" s="459"/>
      <c r="P151" s="433"/>
      <c r="Q151" s="433"/>
      <c r="R151" s="433"/>
      <c r="S151" s="429">
        <v>49780</v>
      </c>
      <c r="T151" s="379"/>
      <c r="U151" s="379"/>
      <c r="V151" s="385"/>
      <c r="W151" s="6"/>
    </row>
    <row r="152" spans="1:23" ht="15.6">
      <c r="A152" s="458"/>
      <c r="B152" s="379" t="s">
        <v>206</v>
      </c>
      <c r="C152" s="459"/>
      <c r="D152" s="459"/>
      <c r="E152" s="459"/>
      <c r="F152" s="459"/>
      <c r="G152" s="459"/>
      <c r="H152" s="459"/>
      <c r="I152" s="459"/>
      <c r="J152" s="459"/>
      <c r="K152" s="459"/>
      <c r="L152" s="459"/>
      <c r="M152" s="459"/>
      <c r="N152" s="459"/>
      <c r="O152" s="459"/>
      <c r="P152" s="433"/>
      <c r="Q152" s="433"/>
      <c r="R152" s="433"/>
      <c r="S152" s="429">
        <v>49780</v>
      </c>
      <c r="T152" s="379"/>
      <c r="U152" s="379"/>
      <c r="V152" s="385"/>
      <c r="W152" s="6"/>
    </row>
    <row r="153" spans="1:23" ht="15.6">
      <c r="A153" s="458"/>
      <c r="B153" s="379" t="s">
        <v>207</v>
      </c>
      <c r="C153" s="459"/>
      <c r="D153" s="459"/>
      <c r="E153" s="459"/>
      <c r="F153" s="459"/>
      <c r="G153" s="459"/>
      <c r="H153" s="459"/>
      <c r="I153" s="459"/>
      <c r="J153" s="459"/>
      <c r="K153" s="459"/>
      <c r="L153" s="459"/>
      <c r="M153" s="459"/>
      <c r="N153" s="459"/>
      <c r="O153" s="459"/>
      <c r="P153" s="433"/>
      <c r="Q153" s="433"/>
      <c r="R153" s="433"/>
      <c r="S153" s="429">
        <v>49780</v>
      </c>
      <c r="T153" s="379"/>
      <c r="U153" s="379"/>
      <c r="V153" s="385"/>
      <c r="W153" s="6"/>
    </row>
    <row r="154" spans="1:23" ht="15.6">
      <c r="A154" s="458"/>
      <c r="B154" s="379" t="s">
        <v>221</v>
      </c>
      <c r="C154" s="459"/>
      <c r="D154" s="459"/>
      <c r="E154" s="459"/>
      <c r="F154" s="459"/>
      <c r="G154" s="459"/>
      <c r="H154" s="459"/>
      <c r="I154" s="459"/>
      <c r="J154" s="459"/>
      <c r="K154" s="459"/>
      <c r="L154" s="459"/>
      <c r="M154" s="459"/>
      <c r="N154" s="459"/>
      <c r="O154" s="459"/>
      <c r="P154" s="433"/>
      <c r="Q154" s="433"/>
      <c r="R154" s="433"/>
      <c r="S154" s="432">
        <v>111.34</v>
      </c>
      <c r="T154" s="379"/>
      <c r="U154" s="379"/>
      <c r="V154" s="385"/>
      <c r="W154" s="6"/>
    </row>
    <row r="155" spans="1:23" ht="15.6">
      <c r="A155" s="458"/>
      <c r="B155" s="379" t="s">
        <v>222</v>
      </c>
      <c r="C155" s="459"/>
      <c r="D155" s="459"/>
      <c r="E155" s="459"/>
      <c r="F155" s="459"/>
      <c r="G155" s="459"/>
      <c r="H155" s="459"/>
      <c r="I155" s="459"/>
      <c r="J155" s="459"/>
      <c r="K155" s="459"/>
      <c r="L155" s="459"/>
      <c r="M155" s="459"/>
      <c r="N155" s="459"/>
      <c r="O155" s="459"/>
      <c r="P155" s="433"/>
      <c r="Q155" s="433"/>
      <c r="R155" s="433"/>
      <c r="S155" s="432">
        <v>147.33000000000001</v>
      </c>
      <c r="T155" s="379"/>
      <c r="U155" s="379"/>
      <c r="V155" s="385"/>
      <c r="W155" s="6"/>
    </row>
    <row r="156" spans="1:23" ht="15.6">
      <c r="A156" s="458" t="s">
        <v>223</v>
      </c>
      <c r="B156" s="379" t="s">
        <v>66</v>
      </c>
      <c r="C156" s="459"/>
      <c r="D156" s="459"/>
      <c r="E156" s="459"/>
      <c r="F156" s="459"/>
      <c r="G156" s="459"/>
      <c r="H156" s="459"/>
      <c r="I156" s="459"/>
      <c r="J156" s="459"/>
      <c r="K156" s="459"/>
      <c r="L156" s="459"/>
      <c r="M156" s="459"/>
      <c r="N156" s="459"/>
      <c r="O156" s="459"/>
      <c r="P156" s="433"/>
      <c r="Q156" s="433"/>
      <c r="R156" s="433"/>
      <c r="S156" s="427">
        <v>3.9699999999999999E-2</v>
      </c>
      <c r="T156" s="379"/>
      <c r="U156" s="379"/>
      <c r="V156" s="385"/>
      <c r="W156" s="6"/>
    </row>
    <row r="157" spans="1:23" ht="15.6">
      <c r="A157" s="458"/>
      <c r="B157" s="379" t="s">
        <v>67</v>
      </c>
      <c r="C157" s="459"/>
      <c r="D157" s="459"/>
      <c r="E157" s="459"/>
      <c r="F157" s="459"/>
      <c r="G157" s="459"/>
      <c r="H157" s="459"/>
      <c r="I157" s="459"/>
      <c r="J157" s="459"/>
      <c r="K157" s="459"/>
      <c r="L157" s="459"/>
      <c r="M157" s="459"/>
      <c r="N157" s="459"/>
      <c r="O157" s="459"/>
      <c r="P157" s="433"/>
      <c r="Q157" s="433"/>
      <c r="R157" s="433"/>
      <c r="S157" s="427">
        <v>0.27589999999999998</v>
      </c>
      <c r="T157" s="379"/>
      <c r="U157" s="379"/>
      <c r="V157" s="385"/>
      <c r="W157" s="6"/>
    </row>
    <row r="158" spans="1:23" ht="15.6">
      <c r="A158" s="280"/>
      <c r="B158" s="364"/>
      <c r="C158" s="364"/>
      <c r="D158" s="364"/>
      <c r="E158" s="364"/>
      <c r="F158" s="364"/>
      <c r="G158" s="364"/>
      <c r="H158" s="364"/>
      <c r="I158" s="364"/>
      <c r="J158" s="364"/>
      <c r="K158" s="364"/>
      <c r="L158" s="364"/>
      <c r="M158" s="364"/>
      <c r="N158" s="364"/>
      <c r="O158" s="364"/>
      <c r="P158" s="364"/>
      <c r="Q158" s="364"/>
      <c r="R158" s="455"/>
      <c r="S158" s="456"/>
      <c r="T158" s="364"/>
      <c r="U158" s="457"/>
      <c r="V158" s="245"/>
      <c r="W158" s="6"/>
    </row>
    <row r="159" spans="1:23" ht="15.6">
      <c r="A159" s="280"/>
      <c r="B159" s="288"/>
      <c r="C159" s="288"/>
      <c r="D159" s="288"/>
      <c r="E159" s="288"/>
      <c r="F159" s="288"/>
      <c r="G159" s="288"/>
      <c r="H159" s="288"/>
      <c r="I159" s="288"/>
      <c r="J159" s="288"/>
      <c r="K159" s="288"/>
      <c r="L159" s="288"/>
      <c r="M159" s="288"/>
      <c r="N159" s="288"/>
      <c r="O159" s="288"/>
      <c r="P159" s="288"/>
      <c r="Q159" s="288"/>
      <c r="R159" s="331"/>
      <c r="S159" s="332"/>
      <c r="T159" s="288"/>
      <c r="U159" s="333"/>
      <c r="V159" s="245"/>
      <c r="W159" s="6"/>
    </row>
    <row r="160" spans="1:23" ht="16.2" thickBot="1">
      <c r="A160" s="282"/>
      <c r="B160" s="304" t="str">
        <f>+B109</f>
        <v>PPAF3 INVESTOR REPORT QUARTER ENDING DECEMBER 2013</v>
      </c>
      <c r="C160" s="305"/>
      <c r="D160" s="305"/>
      <c r="E160" s="305"/>
      <c r="F160" s="305"/>
      <c r="G160" s="305"/>
      <c r="H160" s="305"/>
      <c r="I160" s="305"/>
      <c r="J160" s="305"/>
      <c r="K160" s="305"/>
      <c r="L160" s="305"/>
      <c r="M160" s="305"/>
      <c r="N160" s="305"/>
      <c r="O160" s="305"/>
      <c r="P160" s="305"/>
      <c r="Q160" s="305"/>
      <c r="R160" s="334"/>
      <c r="S160" s="335"/>
      <c r="T160" s="305"/>
      <c r="U160" s="336"/>
      <c r="V160" s="262"/>
      <c r="W160" s="6"/>
    </row>
    <row r="161" spans="1:23" ht="15.6">
      <c r="A161" s="337"/>
      <c r="B161" s="520" t="s">
        <v>68</v>
      </c>
      <c r="C161" s="521"/>
      <c r="D161" s="521"/>
      <c r="E161" s="521"/>
      <c r="F161" s="521"/>
      <c r="G161" s="521"/>
      <c r="H161" s="521"/>
      <c r="I161" s="521"/>
      <c r="J161" s="521"/>
      <c r="K161" s="521"/>
      <c r="L161" s="521"/>
      <c r="M161" s="522"/>
      <c r="N161" s="521"/>
      <c r="O161" s="522"/>
      <c r="P161" s="521"/>
      <c r="Q161" s="522"/>
      <c r="R161" s="521" t="s">
        <v>94</v>
      </c>
      <c r="S161" s="522" t="s">
        <v>116</v>
      </c>
      <c r="T161" s="340"/>
      <c r="U161" s="340"/>
      <c r="V161" s="341"/>
      <c r="W161" s="6"/>
    </row>
    <row r="162" spans="1:23" ht="15.6">
      <c r="A162" s="283"/>
      <c r="B162" s="294" t="s">
        <v>216</v>
      </c>
      <c r="C162" s="310"/>
      <c r="D162" s="310"/>
      <c r="E162" s="310"/>
      <c r="F162" s="310"/>
      <c r="G162" s="310"/>
      <c r="H162" s="310"/>
      <c r="I162" s="310"/>
      <c r="J162" s="310"/>
      <c r="K162" s="310"/>
      <c r="L162" s="310"/>
      <c r="M162" s="310"/>
      <c r="N162" s="310"/>
      <c r="O162" s="294"/>
      <c r="P162" s="294"/>
      <c r="Q162" s="294"/>
      <c r="R162" s="310">
        <v>694</v>
      </c>
      <c r="S162" s="311">
        <v>17252</v>
      </c>
      <c r="T162" s="311"/>
      <c r="U162" s="330"/>
      <c r="V162" s="342"/>
      <c r="W162" s="6"/>
    </row>
    <row r="163" spans="1:23" ht="15.6">
      <c r="A163" s="465"/>
      <c r="B163" s="379" t="s">
        <v>217</v>
      </c>
      <c r="C163" s="440"/>
      <c r="D163" s="440"/>
      <c r="E163" s="440"/>
      <c r="F163" s="440"/>
      <c r="G163" s="440"/>
      <c r="H163" s="440"/>
      <c r="I163" s="440"/>
      <c r="J163" s="440"/>
      <c r="K163" s="440"/>
      <c r="L163" s="440"/>
      <c r="M163" s="440"/>
      <c r="N163" s="440"/>
      <c r="O163" s="379"/>
      <c r="P163" s="379"/>
      <c r="Q163" s="379"/>
      <c r="R163" s="545">
        <v>3</v>
      </c>
      <c r="S163" s="546">
        <v>12</v>
      </c>
      <c r="T163" s="441"/>
      <c r="U163" s="466"/>
      <c r="V163" s="467"/>
      <c r="W163" s="6"/>
    </row>
    <row r="164" spans="1:23" ht="15.6">
      <c r="A164" s="465"/>
      <c r="B164" s="379" t="s">
        <v>218</v>
      </c>
      <c r="C164" s="440"/>
      <c r="D164" s="440"/>
      <c r="E164" s="440"/>
      <c r="F164" s="440"/>
      <c r="G164" s="440"/>
      <c r="H164" s="440"/>
      <c r="I164" s="440"/>
      <c r="J164" s="440"/>
      <c r="K164" s="440"/>
      <c r="L164" s="440"/>
      <c r="M164" s="440"/>
      <c r="N164" s="440"/>
      <c r="O164" s="379"/>
      <c r="P164" s="379"/>
      <c r="Q164" s="379"/>
      <c r="R164" s="545">
        <v>112</v>
      </c>
      <c r="S164" s="546">
        <v>103</v>
      </c>
      <c r="T164" s="441"/>
      <c r="U164" s="466"/>
      <c r="V164" s="467"/>
      <c r="W164" s="6"/>
    </row>
    <row r="165" spans="1:23" ht="15.6">
      <c r="A165" s="465"/>
      <c r="B165" s="379" t="s">
        <v>219</v>
      </c>
      <c r="C165" s="440"/>
      <c r="D165" s="440"/>
      <c r="E165" s="440"/>
      <c r="F165" s="440"/>
      <c r="G165" s="440"/>
      <c r="H165" s="440"/>
      <c r="I165" s="440"/>
      <c r="J165" s="440"/>
      <c r="K165" s="440"/>
      <c r="L165" s="440"/>
      <c r="M165" s="440"/>
      <c r="N165" s="440"/>
      <c r="O165" s="379"/>
      <c r="P165" s="379"/>
      <c r="Q165" s="379"/>
      <c r="R165" s="545">
        <v>95</v>
      </c>
      <c r="S165" s="546">
        <v>227</v>
      </c>
      <c r="T165" s="441"/>
      <c r="U165" s="466"/>
      <c r="V165" s="467"/>
      <c r="W165" s="6"/>
    </row>
    <row r="166" spans="1:23" ht="15.6">
      <c r="A166" s="465"/>
      <c r="B166" s="379" t="s">
        <v>90</v>
      </c>
      <c r="C166" s="440"/>
      <c r="D166" s="440"/>
      <c r="E166" s="440"/>
      <c r="F166" s="440"/>
      <c r="G166" s="440"/>
      <c r="H166" s="440"/>
      <c r="I166" s="440"/>
      <c r="J166" s="440"/>
      <c r="K166" s="440"/>
      <c r="L166" s="440"/>
      <c r="M166" s="440"/>
      <c r="N166" s="440"/>
      <c r="O166" s="379"/>
      <c r="P166" s="379"/>
      <c r="Q166" s="379"/>
      <c r="R166" s="547">
        <f>SUM(R162:R165)</f>
        <v>904</v>
      </c>
      <c r="S166" s="546">
        <f>SUM(S162:S165)</f>
        <v>17594</v>
      </c>
      <c r="T166" s="441"/>
      <c r="U166" s="466"/>
      <c r="V166" s="467"/>
      <c r="W166" s="6"/>
    </row>
    <row r="167" spans="1:23" ht="15.6">
      <c r="A167" s="465"/>
      <c r="B167" s="379"/>
      <c r="C167" s="440"/>
      <c r="D167" s="440"/>
      <c r="E167" s="440"/>
      <c r="F167" s="440"/>
      <c r="G167" s="440"/>
      <c r="H167" s="440"/>
      <c r="I167" s="440"/>
      <c r="J167" s="440"/>
      <c r="K167" s="440"/>
      <c r="L167" s="440"/>
      <c r="M167" s="440"/>
      <c r="N167" s="440"/>
      <c r="O167" s="379"/>
      <c r="P167" s="379"/>
      <c r="Q167" s="379"/>
      <c r="R167" s="545"/>
      <c r="S167" s="546"/>
      <c r="T167" s="441"/>
      <c r="U167" s="466"/>
      <c r="V167" s="467"/>
      <c r="W167" s="6"/>
    </row>
    <row r="168" spans="1:23" ht="15.6">
      <c r="A168" s="465"/>
      <c r="B168" s="379" t="s">
        <v>220</v>
      </c>
      <c r="C168" s="440"/>
      <c r="D168" s="440"/>
      <c r="E168" s="440"/>
      <c r="F168" s="440"/>
      <c r="G168" s="440"/>
      <c r="H168" s="440"/>
      <c r="I168" s="440"/>
      <c r="J168" s="440"/>
      <c r="K168" s="440"/>
      <c r="L168" s="440"/>
      <c r="M168" s="440"/>
      <c r="N168" s="440"/>
      <c r="O168" s="379"/>
      <c r="P168" s="379"/>
      <c r="Q168" s="379"/>
      <c r="R168" s="545">
        <v>0</v>
      </c>
      <c r="S168" s="546">
        <v>0</v>
      </c>
      <c r="T168" s="441"/>
      <c r="U168" s="466"/>
      <c r="V168" s="467"/>
      <c r="W168" s="6"/>
    </row>
    <row r="169" spans="1:23" ht="15.6">
      <c r="A169" s="465"/>
      <c r="B169" s="379" t="s">
        <v>224</v>
      </c>
      <c r="C169" s="440"/>
      <c r="D169" s="440"/>
      <c r="E169" s="440"/>
      <c r="F169" s="440"/>
      <c r="G169" s="440"/>
      <c r="H169" s="440"/>
      <c r="I169" s="440"/>
      <c r="J169" s="440"/>
      <c r="K169" s="440"/>
      <c r="L169" s="440"/>
      <c r="M169" s="440"/>
      <c r="N169" s="440"/>
      <c r="O169" s="379"/>
      <c r="P169" s="379"/>
      <c r="Q169" s="379"/>
      <c r="R169" s="545">
        <v>8</v>
      </c>
      <c r="S169" s="546">
        <v>245</v>
      </c>
      <c r="T169" s="441"/>
      <c r="U169" s="466"/>
      <c r="V169" s="467"/>
      <c r="W169" s="6"/>
    </row>
    <row r="170" spans="1:23" ht="15.6">
      <c r="A170" s="465"/>
      <c r="B170" s="468" t="s">
        <v>69</v>
      </c>
      <c r="C170" s="469"/>
      <c r="D170" s="469"/>
      <c r="E170" s="469"/>
      <c r="F170" s="469"/>
      <c r="G170" s="469"/>
      <c r="H170" s="469"/>
      <c r="I170" s="469"/>
      <c r="J170" s="469"/>
      <c r="K170" s="469"/>
      <c r="L170" s="469"/>
      <c r="M170" s="469"/>
      <c r="N170" s="469"/>
      <c r="O170" s="454"/>
      <c r="P170" s="454"/>
      <c r="Q170" s="454"/>
      <c r="R170" s="539"/>
      <c r="S170" s="540">
        <v>0</v>
      </c>
      <c r="T170" s="454"/>
      <c r="U170" s="470"/>
      <c r="V170" s="471"/>
      <c r="W170" s="6"/>
    </row>
    <row r="171" spans="1:23" ht="15.6">
      <c r="A171" s="465"/>
      <c r="B171" s="468" t="s">
        <v>70</v>
      </c>
      <c r="C171" s="469"/>
      <c r="D171" s="469"/>
      <c r="E171" s="469"/>
      <c r="F171" s="469"/>
      <c r="G171" s="469"/>
      <c r="H171" s="469"/>
      <c r="I171" s="469"/>
      <c r="J171" s="469"/>
      <c r="K171" s="469"/>
      <c r="L171" s="469"/>
      <c r="M171" s="469"/>
      <c r="N171" s="469"/>
      <c r="O171" s="454"/>
      <c r="P171" s="454"/>
      <c r="Q171" s="454"/>
      <c r="R171" s="539"/>
      <c r="S171" s="540">
        <f>Q75</f>
        <v>0</v>
      </c>
      <c r="T171" s="454"/>
      <c r="U171" s="470"/>
      <c r="V171" s="471"/>
      <c r="W171" s="6"/>
    </row>
    <row r="172" spans="1:23" ht="15.6">
      <c r="A172" s="472"/>
      <c r="B172" s="468" t="s">
        <v>71</v>
      </c>
      <c r="C172" s="469"/>
      <c r="D172" s="469"/>
      <c r="E172" s="469"/>
      <c r="F172" s="469"/>
      <c r="G172" s="469"/>
      <c r="H172" s="469"/>
      <c r="I172" s="469"/>
      <c r="J172" s="469"/>
      <c r="K172" s="469"/>
      <c r="L172" s="469"/>
      <c r="M172" s="473"/>
      <c r="N172" s="473"/>
      <c r="O172" s="473"/>
      <c r="P172" s="454"/>
      <c r="Q172" s="454"/>
      <c r="R172" s="379"/>
      <c r="S172" s="500"/>
      <c r="T172" s="454"/>
      <c r="U172" s="470"/>
      <c r="V172" s="474"/>
      <c r="W172" s="6"/>
    </row>
    <row r="173" spans="1:23" ht="15.6">
      <c r="A173" s="465"/>
      <c r="B173" s="379" t="s">
        <v>72</v>
      </c>
      <c r="C173" s="469"/>
      <c r="D173" s="469"/>
      <c r="E173" s="469"/>
      <c r="F173" s="469"/>
      <c r="G173" s="469"/>
      <c r="H173" s="469"/>
      <c r="I173" s="469"/>
      <c r="J173" s="469"/>
      <c r="K173" s="469"/>
      <c r="L173" s="469"/>
      <c r="M173" s="469"/>
      <c r="N173" s="469"/>
      <c r="O173" s="469"/>
      <c r="P173" s="454"/>
      <c r="Q173" s="454"/>
      <c r="R173" s="379"/>
      <c r="S173" s="546">
        <f>U128</f>
        <v>817</v>
      </c>
      <c r="T173" s="454"/>
      <c r="U173" s="470"/>
      <c r="V173" s="474"/>
      <c r="W173" s="6"/>
    </row>
    <row r="174" spans="1:23" ht="15.6">
      <c r="A174" s="465"/>
      <c r="B174" s="379" t="s">
        <v>73</v>
      </c>
      <c r="C174" s="469"/>
      <c r="D174" s="469"/>
      <c r="E174" s="469"/>
      <c r="F174" s="469"/>
      <c r="G174" s="469"/>
      <c r="H174" s="469"/>
      <c r="I174" s="469"/>
      <c r="J174" s="469"/>
      <c r="K174" s="469"/>
      <c r="L174" s="469"/>
      <c r="M174" s="469"/>
      <c r="N174" s="469"/>
      <c r="O174" s="469"/>
      <c r="P174" s="454"/>
      <c r="Q174" s="454"/>
      <c r="R174" s="379"/>
      <c r="S174" s="546">
        <f>'September 13'!S174+S173</f>
        <v>87267</v>
      </c>
      <c r="T174" s="454"/>
      <c r="U174" s="470"/>
      <c r="V174" s="474"/>
      <c r="W174" s="6"/>
    </row>
    <row r="175" spans="1:23" ht="15.6">
      <c r="A175" s="465"/>
      <c r="B175" s="379" t="s">
        <v>74</v>
      </c>
      <c r="C175" s="469"/>
      <c r="D175" s="469"/>
      <c r="E175" s="469"/>
      <c r="F175" s="469"/>
      <c r="G175" s="469"/>
      <c r="H175" s="469"/>
      <c r="I175" s="469"/>
      <c r="J175" s="469"/>
      <c r="K175" s="469"/>
      <c r="L175" s="469"/>
      <c r="M175" s="469"/>
      <c r="N175" s="469"/>
      <c r="O175" s="469"/>
      <c r="P175" s="454"/>
      <c r="Q175" s="454"/>
      <c r="R175" s="379"/>
      <c r="S175" s="546">
        <f>'September 13'!S175+616</f>
        <v>22309</v>
      </c>
      <c r="T175" s="454"/>
      <c r="U175" s="470"/>
      <c r="V175" s="474"/>
      <c r="W175" s="6"/>
    </row>
    <row r="176" spans="1:23" ht="15.6">
      <c r="A176" s="465"/>
      <c r="B176" s="473"/>
      <c r="C176" s="469"/>
      <c r="D176" s="469"/>
      <c r="E176" s="469"/>
      <c r="F176" s="469"/>
      <c r="G176" s="469"/>
      <c r="H176" s="469"/>
      <c r="I176" s="469"/>
      <c r="J176" s="469"/>
      <c r="K176" s="469"/>
      <c r="L176" s="469"/>
      <c r="M176" s="469"/>
      <c r="N176" s="469"/>
      <c r="O176" s="469"/>
      <c r="P176" s="454"/>
      <c r="Q176" s="454"/>
      <c r="R176" s="379"/>
      <c r="S176" s="546"/>
      <c r="T176" s="454"/>
      <c r="U176" s="470"/>
      <c r="V176" s="474"/>
      <c r="W176" s="6"/>
    </row>
    <row r="177" spans="1:23" ht="15.6">
      <c r="A177" s="472"/>
      <c r="B177" s="468" t="s">
        <v>259</v>
      </c>
      <c r="C177" s="469"/>
      <c r="D177" s="469"/>
      <c r="E177" s="469"/>
      <c r="F177" s="469"/>
      <c r="G177" s="469"/>
      <c r="H177" s="469"/>
      <c r="I177" s="469"/>
      <c r="J177" s="469"/>
      <c r="K177" s="469"/>
      <c r="L177" s="469"/>
      <c r="M177" s="473"/>
      <c r="N177" s="473"/>
      <c r="O177" s="473"/>
      <c r="P177" s="454"/>
      <c r="Q177" s="454"/>
      <c r="R177" s="379"/>
      <c r="S177" s="548"/>
      <c r="T177" s="454"/>
      <c r="U177" s="470"/>
      <c r="V177" s="474"/>
      <c r="W177" s="6"/>
    </row>
    <row r="178" spans="1:23" ht="15.6">
      <c r="A178" s="472"/>
      <c r="B178" s="379" t="s">
        <v>254</v>
      </c>
      <c r="C178" s="469"/>
      <c r="D178" s="469"/>
      <c r="E178" s="469"/>
      <c r="F178" s="469"/>
      <c r="G178" s="469"/>
      <c r="H178" s="469"/>
      <c r="I178" s="469"/>
      <c r="J178" s="469"/>
      <c r="K178" s="469"/>
      <c r="L178" s="469"/>
      <c r="M178" s="473"/>
      <c r="N178" s="473"/>
      <c r="O178" s="473"/>
      <c r="P178" s="454"/>
      <c r="Q178" s="454"/>
      <c r="R178" s="379"/>
      <c r="S178" s="548">
        <v>0</v>
      </c>
      <c r="T178" s="454"/>
      <c r="U178" s="470"/>
      <c r="V178" s="474"/>
      <c r="W178" s="6"/>
    </row>
    <row r="179" spans="1:23" ht="15.6">
      <c r="A179" s="465"/>
      <c r="B179" s="379" t="s">
        <v>75</v>
      </c>
      <c r="C179" s="469"/>
      <c r="D179" s="469"/>
      <c r="E179" s="469"/>
      <c r="F179" s="469"/>
      <c r="G179" s="469"/>
      <c r="H179" s="469"/>
      <c r="I179" s="469"/>
      <c r="J179" s="469"/>
      <c r="K179" s="469"/>
      <c r="L179" s="469"/>
      <c r="M179" s="475"/>
      <c r="N179" s="475"/>
      <c r="O179" s="476"/>
      <c r="P179" s="454"/>
      <c r="Q179" s="454"/>
      <c r="R179" s="379"/>
      <c r="S179" s="549">
        <v>0</v>
      </c>
      <c r="T179" s="454"/>
      <c r="U179" s="470"/>
      <c r="V179" s="474"/>
      <c r="W179" s="6"/>
    </row>
    <row r="180" spans="1:23" ht="15.6">
      <c r="A180" s="465"/>
      <c r="B180" s="379" t="s">
        <v>76</v>
      </c>
      <c r="C180" s="469"/>
      <c r="D180" s="469"/>
      <c r="E180" s="469"/>
      <c r="F180" s="469"/>
      <c r="G180" s="469"/>
      <c r="H180" s="469"/>
      <c r="I180" s="469"/>
      <c r="J180" s="469"/>
      <c r="K180" s="469"/>
      <c r="L180" s="469"/>
      <c r="M180" s="475"/>
      <c r="N180" s="475"/>
      <c r="O180" s="476"/>
      <c r="P180" s="454"/>
      <c r="Q180" s="454"/>
      <c r="R180" s="379"/>
      <c r="S180" s="548">
        <v>0</v>
      </c>
      <c r="T180" s="454"/>
      <c r="U180" s="470"/>
      <c r="V180" s="474"/>
      <c r="W180" s="6"/>
    </row>
    <row r="181" spans="1:23" ht="15.6">
      <c r="A181" s="465"/>
      <c r="B181" s="473"/>
      <c r="C181" s="469"/>
      <c r="D181" s="469"/>
      <c r="E181" s="469"/>
      <c r="F181" s="469"/>
      <c r="G181" s="469"/>
      <c r="H181" s="469"/>
      <c r="I181" s="469"/>
      <c r="J181" s="469"/>
      <c r="K181" s="469"/>
      <c r="L181" s="469"/>
      <c r="M181" s="477"/>
      <c r="N181" s="475"/>
      <c r="O181" s="476"/>
      <c r="P181" s="454"/>
      <c r="Q181" s="454"/>
      <c r="R181" s="379"/>
      <c r="S181" s="537"/>
      <c r="T181" s="454"/>
      <c r="U181" s="470"/>
      <c r="V181" s="474"/>
      <c r="W181" s="6"/>
    </row>
    <row r="182" spans="1:23" ht="15.6">
      <c r="A182" s="465"/>
      <c r="B182" s="468" t="s">
        <v>77</v>
      </c>
      <c r="C182" s="469"/>
      <c r="D182" s="469"/>
      <c r="E182" s="469"/>
      <c r="F182" s="469"/>
      <c r="G182" s="469"/>
      <c r="H182" s="469"/>
      <c r="I182" s="469"/>
      <c r="J182" s="469"/>
      <c r="K182" s="469"/>
      <c r="L182" s="469"/>
      <c r="M182" s="469"/>
      <c r="N182" s="477"/>
      <c r="O182" s="475"/>
      <c r="P182" s="476"/>
      <c r="Q182" s="454"/>
      <c r="R182" s="380"/>
      <c r="S182" s="538"/>
      <c r="T182" s="478"/>
      <c r="U182" s="390"/>
      <c r="V182" s="479"/>
      <c r="W182" s="6"/>
    </row>
    <row r="183" spans="1:23" ht="15.6">
      <c r="A183" s="465"/>
      <c r="B183" s="379" t="s">
        <v>78</v>
      </c>
      <c r="C183" s="469"/>
      <c r="D183" s="469"/>
      <c r="E183" s="469"/>
      <c r="F183" s="469"/>
      <c r="G183" s="469"/>
      <c r="H183" s="469"/>
      <c r="I183" s="469"/>
      <c r="J183" s="469"/>
      <c r="K183" s="469"/>
      <c r="L183" s="469"/>
      <c r="M183" s="469"/>
      <c r="N183" s="477"/>
      <c r="O183" s="475"/>
      <c r="P183" s="476"/>
      <c r="Q183" s="454"/>
      <c r="R183" s="380"/>
      <c r="S183" s="550">
        <v>1</v>
      </c>
      <c r="T183" s="480"/>
      <c r="U183" s="390"/>
      <c r="V183" s="479"/>
      <c r="W183" s="6"/>
    </row>
    <row r="184" spans="1:23" ht="15.6">
      <c r="A184" s="465"/>
      <c r="B184" s="379" t="s">
        <v>75</v>
      </c>
      <c r="C184" s="469"/>
      <c r="D184" s="469"/>
      <c r="E184" s="469"/>
      <c r="F184" s="469"/>
      <c r="G184" s="469"/>
      <c r="H184" s="469"/>
      <c r="I184" s="469"/>
      <c r="J184" s="469"/>
      <c r="K184" s="469"/>
      <c r="L184" s="469"/>
      <c r="M184" s="469"/>
      <c r="N184" s="477"/>
      <c r="O184" s="475"/>
      <c r="P184" s="476"/>
      <c r="Q184" s="454"/>
      <c r="R184" s="380"/>
      <c r="S184" s="550">
        <v>4.24</v>
      </c>
      <c r="T184" s="480"/>
      <c r="U184" s="390"/>
      <c r="V184" s="479"/>
      <c r="W184" s="6"/>
    </row>
    <row r="185" spans="1:23" ht="15.6">
      <c r="A185" s="465"/>
      <c r="B185" s="379" t="s">
        <v>79</v>
      </c>
      <c r="C185" s="469"/>
      <c r="D185" s="469"/>
      <c r="E185" s="469"/>
      <c r="F185" s="469"/>
      <c r="G185" s="469"/>
      <c r="H185" s="469"/>
      <c r="I185" s="469"/>
      <c r="J185" s="469"/>
      <c r="K185" s="469"/>
      <c r="L185" s="469"/>
      <c r="M185" s="469"/>
      <c r="N185" s="477"/>
      <c r="O185" s="475"/>
      <c r="P185" s="476"/>
      <c r="Q185" s="454"/>
      <c r="R185" s="380"/>
      <c r="S185" s="550">
        <v>99</v>
      </c>
      <c r="T185" s="480"/>
      <c r="U185" s="390"/>
      <c r="V185" s="479"/>
      <c r="W185" s="6"/>
    </row>
    <row r="186" spans="1:23" ht="15.6">
      <c r="A186" s="465"/>
      <c r="B186" s="473"/>
      <c r="C186" s="469"/>
      <c r="D186" s="469"/>
      <c r="E186" s="469"/>
      <c r="F186" s="469"/>
      <c r="G186" s="469"/>
      <c r="H186" s="469"/>
      <c r="I186" s="469"/>
      <c r="J186" s="469"/>
      <c r="K186" s="469"/>
      <c r="L186" s="469"/>
      <c r="M186" s="477"/>
      <c r="N186" s="475"/>
      <c r="O186" s="476"/>
      <c r="P186" s="454"/>
      <c r="Q186" s="454"/>
      <c r="R186" s="454"/>
      <c r="S186" s="537"/>
      <c r="T186" s="454"/>
      <c r="U186" s="470"/>
      <c r="V186" s="474"/>
      <c r="W186" s="6"/>
    </row>
    <row r="187" spans="1:23" ht="17.399999999999999">
      <c r="A187" s="465"/>
      <c r="B187" s="482" t="s">
        <v>196</v>
      </c>
      <c r="C187" s="469"/>
      <c r="D187" s="469"/>
      <c r="E187" s="469"/>
      <c r="F187" s="469"/>
      <c r="G187" s="469"/>
      <c r="H187" s="469"/>
      <c r="I187" s="469"/>
      <c r="J187" s="469"/>
      <c r="K187" s="483" t="s">
        <v>195</v>
      </c>
      <c r="L187" s="469"/>
      <c r="M187" s="477"/>
      <c r="N187" s="475"/>
      <c r="O187" s="476"/>
      <c r="P187" s="454"/>
      <c r="Q187" s="454"/>
      <c r="R187" s="454"/>
      <c r="S187" s="481"/>
      <c r="T187" s="454"/>
      <c r="U187" s="470"/>
      <c r="V187" s="474"/>
      <c r="W187" s="6"/>
    </row>
    <row r="188" spans="1:23" ht="15.6">
      <c r="A188" s="242"/>
      <c r="B188" s="460"/>
      <c r="C188" s="461"/>
      <c r="D188" s="461"/>
      <c r="E188" s="461"/>
      <c r="F188" s="461"/>
      <c r="G188" s="461"/>
      <c r="H188" s="461"/>
      <c r="I188" s="461"/>
      <c r="J188" s="461"/>
      <c r="K188" s="461"/>
      <c r="L188" s="461"/>
      <c r="M188" s="462"/>
      <c r="N188" s="461"/>
      <c r="O188" s="462"/>
      <c r="P188" s="461"/>
      <c r="Q188" s="462"/>
      <c r="R188" s="461"/>
      <c r="S188" s="462"/>
      <c r="T188" s="461"/>
      <c r="U188" s="463"/>
      <c r="V188" s="464"/>
      <c r="W188" s="6"/>
    </row>
    <row r="189" spans="1:23" ht="15.6">
      <c r="A189" s="348"/>
      <c r="B189" s="525" t="s">
        <v>80</v>
      </c>
      <c r="C189" s="343"/>
      <c r="D189" s="343"/>
      <c r="E189" s="343"/>
      <c r="F189" s="343"/>
      <c r="G189" s="343"/>
      <c r="H189" s="343"/>
      <c r="I189" s="343"/>
      <c r="J189" s="343"/>
      <c r="K189" s="343"/>
      <c r="L189" s="343"/>
      <c r="M189" s="525" t="s">
        <v>100</v>
      </c>
      <c r="N189" s="526"/>
      <c r="O189" s="527"/>
      <c r="P189" s="526"/>
      <c r="Q189" s="525"/>
      <c r="R189" s="525" t="s">
        <v>26</v>
      </c>
      <c r="S189" s="527"/>
      <c r="T189" s="526"/>
      <c r="U189" s="346"/>
      <c r="V189" s="528"/>
      <c r="W189" s="6"/>
    </row>
    <row r="190" spans="1:23" ht="15.6">
      <c r="A190" s="365"/>
      <c r="B190" s="366"/>
      <c r="C190" s="529"/>
      <c r="D190" s="529"/>
      <c r="E190" s="529"/>
      <c r="F190" s="529"/>
      <c r="G190" s="529"/>
      <c r="H190" s="529"/>
      <c r="I190" s="529"/>
      <c r="J190" s="529"/>
      <c r="K190" s="529"/>
      <c r="L190" s="529" t="s">
        <v>94</v>
      </c>
      <c r="M190" s="530" t="s">
        <v>101</v>
      </c>
      <c r="N190" s="529" t="s">
        <v>103</v>
      </c>
      <c r="O190" s="530" t="s">
        <v>101</v>
      </c>
      <c r="P190" s="530"/>
      <c r="Q190" s="529" t="s">
        <v>94</v>
      </c>
      <c r="R190" s="530" t="s">
        <v>101</v>
      </c>
      <c r="S190" s="529" t="s">
        <v>103</v>
      </c>
      <c r="T190" s="530" t="s">
        <v>101</v>
      </c>
      <c r="U190" s="369"/>
      <c r="V190" s="531"/>
      <c r="W190" s="6"/>
    </row>
    <row r="191" spans="1:23" ht="15.6">
      <c r="A191" s="316"/>
      <c r="B191" s="360" t="s">
        <v>81</v>
      </c>
      <c r="C191" s="361"/>
      <c r="D191" s="361"/>
      <c r="E191" s="361"/>
      <c r="F191" s="361"/>
      <c r="G191" s="361"/>
      <c r="H191" s="361"/>
      <c r="I191" s="361"/>
      <c r="J191" s="361"/>
      <c r="K191" s="361"/>
      <c r="L191" s="361">
        <v>346</v>
      </c>
      <c r="M191" s="362">
        <f t="shared" ref="M191:M197" si="0">+L191/$L$198</f>
        <v>0.69061876247504994</v>
      </c>
      <c r="N191" s="361">
        <v>1339</v>
      </c>
      <c r="O191" s="362">
        <f t="shared" ref="O191:O197" si="1">N191/$N$198</f>
        <v>0.81596587446678859</v>
      </c>
      <c r="P191" s="363"/>
      <c r="Q191" s="361">
        <v>73</v>
      </c>
      <c r="R191" s="362">
        <f t="shared" ref="R191:R197" si="2">+Q191/$Q$198</f>
        <v>0.28404669260700388</v>
      </c>
      <c r="S191" s="552">
        <v>149</v>
      </c>
      <c r="T191" s="362">
        <f>+S191/$S$198</f>
        <v>0.51202749140893467</v>
      </c>
      <c r="U191" s="364"/>
      <c r="V191" s="312"/>
      <c r="W191" s="6"/>
    </row>
    <row r="192" spans="1:23" ht="15.6">
      <c r="A192" s="444"/>
      <c r="B192" s="440" t="s">
        <v>82</v>
      </c>
      <c r="C192" s="489"/>
      <c r="D192" s="489"/>
      <c r="E192" s="489"/>
      <c r="F192" s="489"/>
      <c r="G192" s="489"/>
      <c r="H192" s="489"/>
      <c r="I192" s="489"/>
      <c r="J192" s="489"/>
      <c r="K192" s="489"/>
      <c r="L192" s="489">
        <v>6</v>
      </c>
      <c r="M192" s="427">
        <f t="shared" si="0"/>
        <v>1.1976047904191617E-2</v>
      </c>
      <c r="N192" s="553">
        <v>34</v>
      </c>
      <c r="O192" s="427">
        <f t="shared" si="1"/>
        <v>2.0719073735527116E-2</v>
      </c>
      <c r="P192" s="381"/>
      <c r="Q192" s="489">
        <v>7</v>
      </c>
      <c r="R192" s="427">
        <f t="shared" si="2"/>
        <v>2.7237354085603113E-2</v>
      </c>
      <c r="S192" s="553">
        <v>1</v>
      </c>
      <c r="T192" s="427">
        <f t="shared" ref="T192:T197" si="3">+S192/$S$198</f>
        <v>3.4364261168384879E-3</v>
      </c>
      <c r="U192" s="379"/>
      <c r="V192" s="435"/>
      <c r="W192" s="6"/>
    </row>
    <row r="193" spans="1:24" ht="15.6">
      <c r="A193" s="444"/>
      <c r="B193" s="440" t="s">
        <v>83</v>
      </c>
      <c r="C193" s="489"/>
      <c r="D193" s="489"/>
      <c r="E193" s="489"/>
      <c r="F193" s="489"/>
      <c r="G193" s="489"/>
      <c r="H193" s="489"/>
      <c r="I193" s="489"/>
      <c r="J193" s="489"/>
      <c r="K193" s="489"/>
      <c r="L193" s="489">
        <v>15</v>
      </c>
      <c r="M193" s="427">
        <f t="shared" si="0"/>
        <v>2.9940119760479042E-2</v>
      </c>
      <c r="N193" s="489">
        <v>7</v>
      </c>
      <c r="O193" s="427">
        <f t="shared" si="1"/>
        <v>4.2656916514320535E-3</v>
      </c>
      <c r="P193" s="381"/>
      <c r="Q193" s="489">
        <v>9</v>
      </c>
      <c r="R193" s="427">
        <f t="shared" si="2"/>
        <v>3.5019455252918288E-2</v>
      </c>
      <c r="S193" s="553">
        <v>2</v>
      </c>
      <c r="T193" s="427">
        <f t="shared" si="3"/>
        <v>6.8728522336769758E-3</v>
      </c>
      <c r="U193" s="379"/>
      <c r="V193" s="435"/>
      <c r="W193" s="6"/>
    </row>
    <row r="194" spans="1:24" ht="15.6">
      <c r="A194" s="444"/>
      <c r="B194" s="440" t="s">
        <v>186</v>
      </c>
      <c r="C194" s="489"/>
      <c r="D194" s="489"/>
      <c r="E194" s="489"/>
      <c r="F194" s="489"/>
      <c r="G194" s="489"/>
      <c r="H194" s="489"/>
      <c r="I194" s="489"/>
      <c r="J194" s="489"/>
      <c r="K194" s="489"/>
      <c r="L194" s="489">
        <v>13</v>
      </c>
      <c r="M194" s="427">
        <f t="shared" si="0"/>
        <v>2.5948103792415168E-2</v>
      </c>
      <c r="N194" s="489">
        <v>24</v>
      </c>
      <c r="O194" s="427">
        <f t="shared" si="1"/>
        <v>1.4625228519195612E-2</v>
      </c>
      <c r="P194" s="381"/>
      <c r="Q194" s="489">
        <v>18</v>
      </c>
      <c r="R194" s="551">
        <f t="shared" si="2"/>
        <v>7.0038910505836577E-2</v>
      </c>
      <c r="S194" s="489">
        <v>11</v>
      </c>
      <c r="T194" s="427">
        <f t="shared" si="3"/>
        <v>3.7800687285223365E-2</v>
      </c>
      <c r="U194" s="379"/>
      <c r="V194" s="435"/>
      <c r="W194" s="6"/>
    </row>
    <row r="195" spans="1:24" ht="15.6">
      <c r="A195" s="444"/>
      <c r="B195" s="440" t="s">
        <v>187</v>
      </c>
      <c r="C195" s="489"/>
      <c r="D195" s="489"/>
      <c r="E195" s="489"/>
      <c r="F195" s="489"/>
      <c r="G195" s="489"/>
      <c r="H195" s="489"/>
      <c r="I195" s="489"/>
      <c r="J195" s="489"/>
      <c r="K195" s="489"/>
      <c r="L195" s="489">
        <v>18</v>
      </c>
      <c r="M195" s="427">
        <f t="shared" si="0"/>
        <v>3.5928143712574849E-2</v>
      </c>
      <c r="N195" s="489">
        <v>14</v>
      </c>
      <c r="O195" s="427">
        <f t="shared" si="1"/>
        <v>8.5313833028641071E-3</v>
      </c>
      <c r="P195" s="381"/>
      <c r="Q195" s="489">
        <v>17</v>
      </c>
      <c r="R195" s="427">
        <f t="shared" si="2"/>
        <v>6.6147859922178989E-2</v>
      </c>
      <c r="S195" s="489">
        <v>13</v>
      </c>
      <c r="T195" s="427">
        <f t="shared" si="3"/>
        <v>4.4673539518900345E-2</v>
      </c>
      <c r="U195" s="379"/>
      <c r="V195" s="435"/>
      <c r="W195" s="6"/>
    </row>
    <row r="196" spans="1:24" ht="15.6">
      <c r="A196" s="444"/>
      <c r="B196" s="440" t="s">
        <v>188</v>
      </c>
      <c r="C196" s="489"/>
      <c r="D196" s="489"/>
      <c r="E196" s="489"/>
      <c r="F196" s="489"/>
      <c r="G196" s="489"/>
      <c r="H196" s="489"/>
      <c r="I196" s="489"/>
      <c r="J196" s="489"/>
      <c r="K196" s="489"/>
      <c r="L196" s="489">
        <v>12</v>
      </c>
      <c r="M196" s="427">
        <f t="shared" si="0"/>
        <v>2.3952095808383235E-2</v>
      </c>
      <c r="N196" s="489">
        <v>14</v>
      </c>
      <c r="O196" s="427">
        <f t="shared" si="1"/>
        <v>8.5313833028641071E-3</v>
      </c>
      <c r="P196" s="381"/>
      <c r="Q196" s="489">
        <v>21</v>
      </c>
      <c r="R196" s="427">
        <f t="shared" si="2"/>
        <v>8.171206225680934E-2</v>
      </c>
      <c r="S196" s="489">
        <v>12</v>
      </c>
      <c r="T196" s="427">
        <f t="shared" si="3"/>
        <v>4.1237113402061855E-2</v>
      </c>
      <c r="U196" s="379"/>
      <c r="V196" s="435"/>
      <c r="W196" s="6"/>
    </row>
    <row r="197" spans="1:24" ht="15.6">
      <c r="A197" s="444"/>
      <c r="B197" s="440" t="s">
        <v>189</v>
      </c>
      <c r="C197" s="489"/>
      <c r="D197" s="489"/>
      <c r="E197" s="489"/>
      <c r="F197" s="489"/>
      <c r="G197" s="489"/>
      <c r="H197" s="489"/>
      <c r="I197" s="489"/>
      <c r="J197" s="489"/>
      <c r="K197" s="489"/>
      <c r="L197" s="489">
        <v>91</v>
      </c>
      <c r="M197" s="427">
        <f t="shared" si="0"/>
        <v>0.18163672654690619</v>
      </c>
      <c r="N197" s="489">
        <v>209</v>
      </c>
      <c r="O197" s="427">
        <f t="shared" si="1"/>
        <v>0.12736136502132847</v>
      </c>
      <c r="P197" s="381"/>
      <c r="Q197" s="489">
        <v>112</v>
      </c>
      <c r="R197" s="427">
        <f t="shared" si="2"/>
        <v>0.43579766536964981</v>
      </c>
      <c r="S197" s="489">
        <v>103</v>
      </c>
      <c r="T197" s="427">
        <f t="shared" si="3"/>
        <v>0.35395189003436428</v>
      </c>
      <c r="U197" s="379"/>
      <c r="V197" s="435"/>
      <c r="W197" s="6"/>
    </row>
    <row r="198" spans="1:24" ht="15.6">
      <c r="A198" s="444"/>
      <c r="B198" s="440" t="s">
        <v>84</v>
      </c>
      <c r="C198" s="489"/>
      <c r="D198" s="489"/>
      <c r="E198" s="489"/>
      <c r="F198" s="489"/>
      <c r="G198" s="489"/>
      <c r="H198" s="489"/>
      <c r="I198" s="489"/>
      <c r="J198" s="489"/>
      <c r="K198" s="489"/>
      <c r="L198" s="489">
        <f>SUM(L191:L197)</f>
        <v>501</v>
      </c>
      <c r="M198" s="427">
        <f>SUM(M191:M197)</f>
        <v>1</v>
      </c>
      <c r="N198" s="489">
        <f>SUM(N191:N197)</f>
        <v>1641</v>
      </c>
      <c r="O198" s="427">
        <f>SUM(O191:O197)</f>
        <v>1</v>
      </c>
      <c r="P198" s="381"/>
      <c r="Q198" s="489">
        <f>SUM(Q191:Q197)</f>
        <v>257</v>
      </c>
      <c r="R198" s="427">
        <f>SUM(R191:R197)</f>
        <v>1</v>
      </c>
      <c r="S198" s="489">
        <f>SUM(S191:S197)</f>
        <v>291</v>
      </c>
      <c r="T198" s="427">
        <f>SUM(T191:T197)</f>
        <v>0.99999999999999978</v>
      </c>
      <c r="U198" s="379"/>
      <c r="V198" s="435"/>
      <c r="W198" s="6"/>
      <c r="X198" s="64"/>
    </row>
    <row r="199" spans="1:24" ht="15.6">
      <c r="A199" s="444"/>
      <c r="B199" s="440" t="s">
        <v>85</v>
      </c>
      <c r="C199" s="489"/>
      <c r="D199" s="489"/>
      <c r="E199" s="489"/>
      <c r="F199" s="489"/>
      <c r="G199" s="489"/>
      <c r="H199" s="489"/>
      <c r="I199" s="489"/>
      <c r="J199" s="489"/>
      <c r="K199" s="489"/>
      <c r="L199" s="489">
        <v>863</v>
      </c>
      <c r="M199" s="380"/>
      <c r="N199" s="489">
        <v>5030</v>
      </c>
      <c r="O199" s="380"/>
      <c r="P199" s="381"/>
      <c r="Q199" s="489">
        <v>546</v>
      </c>
      <c r="R199" s="380"/>
      <c r="S199" s="489">
        <v>1218</v>
      </c>
      <c r="T199" s="380"/>
      <c r="U199" s="379"/>
      <c r="V199" s="435"/>
      <c r="W199" s="6"/>
      <c r="X199" s="64"/>
    </row>
    <row r="200" spans="1:24" ht="15.6">
      <c r="A200" s="444"/>
      <c r="B200" s="440" t="s">
        <v>86</v>
      </c>
      <c r="C200" s="489"/>
      <c r="D200" s="489"/>
      <c r="E200" s="489"/>
      <c r="F200" s="489"/>
      <c r="G200" s="489"/>
      <c r="H200" s="489"/>
      <c r="I200" s="489"/>
      <c r="J200" s="489"/>
      <c r="K200" s="489"/>
      <c r="L200" s="489">
        <f>SUM(L198:L199)</f>
        <v>1364</v>
      </c>
      <c r="M200" s="450"/>
      <c r="N200" s="489">
        <f>SUM(N198:N199)</f>
        <v>6671</v>
      </c>
      <c r="O200" s="490"/>
      <c r="P200" s="450"/>
      <c r="Q200" s="489">
        <f>SUM(Q198:Q199)</f>
        <v>803</v>
      </c>
      <c r="R200" s="450"/>
      <c r="S200" s="489">
        <f>SUM(S198:S199)</f>
        <v>1509</v>
      </c>
      <c r="T200" s="450"/>
      <c r="U200" s="450"/>
      <c r="V200" s="435"/>
      <c r="W200" s="6"/>
      <c r="X200" s="64"/>
    </row>
    <row r="201" spans="1:24" ht="15.6">
      <c r="A201" s="242"/>
      <c r="B201" s="484"/>
      <c r="C201" s="485"/>
      <c r="D201" s="485"/>
      <c r="E201" s="485"/>
      <c r="F201" s="485"/>
      <c r="G201" s="485"/>
      <c r="H201" s="485"/>
      <c r="I201" s="485"/>
      <c r="J201" s="485"/>
      <c r="K201" s="485"/>
      <c r="L201" s="532"/>
      <c r="M201" s="533"/>
      <c r="N201" s="532"/>
      <c r="O201" s="533"/>
      <c r="P201" s="488"/>
      <c r="Q201" s="532"/>
      <c r="R201" s="533"/>
      <c r="S201" s="532"/>
      <c r="T201" s="533"/>
      <c r="U201" s="463"/>
      <c r="V201" s="464"/>
      <c r="W201" s="6"/>
    </row>
    <row r="202" spans="1:24" ht="15.6">
      <c r="A202" s="349"/>
      <c r="B202" s="525" t="s">
        <v>80</v>
      </c>
      <c r="C202" s="526"/>
      <c r="D202" s="526"/>
      <c r="E202" s="526"/>
      <c r="F202" s="526"/>
      <c r="G202" s="526"/>
      <c r="H202" s="526"/>
      <c r="I202" s="526"/>
      <c r="J202" s="526"/>
      <c r="K202" s="526"/>
      <c r="L202" s="526"/>
      <c r="M202" s="525" t="s">
        <v>27</v>
      </c>
      <c r="N202" s="526"/>
      <c r="O202" s="527"/>
      <c r="P202" s="526"/>
      <c r="Q202" s="525"/>
      <c r="R202" s="525" t="s">
        <v>28</v>
      </c>
      <c r="S202" s="527"/>
      <c r="T202" s="526"/>
      <c r="U202" s="346"/>
      <c r="V202" s="528"/>
      <c r="W202" s="6"/>
    </row>
    <row r="203" spans="1:24" ht="15.6">
      <c r="A203" s="371"/>
      <c r="B203" s="372"/>
      <c r="C203" s="534"/>
      <c r="D203" s="534"/>
      <c r="E203" s="534"/>
      <c r="F203" s="534"/>
      <c r="G203" s="534"/>
      <c r="H203" s="534"/>
      <c r="I203" s="534"/>
      <c r="J203" s="534"/>
      <c r="K203" s="534"/>
      <c r="L203" s="534" t="s">
        <v>94</v>
      </c>
      <c r="M203" s="535" t="s">
        <v>101</v>
      </c>
      <c r="N203" s="534" t="s">
        <v>103</v>
      </c>
      <c r="O203" s="535" t="s">
        <v>101</v>
      </c>
      <c r="P203" s="535"/>
      <c r="Q203" s="534" t="s">
        <v>94</v>
      </c>
      <c r="R203" s="535" t="s">
        <v>101</v>
      </c>
      <c r="S203" s="534" t="s">
        <v>103</v>
      </c>
      <c r="T203" s="535" t="s">
        <v>101</v>
      </c>
      <c r="U203" s="375"/>
      <c r="V203" s="536"/>
      <c r="W203" s="6"/>
    </row>
    <row r="204" spans="1:24" ht="15.6">
      <c r="A204" s="315"/>
      <c r="B204" s="310" t="s">
        <v>81</v>
      </c>
      <c r="C204" s="351"/>
      <c r="D204" s="351"/>
      <c r="E204" s="351"/>
      <c r="F204" s="351"/>
      <c r="G204" s="351"/>
      <c r="H204" s="351"/>
      <c r="I204" s="351"/>
      <c r="J204" s="351"/>
      <c r="K204" s="351"/>
      <c r="L204" s="351">
        <v>4701</v>
      </c>
      <c r="M204" s="299">
        <f t="shared" ref="M204:M210" si="4">+L204/$L$211</f>
        <v>0.87136237256719185</v>
      </c>
      <c r="N204" s="351">
        <v>104396</v>
      </c>
      <c r="O204" s="299">
        <f t="shared" ref="O204:O210" si="5">+N204/$N$211</f>
        <v>0.85818098119163488</v>
      </c>
      <c r="P204" s="296"/>
      <c r="Q204" s="351">
        <v>89</v>
      </c>
      <c r="R204" s="299">
        <f t="shared" ref="R204:R210" si="6">Q204/$Q$211</f>
        <v>0.84761904761904761</v>
      </c>
      <c r="S204" s="351">
        <v>793</v>
      </c>
      <c r="T204" s="299">
        <f t="shared" ref="T204:T210" si="7">+S204/$S$211</f>
        <v>0.87334801762114533</v>
      </c>
      <c r="U204" s="294"/>
      <c r="V204" s="301"/>
      <c r="W204" s="6"/>
    </row>
    <row r="205" spans="1:24" ht="15.6">
      <c r="A205" s="444"/>
      <c r="B205" s="440" t="s">
        <v>82</v>
      </c>
      <c r="C205" s="489"/>
      <c r="D205" s="489"/>
      <c r="E205" s="489"/>
      <c r="F205" s="489"/>
      <c r="G205" s="489"/>
      <c r="H205" s="489"/>
      <c r="I205" s="489"/>
      <c r="J205" s="489"/>
      <c r="K205" s="489"/>
      <c r="L205" s="489">
        <v>167</v>
      </c>
      <c r="M205" s="427">
        <f t="shared" si="4"/>
        <v>3.0954587581093606E-2</v>
      </c>
      <c r="N205" s="489">
        <v>3771</v>
      </c>
      <c r="O205" s="427">
        <f t="shared" si="5"/>
        <v>3.0999276601341576E-2</v>
      </c>
      <c r="P205" s="381"/>
      <c r="Q205" s="489">
        <v>11</v>
      </c>
      <c r="R205" s="427">
        <f t="shared" si="6"/>
        <v>0.10476190476190476</v>
      </c>
      <c r="S205" s="489">
        <v>96</v>
      </c>
      <c r="T205" s="427">
        <f t="shared" si="7"/>
        <v>0.10572687224669604</v>
      </c>
      <c r="U205" s="379"/>
      <c r="V205" s="435"/>
      <c r="W205" s="6"/>
    </row>
    <row r="206" spans="1:24" ht="15.6">
      <c r="A206" s="444"/>
      <c r="B206" s="440" t="s">
        <v>83</v>
      </c>
      <c r="C206" s="489"/>
      <c r="D206" s="489"/>
      <c r="E206" s="489"/>
      <c r="F206" s="489"/>
      <c r="G206" s="489"/>
      <c r="H206" s="489"/>
      <c r="I206" s="489"/>
      <c r="J206" s="489"/>
      <c r="K206" s="489"/>
      <c r="L206" s="489">
        <v>104</v>
      </c>
      <c r="M206" s="427">
        <f t="shared" si="4"/>
        <v>1.9277108433734941E-2</v>
      </c>
      <c r="N206" s="489">
        <v>2582</v>
      </c>
      <c r="O206" s="427">
        <f t="shared" si="5"/>
        <v>2.1225174273313167E-2</v>
      </c>
      <c r="P206" s="381"/>
      <c r="Q206" s="489">
        <v>2</v>
      </c>
      <c r="R206" s="427">
        <f t="shared" si="6"/>
        <v>1.9047619047619049E-2</v>
      </c>
      <c r="S206" s="489">
        <v>13</v>
      </c>
      <c r="T206" s="427">
        <f t="shared" si="7"/>
        <v>1.4317180616740088E-2</v>
      </c>
      <c r="U206" s="379"/>
      <c r="V206" s="435"/>
      <c r="W206" s="6"/>
      <c r="X206" s="182"/>
    </row>
    <row r="207" spans="1:24" ht="15.6">
      <c r="A207" s="444"/>
      <c r="B207" s="440" t="s">
        <v>186</v>
      </c>
      <c r="C207" s="489"/>
      <c r="D207" s="489"/>
      <c r="E207" s="489"/>
      <c r="F207" s="489"/>
      <c r="G207" s="489"/>
      <c r="H207" s="489"/>
      <c r="I207" s="489"/>
      <c r="J207" s="489"/>
      <c r="K207" s="489"/>
      <c r="L207" s="489">
        <v>93</v>
      </c>
      <c r="M207" s="427">
        <f t="shared" si="4"/>
        <v>1.7238183503243742E-2</v>
      </c>
      <c r="N207" s="489">
        <v>2260</v>
      </c>
      <c r="O207" s="427">
        <f t="shared" si="5"/>
        <v>1.8578192818624228E-2</v>
      </c>
      <c r="P207" s="381"/>
      <c r="Q207" s="489">
        <v>0</v>
      </c>
      <c r="R207" s="427">
        <f t="shared" si="6"/>
        <v>0</v>
      </c>
      <c r="S207" s="489">
        <v>0</v>
      </c>
      <c r="T207" s="427">
        <f t="shared" si="7"/>
        <v>0</v>
      </c>
      <c r="U207" s="379"/>
      <c r="V207" s="435"/>
      <c r="W207" s="6"/>
    </row>
    <row r="208" spans="1:24" ht="15.6">
      <c r="A208" s="444"/>
      <c r="B208" s="440" t="s">
        <v>187</v>
      </c>
      <c r="C208" s="489"/>
      <c r="D208" s="489"/>
      <c r="E208" s="489"/>
      <c r="F208" s="489"/>
      <c r="G208" s="489"/>
      <c r="H208" s="489"/>
      <c r="I208" s="489"/>
      <c r="J208" s="489"/>
      <c r="K208" s="489"/>
      <c r="L208" s="489">
        <v>61</v>
      </c>
      <c r="M208" s="427">
        <f t="shared" si="4"/>
        <v>1.1306765523632993E-2</v>
      </c>
      <c r="N208" s="489">
        <v>1615</v>
      </c>
      <c r="O208" s="427">
        <f t="shared" si="5"/>
        <v>1.3276009469946073E-2</v>
      </c>
      <c r="P208" s="381"/>
      <c r="Q208" s="489">
        <v>1</v>
      </c>
      <c r="R208" s="427">
        <f t="shared" si="6"/>
        <v>9.5238095238095247E-3</v>
      </c>
      <c r="S208" s="489">
        <v>2</v>
      </c>
      <c r="T208" s="427">
        <f t="shared" si="7"/>
        <v>2.2026431718061676E-3</v>
      </c>
      <c r="U208" s="379"/>
      <c r="V208" s="435"/>
      <c r="W208" s="6"/>
    </row>
    <row r="209" spans="1:24" ht="15.6">
      <c r="A209" s="444"/>
      <c r="B209" s="440" t="s">
        <v>188</v>
      </c>
      <c r="C209" s="489"/>
      <c r="D209" s="489"/>
      <c r="E209" s="489"/>
      <c r="F209" s="489"/>
      <c r="G209" s="489"/>
      <c r="H209" s="489"/>
      <c r="I209" s="489"/>
      <c r="J209" s="489"/>
      <c r="K209" s="489"/>
      <c r="L209" s="489">
        <v>55</v>
      </c>
      <c r="M209" s="427">
        <f t="shared" si="4"/>
        <v>1.0194624652455977E-2</v>
      </c>
      <c r="N209" s="489">
        <v>1424</v>
      </c>
      <c r="O209" s="427">
        <f t="shared" si="5"/>
        <v>1.1705905563593319E-2</v>
      </c>
      <c r="P209" s="381"/>
      <c r="Q209" s="489">
        <v>0</v>
      </c>
      <c r="R209" s="427">
        <f t="shared" si="6"/>
        <v>0</v>
      </c>
      <c r="S209" s="489">
        <v>0</v>
      </c>
      <c r="T209" s="427">
        <f t="shared" si="7"/>
        <v>0</v>
      </c>
      <c r="U209" s="379"/>
      <c r="V209" s="435"/>
      <c r="W209" s="6"/>
    </row>
    <row r="210" spans="1:24" ht="15.6">
      <c r="A210" s="444"/>
      <c r="B210" s="440" t="s">
        <v>189</v>
      </c>
      <c r="C210" s="489"/>
      <c r="D210" s="489"/>
      <c r="E210" s="489"/>
      <c r="F210" s="489"/>
      <c r="G210" s="489"/>
      <c r="H210" s="489"/>
      <c r="I210" s="489"/>
      <c r="J210" s="489"/>
      <c r="K210" s="489"/>
      <c r="L210" s="489">
        <v>214</v>
      </c>
      <c r="M210" s="427">
        <f t="shared" si="4"/>
        <v>3.9666357738646893E-2</v>
      </c>
      <c r="N210" s="489">
        <v>5600</v>
      </c>
      <c r="O210" s="427">
        <f t="shared" si="5"/>
        <v>4.6034460081546755E-2</v>
      </c>
      <c r="P210" s="381"/>
      <c r="Q210" s="489">
        <v>2</v>
      </c>
      <c r="R210" s="427">
        <f t="shared" si="6"/>
        <v>1.9047619047619049E-2</v>
      </c>
      <c r="S210" s="489">
        <v>4</v>
      </c>
      <c r="T210" s="427">
        <f t="shared" si="7"/>
        <v>4.4052863436123352E-3</v>
      </c>
      <c r="U210" s="379"/>
      <c r="V210" s="435"/>
      <c r="W210" s="6"/>
    </row>
    <row r="211" spans="1:24" ht="15.6">
      <c r="A211" s="444"/>
      <c r="B211" s="440" t="str">
        <f>B198</f>
        <v>Total Performing  Assets</v>
      </c>
      <c r="C211" s="489"/>
      <c r="D211" s="489"/>
      <c r="E211" s="489"/>
      <c r="F211" s="489"/>
      <c r="G211" s="489"/>
      <c r="H211" s="489"/>
      <c r="I211" s="489"/>
      <c r="J211" s="489"/>
      <c r="K211" s="489"/>
      <c r="L211" s="489">
        <f>SUM(L204:L210)</f>
        <v>5395</v>
      </c>
      <c r="M211" s="427">
        <f>SUM(M204:M210)</f>
        <v>1</v>
      </c>
      <c r="N211" s="489">
        <f>SUM(N204:N210)</f>
        <v>121648</v>
      </c>
      <c r="O211" s="427">
        <f>SUM(O204:O210)</f>
        <v>1</v>
      </c>
      <c r="P211" s="381"/>
      <c r="Q211" s="489">
        <f>SUM(Q204:Q210)</f>
        <v>105</v>
      </c>
      <c r="R211" s="427">
        <f>SUM(R204:R210)</f>
        <v>1</v>
      </c>
      <c r="S211" s="489">
        <f>SUM(S204:S210)</f>
        <v>908</v>
      </c>
      <c r="T211" s="427">
        <f>SUM(T204:T210)</f>
        <v>1</v>
      </c>
      <c r="U211" s="379"/>
      <c r="V211" s="435"/>
      <c r="W211" s="6"/>
    </row>
    <row r="212" spans="1:24" ht="15.6">
      <c r="A212" s="444"/>
      <c r="B212" s="440" t="s">
        <v>85</v>
      </c>
      <c r="C212" s="489"/>
      <c r="D212" s="489"/>
      <c r="E212" s="489"/>
      <c r="F212" s="489"/>
      <c r="G212" s="489"/>
      <c r="H212" s="489"/>
      <c r="I212" s="489"/>
      <c r="J212" s="489"/>
      <c r="K212" s="489"/>
      <c r="L212" s="489">
        <v>290</v>
      </c>
      <c r="M212" s="381"/>
      <c r="N212" s="489">
        <v>8401</v>
      </c>
      <c r="O212" s="380"/>
      <c r="P212" s="381"/>
      <c r="Q212" s="489">
        <v>25</v>
      </c>
      <c r="R212" s="381"/>
      <c r="S212" s="489">
        <v>462</v>
      </c>
      <c r="T212" s="381"/>
      <c r="U212" s="379"/>
      <c r="V212" s="435"/>
      <c r="W212" s="6"/>
    </row>
    <row r="213" spans="1:24" ht="15.6">
      <c r="A213" s="444"/>
      <c r="B213" s="440" t="s">
        <v>86</v>
      </c>
      <c r="C213" s="489"/>
      <c r="D213" s="489"/>
      <c r="E213" s="489"/>
      <c r="F213" s="489"/>
      <c r="G213" s="489"/>
      <c r="H213" s="489"/>
      <c r="I213" s="489"/>
      <c r="J213" s="489"/>
      <c r="K213" s="489"/>
      <c r="L213" s="489">
        <f>SUM(L211:L212)</f>
        <v>5685</v>
      </c>
      <c r="M213" s="450"/>
      <c r="N213" s="489">
        <f>SUM(N211:N212)</f>
        <v>130049</v>
      </c>
      <c r="O213" s="427"/>
      <c r="P213" s="450"/>
      <c r="Q213" s="489">
        <f>SUM(Q211:Q212)</f>
        <v>130</v>
      </c>
      <c r="R213" s="450"/>
      <c r="S213" s="489">
        <f>SUM(S211:S212)</f>
        <v>1370</v>
      </c>
      <c r="T213" s="450"/>
      <c r="U213" s="450"/>
      <c r="V213" s="492"/>
    </row>
    <row r="214" spans="1:24" ht="15.6">
      <c r="A214" s="444"/>
      <c r="B214" s="440"/>
      <c r="C214" s="381"/>
      <c r="D214" s="381"/>
      <c r="E214" s="381"/>
      <c r="F214" s="381"/>
      <c r="G214" s="381"/>
      <c r="H214" s="381"/>
      <c r="I214" s="381"/>
      <c r="J214" s="381"/>
      <c r="K214" s="381"/>
      <c r="L214" s="381"/>
      <c r="M214" s="493"/>
      <c r="N214" s="381"/>
      <c r="O214" s="493"/>
      <c r="P214" s="381"/>
      <c r="Q214" s="493"/>
      <c r="R214" s="381"/>
      <c r="S214" s="489"/>
      <c r="T214" s="381"/>
      <c r="U214" s="379"/>
      <c r="V214" s="435"/>
      <c r="W214" s="6"/>
    </row>
    <row r="215" spans="1:24" ht="15.6">
      <c r="A215" s="444"/>
      <c r="B215" s="440" t="s">
        <v>86</v>
      </c>
      <c r="C215" s="381"/>
      <c r="D215" s="381"/>
      <c r="E215" s="381"/>
      <c r="F215" s="381"/>
      <c r="G215" s="381"/>
      <c r="H215" s="381"/>
      <c r="I215" s="381"/>
      <c r="J215" s="381"/>
      <c r="K215" s="381"/>
      <c r="L215" s="493"/>
      <c r="M215" s="493"/>
      <c r="N215" s="493"/>
      <c r="O215" s="493"/>
      <c r="P215" s="381"/>
      <c r="Q215" s="493"/>
      <c r="R215" s="381"/>
      <c r="S215" s="489">
        <f>+N200+S200+N213+S213</f>
        <v>139599</v>
      </c>
      <c r="T215" s="490"/>
      <c r="U215" s="379"/>
      <c r="V215" s="435"/>
      <c r="W215" s="6"/>
      <c r="X215" s="182"/>
    </row>
    <row r="216" spans="1:24" ht="15.6">
      <c r="A216" s="316"/>
      <c r="B216" s="360"/>
      <c r="C216" s="363"/>
      <c r="D216" s="363"/>
      <c r="E216" s="363"/>
      <c r="F216" s="363"/>
      <c r="G216" s="363"/>
      <c r="H216" s="363"/>
      <c r="I216" s="363"/>
      <c r="J216" s="363"/>
      <c r="K216" s="363"/>
      <c r="L216" s="491"/>
      <c r="M216" s="491"/>
      <c r="N216" s="491"/>
      <c r="O216" s="491"/>
      <c r="P216" s="363"/>
      <c r="Q216" s="491"/>
      <c r="R216" s="363"/>
      <c r="S216" s="361"/>
      <c r="T216" s="363"/>
      <c r="U216" s="364"/>
      <c r="V216" s="312"/>
      <c r="W216" s="6"/>
    </row>
    <row r="217" spans="1:24" ht="15.6">
      <c r="A217" s="349"/>
      <c r="B217" s="357" t="s">
        <v>87</v>
      </c>
      <c r="C217" s="526"/>
      <c r="D217" s="526"/>
      <c r="E217" s="526"/>
      <c r="F217" s="526"/>
      <c r="G217" s="526"/>
      <c r="H217" s="526"/>
      <c r="I217" s="526"/>
      <c r="J217" s="526"/>
      <c r="K217" s="526"/>
      <c r="L217" s="526"/>
      <c r="M217" s="527"/>
      <c r="N217" s="526"/>
      <c r="O217" s="527"/>
      <c r="P217" s="526"/>
      <c r="Q217" s="527"/>
      <c r="R217" s="526"/>
      <c r="S217" s="358"/>
      <c r="T217" s="526"/>
      <c r="U217" s="350"/>
      <c r="V217" s="528"/>
      <c r="W217" s="6"/>
    </row>
    <row r="218" spans="1:24" ht="15.6">
      <c r="A218" s="315"/>
      <c r="B218" s="310"/>
      <c r="C218" s="296"/>
      <c r="D218" s="296"/>
      <c r="E218" s="296"/>
      <c r="F218" s="296"/>
      <c r="G218" s="296"/>
      <c r="H218" s="296"/>
      <c r="I218" s="296"/>
      <c r="J218" s="296"/>
      <c r="K218" s="296"/>
      <c r="L218" s="296"/>
      <c r="M218" s="352"/>
      <c r="N218" s="296"/>
      <c r="O218" s="352"/>
      <c r="P218" s="296"/>
      <c r="Q218" s="352"/>
      <c r="R218" s="296"/>
      <c r="S218" s="351"/>
      <c r="T218" s="296"/>
      <c r="U218" s="294"/>
      <c r="V218" s="301"/>
      <c r="W218" s="6"/>
    </row>
    <row r="219" spans="1:24" ht="15.6">
      <c r="A219" s="444"/>
      <c r="B219" s="440" t="s">
        <v>88</v>
      </c>
      <c r="C219" s="381"/>
      <c r="D219" s="381"/>
      <c r="E219" s="381"/>
      <c r="F219" s="381"/>
      <c r="G219" s="381"/>
      <c r="H219" s="381"/>
      <c r="I219" s="381"/>
      <c r="J219" s="381"/>
      <c r="K219" s="381"/>
      <c r="L219" s="381"/>
      <c r="M219" s="493"/>
      <c r="N219" s="381"/>
      <c r="O219" s="493"/>
      <c r="P219" s="381"/>
      <c r="Q219" s="493"/>
      <c r="R219" s="381"/>
      <c r="S219" s="489">
        <f>+N198+S198+N211+S211</f>
        <v>124488</v>
      </c>
      <c r="T219" s="381"/>
      <c r="U219" s="379"/>
      <c r="V219" s="435"/>
      <c r="W219" s="6"/>
      <c r="X219" s="182"/>
    </row>
    <row r="220" spans="1:24" ht="15.6">
      <c r="A220" s="444"/>
      <c r="B220" s="440" t="s">
        <v>89</v>
      </c>
      <c r="C220" s="381"/>
      <c r="D220" s="381"/>
      <c r="E220" s="381"/>
      <c r="F220" s="381"/>
      <c r="G220" s="381"/>
      <c r="H220" s="381"/>
      <c r="I220" s="381"/>
      <c r="J220" s="381"/>
      <c r="K220" s="381"/>
      <c r="L220" s="381"/>
      <c r="M220" s="493"/>
      <c r="N220" s="381"/>
      <c r="O220" s="493"/>
      <c r="P220" s="381"/>
      <c r="Q220" s="493"/>
      <c r="R220" s="381"/>
      <c r="S220" s="489">
        <f>+U78</f>
        <v>0</v>
      </c>
      <c r="T220" s="381"/>
      <c r="U220" s="379"/>
      <c r="V220" s="435"/>
      <c r="W220" s="119"/>
    </row>
    <row r="221" spans="1:24" ht="15.6">
      <c r="A221" s="444"/>
      <c r="B221" s="440" t="s">
        <v>90</v>
      </c>
      <c r="C221" s="381"/>
      <c r="D221" s="381"/>
      <c r="E221" s="381"/>
      <c r="F221" s="381"/>
      <c r="G221" s="381"/>
      <c r="H221" s="381"/>
      <c r="I221" s="381"/>
      <c r="J221" s="381"/>
      <c r="K221" s="381"/>
      <c r="L221" s="381"/>
      <c r="M221" s="493"/>
      <c r="N221" s="381"/>
      <c r="O221" s="493"/>
      <c r="P221" s="381"/>
      <c r="Q221" s="493"/>
      <c r="R221" s="381"/>
      <c r="S221" s="489">
        <f>SUM(S219:S220)</f>
        <v>124488</v>
      </c>
      <c r="T221" s="381"/>
      <c r="U221" s="379"/>
      <c r="V221" s="435"/>
      <c r="W221" s="6"/>
    </row>
    <row r="222" spans="1:24" ht="15.6">
      <c r="A222" s="444"/>
      <c r="B222" s="440"/>
      <c r="C222" s="381"/>
      <c r="D222" s="381"/>
      <c r="E222" s="381"/>
      <c r="F222" s="381"/>
      <c r="G222" s="381"/>
      <c r="H222" s="381"/>
      <c r="I222" s="381"/>
      <c r="J222" s="381"/>
      <c r="K222" s="381"/>
      <c r="L222" s="381"/>
      <c r="M222" s="493"/>
      <c r="N222" s="381"/>
      <c r="O222" s="493"/>
      <c r="P222" s="381"/>
      <c r="Q222" s="493"/>
      <c r="R222" s="381"/>
      <c r="S222" s="489"/>
      <c r="T222" s="381"/>
      <c r="U222" s="379"/>
      <c r="V222" s="435"/>
      <c r="W222" s="6"/>
    </row>
    <row r="223" spans="1:24" ht="15.6">
      <c r="A223" s="444"/>
      <c r="B223" s="440" t="s">
        <v>91</v>
      </c>
      <c r="C223" s="381"/>
      <c r="D223" s="381"/>
      <c r="E223" s="381"/>
      <c r="F223" s="381"/>
      <c r="G223" s="381"/>
      <c r="H223" s="381"/>
      <c r="I223" s="381"/>
      <c r="J223" s="381"/>
      <c r="K223" s="381"/>
      <c r="L223" s="381"/>
      <c r="M223" s="493"/>
      <c r="N223" s="381"/>
      <c r="O223" s="493"/>
      <c r="P223" s="381"/>
      <c r="Q223" s="493"/>
      <c r="R223" s="381"/>
      <c r="S223" s="489">
        <f>U33</f>
        <v>124488.20520000001</v>
      </c>
      <c r="T223" s="381"/>
      <c r="U223" s="379"/>
      <c r="V223" s="435"/>
      <c r="W223" s="6"/>
    </row>
    <row r="224" spans="1:24" ht="15.6">
      <c r="A224" s="444"/>
      <c r="B224" s="440"/>
      <c r="C224" s="381"/>
      <c r="D224" s="381"/>
      <c r="E224" s="381"/>
      <c r="F224" s="381"/>
      <c r="G224" s="381"/>
      <c r="H224" s="381"/>
      <c r="I224" s="381"/>
      <c r="J224" s="381"/>
      <c r="K224" s="381"/>
      <c r="L224" s="381"/>
      <c r="M224" s="493"/>
      <c r="N224" s="381"/>
      <c r="O224" s="493"/>
      <c r="P224" s="381"/>
      <c r="Q224" s="493"/>
      <c r="R224" s="381"/>
      <c r="S224" s="489"/>
      <c r="T224" s="381"/>
      <c r="U224" s="379"/>
      <c r="V224" s="435"/>
      <c r="W224" s="6"/>
    </row>
    <row r="225" spans="1:23" ht="15.6">
      <c r="A225" s="444"/>
      <c r="B225" s="440" t="s">
        <v>92</v>
      </c>
      <c r="C225" s="381"/>
      <c r="D225" s="381"/>
      <c r="E225" s="381"/>
      <c r="F225" s="381"/>
      <c r="G225" s="381"/>
      <c r="H225" s="381"/>
      <c r="I225" s="381"/>
      <c r="J225" s="381"/>
      <c r="K225" s="381"/>
      <c r="L225" s="381"/>
      <c r="M225" s="493"/>
      <c r="N225" s="381"/>
      <c r="O225" s="493"/>
      <c r="P225" s="381"/>
      <c r="Q225" s="493"/>
      <c r="R225" s="381"/>
      <c r="S225" s="489">
        <f>S221/S223</f>
        <v>0.99999835165106865</v>
      </c>
      <c r="T225" s="381"/>
      <c r="U225" s="379"/>
      <c r="V225" s="435"/>
      <c r="W225" s="6"/>
    </row>
    <row r="226" spans="1:23" ht="15.6">
      <c r="A226" s="444"/>
      <c r="B226" s="379"/>
      <c r="C226" s="379"/>
      <c r="D226" s="379"/>
      <c r="E226" s="379"/>
      <c r="F226" s="379"/>
      <c r="G226" s="379"/>
      <c r="H226" s="379"/>
      <c r="I226" s="379"/>
      <c r="J226" s="379"/>
      <c r="K226" s="379"/>
      <c r="L226" s="379"/>
      <c r="M226" s="380"/>
      <c r="N226" s="379"/>
      <c r="O226" s="379"/>
      <c r="P226" s="379"/>
      <c r="Q226" s="440"/>
      <c r="R226" s="497"/>
      <c r="S226" s="441"/>
      <c r="T226" s="497"/>
      <c r="U226" s="466"/>
      <c r="V226" s="410"/>
      <c r="W226" s="6"/>
    </row>
    <row r="227" spans="1:23" ht="15.6">
      <c r="A227" s="353"/>
      <c r="B227" s="494" t="s">
        <v>127</v>
      </c>
      <c r="C227" s="495"/>
      <c r="D227" s="495"/>
      <c r="E227" s="495"/>
      <c r="F227" s="495"/>
      <c r="G227" s="495"/>
      <c r="H227" s="495"/>
      <c r="I227" s="495"/>
      <c r="J227" s="495"/>
      <c r="K227" s="495"/>
      <c r="L227" s="495"/>
      <c r="M227" s="363"/>
      <c r="N227" s="364"/>
      <c r="O227" s="494"/>
      <c r="P227" s="443"/>
      <c r="Q227" s="443"/>
      <c r="R227" s="443"/>
      <c r="S227" s="496"/>
      <c r="T227" s="443"/>
      <c r="U227" s="443"/>
      <c r="V227" s="355"/>
      <c r="W227" s="6"/>
    </row>
    <row r="228" spans="1:23" ht="15.6">
      <c r="A228" s="353"/>
      <c r="B228" s="287" t="s">
        <v>128</v>
      </c>
      <c r="C228" s="354"/>
      <c r="D228" s="354"/>
      <c r="E228" s="354"/>
      <c r="F228" s="354"/>
      <c r="G228" s="354"/>
      <c r="H228" s="354"/>
      <c r="I228" s="354"/>
      <c r="J228" s="354"/>
      <c r="K228" s="354"/>
      <c r="L228" s="354"/>
      <c r="M228" s="290"/>
      <c r="N228" s="287"/>
      <c r="O228" s="287"/>
      <c r="P228" s="354"/>
      <c r="Q228" s="354"/>
      <c r="R228" s="317"/>
      <c r="S228" s="317"/>
      <c r="T228" s="317"/>
      <c r="U228" s="317"/>
      <c r="V228" s="355"/>
      <c r="W228" s="6"/>
    </row>
    <row r="229" spans="1:23" ht="15.6">
      <c r="A229" s="353"/>
      <c r="B229" s="287" t="s">
        <v>246</v>
      </c>
      <c r="C229" s="287"/>
      <c r="D229" s="287"/>
      <c r="E229" s="287"/>
      <c r="F229" s="287"/>
      <c r="G229" s="287"/>
      <c r="H229" s="287"/>
      <c r="I229" s="287"/>
      <c r="J229" s="287"/>
      <c r="K229" s="287"/>
      <c r="L229" s="287"/>
      <c r="M229" s="287"/>
      <c r="N229" s="287"/>
      <c r="O229" s="287"/>
      <c r="P229" s="287"/>
      <c r="Q229" s="287"/>
      <c r="R229" s="287"/>
      <c r="S229" s="287"/>
      <c r="T229" s="287"/>
      <c r="U229" s="287"/>
      <c r="V229" s="355"/>
      <c r="W229" s="6"/>
    </row>
    <row r="230" spans="1:23" ht="15.6">
      <c r="A230" s="353"/>
      <c r="B230" s="287" t="s">
        <v>129</v>
      </c>
      <c r="C230" s="354"/>
      <c r="D230" s="354"/>
      <c r="E230" s="354"/>
      <c r="F230" s="354"/>
      <c r="G230" s="354"/>
      <c r="H230" s="354"/>
      <c r="I230" s="354"/>
      <c r="J230" s="354"/>
      <c r="K230" s="354"/>
      <c r="L230" s="354"/>
      <c r="M230" s="290"/>
      <c r="N230" s="287"/>
      <c r="O230" s="287"/>
      <c r="P230" s="354"/>
      <c r="Q230" s="354"/>
      <c r="R230" s="317"/>
      <c r="S230" s="317"/>
      <c r="T230" s="317"/>
      <c r="U230" s="317"/>
      <c r="V230" s="355"/>
      <c r="W230" s="6"/>
    </row>
    <row r="231" spans="1:23" ht="15.6">
      <c r="A231" s="353"/>
      <c r="B231" s="287"/>
      <c r="C231" s="354"/>
      <c r="D231" s="354"/>
      <c r="E231" s="354"/>
      <c r="F231" s="354"/>
      <c r="G231" s="354"/>
      <c r="H231" s="354"/>
      <c r="I231" s="354"/>
      <c r="J231" s="354"/>
      <c r="K231" s="354"/>
      <c r="L231" s="354"/>
      <c r="M231" s="290"/>
      <c r="N231" s="287"/>
      <c r="O231" s="287"/>
      <c r="P231" s="354"/>
      <c r="Q231" s="354"/>
      <c r="R231" s="317"/>
      <c r="S231" s="317"/>
      <c r="T231" s="317"/>
      <c r="U231" s="317"/>
      <c r="V231" s="355"/>
      <c r="W231" s="6"/>
    </row>
    <row r="232" spans="1:23" ht="15.6">
      <c r="A232" s="353"/>
      <c r="B232" s="287"/>
      <c r="C232" s="354"/>
      <c r="D232" s="354"/>
      <c r="E232" s="354"/>
      <c r="F232" s="354"/>
      <c r="G232" s="354"/>
      <c r="H232" s="354"/>
      <c r="I232" s="354"/>
      <c r="J232" s="354"/>
      <c r="K232" s="354"/>
      <c r="L232" s="354"/>
      <c r="M232" s="290"/>
      <c r="N232" s="287"/>
      <c r="O232" s="287"/>
      <c r="P232" s="354"/>
      <c r="Q232" s="354"/>
      <c r="R232" s="317"/>
      <c r="S232" s="317"/>
      <c r="T232" s="317"/>
      <c r="U232" s="317"/>
      <c r="V232" s="355"/>
      <c r="W232" s="6"/>
    </row>
    <row r="233" spans="1:23" ht="16.2" thickBot="1">
      <c r="A233" s="353"/>
      <c r="B233" s="287" t="str">
        <f>+B160</f>
        <v>PPAF3 INVESTOR REPORT QUARTER ENDING DECEMBER 2013</v>
      </c>
      <c r="C233" s="354"/>
      <c r="D233" s="354"/>
      <c r="E233" s="354"/>
      <c r="F233" s="354"/>
      <c r="G233" s="354"/>
      <c r="H233" s="354"/>
      <c r="I233" s="354"/>
      <c r="J233" s="354"/>
      <c r="K233" s="354"/>
      <c r="L233" s="354"/>
      <c r="M233" s="290"/>
      <c r="N233" s="287"/>
      <c r="O233" s="287"/>
      <c r="P233" s="354"/>
      <c r="Q233" s="354"/>
      <c r="R233" s="317"/>
      <c r="S233" s="317"/>
      <c r="T233" s="317"/>
      <c r="U233" s="317"/>
      <c r="V233" s="356"/>
      <c r="W233" s="6"/>
    </row>
    <row r="234" spans="1:2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row>
  </sheetData>
  <hyperlinks>
    <hyperlink ref="I9" r:id="rId1"/>
    <hyperlink ref="K187"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21" man="1"/>
    <brk id="109" max="16383" man="1"/>
    <brk id="160" max="21" man="1"/>
    <brk id="239" man="1"/>
  </rowBreaks>
  <colBreaks count="1" manualBreakCount="1">
    <brk id="23" max="1048575" man="1"/>
  </colBreaks>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0" tint="-0.499984740745262"/>
  </sheetPr>
  <dimension ref="A1:Y234"/>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38" t="s">
        <v>223</v>
      </c>
      <c r="B1" s="285" t="s">
        <v>123</v>
      </c>
      <c r="C1" s="239"/>
      <c r="D1" s="239"/>
      <c r="E1" s="239"/>
      <c r="F1" s="239"/>
      <c r="G1" s="239"/>
      <c r="H1" s="239"/>
      <c r="I1" s="239"/>
      <c r="J1" s="239"/>
      <c r="K1" s="239"/>
      <c r="L1" s="239"/>
      <c r="M1" s="240"/>
      <c r="N1" s="240"/>
      <c r="O1" s="240"/>
      <c r="P1" s="240"/>
      <c r="Q1" s="240"/>
      <c r="R1" s="240"/>
      <c r="S1" s="240"/>
      <c r="T1" s="240"/>
      <c r="U1" s="240"/>
      <c r="V1" s="241"/>
      <c r="W1" s="6"/>
    </row>
    <row r="2" spans="1:23" ht="15.6">
      <c r="A2" s="242"/>
      <c r="B2" s="243"/>
      <c r="C2" s="243"/>
      <c r="D2" s="243"/>
      <c r="E2" s="243"/>
      <c r="F2" s="243"/>
      <c r="G2" s="243"/>
      <c r="H2" s="243"/>
      <c r="I2" s="243"/>
      <c r="J2" s="243"/>
      <c r="K2" s="243"/>
      <c r="L2" s="243"/>
      <c r="M2" s="244"/>
      <c r="N2" s="244"/>
      <c r="O2" s="244"/>
      <c r="P2" s="244"/>
      <c r="Q2" s="244"/>
      <c r="R2" s="244"/>
      <c r="S2" s="244"/>
      <c r="T2" s="244"/>
      <c r="U2" s="244"/>
      <c r="V2" s="245"/>
      <c r="W2" s="6"/>
    </row>
    <row r="3" spans="1:23" ht="15.6">
      <c r="A3" s="246"/>
      <c r="B3" s="247" t="s">
        <v>125</v>
      </c>
      <c r="C3" s="244"/>
      <c r="D3" s="244"/>
      <c r="E3" s="244"/>
      <c r="F3" s="244"/>
      <c r="G3" s="244"/>
      <c r="H3" s="244"/>
      <c r="I3" s="244"/>
      <c r="J3" s="244"/>
      <c r="K3" s="244"/>
      <c r="L3" s="244"/>
      <c r="M3" s="244"/>
      <c r="N3" s="244"/>
      <c r="O3" s="244"/>
      <c r="P3" s="244"/>
      <c r="Q3" s="244"/>
      <c r="R3" s="244"/>
      <c r="S3" s="244"/>
      <c r="T3" s="244"/>
      <c r="U3" s="244"/>
      <c r="V3" s="245"/>
      <c r="W3" s="6"/>
    </row>
    <row r="4" spans="1:23" ht="15.6">
      <c r="A4" s="242"/>
      <c r="B4" s="243"/>
      <c r="C4" s="243"/>
      <c r="D4" s="243"/>
      <c r="E4" s="243"/>
      <c r="F4" s="243"/>
      <c r="G4" s="243"/>
      <c r="H4" s="243"/>
      <c r="I4" s="243"/>
      <c r="J4" s="243"/>
      <c r="K4" s="243"/>
      <c r="L4" s="243"/>
      <c r="M4" s="244"/>
      <c r="N4" s="244"/>
      <c r="O4" s="244"/>
      <c r="P4" s="244"/>
      <c r="Q4" s="244"/>
      <c r="R4" s="244"/>
      <c r="S4" s="244"/>
      <c r="T4" s="244"/>
      <c r="U4" s="244"/>
      <c r="V4" s="245"/>
      <c r="W4" s="6"/>
    </row>
    <row r="5" spans="1:23" ht="16.2">
      <c r="A5" s="242"/>
      <c r="B5" s="286" t="s">
        <v>0</v>
      </c>
      <c r="C5" s="248"/>
      <c r="D5" s="248"/>
      <c r="E5" s="248"/>
      <c r="F5" s="248"/>
      <c r="G5" s="248"/>
      <c r="H5" s="248"/>
      <c r="I5" s="248"/>
      <c r="J5" s="248"/>
      <c r="K5" s="248"/>
      <c r="L5" s="248"/>
      <c r="M5" s="244"/>
      <c r="N5" s="244"/>
      <c r="O5" s="244"/>
      <c r="P5" s="244"/>
      <c r="Q5" s="244"/>
      <c r="R5" s="244"/>
      <c r="S5" s="244"/>
      <c r="T5" s="244"/>
      <c r="U5" s="244"/>
      <c r="V5" s="245"/>
      <c r="W5" s="6"/>
    </row>
    <row r="6" spans="1:23" ht="16.2">
      <c r="A6" s="242"/>
      <c r="B6" s="286" t="s">
        <v>1</v>
      </c>
      <c r="C6" s="248"/>
      <c r="D6" s="248"/>
      <c r="E6" s="248"/>
      <c r="F6" s="248"/>
      <c r="G6" s="248"/>
      <c r="H6" s="248"/>
      <c r="I6" s="248"/>
      <c r="J6" s="248"/>
      <c r="K6" s="248"/>
      <c r="L6" s="248"/>
      <c r="M6" s="244"/>
      <c r="N6" s="244"/>
      <c r="O6" s="244"/>
      <c r="P6" s="244"/>
      <c r="Q6" s="244"/>
      <c r="R6" s="244"/>
      <c r="S6" s="244"/>
      <c r="T6" s="244"/>
      <c r="U6" s="244"/>
      <c r="V6" s="245"/>
      <c r="W6" s="6"/>
    </row>
    <row r="7" spans="1:23" ht="16.2">
      <c r="A7" s="242"/>
      <c r="B7" s="286" t="s">
        <v>2</v>
      </c>
      <c r="C7" s="248"/>
      <c r="D7" s="248"/>
      <c r="E7" s="248"/>
      <c r="F7" s="248"/>
      <c r="G7" s="248"/>
      <c r="H7" s="248"/>
      <c r="I7" s="248"/>
      <c r="J7" s="248"/>
      <c r="K7" s="248"/>
      <c r="L7" s="248"/>
      <c r="M7" s="244"/>
      <c r="N7" s="244"/>
      <c r="O7" s="244"/>
      <c r="P7" s="244"/>
      <c r="Q7" s="244"/>
      <c r="R7" s="244"/>
      <c r="S7" s="244"/>
      <c r="T7" s="244"/>
      <c r="U7" s="244"/>
      <c r="V7" s="245"/>
      <c r="W7" s="6"/>
    </row>
    <row r="8" spans="1:23" ht="16.2">
      <c r="A8" s="242"/>
      <c r="B8" s="249"/>
      <c r="C8" s="248"/>
      <c r="D8" s="248"/>
      <c r="E8" s="248"/>
      <c r="F8" s="248"/>
      <c r="G8" s="248"/>
      <c r="H8" s="248"/>
      <c r="I8" s="248"/>
      <c r="J8" s="248"/>
      <c r="K8" s="248"/>
      <c r="L8" s="248"/>
      <c r="M8" s="244"/>
      <c r="N8" s="244"/>
      <c r="O8" s="244"/>
      <c r="P8" s="244"/>
      <c r="Q8" s="244"/>
      <c r="R8" s="244"/>
      <c r="S8" s="244"/>
      <c r="T8" s="244"/>
      <c r="U8" s="244"/>
      <c r="V8" s="245"/>
      <c r="W8" s="6"/>
    </row>
    <row r="9" spans="1:23" ht="18">
      <c r="A9" s="242"/>
      <c r="B9" s="250" t="s">
        <v>194</v>
      </c>
      <c r="C9" s="248"/>
      <c r="D9" s="248"/>
      <c r="E9" s="248"/>
      <c r="F9" s="248"/>
      <c r="G9" s="248"/>
      <c r="H9" s="248"/>
      <c r="I9" s="251" t="s">
        <v>195</v>
      </c>
      <c r="J9" s="248"/>
      <c r="K9" s="248"/>
      <c r="L9" s="248"/>
      <c r="M9" s="244"/>
      <c r="N9" s="244"/>
      <c r="O9" s="244"/>
      <c r="P9" s="244"/>
      <c r="Q9" s="244"/>
      <c r="R9" s="244"/>
      <c r="S9" s="244"/>
      <c r="T9" s="244"/>
      <c r="U9" s="244"/>
      <c r="V9" s="245"/>
      <c r="W9" s="6"/>
    </row>
    <row r="10" spans="1:23" ht="16.2">
      <c r="A10" s="242"/>
      <c r="B10" s="248"/>
      <c r="C10" s="248"/>
      <c r="D10" s="248"/>
      <c r="E10" s="248"/>
      <c r="F10" s="248"/>
      <c r="G10" s="248"/>
      <c r="H10" s="248"/>
      <c r="I10" s="248"/>
      <c r="J10" s="248"/>
      <c r="K10" s="248"/>
      <c r="L10" s="248"/>
      <c r="M10" s="252"/>
      <c r="N10" s="252"/>
      <c r="O10" s="244"/>
      <c r="P10" s="244"/>
      <c r="Q10" s="244"/>
      <c r="R10" s="244"/>
      <c r="S10" s="244"/>
      <c r="T10" s="244"/>
      <c r="U10" s="244"/>
      <c r="V10" s="245"/>
      <c r="W10" s="6"/>
    </row>
    <row r="11" spans="1:23" ht="15.6">
      <c r="A11" s="242"/>
      <c r="B11" s="287" t="s">
        <v>3</v>
      </c>
      <c r="C11" s="252"/>
      <c r="D11" s="252"/>
      <c r="E11" s="252"/>
      <c r="F11" s="252"/>
      <c r="G11" s="252"/>
      <c r="H11" s="252"/>
      <c r="I11" s="252"/>
      <c r="J11" s="252"/>
      <c r="K11" s="252"/>
      <c r="L11" s="252"/>
      <c r="M11" s="244"/>
      <c r="N11" s="244"/>
      <c r="O11" s="244"/>
      <c r="P11" s="244"/>
      <c r="Q11" s="244"/>
      <c r="R11" s="244"/>
      <c r="S11" s="244"/>
      <c r="T11" s="244"/>
      <c r="U11" s="244"/>
      <c r="V11" s="245"/>
      <c r="W11" s="6"/>
    </row>
    <row r="12" spans="1:23" ht="16.2" thickBot="1">
      <c r="A12" s="242"/>
      <c r="B12" s="252"/>
      <c r="C12" s="252"/>
      <c r="D12" s="252"/>
      <c r="E12" s="252"/>
      <c r="F12" s="252"/>
      <c r="G12" s="252"/>
      <c r="H12" s="252"/>
      <c r="I12" s="252"/>
      <c r="J12" s="252"/>
      <c r="K12" s="252"/>
      <c r="L12" s="252"/>
      <c r="M12" s="244"/>
      <c r="N12" s="244"/>
      <c r="O12" s="244"/>
      <c r="P12" s="244"/>
      <c r="Q12" s="244"/>
      <c r="R12" s="244"/>
      <c r="S12" s="244"/>
      <c r="T12" s="244"/>
      <c r="U12" s="244"/>
      <c r="V12" s="245"/>
      <c r="W12" s="6"/>
    </row>
    <row r="13" spans="1:23" ht="15.6">
      <c r="A13" s="238"/>
      <c r="B13" s="240"/>
      <c r="C13" s="240"/>
      <c r="D13" s="240"/>
      <c r="E13" s="240"/>
      <c r="F13" s="240"/>
      <c r="G13" s="240"/>
      <c r="H13" s="240"/>
      <c r="I13" s="240"/>
      <c r="J13" s="240"/>
      <c r="K13" s="240"/>
      <c r="L13" s="240"/>
      <c r="M13" s="240"/>
      <c r="N13" s="240"/>
      <c r="O13" s="240"/>
      <c r="P13" s="240"/>
      <c r="Q13" s="240"/>
      <c r="R13" s="240"/>
      <c r="S13" s="240"/>
      <c r="T13" s="240"/>
      <c r="U13" s="240"/>
      <c r="V13" s="241"/>
      <c r="W13" s="6"/>
    </row>
    <row r="14" spans="1:23" ht="15.6">
      <c r="A14" s="242"/>
      <c r="B14" s="287" t="s">
        <v>4</v>
      </c>
      <c r="C14" s="253"/>
      <c r="D14" s="253"/>
      <c r="E14" s="253"/>
      <c r="F14" s="253"/>
      <c r="G14" s="253"/>
      <c r="H14" s="253"/>
      <c r="I14" s="253"/>
      <c r="J14" s="253"/>
      <c r="K14" s="253"/>
      <c r="L14" s="253"/>
      <c r="M14" s="288"/>
      <c r="N14" s="288"/>
      <c r="O14" s="288"/>
      <c r="P14" s="288"/>
      <c r="Q14" s="288"/>
      <c r="R14" s="288"/>
      <c r="S14" s="288"/>
      <c r="T14" s="288"/>
      <c r="U14" s="289" t="s">
        <v>126</v>
      </c>
      <c r="V14" s="245"/>
      <c r="W14" s="6"/>
    </row>
    <row r="15" spans="1:23" ht="15.6">
      <c r="A15" s="242"/>
      <c r="B15" s="287" t="s">
        <v>5</v>
      </c>
      <c r="C15" s="253"/>
      <c r="D15" s="253"/>
      <c r="E15" s="253"/>
      <c r="F15" s="253"/>
      <c r="G15" s="253"/>
      <c r="H15" s="253"/>
      <c r="I15" s="253"/>
      <c r="J15" s="253"/>
      <c r="K15" s="253"/>
      <c r="L15" s="253"/>
      <c r="M15" s="290" t="s">
        <v>93</v>
      </c>
      <c r="N15" s="291">
        <v>0.1492</v>
      </c>
      <c r="O15" s="290" t="s">
        <v>99</v>
      </c>
      <c r="P15" s="291">
        <v>5.4399999999999997E-2</v>
      </c>
      <c r="Q15" s="290" t="s">
        <v>102</v>
      </c>
      <c r="R15" s="291">
        <v>0.48899999999999999</v>
      </c>
      <c r="S15" s="290" t="s">
        <v>108</v>
      </c>
      <c r="T15" s="291">
        <v>0.30740000000000001</v>
      </c>
      <c r="U15" s="289"/>
      <c r="V15" s="254"/>
      <c r="W15" s="6"/>
    </row>
    <row r="16" spans="1:23" ht="15.6">
      <c r="A16" s="242"/>
      <c r="B16" s="287" t="s">
        <v>6</v>
      </c>
      <c r="C16" s="253"/>
      <c r="D16" s="253"/>
      <c r="E16" s="253"/>
      <c r="F16" s="253"/>
      <c r="G16" s="253"/>
      <c r="H16" s="253"/>
      <c r="I16" s="253"/>
      <c r="J16" s="253"/>
      <c r="K16" s="253"/>
      <c r="L16" s="253"/>
      <c r="M16" s="290" t="s">
        <v>93</v>
      </c>
      <c r="N16" s="291">
        <f>+N198/S221</f>
        <v>1.2725112292795564E-2</v>
      </c>
      <c r="O16" s="290" t="s">
        <v>99</v>
      </c>
      <c r="P16" s="291">
        <f>+S198/S221</f>
        <v>2.2332150712522018E-3</v>
      </c>
      <c r="Q16" s="290" t="s">
        <v>102</v>
      </c>
      <c r="R16" s="291">
        <f>+N211/S221</f>
        <v>0.97835888187556352</v>
      </c>
      <c r="S16" s="290" t="s">
        <v>108</v>
      </c>
      <c r="T16" s="291">
        <f>+S211/S221</f>
        <v>6.6827907603886636E-3</v>
      </c>
      <c r="U16" s="289"/>
      <c r="V16" s="254"/>
      <c r="W16" s="6"/>
    </row>
    <row r="17" spans="1:23" ht="15.6">
      <c r="A17" s="242"/>
      <c r="B17" s="287" t="s">
        <v>7</v>
      </c>
      <c r="C17" s="253"/>
      <c r="D17" s="253"/>
      <c r="E17" s="253"/>
      <c r="F17" s="253"/>
      <c r="G17" s="253"/>
      <c r="H17" s="253"/>
      <c r="I17" s="253"/>
      <c r="J17" s="253"/>
      <c r="K17" s="253"/>
      <c r="L17" s="253"/>
      <c r="M17" s="288"/>
      <c r="N17" s="288"/>
      <c r="O17" s="288"/>
      <c r="P17" s="288"/>
      <c r="Q17" s="288"/>
      <c r="R17" s="288"/>
      <c r="S17" s="288"/>
      <c r="T17" s="288"/>
      <c r="U17" s="292">
        <v>38491</v>
      </c>
      <c r="V17" s="245"/>
      <c r="W17" s="6"/>
    </row>
    <row r="18" spans="1:23" ht="15.6">
      <c r="A18" s="242"/>
      <c r="B18" s="287" t="s">
        <v>8</v>
      </c>
      <c r="C18" s="253"/>
      <c r="D18" s="253"/>
      <c r="E18" s="253"/>
      <c r="F18" s="253"/>
      <c r="G18" s="253"/>
      <c r="H18" s="253"/>
      <c r="I18" s="253"/>
      <c r="J18" s="253"/>
      <c r="K18" s="253"/>
      <c r="L18" s="253"/>
      <c r="M18" s="288"/>
      <c r="N18" s="288"/>
      <c r="O18" s="288"/>
      <c r="P18" s="288"/>
      <c r="Q18" s="288"/>
      <c r="R18" s="288"/>
      <c r="S18" s="288"/>
      <c r="T18" s="288"/>
      <c r="U18" s="292">
        <v>41751</v>
      </c>
      <c r="V18" s="245"/>
      <c r="W18" s="6"/>
    </row>
    <row r="19" spans="1:23" ht="15.6">
      <c r="A19" s="242"/>
      <c r="B19" s="288"/>
      <c r="C19" s="244"/>
      <c r="D19" s="244"/>
      <c r="E19" s="244"/>
      <c r="F19" s="244"/>
      <c r="G19" s="244"/>
      <c r="H19" s="244"/>
      <c r="I19" s="244"/>
      <c r="J19" s="244"/>
      <c r="K19" s="244"/>
      <c r="L19" s="244"/>
      <c r="M19" s="244"/>
      <c r="N19" s="244"/>
      <c r="O19" s="244"/>
      <c r="P19" s="244"/>
      <c r="Q19" s="244"/>
      <c r="R19" s="244"/>
      <c r="S19" s="244"/>
      <c r="T19" s="244"/>
      <c r="U19" s="255"/>
      <c r="V19" s="245"/>
      <c r="W19" s="6"/>
    </row>
    <row r="20" spans="1:23" ht="15.6">
      <c r="A20" s="242"/>
      <c r="B20" s="293" t="s">
        <v>9</v>
      </c>
      <c r="C20" s="244"/>
      <c r="D20" s="244"/>
      <c r="E20" s="244"/>
      <c r="F20" s="244"/>
      <c r="G20" s="244"/>
      <c r="H20" s="244"/>
      <c r="I20" s="244"/>
      <c r="J20" s="244"/>
      <c r="K20" s="244"/>
      <c r="L20" s="244"/>
      <c r="M20" s="244"/>
      <c r="N20" s="244"/>
      <c r="O20" s="244"/>
      <c r="P20" s="244"/>
      <c r="Q20" s="244"/>
      <c r="R20" s="244"/>
      <c r="S20" s="255"/>
      <c r="T20" s="244"/>
      <c r="U20" s="249"/>
      <c r="V20" s="245"/>
      <c r="W20" s="6"/>
    </row>
    <row r="21" spans="1:23" ht="15.6">
      <c r="A21" s="242"/>
      <c r="B21" s="244"/>
      <c r="C21" s="244"/>
      <c r="D21" s="244"/>
      <c r="E21" s="244"/>
      <c r="F21" s="244"/>
      <c r="G21" s="244"/>
      <c r="H21" s="244"/>
      <c r="I21" s="244"/>
      <c r="J21" s="244"/>
      <c r="K21" s="244"/>
      <c r="L21" s="244"/>
      <c r="M21" s="244"/>
      <c r="N21" s="244"/>
      <c r="O21" s="244"/>
      <c r="P21" s="244"/>
      <c r="Q21" s="244"/>
      <c r="R21" s="244"/>
      <c r="S21" s="244"/>
      <c r="T21" s="244"/>
      <c r="U21" s="256"/>
      <c r="V21" s="245"/>
      <c r="W21" s="6"/>
    </row>
    <row r="22" spans="1:23" ht="15.6">
      <c r="A22" s="230"/>
      <c r="B22" s="231"/>
      <c r="C22" s="232" t="s">
        <v>130</v>
      </c>
      <c r="D22" s="232"/>
      <c r="E22" s="232" t="s">
        <v>131</v>
      </c>
      <c r="F22" s="232"/>
      <c r="G22" s="232" t="s">
        <v>132</v>
      </c>
      <c r="H22" s="232"/>
      <c r="I22" s="232" t="s">
        <v>133</v>
      </c>
      <c r="J22" s="232"/>
      <c r="K22" s="232" t="s">
        <v>134</v>
      </c>
      <c r="L22" s="232"/>
      <c r="M22" s="233" t="s">
        <v>135</v>
      </c>
      <c r="N22" s="233"/>
      <c r="O22" s="233" t="s">
        <v>136</v>
      </c>
      <c r="P22" s="233"/>
      <c r="Q22" s="233" t="s">
        <v>137</v>
      </c>
      <c r="R22" s="233"/>
      <c r="S22" s="235"/>
      <c r="T22" s="236"/>
      <c r="U22" s="236"/>
      <c r="V22" s="237"/>
      <c r="W22" s="6"/>
    </row>
    <row r="23" spans="1:23" ht="15.6">
      <c r="A23" s="257"/>
      <c r="B23" s="294" t="s">
        <v>10</v>
      </c>
      <c r="C23" s="295" t="s">
        <v>96</v>
      </c>
      <c r="D23" s="295"/>
      <c r="E23" s="295" t="s">
        <v>96</v>
      </c>
      <c r="F23" s="295"/>
      <c r="G23" s="295" t="s">
        <v>138</v>
      </c>
      <c r="H23" s="295"/>
      <c r="I23" s="295" t="s">
        <v>138</v>
      </c>
      <c r="J23" s="295"/>
      <c r="K23" s="295" t="s">
        <v>104</v>
      </c>
      <c r="L23" s="296"/>
      <c r="M23" s="297" t="s">
        <v>104</v>
      </c>
      <c r="N23" s="297"/>
      <c r="O23" s="297" t="s">
        <v>109</v>
      </c>
      <c r="P23" s="297"/>
      <c r="Q23" s="297" t="s">
        <v>109</v>
      </c>
      <c r="R23" s="258"/>
      <c r="S23" s="258"/>
      <c r="T23" s="259"/>
      <c r="U23" s="259"/>
      <c r="V23" s="260"/>
      <c r="W23" s="6"/>
    </row>
    <row r="24" spans="1:23" ht="15.6">
      <c r="A24" s="378"/>
      <c r="B24" s="379" t="s">
        <v>11</v>
      </c>
      <c r="C24" s="380" t="s">
        <v>97</v>
      </c>
      <c r="D24" s="380"/>
      <c r="E24" s="380" t="s">
        <v>97</v>
      </c>
      <c r="F24" s="380"/>
      <c r="G24" s="380" t="s">
        <v>139</v>
      </c>
      <c r="H24" s="380"/>
      <c r="I24" s="380" t="s">
        <v>139</v>
      </c>
      <c r="J24" s="380"/>
      <c r="K24" s="380" t="s">
        <v>105</v>
      </c>
      <c r="L24" s="381"/>
      <c r="M24" s="382" t="s">
        <v>105</v>
      </c>
      <c r="N24" s="382"/>
      <c r="O24" s="382" t="s">
        <v>110</v>
      </c>
      <c r="P24" s="382"/>
      <c r="Q24" s="382" t="s">
        <v>110</v>
      </c>
      <c r="R24" s="383"/>
      <c r="S24" s="383"/>
      <c r="T24" s="384"/>
      <c r="U24" s="384"/>
      <c r="V24" s="385"/>
      <c r="W24" s="6"/>
    </row>
    <row r="25" spans="1:23" ht="15.6">
      <c r="A25" s="378"/>
      <c r="B25" s="386" t="s">
        <v>12</v>
      </c>
      <c r="C25" s="381" t="s">
        <v>284</v>
      </c>
      <c r="D25" s="381"/>
      <c r="E25" s="381" t="s">
        <v>284</v>
      </c>
      <c r="F25" s="381"/>
      <c r="G25" s="381" t="s">
        <v>284</v>
      </c>
      <c r="H25" s="381"/>
      <c r="I25" s="381" t="s">
        <v>284</v>
      </c>
      <c r="J25" s="386"/>
      <c r="K25" s="381" t="s">
        <v>138</v>
      </c>
      <c r="L25" s="386"/>
      <c r="M25" s="387" t="s">
        <v>138</v>
      </c>
      <c r="N25" s="382"/>
      <c r="O25" s="387" t="s">
        <v>288</v>
      </c>
      <c r="P25" s="382"/>
      <c r="Q25" s="387" t="s">
        <v>288</v>
      </c>
      <c r="R25" s="388"/>
      <c r="S25" s="388"/>
      <c r="T25" s="389"/>
      <c r="U25" s="384"/>
      <c r="V25" s="385"/>
      <c r="W25" s="6"/>
    </row>
    <row r="26" spans="1:23" ht="15.6">
      <c r="A26" s="378"/>
      <c r="B26" s="386" t="s">
        <v>13</v>
      </c>
      <c r="C26" s="381" t="s">
        <v>139</v>
      </c>
      <c r="D26" s="381"/>
      <c r="E26" s="381" t="s">
        <v>139</v>
      </c>
      <c r="F26" s="381"/>
      <c r="G26" s="381" t="s">
        <v>139</v>
      </c>
      <c r="H26" s="381"/>
      <c r="I26" s="381" t="s">
        <v>139</v>
      </c>
      <c r="J26" s="386"/>
      <c r="K26" s="381" t="s">
        <v>280</v>
      </c>
      <c r="L26" s="386"/>
      <c r="M26" s="387" t="s">
        <v>280</v>
      </c>
      <c r="N26" s="382"/>
      <c r="O26" s="387" t="s">
        <v>110</v>
      </c>
      <c r="P26" s="382"/>
      <c r="Q26" s="387" t="s">
        <v>110</v>
      </c>
      <c r="R26" s="388"/>
      <c r="S26" s="388"/>
      <c r="T26" s="389"/>
      <c r="U26" s="384"/>
      <c r="V26" s="385"/>
      <c r="W26" s="6"/>
    </row>
    <row r="27" spans="1:23" ht="15.6">
      <c r="A27" s="378"/>
      <c r="B27" s="379" t="s">
        <v>14</v>
      </c>
      <c r="C27" s="380" t="s">
        <v>140</v>
      </c>
      <c r="D27" s="379"/>
      <c r="E27" s="380" t="s">
        <v>141</v>
      </c>
      <c r="F27" s="379"/>
      <c r="G27" s="380" t="s">
        <v>142</v>
      </c>
      <c r="H27" s="379"/>
      <c r="I27" s="380" t="s">
        <v>258</v>
      </c>
      <c r="J27" s="379"/>
      <c r="K27" s="380" t="s">
        <v>143</v>
      </c>
      <c r="L27" s="379"/>
      <c r="M27" s="379" t="s">
        <v>144</v>
      </c>
      <c r="N27" s="382"/>
      <c r="O27" s="379" t="s">
        <v>145</v>
      </c>
      <c r="P27" s="382"/>
      <c r="Q27" s="379" t="s">
        <v>146</v>
      </c>
      <c r="R27" s="383"/>
      <c r="S27" s="390"/>
      <c r="T27" s="384"/>
      <c r="U27" s="384"/>
      <c r="V27" s="385"/>
      <c r="W27" s="6"/>
    </row>
    <row r="28" spans="1:23" ht="15.6">
      <c r="A28" s="378"/>
      <c r="B28" s="379" t="s">
        <v>147</v>
      </c>
      <c r="C28" s="391">
        <v>146000</v>
      </c>
      <c r="D28" s="380"/>
      <c r="E28" s="392">
        <v>259500</v>
      </c>
      <c r="F28" s="380"/>
      <c r="G28" s="391">
        <v>16000</v>
      </c>
      <c r="H28" s="380"/>
      <c r="I28" s="392">
        <v>35500</v>
      </c>
      <c r="J28" s="379"/>
      <c r="K28" s="391">
        <v>18000</v>
      </c>
      <c r="L28" s="379"/>
      <c r="M28" s="392">
        <v>33000</v>
      </c>
      <c r="N28" s="393"/>
      <c r="O28" s="394">
        <v>24500</v>
      </c>
      <c r="P28" s="394"/>
      <c r="Q28" s="392">
        <v>30000</v>
      </c>
      <c r="R28" s="395"/>
      <c r="S28" s="395"/>
      <c r="T28" s="396"/>
      <c r="U28" s="395"/>
      <c r="V28" s="397"/>
      <c r="W28" s="6"/>
    </row>
    <row r="29" spans="1:23" ht="15.6">
      <c r="A29" s="378"/>
      <c r="B29" s="379" t="s">
        <v>15</v>
      </c>
      <c r="C29" s="391">
        <f>C28*C35</f>
        <v>24668.89</v>
      </c>
      <c r="D29" s="398"/>
      <c r="E29" s="392">
        <f>E28*E35</f>
        <v>43846.417500000003</v>
      </c>
      <c r="F29" s="398"/>
      <c r="G29" s="391">
        <f>G28*G35</f>
        <v>8856.3232000000007</v>
      </c>
      <c r="H29" s="398"/>
      <c r="I29" s="392">
        <f>I28*I35</f>
        <v>19649.967100000002</v>
      </c>
      <c r="J29" s="399"/>
      <c r="K29" s="391">
        <f>K28*K35</f>
        <v>9963.3636000000006</v>
      </c>
      <c r="L29" s="399"/>
      <c r="M29" s="392">
        <f>M28*M35</f>
        <v>18266.1666</v>
      </c>
      <c r="N29" s="393"/>
      <c r="O29" s="391">
        <f>O28*O35</f>
        <v>13561.2449</v>
      </c>
      <c r="P29" s="394"/>
      <c r="Q29" s="392">
        <f>Q28*Q35</f>
        <v>16605.606</v>
      </c>
      <c r="R29" s="400"/>
      <c r="S29" s="395"/>
      <c r="T29" s="396"/>
      <c r="U29" s="395"/>
      <c r="V29" s="397"/>
      <c r="W29" s="6"/>
    </row>
    <row r="30" spans="1:23" ht="15.6">
      <c r="A30" s="401"/>
      <c r="B30" s="386" t="s">
        <v>148</v>
      </c>
      <c r="C30" s="415">
        <f>C34*C28</f>
        <v>23514.497200000002</v>
      </c>
      <c r="D30" s="505"/>
      <c r="E30" s="406">
        <f>E34*E28</f>
        <v>41794.602900000005</v>
      </c>
      <c r="F30" s="505"/>
      <c r="G30" s="415">
        <f>G34*G28</f>
        <v>8441.9552000000003</v>
      </c>
      <c r="H30" s="505"/>
      <c r="I30" s="406">
        <f>I34*I28</f>
        <v>18730.588100000001</v>
      </c>
      <c r="J30" s="506"/>
      <c r="K30" s="415">
        <f>K34*K28</f>
        <v>9497.1995999999999</v>
      </c>
      <c r="L30" s="399"/>
      <c r="M30" s="406">
        <f>M34*M28</f>
        <v>17411.532600000002</v>
      </c>
      <c r="N30" s="407"/>
      <c r="O30" s="415">
        <f>O34*O28</f>
        <v>12926.743900000001</v>
      </c>
      <c r="P30" s="408"/>
      <c r="Q30" s="406">
        <f>Q34*Q28</f>
        <v>15828.666000000001</v>
      </c>
      <c r="R30" s="408"/>
      <c r="S30" s="408"/>
      <c r="T30" s="409"/>
      <c r="U30" s="408"/>
      <c r="V30" s="410"/>
      <c r="W30" s="6"/>
    </row>
    <row r="31" spans="1:23" ht="15.6">
      <c r="A31" s="401"/>
      <c r="B31" s="379" t="s">
        <v>260</v>
      </c>
      <c r="C31" s="391">
        <v>146000</v>
      </c>
      <c r="D31" s="398"/>
      <c r="E31" s="391">
        <v>178000</v>
      </c>
      <c r="F31" s="391"/>
      <c r="G31" s="391">
        <v>16000</v>
      </c>
      <c r="H31" s="391"/>
      <c r="I31" s="391">
        <v>24500</v>
      </c>
      <c r="J31" s="412"/>
      <c r="K31" s="391">
        <v>18000</v>
      </c>
      <c r="L31" s="412"/>
      <c r="M31" s="391">
        <v>22500</v>
      </c>
      <c r="N31" s="414"/>
      <c r="O31" s="391">
        <v>24500</v>
      </c>
      <c r="P31" s="415"/>
      <c r="Q31" s="391">
        <v>20500</v>
      </c>
      <c r="R31" s="408"/>
      <c r="S31" s="408"/>
      <c r="T31" s="409"/>
      <c r="U31" s="394">
        <f>+Q31+O31+M31+K31+I31+G31+E31+C31</f>
        <v>450000</v>
      </c>
      <c r="V31" s="410"/>
      <c r="W31" s="6"/>
    </row>
    <row r="32" spans="1:23" ht="15.6">
      <c r="A32" s="401"/>
      <c r="B32" s="379" t="s">
        <v>261</v>
      </c>
      <c r="C32" s="391">
        <f>C28*C35</f>
        <v>24668.89</v>
      </c>
      <c r="D32" s="398"/>
      <c r="E32" s="391">
        <f>E31*E35</f>
        <v>30075.77</v>
      </c>
      <c r="F32" s="391"/>
      <c r="G32" s="391">
        <f>G28*G35</f>
        <v>8856.3232000000007</v>
      </c>
      <c r="H32" s="391"/>
      <c r="I32" s="391">
        <f>I31*I35</f>
        <v>13561.2449</v>
      </c>
      <c r="J32" s="412"/>
      <c r="K32" s="391">
        <f>K28*K35</f>
        <v>9963.3636000000006</v>
      </c>
      <c r="L32" s="412"/>
      <c r="M32" s="391">
        <f>M31*M35</f>
        <v>12454.2045</v>
      </c>
      <c r="N32" s="414"/>
      <c r="O32" s="391">
        <f>O28*O35</f>
        <v>13561.2449</v>
      </c>
      <c r="P32" s="415"/>
      <c r="Q32" s="391">
        <f>Q31*Q35</f>
        <v>11347.1641</v>
      </c>
      <c r="R32" s="391"/>
      <c r="S32" s="408"/>
      <c r="T32" s="409"/>
      <c r="U32" s="394">
        <f>+Q32+O32+M32+K32+I32+G32+E32+C32</f>
        <v>124488.20520000001</v>
      </c>
      <c r="V32" s="410"/>
      <c r="W32" s="6"/>
    </row>
    <row r="33" spans="1:23" ht="15.6">
      <c r="A33" s="401"/>
      <c r="B33" s="386" t="s">
        <v>262</v>
      </c>
      <c r="C33" s="415">
        <f>C34*C28</f>
        <v>23514.497200000002</v>
      </c>
      <c r="D33" s="415"/>
      <c r="E33" s="415">
        <f>E34*E31</f>
        <v>28668.359600000003</v>
      </c>
      <c r="F33" s="415"/>
      <c r="G33" s="415">
        <f>G34*G28</f>
        <v>8441.9552000000003</v>
      </c>
      <c r="H33" s="415"/>
      <c r="I33" s="415">
        <f>I34*I31</f>
        <v>12926.743900000001</v>
      </c>
      <c r="J33" s="414"/>
      <c r="K33" s="415">
        <f>K34*K28</f>
        <v>9497.1995999999999</v>
      </c>
      <c r="L33" s="414"/>
      <c r="M33" s="415">
        <f>M34*M31</f>
        <v>11871.499500000002</v>
      </c>
      <c r="N33" s="414"/>
      <c r="O33" s="415">
        <f>O34*O28</f>
        <v>12926.743900000001</v>
      </c>
      <c r="P33" s="415"/>
      <c r="Q33" s="415">
        <f>Q34*Q31</f>
        <v>10816.2551</v>
      </c>
      <c r="R33" s="408"/>
      <c r="S33" s="408"/>
      <c r="T33" s="409"/>
      <c r="U33" s="408">
        <f>+Q33+O33+M33+K33+I33+G33+E33+C33</f>
        <v>118663.254</v>
      </c>
      <c r="V33" s="410"/>
      <c r="W33" s="6"/>
    </row>
    <row r="34" spans="1:23" ht="15.6">
      <c r="A34" s="401"/>
      <c r="B34" s="468" t="s">
        <v>149</v>
      </c>
      <c r="C34" s="507">
        <v>0.16105820000000001</v>
      </c>
      <c r="D34" s="507"/>
      <c r="E34" s="507">
        <v>0.16105820000000001</v>
      </c>
      <c r="F34" s="507"/>
      <c r="G34" s="507">
        <v>0.52762220000000004</v>
      </c>
      <c r="H34" s="507"/>
      <c r="I34" s="507">
        <v>0.52762220000000004</v>
      </c>
      <c r="J34" s="507"/>
      <c r="K34" s="507">
        <v>0.52762220000000004</v>
      </c>
      <c r="L34" s="507"/>
      <c r="M34" s="507">
        <v>0.52762220000000004</v>
      </c>
      <c r="N34" s="507"/>
      <c r="O34" s="507">
        <v>0.52762220000000004</v>
      </c>
      <c r="P34" s="507"/>
      <c r="Q34" s="507">
        <v>0.52762220000000004</v>
      </c>
      <c r="R34" s="508"/>
      <c r="S34" s="420"/>
      <c r="T34" s="421"/>
      <c r="U34" s="420"/>
      <c r="V34" s="385"/>
      <c r="W34" s="6"/>
    </row>
    <row r="35" spans="1:23" ht="15.6">
      <c r="A35" s="401"/>
      <c r="B35" s="468" t="s">
        <v>150</v>
      </c>
      <c r="C35" s="507">
        <v>0.168965</v>
      </c>
      <c r="D35" s="507"/>
      <c r="E35" s="507">
        <v>0.168965</v>
      </c>
      <c r="F35" s="507"/>
      <c r="G35" s="507">
        <v>0.55352020000000002</v>
      </c>
      <c r="H35" s="507"/>
      <c r="I35" s="507">
        <v>0.55352020000000002</v>
      </c>
      <c r="J35" s="507"/>
      <c r="K35" s="507">
        <v>0.55352020000000002</v>
      </c>
      <c r="L35" s="507"/>
      <c r="M35" s="507">
        <v>0.55352020000000002</v>
      </c>
      <c r="N35" s="507"/>
      <c r="O35" s="507">
        <v>0.55352020000000002</v>
      </c>
      <c r="P35" s="507"/>
      <c r="Q35" s="507">
        <v>0.55352020000000002</v>
      </c>
      <c r="R35" s="508"/>
      <c r="S35" s="420"/>
      <c r="T35" s="421"/>
      <c r="U35" s="420"/>
      <c r="V35" s="385"/>
      <c r="W35" s="6"/>
    </row>
    <row r="36" spans="1:23" ht="15.6">
      <c r="A36" s="378"/>
      <c r="B36" s="379" t="s">
        <v>153</v>
      </c>
      <c r="C36" s="380" t="s">
        <v>163</v>
      </c>
      <c r="D36" s="380"/>
      <c r="E36" s="380" t="s">
        <v>163</v>
      </c>
      <c r="F36" s="380"/>
      <c r="G36" s="380" t="s">
        <v>164</v>
      </c>
      <c r="H36" s="380"/>
      <c r="I36" s="380" t="s">
        <v>164</v>
      </c>
      <c r="J36" s="380"/>
      <c r="K36" s="380" t="s">
        <v>106</v>
      </c>
      <c r="L36" s="380"/>
      <c r="M36" s="380" t="s">
        <v>165</v>
      </c>
      <c r="N36" s="380"/>
      <c r="O36" s="380" t="s">
        <v>166</v>
      </c>
      <c r="P36" s="380"/>
      <c r="Q36" s="380" t="s">
        <v>167</v>
      </c>
      <c r="R36" s="380"/>
      <c r="S36" s="380"/>
      <c r="T36" s="379"/>
      <c r="U36" s="424"/>
      <c r="V36" s="410"/>
      <c r="W36" s="6"/>
    </row>
    <row r="37" spans="1:23" ht="15.6">
      <c r="A37" s="378"/>
      <c r="B37" s="379" t="s">
        <v>151</v>
      </c>
      <c r="C37" s="509">
        <v>9.5937999999999996E-3</v>
      </c>
      <c r="D37" s="509"/>
      <c r="E37" s="509">
        <v>7.2199999999999999E-3</v>
      </c>
      <c r="F37" s="509"/>
      <c r="G37" s="509">
        <v>1.17938E-2</v>
      </c>
      <c r="H37" s="509"/>
      <c r="I37" s="509">
        <v>9.4199999999999996E-3</v>
      </c>
      <c r="J37" s="509"/>
      <c r="K37" s="509">
        <v>1.7193799999999999E-2</v>
      </c>
      <c r="L37" s="509"/>
      <c r="M37" s="509">
        <v>1.422E-2</v>
      </c>
      <c r="N37" s="509"/>
      <c r="O37" s="509">
        <v>2.4193800000000001E-2</v>
      </c>
      <c r="P37" s="509"/>
      <c r="Q37" s="509">
        <v>2.0820000000000002E-2</v>
      </c>
      <c r="R37" s="427"/>
      <c r="S37" s="509"/>
      <c r="T37" s="379"/>
      <c r="U37" s="380"/>
      <c r="V37" s="410"/>
      <c r="W37" s="6"/>
    </row>
    <row r="38" spans="1:23" ht="15.6">
      <c r="A38" s="378"/>
      <c r="B38" s="379" t="s">
        <v>152</v>
      </c>
      <c r="C38" s="509">
        <v>9.5949999999999994E-3</v>
      </c>
      <c r="D38" s="509"/>
      <c r="E38" s="509">
        <v>6.6699999999999997E-3</v>
      </c>
      <c r="F38" s="509"/>
      <c r="G38" s="509">
        <v>1.1795E-2</v>
      </c>
      <c r="H38" s="509"/>
      <c r="I38" s="509">
        <v>8.8699999999999994E-3</v>
      </c>
      <c r="J38" s="509"/>
      <c r="K38" s="509">
        <v>1.7194999999999998E-2</v>
      </c>
      <c r="L38" s="509"/>
      <c r="M38" s="509">
        <v>1.367E-2</v>
      </c>
      <c r="N38" s="509"/>
      <c r="O38" s="509">
        <v>2.4195000000000001E-2</v>
      </c>
      <c r="P38" s="509"/>
      <c r="Q38" s="509">
        <v>2.027E-2</v>
      </c>
      <c r="R38" s="427"/>
      <c r="S38" s="509"/>
      <c r="T38" s="379"/>
      <c r="U38" s="424"/>
      <c r="V38" s="410"/>
      <c r="W38" s="6"/>
    </row>
    <row r="39" spans="1:23" ht="15.6">
      <c r="A39" s="378"/>
      <c r="B39" s="379" t="s">
        <v>263</v>
      </c>
      <c r="C39" s="380" t="s">
        <v>163</v>
      </c>
      <c r="D39" s="379"/>
      <c r="E39" s="380" t="s">
        <v>228</v>
      </c>
      <c r="F39" s="379"/>
      <c r="G39" s="380" t="s">
        <v>164</v>
      </c>
      <c r="H39" s="379"/>
      <c r="I39" s="380" t="s">
        <v>226</v>
      </c>
      <c r="J39" s="379"/>
      <c r="K39" s="380" t="s">
        <v>106</v>
      </c>
      <c r="L39" s="379"/>
      <c r="M39" s="380" t="s">
        <v>227</v>
      </c>
      <c r="N39" s="379"/>
      <c r="O39" s="380" t="s">
        <v>166</v>
      </c>
      <c r="P39" s="380"/>
      <c r="Q39" s="380" t="s">
        <v>229</v>
      </c>
      <c r="R39" s="427"/>
      <c r="S39" s="509"/>
      <c r="T39" s="379"/>
      <c r="U39" s="424"/>
      <c r="V39" s="410"/>
      <c r="W39" s="6"/>
    </row>
    <row r="40" spans="1:23" ht="15.6">
      <c r="A40" s="378"/>
      <c r="B40" s="379" t="s">
        <v>264</v>
      </c>
      <c r="C40" s="509">
        <f>+C37</f>
        <v>9.5937999999999996E-3</v>
      </c>
      <c r="D40" s="509"/>
      <c r="E40" s="509">
        <v>1.01698E-2</v>
      </c>
      <c r="F40" s="509"/>
      <c r="G40" s="509">
        <f>+G37</f>
        <v>1.17938E-2</v>
      </c>
      <c r="H40" s="509"/>
      <c r="I40" s="509">
        <v>1.2526799999999999E-2</v>
      </c>
      <c r="J40" s="509"/>
      <c r="K40" s="509">
        <f>+K37</f>
        <v>1.7193799999999999E-2</v>
      </c>
      <c r="L40" s="510"/>
      <c r="M40" s="509">
        <v>1.7754200000000001E-2</v>
      </c>
      <c r="N40" s="510"/>
      <c r="O40" s="509">
        <f>+O37</f>
        <v>2.4193800000000001E-2</v>
      </c>
      <c r="P40" s="509"/>
      <c r="Q40" s="509">
        <v>2.5020199999999999E-2</v>
      </c>
      <c r="R40" s="427"/>
      <c r="S40" s="509"/>
      <c r="T40" s="379"/>
      <c r="U40" s="427">
        <f>SUMPRODUCT(C40:Q40,C32:Q32)/U32</f>
        <v>1.4630225791651946E-2</v>
      </c>
      <c r="V40" s="410"/>
      <c r="W40" s="6"/>
    </row>
    <row r="41" spans="1:23" ht="15.6">
      <c r="A41" s="378"/>
      <c r="B41" s="379" t="s">
        <v>265</v>
      </c>
      <c r="C41" s="509">
        <f>+C38</f>
        <v>9.5949999999999994E-3</v>
      </c>
      <c r="D41" s="509"/>
      <c r="E41" s="509">
        <v>1.0170999999999999E-2</v>
      </c>
      <c r="F41" s="509"/>
      <c r="G41" s="509">
        <f>+G38</f>
        <v>1.1795E-2</v>
      </c>
      <c r="H41" s="509"/>
      <c r="I41" s="509">
        <v>1.2527999999999999E-2</v>
      </c>
      <c r="J41" s="509"/>
      <c r="K41" s="509">
        <f>+K38</f>
        <v>1.7194999999999998E-2</v>
      </c>
      <c r="L41" s="510"/>
      <c r="M41" s="509">
        <v>1.7755400000000001E-2</v>
      </c>
      <c r="N41" s="510"/>
      <c r="O41" s="509">
        <f>+O38</f>
        <v>2.4195000000000001E-2</v>
      </c>
      <c r="P41" s="509"/>
      <c r="Q41" s="509">
        <v>2.5021399999999999E-2</v>
      </c>
      <c r="R41" s="427"/>
      <c r="S41" s="509"/>
      <c r="T41" s="379"/>
      <c r="U41" s="424"/>
      <c r="V41" s="410"/>
      <c r="W41" s="6"/>
    </row>
    <row r="42" spans="1:23" ht="15.6">
      <c r="A42" s="378"/>
      <c r="B42" s="379" t="s">
        <v>17</v>
      </c>
      <c r="C42" s="429">
        <v>39918</v>
      </c>
      <c r="D42" s="429"/>
      <c r="E42" s="429">
        <v>39918</v>
      </c>
      <c r="F42" s="429"/>
      <c r="G42" s="429">
        <v>39918</v>
      </c>
      <c r="H42" s="429"/>
      <c r="I42" s="429">
        <v>39918</v>
      </c>
      <c r="J42" s="429"/>
      <c r="K42" s="429">
        <v>39918</v>
      </c>
      <c r="L42" s="429"/>
      <c r="M42" s="429">
        <v>39918</v>
      </c>
      <c r="N42" s="429"/>
      <c r="O42" s="429">
        <v>39918</v>
      </c>
      <c r="P42" s="429"/>
      <c r="Q42" s="429">
        <v>39918</v>
      </c>
      <c r="R42" s="380"/>
      <c r="S42" s="380"/>
      <c r="T42" s="379"/>
      <c r="U42" s="424"/>
      <c r="V42" s="410"/>
      <c r="W42" s="6"/>
    </row>
    <row r="43" spans="1:23" ht="15.6">
      <c r="A43" s="378"/>
      <c r="B43" s="379" t="s">
        <v>18</v>
      </c>
      <c r="C43" s="429">
        <v>40283</v>
      </c>
      <c r="D43" s="430"/>
      <c r="E43" s="429">
        <v>40283</v>
      </c>
      <c r="F43" s="430"/>
      <c r="G43" s="429">
        <v>40283</v>
      </c>
      <c r="H43" s="430"/>
      <c r="I43" s="429">
        <v>40283</v>
      </c>
      <c r="J43" s="430"/>
      <c r="K43" s="429">
        <v>40283</v>
      </c>
      <c r="L43" s="430"/>
      <c r="M43" s="429">
        <v>40283</v>
      </c>
      <c r="N43" s="430"/>
      <c r="O43" s="429">
        <v>40283</v>
      </c>
      <c r="P43" s="429"/>
      <c r="Q43" s="429">
        <v>40283</v>
      </c>
      <c r="R43" s="380"/>
      <c r="S43" s="380"/>
      <c r="T43" s="424"/>
      <c r="U43" s="424"/>
      <c r="V43" s="410"/>
      <c r="W43" s="6"/>
    </row>
    <row r="44" spans="1:23" ht="15.6">
      <c r="A44" s="378"/>
      <c r="B44" s="379" t="s">
        <v>154</v>
      </c>
      <c r="C44" s="380" t="s">
        <v>163</v>
      </c>
      <c r="D44" s="380"/>
      <c r="E44" s="380" t="s">
        <v>163</v>
      </c>
      <c r="F44" s="380"/>
      <c r="G44" s="380" t="s">
        <v>164</v>
      </c>
      <c r="H44" s="380"/>
      <c r="I44" s="380" t="s">
        <v>164</v>
      </c>
      <c r="J44" s="380"/>
      <c r="K44" s="380" t="s">
        <v>106</v>
      </c>
      <c r="L44" s="380"/>
      <c r="M44" s="380" t="s">
        <v>165</v>
      </c>
      <c r="N44" s="380"/>
      <c r="O44" s="380" t="s">
        <v>166</v>
      </c>
      <c r="P44" s="380"/>
      <c r="Q44" s="380" t="s">
        <v>167</v>
      </c>
      <c r="R44" s="380"/>
      <c r="S44" s="380"/>
      <c r="T44" s="424"/>
      <c r="U44" s="424"/>
      <c r="V44" s="410"/>
      <c r="W44" s="6"/>
    </row>
    <row r="45" spans="1:23" ht="15.6">
      <c r="A45" s="378"/>
      <c r="B45" s="379" t="s">
        <v>266</v>
      </c>
      <c r="C45" s="380" t="s">
        <v>163</v>
      </c>
      <c r="D45" s="379"/>
      <c r="E45" s="380" t="s">
        <v>228</v>
      </c>
      <c r="F45" s="379"/>
      <c r="G45" s="380" t="s">
        <v>164</v>
      </c>
      <c r="H45" s="379"/>
      <c r="I45" s="380" t="s">
        <v>226</v>
      </c>
      <c r="J45" s="379"/>
      <c r="K45" s="380" t="s">
        <v>106</v>
      </c>
      <c r="L45" s="379"/>
      <c r="M45" s="380" t="s">
        <v>227</v>
      </c>
      <c r="N45" s="379"/>
      <c r="O45" s="380" t="s">
        <v>166</v>
      </c>
      <c r="P45" s="380"/>
      <c r="Q45" s="380" t="s">
        <v>229</v>
      </c>
      <c r="R45" s="380"/>
      <c r="S45" s="380"/>
      <c r="T45" s="424"/>
      <c r="U45" s="424"/>
      <c r="V45" s="410"/>
      <c r="W45" s="6"/>
    </row>
    <row r="46" spans="1:23" ht="15.6">
      <c r="A46" s="378"/>
      <c r="B46" s="379"/>
      <c r="C46" s="379"/>
      <c r="D46" s="379"/>
      <c r="E46" s="379"/>
      <c r="F46" s="379"/>
      <c r="G46" s="379"/>
      <c r="H46" s="379"/>
      <c r="I46" s="379"/>
      <c r="J46" s="379"/>
      <c r="K46" s="379"/>
      <c r="L46" s="379"/>
      <c r="M46" s="431"/>
      <c r="N46" s="431"/>
      <c r="O46" s="379"/>
      <c r="P46" s="431"/>
      <c r="Q46" s="431"/>
      <c r="R46" s="431"/>
      <c r="S46" s="431"/>
      <c r="T46" s="431"/>
      <c r="U46" s="431"/>
      <c r="V46" s="410"/>
      <c r="W46" s="6"/>
    </row>
    <row r="47" spans="1:23" ht="15.6">
      <c r="A47" s="378"/>
      <c r="B47" s="379" t="s">
        <v>201</v>
      </c>
      <c r="C47" s="379"/>
      <c r="D47" s="379"/>
      <c r="E47" s="379"/>
      <c r="F47" s="379"/>
      <c r="G47" s="379"/>
      <c r="H47" s="379"/>
      <c r="I47" s="379"/>
      <c r="J47" s="379"/>
      <c r="K47" s="379"/>
      <c r="L47" s="379"/>
      <c r="M47" s="379"/>
      <c r="N47" s="379"/>
      <c r="O47" s="379"/>
      <c r="P47" s="379"/>
      <c r="Q47" s="379"/>
      <c r="R47" s="379"/>
      <c r="S47" s="379"/>
      <c r="T47" s="379"/>
      <c r="U47" s="427">
        <f>SUM(G31:Q31)/(C31+E31)</f>
        <v>0.3888888888888889</v>
      </c>
      <c r="V47" s="410"/>
      <c r="W47" s="6"/>
    </row>
    <row r="48" spans="1:23" ht="15.6">
      <c r="A48" s="378"/>
      <c r="B48" s="379" t="s">
        <v>202</v>
      </c>
      <c r="C48" s="379"/>
      <c r="D48" s="379"/>
      <c r="E48" s="379"/>
      <c r="F48" s="379"/>
      <c r="G48" s="379"/>
      <c r="H48" s="379"/>
      <c r="I48" s="379"/>
      <c r="J48" s="379"/>
      <c r="K48" s="379"/>
      <c r="L48" s="379"/>
      <c r="M48" s="379"/>
      <c r="N48" s="379"/>
      <c r="O48" s="379"/>
      <c r="P48" s="379"/>
      <c r="Q48" s="379"/>
      <c r="R48" s="379"/>
      <c r="S48" s="379"/>
      <c r="T48" s="379"/>
      <c r="U48" s="427">
        <f>SUM(F33:Q33)/(C33+E33)</f>
        <v>1.2739892232193772</v>
      </c>
      <c r="V48" s="410"/>
      <c r="W48" s="6"/>
    </row>
    <row r="49" spans="1:25" ht="15.6">
      <c r="A49" s="378"/>
      <c r="B49" s="379" t="s">
        <v>203</v>
      </c>
      <c r="C49" s="379"/>
      <c r="D49" s="379"/>
      <c r="E49" s="379"/>
      <c r="F49" s="379"/>
      <c r="G49" s="379"/>
      <c r="H49" s="379"/>
      <c r="I49" s="379"/>
      <c r="J49" s="379"/>
      <c r="K49" s="379"/>
      <c r="L49" s="379"/>
      <c r="M49" s="379"/>
      <c r="N49" s="379"/>
      <c r="O49" s="379"/>
      <c r="P49" s="379"/>
      <c r="Q49" s="379"/>
      <c r="R49" s="379"/>
      <c r="S49" s="380" t="s">
        <v>95</v>
      </c>
      <c r="T49" s="380" t="s">
        <v>117</v>
      </c>
      <c r="U49" s="394">
        <v>99000</v>
      </c>
      <c r="V49" s="410"/>
      <c r="W49" s="6"/>
    </row>
    <row r="50" spans="1:25" ht="15.6">
      <c r="A50" s="378"/>
      <c r="B50" s="379"/>
      <c r="C50" s="379"/>
      <c r="D50" s="379"/>
      <c r="E50" s="379"/>
      <c r="F50" s="379"/>
      <c r="G50" s="379"/>
      <c r="H50" s="379"/>
      <c r="I50" s="379"/>
      <c r="J50" s="379"/>
      <c r="K50" s="379"/>
      <c r="L50" s="379"/>
      <c r="M50" s="379"/>
      <c r="N50" s="379"/>
      <c r="O50" s="379"/>
      <c r="P50" s="379"/>
      <c r="Q50" s="379"/>
      <c r="R50" s="379"/>
      <c r="S50" s="379" t="s">
        <v>213</v>
      </c>
      <c r="T50" s="379"/>
      <c r="U50" s="432"/>
      <c r="V50" s="410"/>
      <c r="W50" s="6"/>
    </row>
    <row r="51" spans="1:25" ht="15.6">
      <c r="A51" s="378"/>
      <c r="B51" s="379" t="s">
        <v>19</v>
      </c>
      <c r="C51" s="379"/>
      <c r="D51" s="379"/>
      <c r="E51" s="379"/>
      <c r="F51" s="379"/>
      <c r="G51" s="379"/>
      <c r="H51" s="379"/>
      <c r="I51" s="379"/>
      <c r="J51" s="379"/>
      <c r="K51" s="379"/>
      <c r="L51" s="379"/>
      <c r="M51" s="379"/>
      <c r="N51" s="379"/>
      <c r="O51" s="379"/>
      <c r="P51" s="379"/>
      <c r="Q51" s="379"/>
      <c r="R51" s="379"/>
      <c r="S51" s="380"/>
      <c r="T51" s="380"/>
      <c r="U51" s="380" t="s">
        <v>118</v>
      </c>
      <c r="V51" s="410"/>
      <c r="W51" s="6"/>
    </row>
    <row r="52" spans="1:25" ht="15.6">
      <c r="A52" s="401"/>
      <c r="B52" s="386" t="s">
        <v>20</v>
      </c>
      <c r="C52" s="386"/>
      <c r="D52" s="386"/>
      <c r="E52" s="386"/>
      <c r="F52" s="386"/>
      <c r="G52" s="386"/>
      <c r="H52" s="386"/>
      <c r="I52" s="386"/>
      <c r="J52" s="386"/>
      <c r="K52" s="386"/>
      <c r="L52" s="386"/>
      <c r="M52" s="386"/>
      <c r="N52" s="386"/>
      <c r="O52" s="386"/>
      <c r="P52" s="386"/>
      <c r="Q52" s="386"/>
      <c r="R52" s="386"/>
      <c r="S52" s="433"/>
      <c r="T52" s="433"/>
      <c r="U52" s="434">
        <v>41744</v>
      </c>
      <c r="V52" s="435"/>
      <c r="W52" s="6"/>
    </row>
    <row r="53" spans="1:25" ht="15.6">
      <c r="A53" s="378"/>
      <c r="B53" s="379" t="s">
        <v>155</v>
      </c>
      <c r="C53" s="379"/>
      <c r="D53" s="379"/>
      <c r="E53" s="379"/>
      <c r="F53" s="379"/>
      <c r="G53" s="379"/>
      <c r="H53" s="379"/>
      <c r="I53" s="379"/>
      <c r="J53" s="379"/>
      <c r="K53" s="379"/>
      <c r="L53" s="379"/>
      <c r="M53" s="379"/>
      <c r="N53" s="379"/>
      <c r="O53" s="379"/>
      <c r="P53" s="379"/>
      <c r="Q53" s="424"/>
      <c r="R53" s="379">
        <f>U53-S53+1</f>
        <v>92</v>
      </c>
      <c r="S53" s="436">
        <v>41562</v>
      </c>
      <c r="T53" s="429"/>
      <c r="U53" s="436">
        <v>41653</v>
      </c>
      <c r="V53" s="410"/>
      <c r="W53" s="6"/>
    </row>
    <row r="54" spans="1:25" ht="15.6">
      <c r="A54" s="378"/>
      <c r="B54" s="379" t="s">
        <v>156</v>
      </c>
      <c r="C54" s="379"/>
      <c r="D54" s="379"/>
      <c r="E54" s="379"/>
      <c r="F54" s="379"/>
      <c r="G54" s="379"/>
      <c r="H54" s="379"/>
      <c r="I54" s="379"/>
      <c r="J54" s="379"/>
      <c r="K54" s="379"/>
      <c r="L54" s="379"/>
      <c r="M54" s="379"/>
      <c r="N54" s="379"/>
      <c r="O54" s="379"/>
      <c r="P54" s="379"/>
      <c r="Q54" s="424"/>
      <c r="R54" s="379">
        <f>U54-S54+1</f>
        <v>90</v>
      </c>
      <c r="S54" s="436">
        <v>41654</v>
      </c>
      <c r="T54" s="429"/>
      <c r="U54" s="436">
        <v>41743</v>
      </c>
      <c r="V54" s="410"/>
      <c r="W54" s="6"/>
    </row>
    <row r="55" spans="1:25" ht="15.6">
      <c r="A55" s="378"/>
      <c r="B55" s="379" t="s">
        <v>21</v>
      </c>
      <c r="C55" s="379"/>
      <c r="D55" s="379"/>
      <c r="E55" s="379"/>
      <c r="F55" s="379"/>
      <c r="G55" s="379"/>
      <c r="H55" s="379"/>
      <c r="I55" s="379"/>
      <c r="J55" s="379"/>
      <c r="K55" s="379"/>
      <c r="L55" s="379"/>
      <c r="M55" s="379"/>
      <c r="N55" s="379"/>
      <c r="O55" s="379"/>
      <c r="P55" s="379"/>
      <c r="Q55" s="379"/>
      <c r="R55" s="379"/>
      <c r="S55" s="436"/>
      <c r="T55" s="429"/>
      <c r="U55" s="436" t="s">
        <v>119</v>
      </c>
      <c r="V55" s="410"/>
      <c r="W55" s="6"/>
    </row>
    <row r="56" spans="1:25" ht="15.6">
      <c r="A56" s="378"/>
      <c r="B56" s="379" t="s">
        <v>22</v>
      </c>
      <c r="C56" s="379"/>
      <c r="D56" s="379"/>
      <c r="E56" s="379"/>
      <c r="F56" s="379"/>
      <c r="G56" s="379"/>
      <c r="H56" s="379"/>
      <c r="I56" s="379"/>
      <c r="J56" s="379"/>
      <c r="K56" s="379"/>
      <c r="L56" s="379"/>
      <c r="M56" s="379"/>
      <c r="N56" s="379"/>
      <c r="O56" s="379"/>
      <c r="P56" s="379"/>
      <c r="Q56" s="379"/>
      <c r="R56" s="379"/>
      <c r="S56" s="436"/>
      <c r="T56" s="429"/>
      <c r="U56" s="436">
        <v>41730</v>
      </c>
      <c r="V56" s="410"/>
      <c r="W56" s="6"/>
    </row>
    <row r="57" spans="1:25" ht="15.6">
      <c r="A57" s="242"/>
      <c r="B57" s="364"/>
      <c r="C57" s="364"/>
      <c r="D57" s="364"/>
      <c r="E57" s="364"/>
      <c r="F57" s="364"/>
      <c r="G57" s="364"/>
      <c r="H57" s="364"/>
      <c r="I57" s="364"/>
      <c r="J57" s="364"/>
      <c r="K57" s="364"/>
      <c r="L57" s="364"/>
      <c r="M57" s="364"/>
      <c r="N57" s="364"/>
      <c r="O57" s="364"/>
      <c r="P57" s="364"/>
      <c r="Q57" s="364"/>
      <c r="R57" s="364"/>
      <c r="S57" s="364"/>
      <c r="T57" s="364"/>
      <c r="U57" s="377"/>
      <c r="V57" s="303"/>
      <c r="W57" s="6"/>
    </row>
    <row r="58" spans="1:25" ht="15.6">
      <c r="A58" s="242"/>
      <c r="B58" s="288"/>
      <c r="C58" s="288"/>
      <c r="D58" s="288"/>
      <c r="E58" s="288"/>
      <c r="F58" s="288"/>
      <c r="G58" s="288"/>
      <c r="H58" s="288"/>
      <c r="I58" s="288"/>
      <c r="J58" s="288"/>
      <c r="K58" s="288"/>
      <c r="L58" s="288"/>
      <c r="M58" s="288"/>
      <c r="N58" s="288"/>
      <c r="O58" s="288"/>
      <c r="P58" s="288"/>
      <c r="Q58" s="288"/>
      <c r="R58" s="288"/>
      <c r="S58" s="288"/>
      <c r="T58" s="288"/>
      <c r="U58" s="302"/>
      <c r="V58" s="303"/>
      <c r="W58" s="6"/>
    </row>
    <row r="59" spans="1:25" ht="16.2" thickBot="1">
      <c r="A59" s="261"/>
      <c r="B59" s="304" t="s">
        <v>289</v>
      </c>
      <c r="C59" s="305"/>
      <c r="D59" s="305"/>
      <c r="E59" s="305"/>
      <c r="F59" s="305"/>
      <c r="G59" s="305"/>
      <c r="H59" s="305"/>
      <c r="I59" s="305"/>
      <c r="J59" s="305"/>
      <c r="K59" s="305"/>
      <c r="L59" s="305"/>
      <c r="M59" s="305"/>
      <c r="N59" s="305"/>
      <c r="O59" s="305"/>
      <c r="P59" s="305"/>
      <c r="Q59" s="305"/>
      <c r="R59" s="305"/>
      <c r="S59" s="305"/>
      <c r="T59" s="305"/>
      <c r="U59" s="306"/>
      <c r="V59" s="307"/>
      <c r="W59" s="6"/>
    </row>
    <row r="60" spans="1:25" ht="15.6">
      <c r="A60" s="230"/>
      <c r="B60" s="511" t="s">
        <v>23</v>
      </c>
      <c r="C60" s="511"/>
      <c r="D60" s="511"/>
      <c r="E60" s="511"/>
      <c r="F60" s="511"/>
      <c r="G60" s="511"/>
      <c r="H60" s="511"/>
      <c r="I60" s="511"/>
      <c r="J60" s="511"/>
      <c r="K60" s="511"/>
      <c r="L60" s="511"/>
      <c r="M60" s="231"/>
      <c r="N60" s="231"/>
      <c r="O60" s="231"/>
      <c r="P60" s="231"/>
      <c r="Q60" s="231"/>
      <c r="R60" s="231"/>
      <c r="S60" s="231"/>
      <c r="T60" s="231"/>
      <c r="U60" s="309"/>
      <c r="V60" s="237"/>
      <c r="W60" s="6"/>
    </row>
    <row r="61" spans="1:25" ht="15.6">
      <c r="A61" s="242"/>
      <c r="B61" s="252"/>
      <c r="C61" s="252"/>
      <c r="D61" s="252"/>
      <c r="E61" s="252"/>
      <c r="F61" s="252"/>
      <c r="G61" s="252"/>
      <c r="H61" s="252"/>
      <c r="I61" s="252"/>
      <c r="J61" s="252"/>
      <c r="K61" s="252"/>
      <c r="L61" s="252"/>
      <c r="M61" s="244"/>
      <c r="N61" s="244"/>
      <c r="O61" s="244"/>
      <c r="P61" s="244"/>
      <c r="Q61" s="244"/>
      <c r="R61" s="244"/>
      <c r="S61" s="244"/>
      <c r="T61" s="244"/>
      <c r="U61" s="263"/>
      <c r="V61" s="245"/>
      <c r="W61" s="6"/>
    </row>
    <row r="62" spans="1:25" s="151" customFormat="1" ht="46.8">
      <c r="A62" s="264"/>
      <c r="B62" s="512"/>
      <c r="C62" s="513"/>
      <c r="D62" s="513"/>
      <c r="E62" s="513"/>
      <c r="F62" s="513"/>
      <c r="G62" s="513"/>
      <c r="H62" s="513"/>
      <c r="I62" s="513"/>
      <c r="J62" s="513"/>
      <c r="K62" s="513" t="s">
        <v>197</v>
      </c>
      <c r="L62" s="513"/>
      <c r="M62" s="513" t="s">
        <v>98</v>
      </c>
      <c r="N62" s="513"/>
      <c r="O62" s="513" t="s">
        <v>107</v>
      </c>
      <c r="P62" s="513"/>
      <c r="Q62" s="513" t="s">
        <v>111</v>
      </c>
      <c r="R62" s="513"/>
      <c r="S62" s="513" t="s">
        <v>113</v>
      </c>
      <c r="T62" s="513"/>
      <c r="U62" s="514" t="s">
        <v>120</v>
      </c>
      <c r="V62" s="515"/>
      <c r="W62" s="150"/>
    </row>
    <row r="63" spans="1:25" ht="15.6">
      <c r="A63" s="378"/>
      <c r="B63" s="379" t="s">
        <v>24</v>
      </c>
      <c r="C63" s="440"/>
      <c r="D63" s="440"/>
      <c r="E63" s="440"/>
      <c r="F63" s="440"/>
      <c r="G63" s="440"/>
      <c r="H63" s="440"/>
      <c r="I63" s="440"/>
      <c r="J63" s="440"/>
      <c r="K63" s="440">
        <f>265+63566+3306</f>
        <v>67137</v>
      </c>
      <c r="L63" s="440"/>
      <c r="M63" s="440">
        <v>6671</v>
      </c>
      <c r="N63" s="440"/>
      <c r="O63" s="440">
        <f>129+2-43+68</f>
        <v>156</v>
      </c>
      <c r="P63" s="440"/>
      <c r="Q63" s="440">
        <v>0</v>
      </c>
      <c r="R63" s="440"/>
      <c r="S63" s="440">
        <v>0</v>
      </c>
      <c r="T63" s="440"/>
      <c r="U63" s="441">
        <f>+M63-O63+Q63-S63</f>
        <v>6515</v>
      </c>
      <c r="V63" s="410"/>
      <c r="W63" s="6"/>
      <c r="Y63" s="182"/>
    </row>
    <row r="64" spans="1:25" ht="15.6">
      <c r="A64" s="378"/>
      <c r="B64" s="379" t="s">
        <v>25</v>
      </c>
      <c r="C64" s="440"/>
      <c r="D64" s="440"/>
      <c r="E64" s="440"/>
      <c r="F64" s="440"/>
      <c r="G64" s="440"/>
      <c r="H64" s="440"/>
      <c r="I64" s="440"/>
      <c r="J64" s="440"/>
      <c r="K64" s="440"/>
      <c r="L64" s="440"/>
      <c r="M64" s="440"/>
      <c r="N64" s="440"/>
      <c r="O64" s="440"/>
      <c r="P64" s="440"/>
      <c r="Q64" s="440">
        <v>0</v>
      </c>
      <c r="R64" s="440"/>
      <c r="S64" s="440">
        <v>0</v>
      </c>
      <c r="T64" s="440"/>
      <c r="U64" s="441">
        <f>M64-O64</f>
        <v>0</v>
      </c>
      <c r="V64" s="410"/>
      <c r="W64" s="6"/>
    </row>
    <row r="65" spans="1:25" ht="15.6">
      <c r="A65" s="378"/>
      <c r="B65" s="379"/>
      <c r="C65" s="440"/>
      <c r="D65" s="440"/>
      <c r="E65" s="440"/>
      <c r="F65" s="440"/>
      <c r="G65" s="440"/>
      <c r="H65" s="440"/>
      <c r="I65" s="440"/>
      <c r="J65" s="440"/>
      <c r="K65" s="440"/>
      <c r="L65" s="440"/>
      <c r="M65" s="440"/>
      <c r="N65" s="440"/>
      <c r="O65" s="440"/>
      <c r="P65" s="440"/>
      <c r="Q65" s="440"/>
      <c r="R65" s="440"/>
      <c r="S65" s="440"/>
      <c r="T65" s="440"/>
      <c r="U65" s="441"/>
      <c r="V65" s="410"/>
      <c r="W65" s="6"/>
    </row>
    <row r="66" spans="1:25" ht="15.6">
      <c r="A66" s="378"/>
      <c r="B66" s="379" t="s">
        <v>26</v>
      </c>
      <c r="C66" s="440"/>
      <c r="D66" s="440"/>
      <c r="E66" s="440"/>
      <c r="F66" s="440"/>
      <c r="G66" s="440"/>
      <c r="H66" s="440"/>
      <c r="I66" s="440"/>
      <c r="J66" s="440"/>
      <c r="K66" s="440">
        <v>24470</v>
      </c>
      <c r="L66" s="440"/>
      <c r="M66" s="440">
        <v>1508</v>
      </c>
      <c r="N66" s="440"/>
      <c r="O66" s="440">
        <v>50</v>
      </c>
      <c r="P66" s="440"/>
      <c r="Q66" s="440">
        <v>0</v>
      </c>
      <c r="R66" s="440"/>
      <c r="S66" s="440">
        <f>SUM(S63:S65)</f>
        <v>0</v>
      </c>
      <c r="T66" s="440"/>
      <c r="U66" s="441">
        <f>+M66-O66+Q66-S66</f>
        <v>1458</v>
      </c>
      <c r="V66" s="410"/>
      <c r="W66" s="6"/>
      <c r="Y66" s="182"/>
    </row>
    <row r="67" spans="1:25" ht="15.6">
      <c r="A67" s="378"/>
      <c r="B67" s="379" t="s">
        <v>25</v>
      </c>
      <c r="C67" s="440"/>
      <c r="D67" s="440"/>
      <c r="E67" s="440"/>
      <c r="F67" s="440"/>
      <c r="G67" s="440"/>
      <c r="H67" s="440"/>
      <c r="I67" s="440"/>
      <c r="J67" s="440"/>
      <c r="K67" s="440"/>
      <c r="L67" s="440"/>
      <c r="M67" s="440"/>
      <c r="N67" s="440"/>
      <c r="O67" s="440"/>
      <c r="P67" s="440"/>
      <c r="Q67" s="440">
        <v>0</v>
      </c>
      <c r="R67" s="440"/>
      <c r="S67" s="440">
        <v>0</v>
      </c>
      <c r="T67" s="440"/>
      <c r="U67" s="440"/>
      <c r="V67" s="410"/>
      <c r="W67" s="6"/>
    </row>
    <row r="68" spans="1:25" ht="15.6">
      <c r="A68" s="378"/>
      <c r="B68" s="386"/>
      <c r="C68" s="440"/>
      <c r="D68" s="440"/>
      <c r="E68" s="440"/>
      <c r="F68" s="440"/>
      <c r="G68" s="440"/>
      <c r="H68" s="440"/>
      <c r="I68" s="440"/>
      <c r="J68" s="440"/>
      <c r="K68" s="440"/>
      <c r="L68" s="440"/>
      <c r="M68" s="440"/>
      <c r="N68" s="440"/>
      <c r="O68" s="442"/>
      <c r="P68" s="440"/>
      <c r="Q68" s="440"/>
      <c r="R68" s="440"/>
      <c r="S68" s="440"/>
      <c r="T68" s="440"/>
      <c r="U68" s="440"/>
      <c r="V68" s="410"/>
      <c r="W68" s="6"/>
    </row>
    <row r="69" spans="1:25" ht="15.6">
      <c r="A69" s="378"/>
      <c r="B69" s="379" t="s">
        <v>27</v>
      </c>
      <c r="C69" s="440"/>
      <c r="D69" s="440"/>
      <c r="E69" s="440"/>
      <c r="F69" s="440"/>
      <c r="G69" s="440"/>
      <c r="H69" s="440"/>
      <c r="I69" s="440"/>
      <c r="J69" s="440"/>
      <c r="K69" s="440">
        <v>220072</v>
      </c>
      <c r="L69" s="440"/>
      <c r="M69" s="440">
        <v>130050</v>
      </c>
      <c r="N69" s="440"/>
      <c r="O69" s="440">
        <f>4610+73+612</f>
        <v>5295</v>
      </c>
      <c r="P69" s="440"/>
      <c r="Q69" s="440">
        <v>0</v>
      </c>
      <c r="R69" s="440"/>
      <c r="S69" s="440">
        <v>0</v>
      </c>
      <c r="T69" s="440"/>
      <c r="U69" s="441">
        <f>+M69-O69+Q69-S69</f>
        <v>124755</v>
      </c>
      <c r="V69" s="410"/>
      <c r="W69" s="6"/>
      <c r="Y69" s="182"/>
    </row>
    <row r="70" spans="1:25" ht="15.6">
      <c r="A70" s="378"/>
      <c r="B70" s="379" t="s">
        <v>25</v>
      </c>
      <c r="C70" s="440"/>
      <c r="D70" s="440"/>
      <c r="E70" s="440"/>
      <c r="F70" s="440"/>
      <c r="G70" s="440"/>
      <c r="H70" s="440"/>
      <c r="I70" s="440"/>
      <c r="J70" s="440"/>
      <c r="K70" s="440"/>
      <c r="L70" s="440"/>
      <c r="M70" s="440"/>
      <c r="N70" s="440"/>
      <c r="O70" s="440"/>
      <c r="P70" s="440"/>
      <c r="Q70" s="440">
        <v>0</v>
      </c>
      <c r="R70" s="440"/>
      <c r="S70" s="440">
        <v>0</v>
      </c>
      <c r="T70" s="440"/>
      <c r="U70" s="441">
        <f>M70-O70+Q70-S70</f>
        <v>0</v>
      </c>
      <c r="V70" s="410"/>
      <c r="W70" s="6"/>
    </row>
    <row r="71" spans="1:25" ht="15.6">
      <c r="A71" s="378"/>
      <c r="B71" s="379"/>
      <c r="C71" s="440"/>
      <c r="D71" s="440"/>
      <c r="E71" s="440"/>
      <c r="F71" s="440"/>
      <c r="G71" s="440"/>
      <c r="H71" s="440"/>
      <c r="I71" s="440"/>
      <c r="J71" s="440"/>
      <c r="K71" s="440"/>
      <c r="L71" s="440"/>
      <c r="M71" s="440"/>
      <c r="N71" s="440"/>
      <c r="O71" s="440"/>
      <c r="P71" s="440"/>
      <c r="Q71" s="440"/>
      <c r="R71" s="440"/>
      <c r="S71" s="440"/>
      <c r="T71" s="440"/>
      <c r="U71" s="441"/>
      <c r="V71" s="410"/>
      <c r="W71" s="6"/>
    </row>
    <row r="72" spans="1:25" ht="15.6">
      <c r="A72" s="378"/>
      <c r="B72" s="379" t="s">
        <v>28</v>
      </c>
      <c r="C72" s="440"/>
      <c r="D72" s="440"/>
      <c r="E72" s="440"/>
      <c r="F72" s="440"/>
      <c r="G72" s="440"/>
      <c r="H72" s="440"/>
      <c r="I72" s="440"/>
      <c r="J72" s="440"/>
      <c r="K72" s="440">
        <v>138321</v>
      </c>
      <c r="L72" s="440"/>
      <c r="M72" s="440">
        <v>1370</v>
      </c>
      <c r="N72" s="440"/>
      <c r="O72" s="440">
        <f>103+47+5</f>
        <v>155</v>
      </c>
      <c r="P72" s="440"/>
      <c r="Q72" s="440">
        <v>0</v>
      </c>
      <c r="R72" s="440"/>
      <c r="S72" s="440">
        <v>0</v>
      </c>
      <c r="T72" s="440"/>
      <c r="U72" s="441">
        <f>+M72-O72+Q72-S72</f>
        <v>1215</v>
      </c>
      <c r="V72" s="410"/>
      <c r="W72" s="6"/>
      <c r="X72" s="182"/>
      <c r="Y72" s="182"/>
    </row>
    <row r="73" spans="1:25" ht="15.6">
      <c r="A73" s="378"/>
      <c r="B73" s="379" t="s">
        <v>25</v>
      </c>
      <c r="C73" s="440"/>
      <c r="D73" s="440"/>
      <c r="E73" s="440"/>
      <c r="F73" s="440"/>
      <c r="G73" s="440"/>
      <c r="H73" s="440"/>
      <c r="I73" s="440"/>
      <c r="J73" s="440"/>
      <c r="K73" s="440"/>
      <c r="L73" s="440"/>
      <c r="M73" s="440"/>
      <c r="N73" s="440"/>
      <c r="O73" s="440"/>
      <c r="P73" s="440"/>
      <c r="Q73" s="440">
        <v>0</v>
      </c>
      <c r="R73" s="440"/>
      <c r="S73" s="440">
        <v>0</v>
      </c>
      <c r="T73" s="440"/>
      <c r="U73" s="441"/>
      <c r="V73" s="410"/>
      <c r="W73" s="6"/>
    </row>
    <row r="74" spans="1:25" ht="15.6">
      <c r="A74" s="378"/>
      <c r="B74" s="440"/>
      <c r="C74" s="440"/>
      <c r="D74" s="440"/>
      <c r="E74" s="440"/>
      <c r="F74" s="440"/>
      <c r="G74" s="440"/>
      <c r="H74" s="440"/>
      <c r="I74" s="440"/>
      <c r="J74" s="440"/>
      <c r="K74" s="440"/>
      <c r="L74" s="440"/>
      <c r="M74" s="440"/>
      <c r="N74" s="440"/>
      <c r="O74" s="440"/>
      <c r="P74" s="440"/>
      <c r="Q74" s="440"/>
      <c r="R74" s="440"/>
      <c r="S74" s="440"/>
      <c r="T74" s="440"/>
      <c r="U74" s="441"/>
      <c r="V74" s="410"/>
      <c r="W74" s="6"/>
    </row>
    <row r="75" spans="1:25" ht="15.6">
      <c r="A75" s="378"/>
      <c r="B75" s="379" t="s">
        <v>29</v>
      </c>
      <c r="C75" s="440"/>
      <c r="D75" s="440"/>
      <c r="E75" s="440"/>
      <c r="F75" s="440"/>
      <c r="G75" s="440"/>
      <c r="H75" s="440"/>
      <c r="I75" s="440"/>
      <c r="J75" s="440"/>
      <c r="K75" s="440">
        <f>SUM(K63:K72)</f>
        <v>450000</v>
      </c>
      <c r="L75" s="440"/>
      <c r="M75" s="440">
        <f>SUM(M63:M72)</f>
        <v>139599</v>
      </c>
      <c r="N75" s="440"/>
      <c r="O75" s="440">
        <f>SUM(O63:O73)</f>
        <v>5656</v>
      </c>
      <c r="P75" s="440"/>
      <c r="Q75" s="440">
        <f>SUM(Q63:Q73)</f>
        <v>0</v>
      </c>
      <c r="R75" s="440"/>
      <c r="S75" s="440">
        <f>SUM(S70:S74)</f>
        <v>0</v>
      </c>
      <c r="T75" s="440"/>
      <c r="U75" s="440">
        <f>SUM(U63:U73)</f>
        <v>133943</v>
      </c>
      <c r="V75" s="410"/>
      <c r="W75" s="6"/>
      <c r="X75" s="182"/>
      <c r="Y75" s="182"/>
    </row>
    <row r="76" spans="1:25" ht="15.6">
      <c r="A76" s="378"/>
      <c r="B76" s="379"/>
      <c r="C76" s="440"/>
      <c r="D76" s="440"/>
      <c r="E76" s="440"/>
      <c r="F76" s="440"/>
      <c r="G76" s="440"/>
      <c r="H76" s="440"/>
      <c r="I76" s="440"/>
      <c r="J76" s="440"/>
      <c r="K76" s="440"/>
      <c r="L76" s="440"/>
      <c r="M76" s="440"/>
      <c r="N76" s="440"/>
      <c r="O76" s="440"/>
      <c r="P76" s="440"/>
      <c r="Q76" s="440"/>
      <c r="R76" s="440"/>
      <c r="S76" s="440"/>
      <c r="T76" s="440"/>
      <c r="U76" s="440"/>
      <c r="V76" s="410"/>
      <c r="W76" s="6"/>
    </row>
    <row r="77" spans="1:25" ht="15.6">
      <c r="A77" s="378"/>
      <c r="B77" s="379" t="s">
        <v>214</v>
      </c>
      <c r="C77" s="440"/>
      <c r="D77" s="440"/>
      <c r="E77" s="440"/>
      <c r="F77" s="440"/>
      <c r="G77" s="440"/>
      <c r="H77" s="440"/>
      <c r="I77" s="440"/>
      <c r="J77" s="440"/>
      <c r="K77" s="440">
        <v>0</v>
      </c>
      <c r="L77" s="440"/>
      <c r="M77" s="440">
        <v>-15111</v>
      </c>
      <c r="N77" s="440"/>
      <c r="O77" s="440">
        <v>169</v>
      </c>
      <c r="P77" s="440"/>
      <c r="Q77" s="440"/>
      <c r="R77" s="440"/>
      <c r="S77" s="440"/>
      <c r="T77" s="440"/>
      <c r="U77" s="441">
        <f>+M77-O77</f>
        <v>-15280</v>
      </c>
      <c r="V77" s="410"/>
      <c r="W77" s="6"/>
      <c r="Y77" s="182"/>
    </row>
    <row r="78" spans="1:25" ht="15.6">
      <c r="A78" s="378"/>
      <c r="B78" s="379" t="s">
        <v>30</v>
      </c>
      <c r="C78" s="440"/>
      <c r="D78" s="440"/>
      <c r="E78" s="440"/>
      <c r="F78" s="440"/>
      <c r="G78" s="440"/>
      <c r="H78" s="440"/>
      <c r="I78" s="440"/>
      <c r="J78" s="440"/>
      <c r="K78" s="440">
        <v>0</v>
      </c>
      <c r="L78" s="440"/>
      <c r="M78" s="440">
        <v>0</v>
      </c>
      <c r="N78" s="440"/>
      <c r="O78" s="440">
        <v>0</v>
      </c>
      <c r="P78" s="440"/>
      <c r="Q78" s="440">
        <v>0</v>
      </c>
      <c r="R78" s="440"/>
      <c r="S78" s="440"/>
      <c r="T78" s="440"/>
      <c r="U78" s="440">
        <v>0</v>
      </c>
      <c r="V78" s="410"/>
      <c r="W78" s="6"/>
      <c r="X78" s="182"/>
    </row>
    <row r="79" spans="1:25" ht="15.6">
      <c r="A79" s="378"/>
      <c r="B79" s="379" t="s">
        <v>31</v>
      </c>
      <c r="C79" s="440"/>
      <c r="D79" s="440"/>
      <c r="E79" s="440"/>
      <c r="F79" s="440"/>
      <c r="G79" s="440"/>
      <c r="H79" s="440"/>
      <c r="I79" s="440"/>
      <c r="J79" s="440"/>
      <c r="K79" s="440">
        <v>0</v>
      </c>
      <c r="L79" s="440"/>
      <c r="M79" s="440">
        <v>0</v>
      </c>
      <c r="N79" s="440"/>
      <c r="O79" s="440"/>
      <c r="P79" s="440"/>
      <c r="Q79" s="440">
        <v>0</v>
      </c>
      <c r="R79" s="440"/>
      <c r="S79" s="440"/>
      <c r="T79" s="440"/>
      <c r="U79" s="440">
        <f>Q79+M79</f>
        <v>0</v>
      </c>
      <c r="V79" s="410"/>
      <c r="W79" s="6"/>
    </row>
    <row r="80" spans="1:25" ht="15.6">
      <c r="A80" s="378"/>
      <c r="B80" s="379" t="s">
        <v>16</v>
      </c>
      <c r="C80" s="440"/>
      <c r="D80" s="440"/>
      <c r="E80" s="440"/>
      <c r="F80" s="440"/>
      <c r="G80" s="440"/>
      <c r="H80" s="440"/>
      <c r="I80" s="440"/>
      <c r="J80" s="440"/>
      <c r="K80" s="440">
        <f>SUM(K75:K79)</f>
        <v>450000</v>
      </c>
      <c r="L80" s="440"/>
      <c r="M80" s="440">
        <f>SUM(M75:M79)</f>
        <v>124488</v>
      </c>
      <c r="N80" s="440"/>
      <c r="O80" s="440">
        <f>O78-O79</f>
        <v>0</v>
      </c>
      <c r="P80" s="440"/>
      <c r="Q80" s="440"/>
      <c r="R80" s="440"/>
      <c r="S80" s="440"/>
      <c r="T80" s="440"/>
      <c r="U80" s="440">
        <f>SUM(U75:U79)</f>
        <v>118663</v>
      </c>
      <c r="V80" s="410"/>
      <c r="W80" s="6"/>
      <c r="X80" s="182"/>
      <c r="Y80" s="182"/>
    </row>
    <row r="81" spans="1:24" ht="15.6">
      <c r="A81" s="242"/>
      <c r="B81" s="437"/>
      <c r="C81" s="438"/>
      <c r="D81" s="438"/>
      <c r="E81" s="438"/>
      <c r="F81" s="438"/>
      <c r="G81" s="438"/>
      <c r="H81" s="438"/>
      <c r="I81" s="438"/>
      <c r="J81" s="438"/>
      <c r="K81" s="438"/>
      <c r="L81" s="438"/>
      <c r="M81" s="438"/>
      <c r="N81" s="438"/>
      <c r="O81" s="438"/>
      <c r="P81" s="438"/>
      <c r="Q81" s="438"/>
      <c r="R81" s="438"/>
      <c r="S81" s="439"/>
      <c r="T81" s="438"/>
      <c r="U81" s="439"/>
      <c r="V81" s="245"/>
      <c r="W81" s="6"/>
    </row>
    <row r="82" spans="1:24" ht="15.6">
      <c r="A82" s="230"/>
      <c r="B82" s="511" t="s">
        <v>32</v>
      </c>
      <c r="C82" s="511"/>
      <c r="D82" s="511"/>
      <c r="E82" s="511"/>
      <c r="F82" s="511"/>
      <c r="G82" s="511"/>
      <c r="H82" s="511"/>
      <c r="I82" s="511"/>
      <c r="J82" s="511"/>
      <c r="K82" s="511"/>
      <c r="L82" s="511"/>
      <c r="M82" s="511"/>
      <c r="N82" s="511"/>
      <c r="O82" s="511"/>
      <c r="P82" s="511"/>
      <c r="Q82" s="511"/>
      <c r="R82" s="232"/>
      <c r="S82" s="232"/>
      <c r="T82" s="232"/>
      <c r="U82" s="232" t="s">
        <v>121</v>
      </c>
      <c r="V82" s="516"/>
      <c r="W82" s="6"/>
    </row>
    <row r="83" spans="1:24" ht="15.6">
      <c r="A83" s="315"/>
      <c r="B83" s="294" t="s">
        <v>33</v>
      </c>
      <c r="C83" s="294"/>
      <c r="D83" s="294"/>
      <c r="E83" s="294"/>
      <c r="F83" s="294"/>
      <c r="G83" s="294"/>
      <c r="H83" s="294"/>
      <c r="I83" s="294"/>
      <c r="J83" s="294"/>
      <c r="K83" s="294"/>
      <c r="L83" s="294"/>
      <c r="M83" s="294"/>
      <c r="N83" s="294"/>
      <c r="O83" s="310"/>
      <c r="P83" s="294"/>
      <c r="Q83" s="294"/>
      <c r="R83" s="294"/>
      <c r="S83" s="310"/>
      <c r="T83" s="294"/>
      <c r="U83" s="311">
        <v>48430</v>
      </c>
      <c r="V83" s="298"/>
      <c r="W83" s="6"/>
    </row>
    <row r="84" spans="1:24" ht="15.6">
      <c r="A84" s="444"/>
      <c r="B84" s="379" t="s">
        <v>34</v>
      </c>
      <c r="C84" s="431"/>
      <c r="D84" s="431"/>
      <c r="E84" s="431"/>
      <c r="F84" s="431"/>
      <c r="G84" s="431"/>
      <c r="H84" s="431"/>
      <c r="I84" s="431"/>
      <c r="J84" s="431"/>
      <c r="K84" s="431"/>
      <c r="L84" s="431"/>
      <c r="M84" s="430"/>
      <c r="N84" s="379"/>
      <c r="O84" s="379"/>
      <c r="P84" s="379"/>
      <c r="Q84" s="379"/>
      <c r="R84" s="379"/>
      <c r="S84" s="440"/>
      <c r="T84" s="379"/>
      <c r="U84" s="441">
        <f>-32+181+49+1</f>
        <v>199</v>
      </c>
      <c r="V84" s="410"/>
      <c r="W84" s="6"/>
    </row>
    <row r="85" spans="1:24" ht="15.6">
      <c r="A85" s="444"/>
      <c r="B85" s="379" t="s">
        <v>230</v>
      </c>
      <c r="C85" s="379"/>
      <c r="D85" s="379"/>
      <c r="E85" s="379"/>
      <c r="F85" s="379"/>
      <c r="G85" s="379"/>
      <c r="H85" s="379"/>
      <c r="I85" s="379"/>
      <c r="J85" s="379"/>
      <c r="K85" s="379"/>
      <c r="L85" s="379"/>
      <c r="M85" s="379"/>
      <c r="N85" s="379"/>
      <c r="O85" s="379"/>
      <c r="P85" s="379"/>
      <c r="Q85" s="379"/>
      <c r="R85" s="379"/>
      <c r="S85" s="440"/>
      <c r="T85" s="379"/>
      <c r="U85" s="441">
        <v>0</v>
      </c>
      <c r="V85" s="410"/>
      <c r="W85" s="6"/>
      <c r="X85" s="64"/>
    </row>
    <row r="86" spans="1:24" ht="15.6">
      <c r="A86" s="444"/>
      <c r="B86" s="379" t="s">
        <v>231</v>
      </c>
      <c r="C86" s="379"/>
      <c r="D86" s="379"/>
      <c r="E86" s="379"/>
      <c r="F86" s="379"/>
      <c r="G86" s="379"/>
      <c r="H86" s="379"/>
      <c r="I86" s="379"/>
      <c r="J86" s="379"/>
      <c r="K86" s="379"/>
      <c r="L86" s="379"/>
      <c r="M86" s="379"/>
      <c r="N86" s="379"/>
      <c r="O86" s="379"/>
      <c r="P86" s="379"/>
      <c r="Q86" s="379"/>
      <c r="R86" s="379"/>
      <c r="S86" s="440"/>
      <c r="T86" s="379"/>
      <c r="U86" s="441">
        <v>0</v>
      </c>
      <c r="V86" s="410"/>
      <c r="W86" s="6"/>
      <c r="X86" s="64"/>
    </row>
    <row r="87" spans="1:24" ht="15.6">
      <c r="A87" s="444"/>
      <c r="B87" s="379" t="s">
        <v>35</v>
      </c>
      <c r="C87" s="379"/>
      <c r="D87" s="379"/>
      <c r="E87" s="379"/>
      <c r="F87" s="379"/>
      <c r="G87" s="379"/>
      <c r="H87" s="379"/>
      <c r="I87" s="379"/>
      <c r="J87" s="379"/>
      <c r="K87" s="379"/>
      <c r="L87" s="379"/>
      <c r="M87" s="379"/>
      <c r="N87" s="379"/>
      <c r="O87" s="379"/>
      <c r="P87" s="379"/>
      <c r="Q87" s="379"/>
      <c r="R87" s="379"/>
      <c r="S87" s="440"/>
      <c r="T87" s="379"/>
      <c r="U87" s="441">
        <f>SUM(U83:U86)</f>
        <v>48629</v>
      </c>
      <c r="V87" s="410"/>
      <c r="W87" s="6"/>
      <c r="X87" s="64"/>
    </row>
    <row r="88" spans="1:24" ht="15.6">
      <c r="A88" s="444"/>
      <c r="B88" s="379"/>
      <c r="C88" s="379"/>
      <c r="D88" s="379"/>
      <c r="E88" s="379"/>
      <c r="F88" s="379"/>
      <c r="G88" s="379"/>
      <c r="H88" s="379"/>
      <c r="I88" s="379"/>
      <c r="J88" s="379"/>
      <c r="K88" s="379"/>
      <c r="L88" s="379"/>
      <c r="M88" s="379"/>
      <c r="N88" s="379"/>
      <c r="O88" s="379"/>
      <c r="P88" s="379"/>
      <c r="Q88" s="379"/>
      <c r="R88" s="379"/>
      <c r="S88" s="440"/>
      <c r="T88" s="379"/>
      <c r="U88" s="440"/>
      <c r="V88" s="410"/>
      <c r="W88" s="6"/>
    </row>
    <row r="89" spans="1:24" ht="15.6">
      <c r="A89" s="444"/>
      <c r="B89" s="446" t="s">
        <v>36</v>
      </c>
      <c r="C89" s="446"/>
      <c r="D89" s="446"/>
      <c r="E89" s="446"/>
      <c r="F89" s="446"/>
      <c r="G89" s="446"/>
      <c r="H89" s="446"/>
      <c r="I89" s="446"/>
      <c r="J89" s="446"/>
      <c r="K89" s="446"/>
      <c r="L89" s="446"/>
      <c r="M89" s="379"/>
      <c r="N89" s="379"/>
      <c r="O89" s="379"/>
      <c r="P89" s="379"/>
      <c r="Q89" s="379"/>
      <c r="R89" s="379"/>
      <c r="S89" s="440"/>
      <c r="T89" s="379"/>
      <c r="U89" s="441"/>
      <c r="V89" s="410"/>
      <c r="W89" s="6"/>
      <c r="X89" s="64"/>
    </row>
    <row r="90" spans="1:24" ht="15.6">
      <c r="A90" s="444">
        <v>1</v>
      </c>
      <c r="B90" s="379" t="s">
        <v>37</v>
      </c>
      <c r="C90" s="379"/>
      <c r="D90" s="379"/>
      <c r="E90" s="379"/>
      <c r="F90" s="379"/>
      <c r="G90" s="379"/>
      <c r="H90" s="379"/>
      <c r="I90" s="379"/>
      <c r="J90" s="379"/>
      <c r="K90" s="379"/>
      <c r="L90" s="379"/>
      <c r="M90" s="379"/>
      <c r="N90" s="379"/>
      <c r="O90" s="379"/>
      <c r="P90" s="379"/>
      <c r="Q90" s="379"/>
      <c r="R90" s="379"/>
      <c r="S90" s="379"/>
      <c r="T90" s="379"/>
      <c r="U90" s="441">
        <v>-2</v>
      </c>
      <c r="V90" s="410"/>
      <c r="W90" s="6"/>
    </row>
    <row r="91" spans="1:24" ht="15.6">
      <c r="A91" s="444">
        <f>A90+1</f>
        <v>2</v>
      </c>
      <c r="B91" s="379" t="s">
        <v>168</v>
      </c>
      <c r="C91" s="379"/>
      <c r="D91" s="379"/>
      <c r="E91" s="379"/>
      <c r="F91" s="379"/>
      <c r="G91" s="379"/>
      <c r="H91" s="379"/>
      <c r="I91" s="379"/>
      <c r="J91" s="379"/>
      <c r="K91" s="379"/>
      <c r="L91" s="379"/>
      <c r="M91" s="379"/>
      <c r="N91" s="379"/>
      <c r="O91" s="379"/>
      <c r="P91" s="379"/>
      <c r="Q91" s="379"/>
      <c r="R91" s="379"/>
      <c r="S91" s="379"/>
      <c r="T91" s="379"/>
      <c r="U91" s="441">
        <f>-123-53-2</f>
        <v>-178</v>
      </c>
      <c r="V91" s="410"/>
      <c r="W91" s="6"/>
      <c r="X91" s="64"/>
    </row>
    <row r="92" spans="1:24" ht="15.6">
      <c r="A92" s="444">
        <v>3</v>
      </c>
      <c r="B92" s="379" t="s">
        <v>38</v>
      </c>
      <c r="C92" s="379"/>
      <c r="D92" s="379"/>
      <c r="E92" s="379"/>
      <c r="F92" s="379"/>
      <c r="G92" s="379"/>
      <c r="H92" s="379"/>
      <c r="I92" s="379"/>
      <c r="J92" s="379"/>
      <c r="K92" s="379"/>
      <c r="L92" s="379"/>
      <c r="M92" s="379"/>
      <c r="N92" s="379"/>
      <c r="O92" s="379"/>
      <c r="P92" s="379"/>
      <c r="Q92" s="379"/>
      <c r="R92" s="379"/>
      <c r="S92" s="379"/>
      <c r="T92" s="379"/>
      <c r="U92" s="441">
        <v>-32</v>
      </c>
      <c r="V92" s="410"/>
      <c r="W92" s="6"/>
      <c r="X92" s="64"/>
    </row>
    <row r="93" spans="1:24" ht="15.6">
      <c r="A93" s="447" t="s">
        <v>190</v>
      </c>
      <c r="B93" s="379" t="s">
        <v>169</v>
      </c>
      <c r="C93" s="379"/>
      <c r="D93" s="379"/>
      <c r="E93" s="379"/>
      <c r="F93" s="379"/>
      <c r="G93" s="379"/>
      <c r="H93" s="379"/>
      <c r="I93" s="379"/>
      <c r="J93" s="379"/>
      <c r="K93" s="379"/>
      <c r="L93" s="379"/>
      <c r="M93" s="379"/>
      <c r="N93" s="379"/>
      <c r="O93" s="379"/>
      <c r="P93" s="379"/>
      <c r="Q93" s="379"/>
      <c r="R93" s="379"/>
      <c r="S93" s="379"/>
      <c r="T93" s="379"/>
      <c r="U93" s="441">
        <v>-58</v>
      </c>
      <c r="V93" s="410"/>
      <c r="W93" s="6"/>
      <c r="X93" s="64"/>
    </row>
    <row r="94" spans="1:24" ht="15.6">
      <c r="A94" s="447" t="s">
        <v>191</v>
      </c>
      <c r="B94" s="379" t="s">
        <v>170</v>
      </c>
      <c r="C94" s="379"/>
      <c r="D94" s="379"/>
      <c r="E94" s="379"/>
      <c r="F94" s="379"/>
      <c r="G94" s="379"/>
      <c r="H94" s="379"/>
      <c r="I94" s="379"/>
      <c r="J94" s="379"/>
      <c r="K94" s="379"/>
      <c r="L94" s="379"/>
      <c r="M94" s="379"/>
      <c r="N94" s="379"/>
      <c r="O94" s="379"/>
      <c r="P94" s="379"/>
      <c r="Q94" s="379"/>
      <c r="R94" s="379"/>
      <c r="S94" s="379"/>
      <c r="T94" s="379"/>
      <c r="U94" s="441">
        <v>-76</v>
      </c>
      <c r="V94" s="410"/>
      <c r="W94" s="6"/>
      <c r="X94" s="182"/>
    </row>
    <row r="95" spans="1:24" ht="15.6">
      <c r="A95" s="444">
        <v>5</v>
      </c>
      <c r="B95" s="379" t="s">
        <v>171</v>
      </c>
      <c r="C95" s="379"/>
      <c r="D95" s="379"/>
      <c r="E95" s="379"/>
      <c r="F95" s="379"/>
      <c r="G95" s="379"/>
      <c r="H95" s="379"/>
      <c r="I95" s="379"/>
      <c r="J95" s="379"/>
      <c r="K95" s="379"/>
      <c r="L95" s="379"/>
      <c r="M95" s="379"/>
      <c r="N95" s="379"/>
      <c r="O95" s="379"/>
      <c r="P95" s="379"/>
      <c r="Q95" s="379"/>
      <c r="R95" s="379"/>
      <c r="S95" s="379"/>
      <c r="T95" s="379"/>
      <c r="U95" s="441">
        <v>-8</v>
      </c>
      <c r="V95" s="410"/>
      <c r="W95" s="6"/>
    </row>
    <row r="96" spans="1:24" ht="15.6">
      <c r="A96" s="447" t="s">
        <v>174</v>
      </c>
      <c r="B96" s="379" t="s">
        <v>172</v>
      </c>
      <c r="C96" s="379"/>
      <c r="D96" s="379"/>
      <c r="E96" s="379"/>
      <c r="F96" s="379"/>
      <c r="G96" s="379"/>
      <c r="H96" s="379"/>
      <c r="I96" s="379"/>
      <c r="J96" s="379"/>
      <c r="K96" s="379"/>
      <c r="L96" s="379"/>
      <c r="M96" s="379"/>
      <c r="N96" s="379"/>
      <c r="O96" s="379"/>
      <c r="P96" s="379"/>
      <c r="Q96" s="379"/>
      <c r="R96" s="379"/>
      <c r="S96" s="379"/>
      <c r="T96" s="379"/>
      <c r="U96" s="441">
        <v>-26</v>
      </c>
      <c r="V96" s="410"/>
      <c r="W96" s="6"/>
      <c r="X96" s="182"/>
    </row>
    <row r="97" spans="1:24" ht="15.6">
      <c r="A97" s="447" t="s">
        <v>176</v>
      </c>
      <c r="B97" s="379" t="s">
        <v>173</v>
      </c>
      <c r="C97" s="379"/>
      <c r="D97" s="379"/>
      <c r="E97" s="379"/>
      <c r="F97" s="379"/>
      <c r="G97" s="379"/>
      <c r="H97" s="379"/>
      <c r="I97" s="379"/>
      <c r="J97" s="379"/>
      <c r="K97" s="379"/>
      <c r="L97" s="379"/>
      <c r="M97" s="379"/>
      <c r="N97" s="379"/>
      <c r="O97" s="379"/>
      <c r="P97" s="379"/>
      <c r="Q97" s="379"/>
      <c r="R97" s="379"/>
      <c r="S97" s="379"/>
      <c r="T97" s="379"/>
      <c r="U97" s="441">
        <v>-42</v>
      </c>
      <c r="V97" s="410"/>
      <c r="W97" s="119"/>
      <c r="X97" s="182"/>
    </row>
    <row r="98" spans="1:24" ht="15.6">
      <c r="A98" s="447" t="s">
        <v>178</v>
      </c>
      <c r="B98" s="379" t="s">
        <v>175</v>
      </c>
      <c r="C98" s="379"/>
      <c r="D98" s="379"/>
      <c r="E98" s="379"/>
      <c r="F98" s="379"/>
      <c r="G98" s="379"/>
      <c r="H98" s="379"/>
      <c r="I98" s="379"/>
      <c r="J98" s="379"/>
      <c r="K98" s="379"/>
      <c r="L98" s="379"/>
      <c r="M98" s="379"/>
      <c r="N98" s="379"/>
      <c r="O98" s="379"/>
      <c r="P98" s="379"/>
      <c r="Q98" s="379"/>
      <c r="R98" s="379"/>
      <c r="S98" s="379"/>
      <c r="T98" s="379"/>
      <c r="U98" s="441">
        <v>-42</v>
      </c>
      <c r="V98" s="410"/>
      <c r="W98" s="6"/>
      <c r="X98" s="182"/>
    </row>
    <row r="99" spans="1:24" ht="15.6">
      <c r="A99" s="447" t="s">
        <v>180</v>
      </c>
      <c r="B99" s="379" t="s">
        <v>177</v>
      </c>
      <c r="C99" s="379"/>
      <c r="D99" s="379"/>
      <c r="E99" s="379"/>
      <c r="F99" s="379"/>
      <c r="G99" s="379"/>
      <c r="H99" s="379"/>
      <c r="I99" s="379"/>
      <c r="J99" s="379"/>
      <c r="K99" s="379"/>
      <c r="L99" s="379"/>
      <c r="M99" s="379"/>
      <c r="N99" s="379"/>
      <c r="O99" s="379"/>
      <c r="P99" s="379"/>
      <c r="Q99" s="379"/>
      <c r="R99" s="379"/>
      <c r="S99" s="379"/>
      <c r="T99" s="379"/>
      <c r="U99" s="441">
        <v>-55</v>
      </c>
      <c r="V99" s="410"/>
      <c r="W99" s="119"/>
      <c r="X99" s="182"/>
    </row>
    <row r="100" spans="1:24" ht="15.6">
      <c r="A100" s="447" t="s">
        <v>192</v>
      </c>
      <c r="B100" s="379" t="s">
        <v>179</v>
      </c>
      <c r="C100" s="379"/>
      <c r="D100" s="379"/>
      <c r="E100" s="379"/>
      <c r="F100" s="379"/>
      <c r="G100" s="379"/>
      <c r="H100" s="379"/>
      <c r="I100" s="379"/>
      <c r="J100" s="379"/>
      <c r="K100" s="379"/>
      <c r="L100" s="379"/>
      <c r="M100" s="379"/>
      <c r="N100" s="379"/>
      <c r="O100" s="379"/>
      <c r="P100" s="379"/>
      <c r="Q100" s="379"/>
      <c r="R100" s="379"/>
      <c r="S100" s="379"/>
      <c r="T100" s="379"/>
      <c r="U100" s="441">
        <v>-81</v>
      </c>
      <c r="V100" s="410"/>
      <c r="W100" s="6"/>
      <c r="X100" s="182"/>
    </row>
    <row r="101" spans="1:24" ht="15.6">
      <c r="A101" s="447" t="s">
        <v>193</v>
      </c>
      <c r="B101" s="379" t="s">
        <v>181</v>
      </c>
      <c r="C101" s="379"/>
      <c r="D101" s="379"/>
      <c r="E101" s="379"/>
      <c r="F101" s="379"/>
      <c r="G101" s="379"/>
      <c r="H101" s="379"/>
      <c r="I101" s="379"/>
      <c r="J101" s="379"/>
      <c r="K101" s="379"/>
      <c r="L101" s="379"/>
      <c r="M101" s="379"/>
      <c r="N101" s="379"/>
      <c r="O101" s="379"/>
      <c r="P101" s="379"/>
      <c r="Q101" s="379"/>
      <c r="R101" s="379"/>
      <c r="S101" s="379"/>
      <c r="T101" s="379"/>
      <c r="U101" s="441">
        <v>-70</v>
      </c>
      <c r="V101" s="410"/>
      <c r="W101" s="119"/>
      <c r="X101" s="182"/>
    </row>
    <row r="102" spans="1:24" ht="15.6">
      <c r="A102" s="444">
        <v>9</v>
      </c>
      <c r="B102" s="379" t="s">
        <v>257</v>
      </c>
      <c r="C102" s="379"/>
      <c r="D102" s="379"/>
      <c r="E102" s="379"/>
      <c r="F102" s="379"/>
      <c r="G102" s="379"/>
      <c r="H102" s="379"/>
      <c r="I102" s="379"/>
      <c r="J102" s="379"/>
      <c r="K102" s="379"/>
      <c r="L102" s="379"/>
      <c r="M102" s="379"/>
      <c r="N102" s="379"/>
      <c r="O102" s="379"/>
      <c r="P102" s="379"/>
      <c r="Q102" s="379"/>
      <c r="R102" s="379"/>
      <c r="S102" s="379"/>
      <c r="T102" s="379"/>
      <c r="U102" s="441">
        <f>+S219-U32</f>
        <v>-5825.2052000000112</v>
      </c>
      <c r="V102" s="410"/>
      <c r="W102" s="6"/>
      <c r="X102" s="182"/>
    </row>
    <row r="103" spans="1:24" ht="15.6">
      <c r="A103" s="444">
        <v>10</v>
      </c>
      <c r="B103" s="379" t="s">
        <v>234</v>
      </c>
      <c r="C103" s="379"/>
      <c r="D103" s="379"/>
      <c r="E103" s="379"/>
      <c r="F103" s="379"/>
      <c r="G103" s="379"/>
      <c r="H103" s="379"/>
      <c r="I103" s="379"/>
      <c r="J103" s="379"/>
      <c r="K103" s="379"/>
      <c r="L103" s="379"/>
      <c r="M103" s="379"/>
      <c r="N103" s="379"/>
      <c r="O103" s="379"/>
      <c r="P103" s="379"/>
      <c r="Q103" s="379"/>
      <c r="R103" s="379"/>
      <c r="S103" s="379"/>
      <c r="T103" s="379"/>
      <c r="U103" s="441">
        <v>-40500</v>
      </c>
      <c r="V103" s="410"/>
      <c r="W103" s="6"/>
      <c r="X103" s="64"/>
    </row>
    <row r="104" spans="1:24" ht="15.6">
      <c r="A104" s="444">
        <v>11</v>
      </c>
      <c r="B104" s="379" t="s">
        <v>183</v>
      </c>
      <c r="C104" s="379"/>
      <c r="D104" s="379"/>
      <c r="E104" s="379"/>
      <c r="F104" s="379"/>
      <c r="G104" s="379"/>
      <c r="H104" s="379"/>
      <c r="I104" s="379"/>
      <c r="J104" s="379"/>
      <c r="K104" s="379"/>
      <c r="L104" s="379"/>
      <c r="M104" s="379"/>
      <c r="N104" s="379"/>
      <c r="O104" s="379"/>
      <c r="P104" s="379"/>
      <c r="Q104" s="379"/>
      <c r="R104" s="379"/>
      <c r="S104" s="379"/>
      <c r="T104" s="379"/>
      <c r="U104" s="441">
        <v>0</v>
      </c>
      <c r="V104" s="410"/>
      <c r="W104" s="6"/>
      <c r="X104" s="64"/>
    </row>
    <row r="105" spans="1:24" ht="15.6">
      <c r="A105" s="444">
        <v>12</v>
      </c>
      <c r="B105" s="379" t="s">
        <v>184</v>
      </c>
      <c r="C105" s="379"/>
      <c r="D105" s="379"/>
      <c r="E105" s="379"/>
      <c r="F105" s="379"/>
      <c r="G105" s="379"/>
      <c r="H105" s="379"/>
      <c r="I105" s="379"/>
      <c r="J105" s="379"/>
      <c r="K105" s="379"/>
      <c r="L105" s="379"/>
      <c r="M105" s="379"/>
      <c r="N105" s="379"/>
      <c r="O105" s="379"/>
      <c r="P105" s="379"/>
      <c r="Q105" s="379"/>
      <c r="R105" s="379"/>
      <c r="S105" s="379"/>
      <c r="T105" s="379"/>
      <c r="U105" s="441">
        <v>-138</v>
      </c>
      <c r="V105" s="410"/>
      <c r="W105" s="6"/>
      <c r="X105" s="182"/>
    </row>
    <row r="106" spans="1:24" ht="15.6">
      <c r="A106" s="444">
        <v>13</v>
      </c>
      <c r="B106" s="379" t="s">
        <v>40</v>
      </c>
      <c r="C106" s="379"/>
      <c r="D106" s="379"/>
      <c r="E106" s="379"/>
      <c r="F106" s="379"/>
      <c r="G106" s="379"/>
      <c r="H106" s="379"/>
      <c r="I106" s="379"/>
      <c r="J106" s="379"/>
      <c r="K106" s="379"/>
      <c r="L106" s="379"/>
      <c r="M106" s="379"/>
      <c r="N106" s="379"/>
      <c r="O106" s="379"/>
      <c r="P106" s="379"/>
      <c r="Q106" s="379"/>
      <c r="R106" s="379"/>
      <c r="S106" s="379"/>
      <c r="T106" s="379"/>
      <c r="U106" s="441">
        <f>-SUM(U87:V105)</f>
        <v>-1495.7947999999888</v>
      </c>
      <c r="V106" s="410"/>
      <c r="W106" s="6"/>
      <c r="X106" s="182"/>
    </row>
    <row r="107" spans="1:24" ht="15.6">
      <c r="A107" s="316"/>
      <c r="B107" s="443"/>
      <c r="C107" s="364"/>
      <c r="D107" s="364"/>
      <c r="E107" s="364"/>
      <c r="F107" s="364"/>
      <c r="G107" s="364"/>
      <c r="H107" s="364"/>
      <c r="I107" s="364"/>
      <c r="J107" s="364"/>
      <c r="K107" s="364"/>
      <c r="L107" s="364"/>
      <c r="M107" s="364"/>
      <c r="N107" s="364"/>
      <c r="O107" s="364"/>
      <c r="P107" s="364"/>
      <c r="Q107" s="364"/>
      <c r="R107" s="364"/>
      <c r="S107" s="360"/>
      <c r="T107" s="360"/>
      <c r="U107" s="360"/>
      <c r="V107" s="303"/>
      <c r="W107" s="6"/>
      <c r="X107" s="182"/>
    </row>
    <row r="108" spans="1:24" ht="15.6">
      <c r="A108" s="316"/>
      <c r="B108" s="317"/>
      <c r="C108" s="288"/>
      <c r="D108" s="288"/>
      <c r="E108" s="288"/>
      <c r="F108" s="288"/>
      <c r="G108" s="288"/>
      <c r="H108" s="288"/>
      <c r="I108" s="288"/>
      <c r="J108" s="288"/>
      <c r="K108" s="288"/>
      <c r="L108" s="288"/>
      <c r="M108" s="288"/>
      <c r="N108" s="288"/>
      <c r="O108" s="288"/>
      <c r="P108" s="288"/>
      <c r="Q108" s="288"/>
      <c r="R108" s="288"/>
      <c r="S108" s="318"/>
      <c r="T108" s="318"/>
      <c r="U108" s="318"/>
      <c r="V108" s="303"/>
      <c r="W108" s="6"/>
    </row>
    <row r="109" spans="1:24" ht="16.2" thickBot="1">
      <c r="A109" s="319"/>
      <c r="B109" s="304" t="str">
        <f>+B59</f>
        <v>PPAF3 INVESTOR REPORT QUARTER ENDING MARCH 2014</v>
      </c>
      <c r="C109" s="305"/>
      <c r="D109" s="305"/>
      <c r="E109" s="305"/>
      <c r="F109" s="305"/>
      <c r="G109" s="305"/>
      <c r="H109" s="305"/>
      <c r="I109" s="305"/>
      <c r="J109" s="305"/>
      <c r="K109" s="305"/>
      <c r="L109" s="305"/>
      <c r="M109" s="305"/>
      <c r="N109" s="305"/>
      <c r="O109" s="305"/>
      <c r="P109" s="305"/>
      <c r="Q109" s="305"/>
      <c r="R109" s="305"/>
      <c r="S109" s="320"/>
      <c r="T109" s="320"/>
      <c r="U109" s="320"/>
      <c r="V109" s="307"/>
      <c r="W109" s="6"/>
    </row>
    <row r="110" spans="1:24" ht="15.6">
      <c r="A110" s="238"/>
      <c r="B110" s="240"/>
      <c r="C110" s="240"/>
      <c r="D110" s="240"/>
      <c r="E110" s="240"/>
      <c r="F110" s="240"/>
      <c r="G110" s="240"/>
      <c r="H110" s="240"/>
      <c r="I110" s="240"/>
      <c r="J110" s="240"/>
      <c r="K110" s="240"/>
      <c r="L110" s="240"/>
      <c r="M110" s="240"/>
      <c r="N110" s="240"/>
      <c r="O110" s="240"/>
      <c r="P110" s="240"/>
      <c r="Q110" s="240"/>
      <c r="R110" s="240"/>
      <c r="S110" s="269"/>
      <c r="T110" s="269"/>
      <c r="U110" s="269"/>
      <c r="V110" s="241"/>
      <c r="W110" s="6"/>
    </row>
    <row r="111" spans="1:24" ht="15.6">
      <c r="A111" s="321"/>
      <c r="B111" s="517" t="s">
        <v>41</v>
      </c>
      <c r="C111" s="322"/>
      <c r="D111" s="322"/>
      <c r="E111" s="322"/>
      <c r="F111" s="322"/>
      <c r="G111" s="322"/>
      <c r="H111" s="322"/>
      <c r="I111" s="322"/>
      <c r="J111" s="322"/>
      <c r="K111" s="322"/>
      <c r="L111" s="322"/>
      <c r="M111" s="322"/>
      <c r="N111" s="322"/>
      <c r="O111" s="322"/>
      <c r="P111" s="322"/>
      <c r="Q111" s="322"/>
      <c r="R111" s="322"/>
      <c r="S111" s="322"/>
      <c r="T111" s="322"/>
      <c r="U111" s="323"/>
      <c r="V111" s="324"/>
      <c r="W111" s="6"/>
    </row>
    <row r="112" spans="1:24" ht="15.6">
      <c r="A112" s="270"/>
      <c r="B112" s="271"/>
      <c r="C112" s="271"/>
      <c r="D112" s="271"/>
      <c r="E112" s="271"/>
      <c r="F112" s="271"/>
      <c r="G112" s="271"/>
      <c r="H112" s="271"/>
      <c r="I112" s="271"/>
      <c r="J112" s="271"/>
      <c r="K112" s="271"/>
      <c r="L112" s="271"/>
      <c r="M112" s="271"/>
      <c r="N112" s="271"/>
      <c r="O112" s="271"/>
      <c r="P112" s="271"/>
      <c r="Q112" s="271"/>
      <c r="R112" s="271"/>
      <c r="S112" s="271"/>
      <c r="T112" s="271"/>
      <c r="U112" s="272"/>
      <c r="V112" s="273"/>
      <c r="W112" s="6"/>
    </row>
    <row r="113" spans="1:24" ht="15.6">
      <c r="A113" s="242"/>
      <c r="B113" s="274" t="s">
        <v>42</v>
      </c>
      <c r="C113" s="252"/>
      <c r="D113" s="252"/>
      <c r="E113" s="252"/>
      <c r="F113" s="252"/>
      <c r="G113" s="252"/>
      <c r="H113" s="252"/>
      <c r="I113" s="252"/>
      <c r="J113" s="252"/>
      <c r="K113" s="252"/>
      <c r="L113" s="252"/>
      <c r="M113" s="244"/>
      <c r="N113" s="244"/>
      <c r="O113" s="244"/>
      <c r="P113" s="244"/>
      <c r="Q113" s="244"/>
      <c r="R113" s="244"/>
      <c r="S113" s="244"/>
      <c r="T113" s="244"/>
      <c r="U113" s="263"/>
      <c r="V113" s="245"/>
      <c r="W113" s="6"/>
    </row>
    <row r="114" spans="1:24" ht="15.6">
      <c r="A114" s="378"/>
      <c r="B114" s="379" t="s">
        <v>43</v>
      </c>
      <c r="C114" s="379"/>
      <c r="D114" s="379"/>
      <c r="E114" s="379"/>
      <c r="F114" s="379"/>
      <c r="G114" s="379"/>
      <c r="H114" s="379"/>
      <c r="I114" s="379"/>
      <c r="J114" s="379"/>
      <c r="K114" s="379"/>
      <c r="L114" s="379"/>
      <c r="M114" s="379"/>
      <c r="N114" s="379"/>
      <c r="O114" s="379"/>
      <c r="P114" s="379"/>
      <c r="Q114" s="379"/>
      <c r="R114" s="379"/>
      <c r="S114" s="379"/>
      <c r="T114" s="379"/>
      <c r="U114" s="441">
        <v>40500</v>
      </c>
      <c r="V114" s="410"/>
      <c r="W114" s="6"/>
    </row>
    <row r="115" spans="1:24" ht="15.6">
      <c r="A115" s="378"/>
      <c r="B115" s="379" t="s">
        <v>240</v>
      </c>
      <c r="C115" s="379"/>
      <c r="D115" s="379"/>
      <c r="E115" s="379"/>
      <c r="F115" s="379"/>
      <c r="G115" s="379"/>
      <c r="H115" s="379"/>
      <c r="I115" s="379"/>
      <c r="J115" s="379"/>
      <c r="K115" s="379"/>
      <c r="L115" s="379"/>
      <c r="M115" s="379"/>
      <c r="N115" s="379"/>
      <c r="O115" s="379"/>
      <c r="P115" s="379"/>
      <c r="Q115" s="379"/>
      <c r="R115" s="379"/>
      <c r="S115" s="379"/>
      <c r="T115" s="379"/>
      <c r="U115" s="441">
        <v>40500</v>
      </c>
      <c r="V115" s="410"/>
      <c r="W115" s="6"/>
    </row>
    <row r="116" spans="1:24" ht="15.6">
      <c r="A116" s="378"/>
      <c r="B116" s="379" t="s">
        <v>241</v>
      </c>
      <c r="C116" s="379"/>
      <c r="D116" s="379"/>
      <c r="E116" s="379"/>
      <c r="F116" s="379"/>
      <c r="G116" s="379"/>
      <c r="H116" s="379"/>
      <c r="I116" s="379"/>
      <c r="J116" s="379"/>
      <c r="K116" s="379"/>
      <c r="L116" s="379"/>
      <c r="M116" s="379"/>
      <c r="N116" s="379"/>
      <c r="O116" s="379"/>
      <c r="P116" s="379"/>
      <c r="Q116" s="379"/>
      <c r="R116" s="379"/>
      <c r="S116" s="379"/>
      <c r="T116" s="379"/>
      <c r="U116" s="441">
        <v>0</v>
      </c>
      <c r="V116" s="410"/>
      <c r="W116" s="6"/>
    </row>
    <row r="117" spans="1:24" ht="15.6">
      <c r="A117" s="378"/>
      <c r="B117" s="379" t="s">
        <v>209</v>
      </c>
      <c r="C117" s="379"/>
      <c r="D117" s="379"/>
      <c r="E117" s="379"/>
      <c r="F117" s="379"/>
      <c r="G117" s="379"/>
      <c r="H117" s="379"/>
      <c r="I117" s="379"/>
      <c r="J117" s="379"/>
      <c r="K117" s="379"/>
      <c r="L117" s="379"/>
      <c r="M117" s="379"/>
      <c r="N117" s="379"/>
      <c r="O117" s="379"/>
      <c r="P117" s="379"/>
      <c r="Q117" s="379"/>
      <c r="R117" s="379"/>
      <c r="S117" s="379"/>
      <c r="T117" s="379"/>
      <c r="U117" s="441">
        <v>0</v>
      </c>
      <c r="V117" s="410"/>
      <c r="W117" s="6"/>
    </row>
    <row r="118" spans="1:24" ht="15.6">
      <c r="A118" s="378"/>
      <c r="B118" s="379" t="s">
        <v>210</v>
      </c>
      <c r="C118" s="379"/>
      <c r="D118" s="379"/>
      <c r="E118" s="379"/>
      <c r="F118" s="379"/>
      <c r="G118" s="379"/>
      <c r="H118" s="379"/>
      <c r="I118" s="379"/>
      <c r="J118" s="379"/>
      <c r="K118" s="379"/>
      <c r="L118" s="379"/>
      <c r="M118" s="379"/>
      <c r="N118" s="379"/>
      <c r="O118" s="379"/>
      <c r="P118" s="379"/>
      <c r="Q118" s="379"/>
      <c r="R118" s="379"/>
      <c r="S118" s="379"/>
      <c r="T118" s="379"/>
      <c r="U118" s="441">
        <v>0</v>
      </c>
      <c r="V118" s="410"/>
      <c r="W118" s="6"/>
    </row>
    <row r="119" spans="1:24" ht="15.6">
      <c r="A119" s="378"/>
      <c r="B119" s="379" t="s">
        <v>211</v>
      </c>
      <c r="C119" s="379"/>
      <c r="D119" s="379"/>
      <c r="E119" s="379"/>
      <c r="F119" s="379"/>
      <c r="G119" s="379"/>
      <c r="H119" s="379"/>
      <c r="I119" s="379"/>
      <c r="J119" s="379"/>
      <c r="K119" s="379"/>
      <c r="L119" s="379"/>
      <c r="M119" s="379"/>
      <c r="N119" s="379"/>
      <c r="O119" s="379"/>
      <c r="P119" s="379"/>
      <c r="Q119" s="379"/>
      <c r="R119" s="379"/>
      <c r="S119" s="379"/>
      <c r="T119" s="379"/>
      <c r="U119" s="441">
        <v>0</v>
      </c>
      <c r="V119" s="410"/>
      <c r="W119" s="6"/>
    </row>
    <row r="120" spans="1:24" ht="15.6">
      <c r="A120" s="378"/>
      <c r="B120" s="379" t="s">
        <v>212</v>
      </c>
      <c r="C120" s="379"/>
      <c r="D120" s="379"/>
      <c r="E120" s="379"/>
      <c r="F120" s="379"/>
      <c r="G120" s="379"/>
      <c r="H120" s="379"/>
      <c r="I120" s="379"/>
      <c r="J120" s="379"/>
      <c r="K120" s="379"/>
      <c r="L120" s="379"/>
      <c r="M120" s="379"/>
      <c r="N120" s="379"/>
      <c r="O120" s="379"/>
      <c r="P120" s="379"/>
      <c r="Q120" s="379"/>
      <c r="R120" s="379"/>
      <c r="S120" s="379"/>
      <c r="T120" s="379"/>
      <c r="U120" s="441">
        <v>0</v>
      </c>
      <c r="V120" s="410"/>
      <c r="W120" s="6"/>
    </row>
    <row r="121" spans="1:24" ht="15.6">
      <c r="A121" s="378"/>
      <c r="B121" s="379" t="s">
        <v>242</v>
      </c>
      <c r="C121" s="379"/>
      <c r="D121" s="379"/>
      <c r="E121" s="379"/>
      <c r="F121" s="379"/>
      <c r="G121" s="379"/>
      <c r="H121" s="379"/>
      <c r="I121" s="379"/>
      <c r="J121" s="379"/>
      <c r="K121" s="379"/>
      <c r="L121" s="379"/>
      <c r="M121" s="379"/>
      <c r="N121" s="379"/>
      <c r="O121" s="379"/>
      <c r="P121" s="379"/>
      <c r="Q121" s="379"/>
      <c r="R121" s="379"/>
      <c r="S121" s="379"/>
      <c r="T121" s="379"/>
      <c r="U121" s="441">
        <v>0</v>
      </c>
      <c r="V121" s="410"/>
      <c r="W121" s="6"/>
    </row>
    <row r="122" spans="1:24" ht="15.6">
      <c r="A122" s="378"/>
      <c r="B122" s="379" t="s">
        <v>45</v>
      </c>
      <c r="C122" s="379"/>
      <c r="D122" s="379"/>
      <c r="E122" s="379"/>
      <c r="F122" s="379"/>
      <c r="G122" s="379"/>
      <c r="H122" s="379"/>
      <c r="I122" s="379"/>
      <c r="J122" s="379"/>
      <c r="K122" s="379"/>
      <c r="L122" s="379"/>
      <c r="M122" s="379"/>
      <c r="N122" s="379"/>
      <c r="O122" s="379"/>
      <c r="P122" s="379"/>
      <c r="Q122" s="379"/>
      <c r="R122" s="379"/>
      <c r="S122" s="379"/>
      <c r="T122" s="379"/>
      <c r="U122" s="441">
        <f>SUM(U115:U121)</f>
        <v>40500</v>
      </c>
      <c r="V122" s="410"/>
      <c r="W122" s="6"/>
    </row>
    <row r="123" spans="1:24" ht="15.6">
      <c r="A123" s="242"/>
      <c r="B123" s="438"/>
      <c r="C123" s="438"/>
      <c r="D123" s="438"/>
      <c r="E123" s="438"/>
      <c r="F123" s="438"/>
      <c r="G123" s="438"/>
      <c r="H123" s="438"/>
      <c r="I123" s="438"/>
      <c r="J123" s="438"/>
      <c r="K123" s="438"/>
      <c r="L123" s="438"/>
      <c r="M123" s="438"/>
      <c r="N123" s="438"/>
      <c r="O123" s="438"/>
      <c r="P123" s="438"/>
      <c r="Q123" s="438"/>
      <c r="R123" s="438"/>
      <c r="S123" s="438"/>
      <c r="T123" s="438"/>
      <c r="U123" s="448"/>
      <c r="V123" s="245"/>
      <c r="W123" s="6"/>
    </row>
    <row r="124" spans="1:24" ht="15.6">
      <c r="A124" s="242"/>
      <c r="B124" s="274" t="s">
        <v>46</v>
      </c>
      <c r="C124" s="252"/>
      <c r="D124" s="252"/>
      <c r="E124" s="252"/>
      <c r="F124" s="252"/>
      <c r="G124" s="252"/>
      <c r="H124" s="252"/>
      <c r="I124" s="252"/>
      <c r="J124" s="252"/>
      <c r="K124" s="252"/>
      <c r="L124" s="252"/>
      <c r="M124" s="244"/>
      <c r="N124" s="244"/>
      <c r="O124" s="244"/>
      <c r="P124" s="275"/>
      <c r="Q124" s="244"/>
      <c r="R124" s="244"/>
      <c r="S124" s="244"/>
      <c r="T124" s="244"/>
      <c r="U124" s="276"/>
      <c r="V124" s="245"/>
      <c r="W124" s="6"/>
    </row>
    <row r="125" spans="1:24" ht="15.6">
      <c r="A125" s="230"/>
      <c r="B125" s="511"/>
      <c r="C125" s="232" t="s">
        <v>185</v>
      </c>
      <c r="D125" s="232"/>
      <c r="E125" s="232" t="s">
        <v>99</v>
      </c>
      <c r="F125" s="232"/>
      <c r="G125" s="232" t="s">
        <v>102</v>
      </c>
      <c r="H125" s="232"/>
      <c r="I125" s="232" t="s">
        <v>108</v>
      </c>
      <c r="J125" s="232"/>
      <c r="K125" s="232"/>
      <c r="L125" s="232"/>
      <c r="M125" s="232"/>
      <c r="N125" s="232"/>
      <c r="O125" s="232"/>
      <c r="P125" s="326"/>
      <c r="Q125" s="326"/>
      <c r="R125" s="231"/>
      <c r="S125" s="231"/>
      <c r="T125" s="231"/>
      <c r="U125" s="309"/>
      <c r="V125" s="237"/>
      <c r="W125" s="6"/>
    </row>
    <row r="126" spans="1:24" ht="15.6">
      <c r="A126" s="257"/>
      <c r="B126" s="294" t="s">
        <v>122</v>
      </c>
      <c r="C126" s="310">
        <f>+N199-'Dec 13'!N199</f>
        <v>-24</v>
      </c>
      <c r="D126" s="294"/>
      <c r="E126" s="310">
        <f>+S199-'Dec 13'!S199</f>
        <v>-25</v>
      </c>
      <c r="F126" s="294"/>
      <c r="G126" s="310">
        <f>+'March 14'!N212-'Dec 13'!N212</f>
        <v>258</v>
      </c>
      <c r="H126" s="294"/>
      <c r="I126" s="310">
        <f>+S212-'Dec 13'!S212</f>
        <v>-40</v>
      </c>
      <c r="J126" s="294"/>
      <c r="K126" s="294"/>
      <c r="L126" s="294"/>
      <c r="M126" s="294"/>
      <c r="N126" s="294"/>
      <c r="O126" s="294"/>
      <c r="P126" s="325"/>
      <c r="Q126" s="325"/>
      <c r="R126" s="294"/>
      <c r="S126" s="294"/>
      <c r="T126" s="294"/>
      <c r="U126" s="311">
        <f>SUM(C126:I126)</f>
        <v>169</v>
      </c>
      <c r="V126" s="298"/>
      <c r="W126" s="6"/>
      <c r="X126" s="182"/>
    </row>
    <row r="127" spans="1:24" ht="15.6">
      <c r="A127" s="378"/>
      <c r="B127" s="379" t="s">
        <v>47</v>
      </c>
      <c r="C127" s="379">
        <v>25</v>
      </c>
      <c r="D127" s="379"/>
      <c r="E127" s="379">
        <v>0</v>
      </c>
      <c r="F127" s="379"/>
      <c r="G127" s="379">
        <v>685</v>
      </c>
      <c r="H127" s="379"/>
      <c r="I127" s="440">
        <v>51</v>
      </c>
      <c r="J127" s="379"/>
      <c r="K127" s="379"/>
      <c r="L127" s="379"/>
      <c r="M127" s="379"/>
      <c r="N127" s="379"/>
      <c r="O127" s="379"/>
      <c r="P127" s="450"/>
      <c r="Q127" s="450"/>
      <c r="R127" s="379"/>
      <c r="S127" s="379"/>
      <c r="T127" s="379"/>
      <c r="U127" s="441">
        <f>SUM(C127:I127)</f>
        <v>761</v>
      </c>
      <c r="V127" s="410"/>
      <c r="W127" s="6"/>
    </row>
    <row r="128" spans="1:24" ht="15.6">
      <c r="A128" s="242"/>
      <c r="B128" s="364" t="s">
        <v>48</v>
      </c>
      <c r="C128" s="364"/>
      <c r="D128" s="364"/>
      <c r="E128" s="364"/>
      <c r="F128" s="364"/>
      <c r="G128" s="364"/>
      <c r="H128" s="364"/>
      <c r="I128" s="364"/>
      <c r="J128" s="364"/>
      <c r="K128" s="364"/>
      <c r="L128" s="364"/>
      <c r="M128" s="364"/>
      <c r="N128" s="364"/>
      <c r="O128" s="364"/>
      <c r="P128" s="364"/>
      <c r="Q128" s="364"/>
      <c r="R128" s="364"/>
      <c r="S128" s="364"/>
      <c r="T128" s="364"/>
      <c r="U128" s="449">
        <f>SUM(U126:U127)</f>
        <v>930</v>
      </c>
      <c r="V128" s="303"/>
      <c r="W128" s="6"/>
      <c r="X128" s="182"/>
    </row>
    <row r="129" spans="1:25" ht="15.6">
      <c r="A129" s="242"/>
      <c r="B129" s="274" t="s">
        <v>49</v>
      </c>
      <c r="C129" s="252"/>
      <c r="D129" s="252"/>
      <c r="E129" s="252"/>
      <c r="F129" s="252"/>
      <c r="G129" s="252"/>
      <c r="H129" s="252"/>
      <c r="I129" s="252"/>
      <c r="J129" s="252"/>
      <c r="K129" s="252"/>
      <c r="L129" s="252"/>
      <c r="M129" s="244"/>
      <c r="N129" s="244"/>
      <c r="O129" s="244"/>
      <c r="P129" s="244"/>
      <c r="Q129" s="244"/>
      <c r="R129" s="244"/>
      <c r="S129" s="244"/>
      <c r="T129" s="244"/>
      <c r="U129" s="263"/>
      <c r="V129" s="245"/>
      <c r="W129" s="6"/>
    </row>
    <row r="130" spans="1:25" ht="15.6">
      <c r="A130" s="444"/>
      <c r="B130" s="379" t="s">
        <v>50</v>
      </c>
      <c r="C130" s="386"/>
      <c r="D130" s="386"/>
      <c r="E130" s="386"/>
      <c r="F130" s="386"/>
      <c r="G130" s="386"/>
      <c r="H130" s="386"/>
      <c r="I130" s="386"/>
      <c r="J130" s="386"/>
      <c r="K130" s="386"/>
      <c r="L130" s="386"/>
      <c r="M130" s="379"/>
      <c r="N130" s="379"/>
      <c r="O130" s="379"/>
      <c r="P130" s="379"/>
      <c r="Q130" s="379"/>
      <c r="R130" s="379"/>
      <c r="S130" s="379"/>
      <c r="T130" s="379"/>
      <c r="U130" s="441">
        <f>U75+U77</f>
        <v>118663</v>
      </c>
      <c r="V130" s="410"/>
      <c r="W130" s="6"/>
      <c r="X130" s="182"/>
    </row>
    <row r="131" spans="1:25" ht="15.6">
      <c r="A131" s="444"/>
      <c r="B131" s="379" t="s">
        <v>51</v>
      </c>
      <c r="C131" s="386"/>
      <c r="D131" s="386"/>
      <c r="E131" s="386"/>
      <c r="F131" s="386"/>
      <c r="G131" s="386"/>
      <c r="H131" s="386"/>
      <c r="I131" s="386"/>
      <c r="J131" s="386"/>
      <c r="K131" s="386"/>
      <c r="L131" s="386"/>
      <c r="M131" s="379"/>
      <c r="N131" s="379"/>
      <c r="O131" s="379"/>
      <c r="P131" s="379"/>
      <c r="Q131" s="379"/>
      <c r="R131" s="379"/>
      <c r="S131" s="379"/>
      <c r="T131" s="379"/>
      <c r="U131" s="441">
        <v>0</v>
      </c>
      <c r="V131" s="410"/>
      <c r="W131" s="6"/>
      <c r="Y131" s="182"/>
    </row>
    <row r="132" spans="1:25" ht="15.6">
      <c r="A132" s="444"/>
      <c r="B132" s="379" t="s">
        <v>52</v>
      </c>
      <c r="C132" s="386"/>
      <c r="D132" s="386"/>
      <c r="E132" s="386"/>
      <c r="F132" s="386"/>
      <c r="G132" s="386"/>
      <c r="H132" s="386"/>
      <c r="I132" s="386"/>
      <c r="J132" s="386"/>
      <c r="K132" s="386"/>
      <c r="L132" s="386"/>
      <c r="M132" s="379"/>
      <c r="N132" s="379"/>
      <c r="O132" s="379"/>
      <c r="P132" s="379"/>
      <c r="Q132" s="379"/>
      <c r="R132" s="379"/>
      <c r="S132" s="379"/>
      <c r="T132" s="379"/>
      <c r="U132" s="441">
        <f>+U130+U131</f>
        <v>118663</v>
      </c>
      <c r="V132" s="410"/>
      <c r="W132" s="6"/>
    </row>
    <row r="133" spans="1:25" ht="15.6">
      <c r="A133" s="444"/>
      <c r="B133" s="379" t="s">
        <v>53</v>
      </c>
      <c r="C133" s="386"/>
      <c r="D133" s="386"/>
      <c r="E133" s="386"/>
      <c r="F133" s="386"/>
      <c r="G133" s="386"/>
      <c r="H133" s="386"/>
      <c r="I133" s="386"/>
      <c r="J133" s="386"/>
      <c r="K133" s="386"/>
      <c r="L133" s="386"/>
      <c r="M133" s="379"/>
      <c r="N133" s="379"/>
      <c r="O133" s="379"/>
      <c r="P133" s="379"/>
      <c r="Q133" s="379"/>
      <c r="R133" s="379"/>
      <c r="S133" s="379"/>
      <c r="T133" s="379"/>
      <c r="U133" s="441">
        <f>U80</f>
        <v>118663</v>
      </c>
      <c r="V133" s="410"/>
      <c r="W133" s="6"/>
      <c r="X133" s="64"/>
    </row>
    <row r="134" spans="1:25" ht="15.6">
      <c r="A134" s="242"/>
      <c r="B134" s="438"/>
      <c r="C134" s="438"/>
      <c r="D134" s="438"/>
      <c r="E134" s="438"/>
      <c r="F134" s="438"/>
      <c r="G134" s="438"/>
      <c r="H134" s="438"/>
      <c r="I134" s="438"/>
      <c r="J134" s="438"/>
      <c r="K134" s="438"/>
      <c r="L134" s="438"/>
      <c r="M134" s="438"/>
      <c r="N134" s="438"/>
      <c r="O134" s="438"/>
      <c r="P134" s="438"/>
      <c r="Q134" s="438"/>
      <c r="R134" s="438"/>
      <c r="S134" s="438"/>
      <c r="T134" s="438"/>
      <c r="U134" s="451"/>
      <c r="V134" s="245"/>
      <c r="W134" s="6"/>
    </row>
    <row r="135" spans="1:25" ht="15.6">
      <c r="A135" s="242"/>
      <c r="B135" s="274" t="s">
        <v>54</v>
      </c>
      <c r="C135" s="247"/>
      <c r="D135" s="247"/>
      <c r="E135" s="247"/>
      <c r="F135" s="247"/>
      <c r="G135" s="247"/>
      <c r="H135" s="247"/>
      <c r="I135" s="247"/>
      <c r="J135" s="247"/>
      <c r="K135" s="247"/>
      <c r="L135" s="247"/>
      <c r="M135" s="247"/>
      <c r="N135" s="247"/>
      <c r="O135" s="247"/>
      <c r="P135" s="247"/>
      <c r="Q135" s="277" t="s">
        <v>112</v>
      </c>
      <c r="R135" s="278"/>
      <c r="S135" s="277" t="s">
        <v>114</v>
      </c>
      <c r="T135" s="247"/>
      <c r="U135" s="279" t="s">
        <v>90</v>
      </c>
      <c r="V135" s="245"/>
      <c r="W135" s="6"/>
    </row>
    <row r="136" spans="1:25" ht="15.6">
      <c r="A136" s="378"/>
      <c r="B136" s="379" t="s">
        <v>55</v>
      </c>
      <c r="C136" s="379"/>
      <c r="D136" s="379"/>
      <c r="E136" s="379"/>
      <c r="F136" s="379"/>
      <c r="G136" s="379"/>
      <c r="H136" s="379"/>
      <c r="I136" s="379"/>
      <c r="J136" s="379"/>
      <c r="K136" s="379"/>
      <c r="L136" s="379"/>
      <c r="M136" s="379"/>
      <c r="N136" s="379"/>
      <c r="O136" s="379"/>
      <c r="P136" s="379"/>
      <c r="Q136" s="441">
        <v>0</v>
      </c>
      <c r="R136" s="379"/>
      <c r="S136" s="453" t="s">
        <v>115</v>
      </c>
      <c r="T136" s="379"/>
      <c r="U136" s="441">
        <f>Q136</f>
        <v>0</v>
      </c>
      <c r="V136" s="385"/>
      <c r="W136" s="6"/>
    </row>
    <row r="137" spans="1:25" ht="15.6">
      <c r="A137" s="378"/>
      <c r="B137" s="379" t="s">
        <v>56</v>
      </c>
      <c r="C137" s="379"/>
      <c r="D137" s="379"/>
      <c r="E137" s="379"/>
      <c r="F137" s="379"/>
      <c r="G137" s="379"/>
      <c r="H137" s="379"/>
      <c r="I137" s="379"/>
      <c r="J137" s="379"/>
      <c r="K137" s="379"/>
      <c r="L137" s="379"/>
      <c r="M137" s="379"/>
      <c r="N137" s="379"/>
      <c r="O137" s="379"/>
      <c r="P137" s="379"/>
      <c r="Q137" s="441">
        <f>+'Dec 13'!Q139</f>
        <v>4229</v>
      </c>
      <c r="R137" s="379"/>
      <c r="S137" s="453" t="s">
        <v>115</v>
      </c>
      <c r="T137" s="379"/>
      <c r="U137" s="441">
        <f>Q137</f>
        <v>4229</v>
      </c>
      <c r="V137" s="385"/>
      <c r="W137" s="6"/>
    </row>
    <row r="138" spans="1:25" ht="15.6">
      <c r="A138" s="378"/>
      <c r="B138" s="379" t="s">
        <v>57</v>
      </c>
      <c r="C138" s="379"/>
      <c r="D138" s="379"/>
      <c r="E138" s="379"/>
      <c r="F138" s="379"/>
      <c r="G138" s="379"/>
      <c r="H138" s="379"/>
      <c r="I138" s="379"/>
      <c r="J138" s="379"/>
      <c r="K138" s="379"/>
      <c r="L138" s="379"/>
      <c r="M138" s="379"/>
      <c r="N138" s="379"/>
      <c r="O138" s="379"/>
      <c r="P138" s="379"/>
      <c r="Q138" s="441">
        <v>0</v>
      </c>
      <c r="R138" s="379"/>
      <c r="S138" s="453" t="s">
        <v>115</v>
      </c>
      <c r="T138" s="379"/>
      <c r="U138" s="441">
        <f>Q138</f>
        <v>0</v>
      </c>
      <c r="V138" s="385"/>
      <c r="W138" s="6"/>
    </row>
    <row r="139" spans="1:25" ht="15.6">
      <c r="A139" s="378"/>
      <c r="B139" s="379" t="s">
        <v>58</v>
      </c>
      <c r="C139" s="379"/>
      <c r="D139" s="379"/>
      <c r="E139" s="379"/>
      <c r="F139" s="379"/>
      <c r="G139" s="379"/>
      <c r="H139" s="379"/>
      <c r="I139" s="379"/>
      <c r="J139" s="379"/>
      <c r="K139" s="379"/>
      <c r="L139" s="379"/>
      <c r="M139" s="379"/>
      <c r="N139" s="379"/>
      <c r="O139" s="379"/>
      <c r="P139" s="379"/>
      <c r="Q139" s="441">
        <f>SUM(Q137:Q138)</f>
        <v>4229</v>
      </c>
      <c r="R139" s="379"/>
      <c r="S139" s="453" t="s">
        <v>115</v>
      </c>
      <c r="T139" s="379"/>
      <c r="U139" s="441">
        <f>Q139</f>
        <v>4229</v>
      </c>
      <c r="V139" s="385"/>
      <c r="W139" s="6"/>
    </row>
    <row r="140" spans="1:25" ht="15.6">
      <c r="A140" s="378"/>
      <c r="B140" s="379" t="s">
        <v>215</v>
      </c>
      <c r="C140" s="379"/>
      <c r="D140" s="379"/>
      <c r="E140" s="379"/>
      <c r="F140" s="379"/>
      <c r="G140" s="379"/>
      <c r="H140" s="379"/>
      <c r="I140" s="379"/>
      <c r="J140" s="379"/>
      <c r="K140" s="379"/>
      <c r="L140" s="379"/>
      <c r="M140" s="379"/>
      <c r="N140" s="379"/>
      <c r="O140" s="379"/>
      <c r="P140" s="379"/>
      <c r="Q140" s="441"/>
      <c r="R140" s="379"/>
      <c r="S140" s="453"/>
      <c r="T140" s="379"/>
      <c r="U140" s="441"/>
      <c r="V140" s="385"/>
      <c r="W140" s="6"/>
    </row>
    <row r="141" spans="1:25" ht="15.6">
      <c r="A141" s="378"/>
      <c r="B141" s="454"/>
      <c r="C141" s="454"/>
      <c r="D141" s="454"/>
      <c r="E141" s="454"/>
      <c r="F141" s="454"/>
      <c r="G141" s="454"/>
      <c r="H141" s="454"/>
      <c r="I141" s="454"/>
      <c r="J141" s="454"/>
      <c r="K141" s="454"/>
      <c r="L141" s="454"/>
      <c r="M141" s="454"/>
      <c r="N141" s="454"/>
      <c r="O141" s="454"/>
      <c r="P141" s="454"/>
      <c r="Q141" s="454"/>
      <c r="R141" s="454"/>
      <c r="S141" s="454"/>
      <c r="T141" s="454"/>
      <c r="U141" s="454"/>
      <c r="V141" s="385"/>
      <c r="W141" s="6"/>
    </row>
    <row r="142" spans="1:25" ht="15.6">
      <c r="A142" s="242"/>
      <c r="B142" s="452"/>
      <c r="C142" s="452"/>
      <c r="D142" s="452"/>
      <c r="E142" s="452"/>
      <c r="F142" s="452"/>
      <c r="G142" s="452"/>
      <c r="H142" s="452"/>
      <c r="I142" s="452"/>
      <c r="J142" s="452"/>
      <c r="K142" s="452"/>
      <c r="L142" s="452"/>
      <c r="M142" s="452"/>
      <c r="N142" s="452"/>
      <c r="O142" s="452"/>
      <c r="P142" s="452"/>
      <c r="Q142" s="452"/>
      <c r="R142" s="452"/>
      <c r="S142" s="452"/>
      <c r="T142" s="452"/>
      <c r="U142" s="452"/>
      <c r="V142" s="284"/>
      <c r="W142" s="6"/>
    </row>
    <row r="143" spans="1:25" ht="15.6">
      <c r="A143" s="230"/>
      <c r="B143" s="511" t="s">
        <v>59</v>
      </c>
      <c r="C143" s="518"/>
      <c r="D143" s="518"/>
      <c r="E143" s="518"/>
      <c r="F143" s="518"/>
      <c r="G143" s="518"/>
      <c r="H143" s="518"/>
      <c r="I143" s="518"/>
      <c r="J143" s="518"/>
      <c r="K143" s="518"/>
      <c r="L143" s="518"/>
      <c r="M143" s="518"/>
      <c r="N143" s="518"/>
      <c r="O143" s="518"/>
      <c r="P143" s="519"/>
      <c r="Q143" s="519"/>
      <c r="R143" s="519"/>
      <c r="S143" s="519">
        <v>41729</v>
      </c>
      <c r="T143" s="231"/>
      <c r="U143" s="231"/>
      <c r="V143" s="237"/>
      <c r="W143" s="6"/>
    </row>
    <row r="144" spans="1:25" ht="15.6">
      <c r="A144" s="281"/>
      <c r="B144" s="294" t="s">
        <v>60</v>
      </c>
      <c r="C144" s="329"/>
      <c r="D144" s="329"/>
      <c r="E144" s="329"/>
      <c r="F144" s="329"/>
      <c r="G144" s="329"/>
      <c r="H144" s="329"/>
      <c r="I144" s="329"/>
      <c r="J144" s="329"/>
      <c r="K144" s="329"/>
      <c r="L144" s="329"/>
      <c r="M144" s="329"/>
      <c r="N144" s="329"/>
      <c r="O144" s="329"/>
      <c r="P144" s="300"/>
      <c r="Q144" s="300"/>
      <c r="R144" s="300"/>
      <c r="S144" s="299">
        <v>0.10630000000000001</v>
      </c>
      <c r="T144" s="294"/>
      <c r="U144" s="294"/>
      <c r="V144" s="260"/>
      <c r="W144" s="6"/>
    </row>
    <row r="145" spans="1:23" ht="15.6">
      <c r="A145" s="458"/>
      <c r="B145" s="379" t="s">
        <v>61</v>
      </c>
      <c r="C145" s="459"/>
      <c r="D145" s="459"/>
      <c r="E145" s="459"/>
      <c r="F145" s="459"/>
      <c r="G145" s="459"/>
      <c r="H145" s="459"/>
      <c r="I145" s="459"/>
      <c r="J145" s="459"/>
      <c r="K145" s="459"/>
      <c r="L145" s="459"/>
      <c r="M145" s="459"/>
      <c r="N145" s="459"/>
      <c r="O145" s="459"/>
      <c r="P145" s="433"/>
      <c r="Q145" s="433"/>
      <c r="R145" s="433"/>
      <c r="S145" s="427">
        <v>5.2200000000000003E-2</v>
      </c>
      <c r="T145" s="427"/>
      <c r="U145" s="379"/>
      <c r="V145" s="385"/>
      <c r="W145" s="6"/>
    </row>
    <row r="146" spans="1:23" ht="15.6">
      <c r="A146" s="458"/>
      <c r="B146" s="379" t="s">
        <v>62</v>
      </c>
      <c r="C146" s="459"/>
      <c r="D146" s="459"/>
      <c r="E146" s="459"/>
      <c r="F146" s="459"/>
      <c r="G146" s="459"/>
      <c r="H146" s="459"/>
      <c r="I146" s="459"/>
      <c r="J146" s="459"/>
      <c r="K146" s="459"/>
      <c r="L146" s="459"/>
      <c r="M146" s="459"/>
      <c r="N146" s="459"/>
      <c r="O146" s="459"/>
      <c r="P146" s="433"/>
      <c r="Q146" s="433"/>
      <c r="R146" s="433"/>
      <c r="S146" s="427">
        <f>S144-S145</f>
        <v>5.4100000000000002E-2</v>
      </c>
      <c r="T146" s="379"/>
      <c r="U146" s="379"/>
      <c r="V146" s="385"/>
      <c r="W146" s="6"/>
    </row>
    <row r="147" spans="1:23" ht="15.6">
      <c r="A147" s="458"/>
      <c r="B147" s="379" t="s">
        <v>63</v>
      </c>
      <c r="C147" s="459"/>
      <c r="D147" s="459"/>
      <c r="E147" s="459"/>
      <c r="F147" s="459"/>
      <c r="G147" s="459"/>
      <c r="H147" s="459"/>
      <c r="I147" s="459"/>
      <c r="J147" s="459"/>
      <c r="K147" s="459"/>
      <c r="L147" s="459"/>
      <c r="M147" s="459"/>
      <c r="N147" s="459"/>
      <c r="O147" s="459"/>
      <c r="P147" s="433"/>
      <c r="Q147" s="433"/>
      <c r="R147" s="433"/>
      <c r="S147" s="427">
        <v>9.1050000000000006E-2</v>
      </c>
      <c r="T147" s="379"/>
      <c r="U147" s="379"/>
      <c r="V147" s="385"/>
      <c r="W147" s="6"/>
    </row>
    <row r="148" spans="1:23" ht="15.6">
      <c r="A148" s="458"/>
      <c r="B148" s="379" t="s">
        <v>64</v>
      </c>
      <c r="C148" s="459"/>
      <c r="D148" s="459"/>
      <c r="E148" s="459"/>
      <c r="F148" s="459"/>
      <c r="G148" s="459"/>
      <c r="H148" s="459"/>
      <c r="I148" s="459"/>
      <c r="J148" s="459"/>
      <c r="K148" s="459"/>
      <c r="L148" s="459"/>
      <c r="M148" s="459"/>
      <c r="N148" s="459"/>
      <c r="O148" s="459"/>
      <c r="P148" s="433"/>
      <c r="Q148" s="433"/>
      <c r="R148" s="433"/>
      <c r="S148" s="427">
        <f>+U40</f>
        <v>1.4630225791651946E-2</v>
      </c>
      <c r="T148" s="379"/>
      <c r="U148" s="379"/>
      <c r="V148" s="385"/>
      <c r="W148" s="6"/>
    </row>
    <row r="149" spans="1:23" ht="15.6">
      <c r="A149" s="458"/>
      <c r="B149" s="379" t="s">
        <v>65</v>
      </c>
      <c r="C149" s="459"/>
      <c r="D149" s="459"/>
      <c r="E149" s="459"/>
      <c r="F149" s="459"/>
      <c r="G149" s="459"/>
      <c r="H149" s="459"/>
      <c r="I149" s="459"/>
      <c r="J149" s="459"/>
      <c r="K149" s="459"/>
      <c r="L149" s="459"/>
      <c r="M149" s="459"/>
      <c r="N149" s="459"/>
      <c r="O149" s="459"/>
      <c r="P149" s="433"/>
      <c r="Q149" s="433"/>
      <c r="R149" s="433"/>
      <c r="S149" s="427">
        <f>S147-S148</f>
        <v>7.6419774208348057E-2</v>
      </c>
      <c r="T149" s="379"/>
      <c r="U149" s="379"/>
      <c r="V149" s="385"/>
      <c r="W149" s="6"/>
    </row>
    <row r="150" spans="1:23" ht="15.6">
      <c r="A150" s="458"/>
      <c r="B150" s="379" t="s">
        <v>204</v>
      </c>
      <c r="C150" s="459"/>
      <c r="D150" s="459"/>
      <c r="E150" s="459"/>
      <c r="F150" s="459"/>
      <c r="G150" s="459"/>
      <c r="H150" s="459"/>
      <c r="I150" s="459"/>
      <c r="J150" s="459"/>
      <c r="K150" s="459"/>
      <c r="L150" s="459"/>
      <c r="M150" s="459"/>
      <c r="N150" s="459"/>
      <c r="O150" s="459"/>
      <c r="P150" s="433"/>
      <c r="Q150" s="433"/>
      <c r="R150" s="433"/>
      <c r="S150" s="429">
        <v>49780</v>
      </c>
      <c r="T150" s="379"/>
      <c r="U150" s="379"/>
      <c r="V150" s="385"/>
      <c r="W150" s="6"/>
    </row>
    <row r="151" spans="1:23" ht="15.6">
      <c r="A151" s="458"/>
      <c r="B151" s="379" t="s">
        <v>205</v>
      </c>
      <c r="C151" s="459"/>
      <c r="D151" s="459"/>
      <c r="E151" s="459"/>
      <c r="F151" s="459"/>
      <c r="G151" s="459"/>
      <c r="H151" s="459"/>
      <c r="I151" s="459"/>
      <c r="J151" s="459"/>
      <c r="K151" s="459"/>
      <c r="L151" s="459"/>
      <c r="M151" s="459"/>
      <c r="N151" s="459"/>
      <c r="O151" s="459"/>
      <c r="P151" s="433"/>
      <c r="Q151" s="433"/>
      <c r="R151" s="433"/>
      <c r="S151" s="429">
        <v>49780</v>
      </c>
      <c r="T151" s="379"/>
      <c r="U151" s="379"/>
      <c r="V151" s="385"/>
      <c r="W151" s="6"/>
    </row>
    <row r="152" spans="1:23" ht="15.6">
      <c r="A152" s="458"/>
      <c r="B152" s="379" t="s">
        <v>206</v>
      </c>
      <c r="C152" s="459"/>
      <c r="D152" s="459"/>
      <c r="E152" s="459"/>
      <c r="F152" s="459"/>
      <c r="G152" s="459"/>
      <c r="H152" s="459"/>
      <c r="I152" s="459"/>
      <c r="J152" s="459"/>
      <c r="K152" s="459"/>
      <c r="L152" s="459"/>
      <c r="M152" s="459"/>
      <c r="N152" s="459"/>
      <c r="O152" s="459"/>
      <c r="P152" s="433"/>
      <c r="Q152" s="433"/>
      <c r="R152" s="433"/>
      <c r="S152" s="429">
        <v>49780</v>
      </c>
      <c r="T152" s="379"/>
      <c r="U152" s="379"/>
      <c r="V152" s="385"/>
      <c r="W152" s="6"/>
    </row>
    <row r="153" spans="1:23" ht="15.6">
      <c r="A153" s="458"/>
      <c r="B153" s="379" t="s">
        <v>207</v>
      </c>
      <c r="C153" s="459"/>
      <c r="D153" s="459"/>
      <c r="E153" s="459"/>
      <c r="F153" s="459"/>
      <c r="G153" s="459"/>
      <c r="H153" s="459"/>
      <c r="I153" s="459"/>
      <c r="J153" s="459"/>
      <c r="K153" s="459"/>
      <c r="L153" s="459"/>
      <c r="M153" s="459"/>
      <c r="N153" s="459"/>
      <c r="O153" s="459"/>
      <c r="P153" s="433"/>
      <c r="Q153" s="433"/>
      <c r="R153" s="433"/>
      <c r="S153" s="429">
        <v>49780</v>
      </c>
      <c r="T153" s="379"/>
      <c r="U153" s="379"/>
      <c r="V153" s="385"/>
      <c r="W153" s="6"/>
    </row>
    <row r="154" spans="1:23" ht="15.6">
      <c r="A154" s="458"/>
      <c r="B154" s="379" t="s">
        <v>221</v>
      </c>
      <c r="C154" s="459"/>
      <c r="D154" s="459"/>
      <c r="E154" s="459"/>
      <c r="F154" s="459"/>
      <c r="G154" s="459"/>
      <c r="H154" s="459"/>
      <c r="I154" s="459"/>
      <c r="J154" s="459"/>
      <c r="K154" s="459"/>
      <c r="L154" s="459"/>
      <c r="M154" s="459"/>
      <c r="N154" s="459"/>
      <c r="O154" s="459"/>
      <c r="P154" s="433"/>
      <c r="Q154" s="433"/>
      <c r="R154" s="433"/>
      <c r="S154" s="432">
        <v>111.34</v>
      </c>
      <c r="T154" s="379"/>
      <c r="U154" s="379"/>
      <c r="V154" s="385"/>
      <c r="W154" s="6"/>
    </row>
    <row r="155" spans="1:23" ht="15.6">
      <c r="A155" s="458"/>
      <c r="B155" s="379" t="s">
        <v>222</v>
      </c>
      <c r="C155" s="459"/>
      <c r="D155" s="459"/>
      <c r="E155" s="459"/>
      <c r="F155" s="459"/>
      <c r="G155" s="459"/>
      <c r="H155" s="459"/>
      <c r="I155" s="459"/>
      <c r="J155" s="459"/>
      <c r="K155" s="459"/>
      <c r="L155" s="459"/>
      <c r="M155" s="459"/>
      <c r="N155" s="459"/>
      <c r="O155" s="459"/>
      <c r="P155" s="433"/>
      <c r="Q155" s="433"/>
      <c r="R155" s="433"/>
      <c r="S155" s="432">
        <v>145.93</v>
      </c>
      <c r="T155" s="379"/>
      <c r="U155" s="379"/>
      <c r="V155" s="385"/>
      <c r="W155" s="6"/>
    </row>
    <row r="156" spans="1:23" ht="15.6">
      <c r="A156" s="458" t="s">
        <v>223</v>
      </c>
      <c r="B156" s="379" t="s">
        <v>66</v>
      </c>
      <c r="C156" s="459"/>
      <c r="D156" s="459"/>
      <c r="E156" s="459"/>
      <c r="F156" s="459"/>
      <c r="G156" s="459"/>
      <c r="H156" s="459"/>
      <c r="I156" s="459"/>
      <c r="J156" s="459"/>
      <c r="K156" s="459"/>
      <c r="L156" s="459"/>
      <c r="M156" s="459"/>
      <c r="N156" s="459"/>
      <c r="O156" s="459"/>
      <c r="P156" s="433"/>
      <c r="Q156" s="433"/>
      <c r="R156" s="433"/>
      <c r="S156" s="427">
        <v>3.9300000000000002E-2</v>
      </c>
      <c r="T156" s="379"/>
      <c r="U156" s="379"/>
      <c r="V156" s="385"/>
      <c r="W156" s="6"/>
    </row>
    <row r="157" spans="1:23" ht="15.6">
      <c r="A157" s="458"/>
      <c r="B157" s="379" t="s">
        <v>67</v>
      </c>
      <c r="C157" s="459"/>
      <c r="D157" s="459"/>
      <c r="E157" s="459"/>
      <c r="F157" s="459"/>
      <c r="G157" s="459"/>
      <c r="H157" s="459"/>
      <c r="I157" s="459"/>
      <c r="J157" s="459"/>
      <c r="K157" s="459"/>
      <c r="L157" s="459"/>
      <c r="M157" s="459"/>
      <c r="N157" s="459"/>
      <c r="O157" s="459"/>
      <c r="P157" s="433"/>
      <c r="Q157" s="433"/>
      <c r="R157" s="433"/>
      <c r="S157" s="427">
        <v>0.27260000000000001</v>
      </c>
      <c r="T157" s="379"/>
      <c r="U157" s="379"/>
      <c r="V157" s="385"/>
      <c r="W157" s="6"/>
    </row>
    <row r="158" spans="1:23" ht="15.6">
      <c r="A158" s="280"/>
      <c r="B158" s="364"/>
      <c r="C158" s="364"/>
      <c r="D158" s="364"/>
      <c r="E158" s="364"/>
      <c r="F158" s="364"/>
      <c r="G158" s="364"/>
      <c r="H158" s="364"/>
      <c r="I158" s="364"/>
      <c r="J158" s="364"/>
      <c r="K158" s="364"/>
      <c r="L158" s="364"/>
      <c r="M158" s="364"/>
      <c r="N158" s="364"/>
      <c r="O158" s="364"/>
      <c r="P158" s="364"/>
      <c r="Q158" s="364"/>
      <c r="R158" s="455"/>
      <c r="S158" s="456"/>
      <c r="T158" s="364"/>
      <c r="U158" s="457"/>
      <c r="V158" s="245"/>
      <c r="W158" s="6"/>
    </row>
    <row r="159" spans="1:23" ht="15.6">
      <c r="A159" s="280"/>
      <c r="B159" s="288"/>
      <c r="C159" s="288"/>
      <c r="D159" s="288"/>
      <c r="E159" s="288"/>
      <c r="F159" s="288"/>
      <c r="G159" s="288"/>
      <c r="H159" s="288"/>
      <c r="I159" s="288"/>
      <c r="J159" s="288"/>
      <c r="K159" s="288"/>
      <c r="L159" s="288"/>
      <c r="M159" s="288"/>
      <c r="N159" s="288"/>
      <c r="O159" s="288"/>
      <c r="P159" s="288"/>
      <c r="Q159" s="288"/>
      <c r="R159" s="331"/>
      <c r="S159" s="332"/>
      <c r="T159" s="288"/>
      <c r="U159" s="333"/>
      <c r="V159" s="245"/>
      <c r="W159" s="6"/>
    </row>
    <row r="160" spans="1:23" ht="16.2" thickBot="1">
      <c r="A160" s="282"/>
      <c r="B160" s="304" t="str">
        <f>+B109</f>
        <v>PPAF3 INVESTOR REPORT QUARTER ENDING MARCH 2014</v>
      </c>
      <c r="C160" s="305"/>
      <c r="D160" s="305"/>
      <c r="E160" s="305"/>
      <c r="F160" s="305"/>
      <c r="G160" s="305"/>
      <c r="H160" s="305"/>
      <c r="I160" s="305"/>
      <c r="J160" s="305"/>
      <c r="K160" s="305"/>
      <c r="L160" s="305"/>
      <c r="M160" s="305"/>
      <c r="N160" s="305"/>
      <c r="O160" s="305"/>
      <c r="P160" s="305"/>
      <c r="Q160" s="305"/>
      <c r="R160" s="334"/>
      <c r="S160" s="335"/>
      <c r="T160" s="305"/>
      <c r="U160" s="336"/>
      <c r="V160" s="262"/>
      <c r="W160" s="6"/>
    </row>
    <row r="161" spans="1:23" ht="15.6">
      <c r="A161" s="337"/>
      <c r="B161" s="520" t="s">
        <v>68</v>
      </c>
      <c r="C161" s="521"/>
      <c r="D161" s="521"/>
      <c r="E161" s="521"/>
      <c r="F161" s="521"/>
      <c r="G161" s="521"/>
      <c r="H161" s="521"/>
      <c r="I161" s="521"/>
      <c r="J161" s="521"/>
      <c r="K161" s="521"/>
      <c r="L161" s="521"/>
      <c r="M161" s="522"/>
      <c r="N161" s="521"/>
      <c r="O161" s="522"/>
      <c r="P161" s="521"/>
      <c r="Q161" s="522"/>
      <c r="R161" s="521" t="s">
        <v>94</v>
      </c>
      <c r="S161" s="522" t="s">
        <v>116</v>
      </c>
      <c r="T161" s="340"/>
      <c r="U161" s="340"/>
      <c r="V161" s="341"/>
      <c r="W161" s="6"/>
    </row>
    <row r="162" spans="1:23" ht="15.6">
      <c r="A162" s="283"/>
      <c r="B162" s="294" t="s">
        <v>216</v>
      </c>
      <c r="C162" s="310"/>
      <c r="D162" s="310"/>
      <c r="E162" s="310"/>
      <c r="F162" s="310"/>
      <c r="G162" s="310"/>
      <c r="H162" s="310"/>
      <c r="I162" s="310"/>
      <c r="J162" s="310"/>
      <c r="K162" s="310"/>
      <c r="L162" s="310"/>
      <c r="M162" s="310"/>
      <c r="N162" s="310"/>
      <c r="O162" s="294"/>
      <c r="P162" s="294"/>
      <c r="Q162" s="294"/>
      <c r="R162" s="310">
        <v>644</v>
      </c>
      <c r="S162" s="311">
        <v>15437</v>
      </c>
      <c r="T162" s="311"/>
      <c r="U162" s="330"/>
      <c r="V162" s="342"/>
      <c r="W162" s="6"/>
    </row>
    <row r="163" spans="1:23" ht="15.6">
      <c r="A163" s="465"/>
      <c r="B163" s="379" t="s">
        <v>217</v>
      </c>
      <c r="C163" s="440"/>
      <c r="D163" s="440"/>
      <c r="E163" s="440"/>
      <c r="F163" s="440"/>
      <c r="G163" s="440"/>
      <c r="H163" s="440"/>
      <c r="I163" s="440"/>
      <c r="J163" s="440"/>
      <c r="K163" s="440"/>
      <c r="L163" s="440"/>
      <c r="M163" s="440"/>
      <c r="N163" s="440"/>
      <c r="O163" s="379"/>
      <c r="P163" s="379"/>
      <c r="Q163" s="379"/>
      <c r="R163" s="545">
        <v>4</v>
      </c>
      <c r="S163" s="546">
        <v>20</v>
      </c>
      <c r="T163" s="441"/>
      <c r="U163" s="466"/>
      <c r="V163" s="467"/>
      <c r="W163" s="6"/>
    </row>
    <row r="164" spans="1:23" ht="15.6">
      <c r="A164" s="465"/>
      <c r="B164" s="379" t="s">
        <v>218</v>
      </c>
      <c r="C164" s="440"/>
      <c r="D164" s="440"/>
      <c r="E164" s="440"/>
      <c r="F164" s="440"/>
      <c r="G164" s="440"/>
      <c r="H164" s="440"/>
      <c r="I164" s="440"/>
      <c r="J164" s="440"/>
      <c r="K164" s="440"/>
      <c r="L164" s="440"/>
      <c r="M164" s="440"/>
      <c r="N164" s="440"/>
      <c r="O164" s="379"/>
      <c r="P164" s="379"/>
      <c r="Q164" s="379"/>
      <c r="R164" s="545">
        <v>100</v>
      </c>
      <c r="S164" s="546">
        <v>94</v>
      </c>
      <c r="T164" s="441"/>
      <c r="U164" s="466"/>
      <c r="V164" s="467"/>
      <c r="W164" s="6"/>
    </row>
    <row r="165" spans="1:23" ht="15.6">
      <c r="A165" s="465"/>
      <c r="B165" s="379" t="s">
        <v>219</v>
      </c>
      <c r="C165" s="440"/>
      <c r="D165" s="440"/>
      <c r="E165" s="440"/>
      <c r="F165" s="440"/>
      <c r="G165" s="440"/>
      <c r="H165" s="440"/>
      <c r="I165" s="440"/>
      <c r="J165" s="440"/>
      <c r="K165" s="440"/>
      <c r="L165" s="440"/>
      <c r="M165" s="440"/>
      <c r="N165" s="440"/>
      <c r="O165" s="379"/>
      <c r="P165" s="379"/>
      <c r="Q165" s="379"/>
      <c r="R165" s="545">
        <v>89</v>
      </c>
      <c r="S165" s="546">
        <v>193</v>
      </c>
      <c r="T165" s="441"/>
      <c r="U165" s="466"/>
      <c r="V165" s="467"/>
      <c r="W165" s="6"/>
    </row>
    <row r="166" spans="1:23" ht="15.6">
      <c r="A166" s="465"/>
      <c r="B166" s="379" t="s">
        <v>90</v>
      </c>
      <c r="C166" s="440"/>
      <c r="D166" s="440"/>
      <c r="E166" s="440"/>
      <c r="F166" s="440"/>
      <c r="G166" s="440"/>
      <c r="H166" s="440"/>
      <c r="I166" s="440"/>
      <c r="J166" s="440"/>
      <c r="K166" s="440"/>
      <c r="L166" s="440"/>
      <c r="M166" s="440"/>
      <c r="N166" s="440"/>
      <c r="O166" s="379"/>
      <c r="P166" s="379"/>
      <c r="Q166" s="379"/>
      <c r="R166" s="547">
        <f>SUM(R162:R165)</f>
        <v>837</v>
      </c>
      <c r="S166" s="546">
        <f>SUM(S162:S165)</f>
        <v>15744</v>
      </c>
      <c r="T166" s="441"/>
      <c r="U166" s="466"/>
      <c r="V166" s="467"/>
      <c r="W166" s="6"/>
    </row>
    <row r="167" spans="1:23" ht="15.6">
      <c r="A167" s="465"/>
      <c r="B167" s="379"/>
      <c r="C167" s="440"/>
      <c r="D167" s="440"/>
      <c r="E167" s="440"/>
      <c r="F167" s="440"/>
      <c r="G167" s="440"/>
      <c r="H167" s="440"/>
      <c r="I167" s="440"/>
      <c r="J167" s="440"/>
      <c r="K167" s="440"/>
      <c r="L167" s="440"/>
      <c r="M167" s="440"/>
      <c r="N167" s="440"/>
      <c r="O167" s="379"/>
      <c r="P167" s="379"/>
      <c r="Q167" s="379"/>
      <c r="R167" s="545"/>
      <c r="S167" s="546"/>
      <c r="T167" s="441"/>
      <c r="U167" s="466"/>
      <c r="V167" s="467"/>
      <c r="W167" s="6"/>
    </row>
    <row r="168" spans="1:23" ht="15.6">
      <c r="A168" s="465"/>
      <c r="B168" s="379" t="s">
        <v>220</v>
      </c>
      <c r="C168" s="440"/>
      <c r="D168" s="440"/>
      <c r="E168" s="440"/>
      <c r="F168" s="440"/>
      <c r="G168" s="440"/>
      <c r="H168" s="440"/>
      <c r="I168" s="440"/>
      <c r="J168" s="440"/>
      <c r="K168" s="440"/>
      <c r="L168" s="440"/>
      <c r="M168" s="440"/>
      <c r="N168" s="440"/>
      <c r="O168" s="379"/>
      <c r="P168" s="379"/>
      <c r="Q168" s="379"/>
      <c r="R168" s="545">
        <v>0</v>
      </c>
      <c r="S168" s="546">
        <v>0</v>
      </c>
      <c r="T168" s="441"/>
      <c r="U168" s="466"/>
      <c r="V168" s="467"/>
      <c r="W168" s="6"/>
    </row>
    <row r="169" spans="1:23" ht="15.6">
      <c r="A169" s="465"/>
      <c r="B169" s="379" t="s">
        <v>224</v>
      </c>
      <c r="C169" s="440"/>
      <c r="D169" s="440"/>
      <c r="E169" s="440"/>
      <c r="F169" s="440"/>
      <c r="G169" s="440"/>
      <c r="H169" s="440"/>
      <c r="I169" s="440"/>
      <c r="J169" s="440"/>
      <c r="K169" s="440"/>
      <c r="L169" s="440"/>
      <c r="M169" s="440"/>
      <c r="N169" s="440"/>
      <c r="O169" s="379"/>
      <c r="P169" s="379"/>
      <c r="Q169" s="379"/>
      <c r="R169" s="545">
        <v>9</v>
      </c>
      <c r="S169" s="546">
        <v>202</v>
      </c>
      <c r="T169" s="441"/>
      <c r="U169" s="466"/>
      <c r="V169" s="467"/>
      <c r="W169" s="6"/>
    </row>
    <row r="170" spans="1:23" ht="15.6">
      <c r="A170" s="465"/>
      <c r="B170" s="468" t="s">
        <v>69</v>
      </c>
      <c r="C170" s="469"/>
      <c r="D170" s="469"/>
      <c r="E170" s="469"/>
      <c r="F170" s="469"/>
      <c r="G170" s="469"/>
      <c r="H170" s="469"/>
      <c r="I170" s="469"/>
      <c r="J170" s="469"/>
      <c r="K170" s="469"/>
      <c r="L170" s="469"/>
      <c r="M170" s="469"/>
      <c r="N170" s="469"/>
      <c r="O170" s="454"/>
      <c r="P170" s="454"/>
      <c r="Q170" s="454"/>
      <c r="R170" s="539"/>
      <c r="S170" s="540">
        <v>0</v>
      </c>
      <c r="T170" s="454"/>
      <c r="U170" s="470"/>
      <c r="V170" s="471"/>
      <c r="W170" s="6"/>
    </row>
    <row r="171" spans="1:23" ht="15.6">
      <c r="A171" s="465"/>
      <c r="B171" s="468" t="s">
        <v>70</v>
      </c>
      <c r="C171" s="469"/>
      <c r="D171" s="469"/>
      <c r="E171" s="469"/>
      <c r="F171" s="469"/>
      <c r="G171" s="469"/>
      <c r="H171" s="469"/>
      <c r="I171" s="469"/>
      <c r="J171" s="469"/>
      <c r="K171" s="469"/>
      <c r="L171" s="469"/>
      <c r="M171" s="469"/>
      <c r="N171" s="469"/>
      <c r="O171" s="454"/>
      <c r="P171" s="454"/>
      <c r="Q171" s="454"/>
      <c r="R171" s="539"/>
      <c r="S171" s="540">
        <f>Q75</f>
        <v>0</v>
      </c>
      <c r="T171" s="454"/>
      <c r="U171" s="470"/>
      <c r="V171" s="471"/>
      <c r="W171" s="6"/>
    </row>
    <row r="172" spans="1:23" ht="15.6">
      <c r="A172" s="472"/>
      <c r="B172" s="468" t="s">
        <v>71</v>
      </c>
      <c r="C172" s="469"/>
      <c r="D172" s="469"/>
      <c r="E172" s="469"/>
      <c r="F172" s="469"/>
      <c r="G172" s="469"/>
      <c r="H172" s="469"/>
      <c r="I172" s="469"/>
      <c r="J172" s="469"/>
      <c r="K172" s="469"/>
      <c r="L172" s="469"/>
      <c r="M172" s="473"/>
      <c r="N172" s="473"/>
      <c r="O172" s="473"/>
      <c r="P172" s="454"/>
      <c r="Q172" s="454"/>
      <c r="R172" s="379"/>
      <c r="S172" s="500"/>
      <c r="T172" s="454"/>
      <c r="U172" s="470"/>
      <c r="V172" s="474"/>
      <c r="W172" s="6"/>
    </row>
    <row r="173" spans="1:23" ht="15.6">
      <c r="A173" s="465"/>
      <c r="B173" s="379" t="s">
        <v>72</v>
      </c>
      <c r="C173" s="469"/>
      <c r="D173" s="469"/>
      <c r="E173" s="469"/>
      <c r="F173" s="469"/>
      <c r="G173" s="469"/>
      <c r="H173" s="469"/>
      <c r="I173" s="469"/>
      <c r="J173" s="469"/>
      <c r="K173" s="469"/>
      <c r="L173" s="469"/>
      <c r="M173" s="469"/>
      <c r="N173" s="469"/>
      <c r="O173" s="469"/>
      <c r="P173" s="454"/>
      <c r="Q173" s="454"/>
      <c r="R173" s="379"/>
      <c r="S173" s="546">
        <f>U128</f>
        <v>930</v>
      </c>
      <c r="T173" s="454"/>
      <c r="U173" s="470"/>
      <c r="V173" s="474"/>
      <c r="W173" s="6"/>
    </row>
    <row r="174" spans="1:23" ht="15.6">
      <c r="A174" s="465"/>
      <c r="B174" s="379" t="s">
        <v>73</v>
      </c>
      <c r="C174" s="469"/>
      <c r="D174" s="469"/>
      <c r="E174" s="469"/>
      <c r="F174" s="469"/>
      <c r="G174" s="469"/>
      <c r="H174" s="469"/>
      <c r="I174" s="469"/>
      <c r="J174" s="469"/>
      <c r="K174" s="469"/>
      <c r="L174" s="469"/>
      <c r="M174" s="469"/>
      <c r="N174" s="469"/>
      <c r="O174" s="469"/>
      <c r="P174" s="454"/>
      <c r="Q174" s="454"/>
      <c r="R174" s="379"/>
      <c r="S174" s="546">
        <f>'Dec 13'!S174+S173</f>
        <v>88197</v>
      </c>
      <c r="T174" s="454"/>
      <c r="U174" s="470"/>
      <c r="V174" s="474"/>
      <c r="W174" s="6"/>
    </row>
    <row r="175" spans="1:23" ht="15.6">
      <c r="A175" s="465"/>
      <c r="B175" s="379" t="s">
        <v>74</v>
      </c>
      <c r="C175" s="469"/>
      <c r="D175" s="469"/>
      <c r="E175" s="469"/>
      <c r="F175" s="469"/>
      <c r="G175" s="469"/>
      <c r="H175" s="469"/>
      <c r="I175" s="469"/>
      <c r="J175" s="469"/>
      <c r="K175" s="469"/>
      <c r="L175" s="469"/>
      <c r="M175" s="469"/>
      <c r="N175" s="469"/>
      <c r="O175" s="469"/>
      <c r="P175" s="454"/>
      <c r="Q175" s="454"/>
      <c r="R175" s="379"/>
      <c r="S175" s="546">
        <f>'Dec 13'!S175+670</f>
        <v>22979</v>
      </c>
      <c r="T175" s="454"/>
      <c r="U175" s="470"/>
      <c r="V175" s="474"/>
      <c r="W175" s="6"/>
    </row>
    <row r="176" spans="1:23" ht="15.6">
      <c r="A176" s="465"/>
      <c r="B176" s="473"/>
      <c r="C176" s="469"/>
      <c r="D176" s="469"/>
      <c r="E176" s="469"/>
      <c r="F176" s="469"/>
      <c r="G176" s="469"/>
      <c r="H176" s="469"/>
      <c r="I176" s="469"/>
      <c r="J176" s="469"/>
      <c r="K176" s="469"/>
      <c r="L176" s="469"/>
      <c r="M176" s="469"/>
      <c r="N176" s="469"/>
      <c r="O176" s="469"/>
      <c r="P176" s="454"/>
      <c r="Q176" s="454"/>
      <c r="R176" s="379"/>
      <c r="S176" s="546"/>
      <c r="T176" s="454"/>
      <c r="U176" s="470"/>
      <c r="V176" s="474"/>
      <c r="W176" s="6"/>
    </row>
    <row r="177" spans="1:23" ht="15.6">
      <c r="A177" s="472"/>
      <c r="B177" s="468" t="s">
        <v>259</v>
      </c>
      <c r="C177" s="469"/>
      <c r="D177" s="469"/>
      <c r="E177" s="469"/>
      <c r="F177" s="469"/>
      <c r="G177" s="469"/>
      <c r="H177" s="469"/>
      <c r="I177" s="469"/>
      <c r="J177" s="469"/>
      <c r="K177" s="469"/>
      <c r="L177" s="469"/>
      <c r="M177" s="473"/>
      <c r="N177" s="473"/>
      <c r="O177" s="473"/>
      <c r="P177" s="454"/>
      <c r="Q177" s="454"/>
      <c r="R177" s="379"/>
      <c r="S177" s="548"/>
      <c r="T177" s="454"/>
      <c r="U177" s="470"/>
      <c r="V177" s="474"/>
      <c r="W177" s="6"/>
    </row>
    <row r="178" spans="1:23" ht="15.6">
      <c r="A178" s="472"/>
      <c r="B178" s="379" t="s">
        <v>254</v>
      </c>
      <c r="C178" s="469"/>
      <c r="D178" s="469"/>
      <c r="E178" s="469"/>
      <c r="F178" s="469"/>
      <c r="G178" s="469"/>
      <c r="H178" s="469"/>
      <c r="I178" s="469"/>
      <c r="J178" s="469"/>
      <c r="K178" s="469"/>
      <c r="L178" s="469"/>
      <c r="M178" s="473"/>
      <c r="N178" s="473"/>
      <c r="O178" s="473"/>
      <c r="P178" s="454"/>
      <c r="Q178" s="454"/>
      <c r="R178" s="379"/>
      <c r="S178" s="548">
        <v>0</v>
      </c>
      <c r="T178" s="454"/>
      <c r="U178" s="470"/>
      <c r="V178" s="474"/>
      <c r="W178" s="6"/>
    </row>
    <row r="179" spans="1:23" ht="15.6">
      <c r="A179" s="465"/>
      <c r="B179" s="379" t="s">
        <v>75</v>
      </c>
      <c r="C179" s="469"/>
      <c r="D179" s="469"/>
      <c r="E179" s="469"/>
      <c r="F179" s="469"/>
      <c r="G179" s="469"/>
      <c r="H179" s="469"/>
      <c r="I179" s="469"/>
      <c r="J179" s="469"/>
      <c r="K179" s="469"/>
      <c r="L179" s="469"/>
      <c r="M179" s="475"/>
      <c r="N179" s="475"/>
      <c r="O179" s="476"/>
      <c r="P179" s="454"/>
      <c r="Q179" s="454"/>
      <c r="R179" s="379"/>
      <c r="S179" s="549">
        <v>0</v>
      </c>
      <c r="T179" s="454"/>
      <c r="U179" s="470"/>
      <c r="V179" s="474"/>
      <c r="W179" s="6"/>
    </row>
    <row r="180" spans="1:23" ht="15.6">
      <c r="A180" s="465"/>
      <c r="B180" s="379" t="s">
        <v>76</v>
      </c>
      <c r="C180" s="469"/>
      <c r="D180" s="469"/>
      <c r="E180" s="469"/>
      <c r="F180" s="469"/>
      <c r="G180" s="469"/>
      <c r="H180" s="469"/>
      <c r="I180" s="469"/>
      <c r="J180" s="469"/>
      <c r="K180" s="469"/>
      <c r="L180" s="469"/>
      <c r="M180" s="475"/>
      <c r="N180" s="475"/>
      <c r="O180" s="476"/>
      <c r="P180" s="454"/>
      <c r="Q180" s="454"/>
      <c r="R180" s="379"/>
      <c r="S180" s="548">
        <v>0</v>
      </c>
      <c r="T180" s="454"/>
      <c r="U180" s="470"/>
      <c r="V180" s="474"/>
      <c r="W180" s="6"/>
    </row>
    <row r="181" spans="1:23" ht="15.6">
      <c r="A181" s="465"/>
      <c r="B181" s="473"/>
      <c r="C181" s="469"/>
      <c r="D181" s="469"/>
      <c r="E181" s="469"/>
      <c r="F181" s="469"/>
      <c r="G181" s="469"/>
      <c r="H181" s="469"/>
      <c r="I181" s="469"/>
      <c r="J181" s="469"/>
      <c r="K181" s="469"/>
      <c r="L181" s="469"/>
      <c r="M181" s="477"/>
      <c r="N181" s="475"/>
      <c r="O181" s="476"/>
      <c r="P181" s="454"/>
      <c r="Q181" s="454"/>
      <c r="R181" s="379"/>
      <c r="S181" s="537"/>
      <c r="T181" s="454"/>
      <c r="U181" s="470"/>
      <c r="V181" s="474"/>
      <c r="W181" s="6"/>
    </row>
    <row r="182" spans="1:23" ht="15.6">
      <c r="A182" s="465"/>
      <c r="B182" s="468" t="s">
        <v>77</v>
      </c>
      <c r="C182" s="469"/>
      <c r="D182" s="469"/>
      <c r="E182" s="469"/>
      <c r="F182" s="469"/>
      <c r="G182" s="469"/>
      <c r="H182" s="469"/>
      <c r="I182" s="469"/>
      <c r="J182" s="469"/>
      <c r="K182" s="469"/>
      <c r="L182" s="469"/>
      <c r="M182" s="469"/>
      <c r="N182" s="477"/>
      <c r="O182" s="475"/>
      <c r="P182" s="476"/>
      <c r="Q182" s="454"/>
      <c r="R182" s="380"/>
      <c r="S182" s="538"/>
      <c r="T182" s="478"/>
      <c r="U182" s="390"/>
      <c r="V182" s="479"/>
      <c r="W182" s="6"/>
    </row>
    <row r="183" spans="1:23" ht="15.6">
      <c r="A183" s="465"/>
      <c r="B183" s="379" t="s">
        <v>78</v>
      </c>
      <c r="C183" s="469"/>
      <c r="D183" s="469"/>
      <c r="E183" s="469"/>
      <c r="F183" s="469"/>
      <c r="G183" s="469"/>
      <c r="H183" s="469"/>
      <c r="I183" s="469"/>
      <c r="J183" s="469"/>
      <c r="K183" s="469"/>
      <c r="L183" s="469"/>
      <c r="M183" s="469"/>
      <c r="N183" s="477"/>
      <c r="O183" s="475"/>
      <c r="P183" s="476"/>
      <c r="Q183" s="454"/>
      <c r="R183" s="380"/>
      <c r="S183" s="550">
        <v>1</v>
      </c>
      <c r="T183" s="480"/>
      <c r="U183" s="390"/>
      <c r="V183" s="479"/>
      <c r="W183" s="6"/>
    </row>
    <row r="184" spans="1:23" ht="15.6">
      <c r="A184" s="465"/>
      <c r="B184" s="379" t="s">
        <v>75</v>
      </c>
      <c r="C184" s="469"/>
      <c r="D184" s="469"/>
      <c r="E184" s="469"/>
      <c r="F184" s="469"/>
      <c r="G184" s="469"/>
      <c r="H184" s="469"/>
      <c r="I184" s="469"/>
      <c r="J184" s="469"/>
      <c r="K184" s="469"/>
      <c r="L184" s="469"/>
      <c r="M184" s="469"/>
      <c r="N184" s="477"/>
      <c r="O184" s="475"/>
      <c r="P184" s="476"/>
      <c r="Q184" s="454"/>
      <c r="R184" s="380"/>
      <c r="S184" s="550">
        <v>41</v>
      </c>
      <c r="T184" s="480"/>
      <c r="U184" s="390"/>
      <c r="V184" s="479"/>
      <c r="W184" s="6"/>
    </row>
    <row r="185" spans="1:23" ht="15.6">
      <c r="A185" s="465"/>
      <c r="B185" s="379" t="s">
        <v>79</v>
      </c>
      <c r="C185" s="469"/>
      <c r="D185" s="469"/>
      <c r="E185" s="469"/>
      <c r="F185" s="469"/>
      <c r="G185" s="469"/>
      <c r="H185" s="469"/>
      <c r="I185" s="469"/>
      <c r="J185" s="469"/>
      <c r="K185" s="469"/>
      <c r="L185" s="469"/>
      <c r="M185" s="469"/>
      <c r="N185" s="477"/>
      <c r="O185" s="475"/>
      <c r="P185" s="476"/>
      <c r="Q185" s="454"/>
      <c r="R185" s="380"/>
      <c r="S185" s="550">
        <v>90</v>
      </c>
      <c r="T185" s="480"/>
      <c r="U185" s="390"/>
      <c r="V185" s="479"/>
      <c r="W185" s="6"/>
    </row>
    <row r="186" spans="1:23" ht="15.6">
      <c r="A186" s="465"/>
      <c r="B186" s="473"/>
      <c r="C186" s="469"/>
      <c r="D186" s="469"/>
      <c r="E186" s="469"/>
      <c r="F186" s="469"/>
      <c r="G186" s="469"/>
      <c r="H186" s="469"/>
      <c r="I186" s="469"/>
      <c r="J186" s="469"/>
      <c r="K186" s="469"/>
      <c r="L186" s="469"/>
      <c r="M186" s="477"/>
      <c r="N186" s="475"/>
      <c r="O186" s="476"/>
      <c r="P186" s="454"/>
      <c r="Q186" s="454"/>
      <c r="R186" s="454"/>
      <c r="S186" s="537"/>
      <c r="T186" s="454"/>
      <c r="U186" s="470"/>
      <c r="V186" s="474"/>
      <c r="W186" s="6"/>
    </row>
    <row r="187" spans="1:23" ht="17.399999999999999">
      <c r="A187" s="465"/>
      <c r="B187" s="482" t="s">
        <v>196</v>
      </c>
      <c r="C187" s="469"/>
      <c r="D187" s="469"/>
      <c r="E187" s="469"/>
      <c r="F187" s="469"/>
      <c r="G187" s="469"/>
      <c r="H187" s="469"/>
      <c r="I187" s="469"/>
      <c r="J187" s="469"/>
      <c r="K187" s="483" t="s">
        <v>195</v>
      </c>
      <c r="L187" s="469"/>
      <c r="M187" s="477"/>
      <c r="N187" s="475"/>
      <c r="O187" s="476"/>
      <c r="P187" s="454"/>
      <c r="Q187" s="454"/>
      <c r="R187" s="454"/>
      <c r="S187" s="481"/>
      <c r="T187" s="454"/>
      <c r="U187" s="470"/>
      <c r="V187" s="474"/>
      <c r="W187" s="6"/>
    </row>
    <row r="188" spans="1:23" ht="15.6">
      <c r="A188" s="242"/>
      <c r="B188" s="460"/>
      <c r="C188" s="461"/>
      <c r="D188" s="461"/>
      <c r="E188" s="461"/>
      <c r="F188" s="461"/>
      <c r="G188" s="461"/>
      <c r="H188" s="461"/>
      <c r="I188" s="461"/>
      <c r="J188" s="461"/>
      <c r="K188" s="461"/>
      <c r="L188" s="461"/>
      <c r="M188" s="462"/>
      <c r="N188" s="461"/>
      <c r="O188" s="462"/>
      <c r="P188" s="461"/>
      <c r="Q188" s="462"/>
      <c r="R188" s="461"/>
      <c r="S188" s="462"/>
      <c r="T188" s="461"/>
      <c r="U188" s="463"/>
      <c r="V188" s="464"/>
      <c r="W188" s="6"/>
    </row>
    <row r="189" spans="1:23" ht="15.6">
      <c r="A189" s="348"/>
      <c r="B189" s="525" t="s">
        <v>80</v>
      </c>
      <c r="C189" s="343"/>
      <c r="D189" s="343"/>
      <c r="E189" s="343"/>
      <c r="F189" s="343"/>
      <c r="G189" s="343"/>
      <c r="H189" s="343"/>
      <c r="I189" s="343"/>
      <c r="J189" s="343"/>
      <c r="K189" s="343"/>
      <c r="L189" s="343"/>
      <c r="M189" s="525" t="s">
        <v>100</v>
      </c>
      <c r="N189" s="526"/>
      <c r="O189" s="527"/>
      <c r="P189" s="526"/>
      <c r="Q189" s="525"/>
      <c r="R189" s="525" t="s">
        <v>26</v>
      </c>
      <c r="S189" s="527"/>
      <c r="T189" s="526"/>
      <c r="U189" s="346"/>
      <c r="V189" s="528"/>
      <c r="W189" s="6"/>
    </row>
    <row r="190" spans="1:23" ht="15.6">
      <c r="A190" s="365"/>
      <c r="B190" s="366"/>
      <c r="C190" s="529"/>
      <c r="D190" s="529"/>
      <c r="E190" s="529"/>
      <c r="F190" s="529"/>
      <c r="G190" s="529"/>
      <c r="H190" s="529"/>
      <c r="I190" s="529"/>
      <c r="J190" s="529"/>
      <c r="K190" s="529"/>
      <c r="L190" s="529" t="s">
        <v>94</v>
      </c>
      <c r="M190" s="530" t="s">
        <v>101</v>
      </c>
      <c r="N190" s="529" t="s">
        <v>103</v>
      </c>
      <c r="O190" s="530" t="s">
        <v>101</v>
      </c>
      <c r="P190" s="530"/>
      <c r="Q190" s="529" t="s">
        <v>94</v>
      </c>
      <c r="R190" s="530" t="s">
        <v>101</v>
      </c>
      <c r="S190" s="529" t="s">
        <v>103</v>
      </c>
      <c r="T190" s="530" t="s">
        <v>101</v>
      </c>
      <c r="U190" s="369"/>
      <c r="V190" s="531"/>
      <c r="W190" s="6"/>
    </row>
    <row r="191" spans="1:23" ht="15.6">
      <c r="A191" s="316"/>
      <c r="B191" s="360" t="s">
        <v>81</v>
      </c>
      <c r="C191" s="361"/>
      <c r="D191" s="361"/>
      <c r="E191" s="361"/>
      <c r="F191" s="361"/>
      <c r="G191" s="361"/>
      <c r="H191" s="361"/>
      <c r="I191" s="361"/>
      <c r="J191" s="361"/>
      <c r="K191" s="361"/>
      <c r="L191" s="361">
        <v>328</v>
      </c>
      <c r="M191" s="362">
        <f t="shared" ref="M191:M197" si="0">+L191/$L$198</f>
        <v>0.68763102725366876</v>
      </c>
      <c r="N191" s="361">
        <v>1224</v>
      </c>
      <c r="O191" s="362">
        <f t="shared" ref="O191:O197" si="1">N191/$N$198</f>
        <v>0.81059602649006623</v>
      </c>
      <c r="P191" s="363"/>
      <c r="Q191" s="361">
        <v>69</v>
      </c>
      <c r="R191" s="362">
        <f t="shared" ref="R191:R197" si="2">+Q191/$Q$198</f>
        <v>0.28163265306122448</v>
      </c>
      <c r="S191" s="552">
        <v>132</v>
      </c>
      <c r="T191" s="362">
        <f>+S191/$S$198</f>
        <v>0.49811320754716981</v>
      </c>
      <c r="U191" s="364"/>
      <c r="V191" s="312"/>
      <c r="W191" s="6"/>
    </row>
    <row r="192" spans="1:23" ht="15.6">
      <c r="A192" s="444"/>
      <c r="B192" s="440" t="s">
        <v>82</v>
      </c>
      <c r="C192" s="489"/>
      <c r="D192" s="489"/>
      <c r="E192" s="489"/>
      <c r="F192" s="489"/>
      <c r="G192" s="489"/>
      <c r="H192" s="489"/>
      <c r="I192" s="489"/>
      <c r="J192" s="489"/>
      <c r="K192" s="489"/>
      <c r="L192" s="489">
        <v>6</v>
      </c>
      <c r="M192" s="427">
        <f t="shared" si="0"/>
        <v>1.2578616352201259E-2</v>
      </c>
      <c r="N192" s="553">
        <v>14</v>
      </c>
      <c r="O192" s="427">
        <f t="shared" si="1"/>
        <v>9.2715231788079479E-3</v>
      </c>
      <c r="P192" s="381"/>
      <c r="Q192" s="489">
        <v>6</v>
      </c>
      <c r="R192" s="427">
        <f t="shared" si="2"/>
        <v>2.4489795918367346E-2</v>
      </c>
      <c r="S192" s="553">
        <v>2</v>
      </c>
      <c r="T192" s="427">
        <f t="shared" ref="T192:T197" si="3">+S192/$S$198</f>
        <v>7.5471698113207548E-3</v>
      </c>
      <c r="U192" s="379"/>
      <c r="V192" s="435"/>
      <c r="W192" s="6"/>
    </row>
    <row r="193" spans="1:24" ht="15.6">
      <c r="A193" s="444"/>
      <c r="B193" s="440" t="s">
        <v>83</v>
      </c>
      <c r="C193" s="489"/>
      <c r="D193" s="489"/>
      <c r="E193" s="489"/>
      <c r="F193" s="489"/>
      <c r="G193" s="489"/>
      <c r="H193" s="489"/>
      <c r="I193" s="489"/>
      <c r="J193" s="489"/>
      <c r="K193" s="489"/>
      <c r="L193" s="489">
        <v>17</v>
      </c>
      <c r="M193" s="427">
        <f t="shared" si="0"/>
        <v>3.5639412997903561E-2</v>
      </c>
      <c r="N193" s="489">
        <v>37</v>
      </c>
      <c r="O193" s="427">
        <f t="shared" si="1"/>
        <v>2.4503311258278145E-2</v>
      </c>
      <c r="P193" s="381"/>
      <c r="Q193" s="489">
        <v>12</v>
      </c>
      <c r="R193" s="427">
        <f t="shared" si="2"/>
        <v>4.8979591836734691E-2</v>
      </c>
      <c r="S193" s="553">
        <v>3</v>
      </c>
      <c r="T193" s="427">
        <f t="shared" si="3"/>
        <v>1.1320754716981131E-2</v>
      </c>
      <c r="U193" s="379"/>
      <c r="V193" s="435"/>
      <c r="W193" s="6"/>
    </row>
    <row r="194" spans="1:24" ht="15.6">
      <c r="A194" s="444"/>
      <c r="B194" s="440" t="s">
        <v>186</v>
      </c>
      <c r="C194" s="489"/>
      <c r="D194" s="489"/>
      <c r="E194" s="489"/>
      <c r="F194" s="489"/>
      <c r="G194" s="489"/>
      <c r="H194" s="489"/>
      <c r="I194" s="489"/>
      <c r="J194" s="489"/>
      <c r="K194" s="489"/>
      <c r="L194" s="489">
        <v>14</v>
      </c>
      <c r="M194" s="427">
        <f t="shared" si="0"/>
        <v>2.9350104821802937E-2</v>
      </c>
      <c r="N194" s="489">
        <v>24</v>
      </c>
      <c r="O194" s="427">
        <f t="shared" si="1"/>
        <v>1.5894039735099338E-2</v>
      </c>
      <c r="P194" s="381"/>
      <c r="Q194" s="489">
        <v>19</v>
      </c>
      <c r="R194" s="551">
        <f t="shared" si="2"/>
        <v>7.7551020408163265E-2</v>
      </c>
      <c r="S194" s="489">
        <v>11</v>
      </c>
      <c r="T194" s="427">
        <f t="shared" si="3"/>
        <v>4.1509433962264149E-2</v>
      </c>
      <c r="U194" s="379"/>
      <c r="V194" s="435"/>
      <c r="W194" s="6"/>
    </row>
    <row r="195" spans="1:24" ht="15.6">
      <c r="A195" s="444"/>
      <c r="B195" s="440" t="s">
        <v>187</v>
      </c>
      <c r="C195" s="489"/>
      <c r="D195" s="489"/>
      <c r="E195" s="489"/>
      <c r="F195" s="489"/>
      <c r="G195" s="489"/>
      <c r="H195" s="489"/>
      <c r="I195" s="489"/>
      <c r="J195" s="489"/>
      <c r="K195" s="489"/>
      <c r="L195" s="489">
        <v>16</v>
      </c>
      <c r="M195" s="427">
        <f t="shared" si="0"/>
        <v>3.3542976939203356E-2</v>
      </c>
      <c r="N195" s="489">
        <v>29</v>
      </c>
      <c r="O195" s="427">
        <f t="shared" si="1"/>
        <v>1.9205298013245033E-2</v>
      </c>
      <c r="P195" s="381"/>
      <c r="Q195" s="489">
        <v>15</v>
      </c>
      <c r="R195" s="427">
        <f t="shared" si="2"/>
        <v>6.1224489795918366E-2</v>
      </c>
      <c r="S195" s="489">
        <v>11</v>
      </c>
      <c r="T195" s="427">
        <f t="shared" si="3"/>
        <v>4.1509433962264149E-2</v>
      </c>
      <c r="U195" s="379"/>
      <c r="V195" s="435"/>
      <c r="W195" s="6"/>
    </row>
    <row r="196" spans="1:24" ht="15.6">
      <c r="A196" s="444"/>
      <c r="B196" s="440" t="s">
        <v>188</v>
      </c>
      <c r="C196" s="489"/>
      <c r="D196" s="489"/>
      <c r="E196" s="489"/>
      <c r="F196" s="489"/>
      <c r="G196" s="489"/>
      <c r="H196" s="489"/>
      <c r="I196" s="489"/>
      <c r="J196" s="489"/>
      <c r="K196" s="489"/>
      <c r="L196" s="489">
        <v>10</v>
      </c>
      <c r="M196" s="427">
        <f t="shared" si="0"/>
        <v>2.0964360587002098E-2</v>
      </c>
      <c r="N196" s="489">
        <v>7</v>
      </c>
      <c r="O196" s="427">
        <f t="shared" si="1"/>
        <v>4.6357615894039739E-3</v>
      </c>
      <c r="P196" s="381"/>
      <c r="Q196" s="489">
        <v>24</v>
      </c>
      <c r="R196" s="427">
        <f t="shared" si="2"/>
        <v>9.7959183673469383E-2</v>
      </c>
      <c r="S196" s="489">
        <v>12</v>
      </c>
      <c r="T196" s="427">
        <f t="shared" si="3"/>
        <v>4.5283018867924525E-2</v>
      </c>
      <c r="U196" s="379"/>
      <c r="V196" s="435"/>
      <c r="W196" s="6"/>
    </row>
    <row r="197" spans="1:24" ht="15.6">
      <c r="A197" s="444"/>
      <c r="B197" s="440" t="s">
        <v>189</v>
      </c>
      <c r="C197" s="489"/>
      <c r="D197" s="489"/>
      <c r="E197" s="489"/>
      <c r="F197" s="489"/>
      <c r="G197" s="489"/>
      <c r="H197" s="489"/>
      <c r="I197" s="489"/>
      <c r="J197" s="489"/>
      <c r="K197" s="489"/>
      <c r="L197" s="489">
        <v>86</v>
      </c>
      <c r="M197" s="427">
        <f t="shared" si="0"/>
        <v>0.18029350104821804</v>
      </c>
      <c r="N197" s="489">
        <v>175</v>
      </c>
      <c r="O197" s="427">
        <f t="shared" si="1"/>
        <v>0.11589403973509933</v>
      </c>
      <c r="P197" s="381"/>
      <c r="Q197" s="489">
        <v>100</v>
      </c>
      <c r="R197" s="427">
        <f t="shared" si="2"/>
        <v>0.40816326530612246</v>
      </c>
      <c r="S197" s="489">
        <v>94</v>
      </c>
      <c r="T197" s="427">
        <f t="shared" si="3"/>
        <v>0.35471698113207545</v>
      </c>
      <c r="U197" s="379"/>
      <c r="V197" s="435"/>
      <c r="W197" s="6"/>
    </row>
    <row r="198" spans="1:24" ht="15.6">
      <c r="A198" s="444"/>
      <c r="B198" s="440" t="s">
        <v>84</v>
      </c>
      <c r="C198" s="489"/>
      <c r="D198" s="489"/>
      <c r="E198" s="489"/>
      <c r="F198" s="489"/>
      <c r="G198" s="489"/>
      <c r="H198" s="489"/>
      <c r="I198" s="489"/>
      <c r="J198" s="489"/>
      <c r="K198" s="489"/>
      <c r="L198" s="489">
        <f>SUM(L191:L197)</f>
        <v>477</v>
      </c>
      <c r="M198" s="427">
        <f>SUM(M191:M197)</f>
        <v>1</v>
      </c>
      <c r="N198" s="489">
        <f>SUM(N191:N197)</f>
        <v>1510</v>
      </c>
      <c r="O198" s="427">
        <f>SUM(O191:O197)</f>
        <v>0.99999999999999989</v>
      </c>
      <c r="P198" s="381"/>
      <c r="Q198" s="489">
        <f>SUM(Q191:Q197)</f>
        <v>245</v>
      </c>
      <c r="R198" s="427">
        <f>SUM(R191:R197)</f>
        <v>1</v>
      </c>
      <c r="S198" s="489">
        <f>SUM(S191:S197)</f>
        <v>265</v>
      </c>
      <c r="T198" s="427">
        <f>SUM(T191:T197)</f>
        <v>1</v>
      </c>
      <c r="U198" s="379"/>
      <c r="V198" s="435"/>
      <c r="W198" s="6"/>
      <c r="X198" s="64"/>
    </row>
    <row r="199" spans="1:24" ht="15.6">
      <c r="A199" s="444"/>
      <c r="B199" s="440" t="s">
        <v>85</v>
      </c>
      <c r="C199" s="489"/>
      <c r="D199" s="489"/>
      <c r="E199" s="489"/>
      <c r="F199" s="489"/>
      <c r="G199" s="489"/>
      <c r="H199" s="489"/>
      <c r="I199" s="489"/>
      <c r="J199" s="489"/>
      <c r="K199" s="489"/>
      <c r="L199" s="489">
        <v>862</v>
      </c>
      <c r="M199" s="380"/>
      <c r="N199" s="489">
        <v>5006</v>
      </c>
      <c r="O199" s="380"/>
      <c r="P199" s="381"/>
      <c r="Q199" s="489">
        <v>534</v>
      </c>
      <c r="R199" s="380"/>
      <c r="S199" s="489">
        <v>1193</v>
      </c>
      <c r="T199" s="380"/>
      <c r="U199" s="379"/>
      <c r="V199" s="435"/>
      <c r="W199" s="6"/>
      <c r="X199" s="64"/>
    </row>
    <row r="200" spans="1:24" ht="15.6">
      <c r="A200" s="444"/>
      <c r="B200" s="440" t="s">
        <v>86</v>
      </c>
      <c r="C200" s="489"/>
      <c r="D200" s="489"/>
      <c r="E200" s="489"/>
      <c r="F200" s="489"/>
      <c r="G200" s="489"/>
      <c r="H200" s="489"/>
      <c r="I200" s="489"/>
      <c r="J200" s="489"/>
      <c r="K200" s="489"/>
      <c r="L200" s="489">
        <f>SUM(L198:L199)</f>
        <v>1339</v>
      </c>
      <c r="M200" s="450"/>
      <c r="N200" s="489">
        <f>SUM(N198:N199)</f>
        <v>6516</v>
      </c>
      <c r="O200" s="490"/>
      <c r="P200" s="450"/>
      <c r="Q200" s="489">
        <f>SUM(Q198:Q199)</f>
        <v>779</v>
      </c>
      <c r="R200" s="450"/>
      <c r="S200" s="489">
        <f>SUM(S198:S199)</f>
        <v>1458</v>
      </c>
      <c r="T200" s="450"/>
      <c r="U200" s="450"/>
      <c r="V200" s="435"/>
      <c r="W200" s="6"/>
      <c r="X200" s="64"/>
    </row>
    <row r="201" spans="1:24" ht="15.6">
      <c r="A201" s="242"/>
      <c r="B201" s="484"/>
      <c r="C201" s="485"/>
      <c r="D201" s="485"/>
      <c r="E201" s="485"/>
      <c r="F201" s="485"/>
      <c r="G201" s="485"/>
      <c r="H201" s="485"/>
      <c r="I201" s="485"/>
      <c r="J201" s="485"/>
      <c r="K201" s="485"/>
      <c r="L201" s="532"/>
      <c r="M201" s="533"/>
      <c r="N201" s="532"/>
      <c r="O201" s="533"/>
      <c r="P201" s="488"/>
      <c r="Q201" s="532"/>
      <c r="R201" s="533"/>
      <c r="S201" s="532"/>
      <c r="T201" s="533"/>
      <c r="U201" s="463"/>
      <c r="V201" s="464"/>
      <c r="W201" s="6"/>
    </row>
    <row r="202" spans="1:24" ht="15.6">
      <c r="A202" s="349"/>
      <c r="B202" s="525" t="s">
        <v>80</v>
      </c>
      <c r="C202" s="526"/>
      <c r="D202" s="526"/>
      <c r="E202" s="526"/>
      <c r="F202" s="526"/>
      <c r="G202" s="526"/>
      <c r="H202" s="526"/>
      <c r="I202" s="526"/>
      <c r="J202" s="526"/>
      <c r="K202" s="526"/>
      <c r="L202" s="526"/>
      <c r="M202" s="525" t="s">
        <v>27</v>
      </c>
      <c r="N202" s="526"/>
      <c r="O202" s="527"/>
      <c r="P202" s="526"/>
      <c r="Q202" s="525"/>
      <c r="R202" s="525" t="s">
        <v>28</v>
      </c>
      <c r="S202" s="527"/>
      <c r="T202" s="526"/>
      <c r="U202" s="346"/>
      <c r="V202" s="528"/>
      <c r="W202" s="6"/>
    </row>
    <row r="203" spans="1:24" ht="15.6">
      <c r="A203" s="371"/>
      <c r="B203" s="372"/>
      <c r="C203" s="534"/>
      <c r="D203" s="534"/>
      <c r="E203" s="534"/>
      <c r="F203" s="534"/>
      <c r="G203" s="534"/>
      <c r="H203" s="534"/>
      <c r="I203" s="534"/>
      <c r="J203" s="534"/>
      <c r="K203" s="534"/>
      <c r="L203" s="534" t="s">
        <v>94</v>
      </c>
      <c r="M203" s="535" t="s">
        <v>101</v>
      </c>
      <c r="N203" s="534" t="s">
        <v>103</v>
      </c>
      <c r="O203" s="535" t="s">
        <v>101</v>
      </c>
      <c r="P203" s="535"/>
      <c r="Q203" s="534" t="s">
        <v>94</v>
      </c>
      <c r="R203" s="535" t="s">
        <v>101</v>
      </c>
      <c r="S203" s="534" t="s">
        <v>103</v>
      </c>
      <c r="T203" s="535" t="s">
        <v>101</v>
      </c>
      <c r="U203" s="375"/>
      <c r="V203" s="536"/>
      <c r="W203" s="6"/>
    </row>
    <row r="204" spans="1:24" ht="15.6">
      <c r="A204" s="315"/>
      <c r="B204" s="310" t="s">
        <v>81</v>
      </c>
      <c r="C204" s="351"/>
      <c r="D204" s="351"/>
      <c r="E204" s="351"/>
      <c r="F204" s="351"/>
      <c r="G204" s="351"/>
      <c r="H204" s="351"/>
      <c r="I204" s="351"/>
      <c r="J204" s="351"/>
      <c r="K204" s="351"/>
      <c r="L204" s="351">
        <v>4549</v>
      </c>
      <c r="M204" s="299">
        <f t="shared" ref="M204:M210" si="4">+L204/$L$211</f>
        <v>0.87598690544964375</v>
      </c>
      <c r="N204" s="351">
        <v>100658</v>
      </c>
      <c r="O204" s="299">
        <f t="shared" ref="O204:O210" si="5">+N204/$N$211</f>
        <v>0.86703131056462379</v>
      </c>
      <c r="P204" s="296"/>
      <c r="Q204" s="351">
        <v>82</v>
      </c>
      <c r="R204" s="299">
        <f t="shared" ref="R204:R210" si="6">Q204/$Q$211</f>
        <v>0.86315789473684212</v>
      </c>
      <c r="S204" s="351">
        <v>685</v>
      </c>
      <c r="T204" s="299">
        <f t="shared" ref="T204:T210" si="7">+S204/$S$211</f>
        <v>0.86380832282471631</v>
      </c>
      <c r="U204" s="294"/>
      <c r="V204" s="301"/>
      <c r="W204" s="6"/>
    </row>
    <row r="205" spans="1:24" ht="15.6">
      <c r="A205" s="444"/>
      <c r="B205" s="440" t="s">
        <v>82</v>
      </c>
      <c r="C205" s="489"/>
      <c r="D205" s="489"/>
      <c r="E205" s="489"/>
      <c r="F205" s="489"/>
      <c r="G205" s="489"/>
      <c r="H205" s="489"/>
      <c r="I205" s="489"/>
      <c r="J205" s="489"/>
      <c r="K205" s="489"/>
      <c r="L205" s="489">
        <v>136</v>
      </c>
      <c r="M205" s="427">
        <f t="shared" si="4"/>
        <v>2.6189100712497592E-2</v>
      </c>
      <c r="N205" s="489">
        <v>3033</v>
      </c>
      <c r="O205" s="427">
        <f t="shared" si="5"/>
        <v>2.6125156122141349E-2</v>
      </c>
      <c r="P205" s="381"/>
      <c r="Q205" s="489">
        <v>10</v>
      </c>
      <c r="R205" s="427">
        <f t="shared" si="6"/>
        <v>0.10526315789473684</v>
      </c>
      <c r="S205" s="489">
        <v>100</v>
      </c>
      <c r="T205" s="427">
        <f t="shared" si="7"/>
        <v>0.12610340479192939</v>
      </c>
      <c r="U205" s="379"/>
      <c r="V205" s="435"/>
      <c r="W205" s="6"/>
    </row>
    <row r="206" spans="1:24" ht="15.6">
      <c r="A206" s="444"/>
      <c r="B206" s="440" t="s">
        <v>83</v>
      </c>
      <c r="C206" s="489"/>
      <c r="D206" s="489"/>
      <c r="E206" s="489"/>
      <c r="F206" s="489"/>
      <c r="G206" s="489"/>
      <c r="H206" s="489"/>
      <c r="I206" s="489"/>
      <c r="J206" s="489"/>
      <c r="K206" s="489"/>
      <c r="L206" s="489">
        <v>100</v>
      </c>
      <c r="M206" s="427">
        <f t="shared" si="4"/>
        <v>1.9256691700365876E-2</v>
      </c>
      <c r="N206" s="489">
        <v>2121</v>
      </c>
      <c r="O206" s="427">
        <f t="shared" si="5"/>
        <v>1.8269520651190835E-2</v>
      </c>
      <c r="P206" s="381"/>
      <c r="Q206" s="489">
        <v>0</v>
      </c>
      <c r="R206" s="427">
        <f t="shared" si="6"/>
        <v>0</v>
      </c>
      <c r="S206" s="489">
        <v>0</v>
      </c>
      <c r="T206" s="427">
        <f t="shared" si="7"/>
        <v>0</v>
      </c>
      <c r="U206" s="379"/>
      <c r="V206" s="435"/>
      <c r="W206" s="6"/>
      <c r="X206" s="182"/>
    </row>
    <row r="207" spans="1:24" ht="15.6">
      <c r="A207" s="444"/>
      <c r="B207" s="440" t="s">
        <v>186</v>
      </c>
      <c r="C207" s="489"/>
      <c r="D207" s="489"/>
      <c r="E207" s="489"/>
      <c r="F207" s="489"/>
      <c r="G207" s="489"/>
      <c r="H207" s="489"/>
      <c r="I207" s="489"/>
      <c r="J207" s="489"/>
      <c r="K207" s="489"/>
      <c r="L207" s="489">
        <v>85</v>
      </c>
      <c r="M207" s="427">
        <f t="shared" si="4"/>
        <v>1.6368187945310995E-2</v>
      </c>
      <c r="N207" s="489">
        <v>2181</v>
      </c>
      <c r="O207" s="427">
        <f t="shared" si="5"/>
        <v>1.8786338774279685E-2</v>
      </c>
      <c r="P207" s="381"/>
      <c r="Q207" s="489">
        <v>0</v>
      </c>
      <c r="R207" s="427">
        <f t="shared" si="6"/>
        <v>0</v>
      </c>
      <c r="S207" s="489">
        <v>0</v>
      </c>
      <c r="T207" s="427">
        <f t="shared" si="7"/>
        <v>0</v>
      </c>
      <c r="U207" s="379"/>
      <c r="V207" s="435"/>
      <c r="W207" s="6"/>
    </row>
    <row r="208" spans="1:24" ht="15.6">
      <c r="A208" s="444"/>
      <c r="B208" s="440" t="s">
        <v>187</v>
      </c>
      <c r="C208" s="489"/>
      <c r="D208" s="489"/>
      <c r="E208" s="489"/>
      <c r="F208" s="489"/>
      <c r="G208" s="489"/>
      <c r="H208" s="489"/>
      <c r="I208" s="489"/>
      <c r="J208" s="489"/>
      <c r="K208" s="489"/>
      <c r="L208" s="489">
        <v>66</v>
      </c>
      <c r="M208" s="427">
        <f t="shared" si="4"/>
        <v>1.2709416522241479E-2</v>
      </c>
      <c r="N208" s="489">
        <v>1824</v>
      </c>
      <c r="O208" s="427">
        <f t="shared" si="5"/>
        <v>1.5711270941901029E-2</v>
      </c>
      <c r="P208" s="381"/>
      <c r="Q208" s="489">
        <v>0</v>
      </c>
      <c r="R208" s="427">
        <f t="shared" si="6"/>
        <v>0</v>
      </c>
      <c r="S208" s="489">
        <v>0</v>
      </c>
      <c r="T208" s="427">
        <f t="shared" si="7"/>
        <v>0</v>
      </c>
      <c r="U208" s="379"/>
      <c r="V208" s="435"/>
      <c r="W208" s="6"/>
    </row>
    <row r="209" spans="1:24" ht="15.6">
      <c r="A209" s="444"/>
      <c r="B209" s="440" t="s">
        <v>188</v>
      </c>
      <c r="C209" s="489"/>
      <c r="D209" s="489"/>
      <c r="E209" s="489"/>
      <c r="F209" s="489"/>
      <c r="G209" s="489"/>
      <c r="H209" s="489"/>
      <c r="I209" s="489"/>
      <c r="J209" s="489"/>
      <c r="K209" s="489"/>
      <c r="L209" s="489">
        <v>59</v>
      </c>
      <c r="M209" s="427">
        <f t="shared" si="4"/>
        <v>1.1361448103215868E-2</v>
      </c>
      <c r="N209" s="489">
        <v>1412</v>
      </c>
      <c r="O209" s="427">
        <f t="shared" si="5"/>
        <v>1.2162453163357595E-2</v>
      </c>
      <c r="P209" s="381"/>
      <c r="Q209" s="489">
        <v>1</v>
      </c>
      <c r="R209" s="427">
        <f t="shared" si="6"/>
        <v>1.0526315789473684E-2</v>
      </c>
      <c r="S209" s="489">
        <v>4</v>
      </c>
      <c r="T209" s="427">
        <f t="shared" si="7"/>
        <v>5.0441361916771753E-3</v>
      </c>
      <c r="U209" s="379"/>
      <c r="V209" s="435"/>
      <c r="W209" s="6"/>
    </row>
    <row r="210" spans="1:24" ht="15.6">
      <c r="A210" s="444"/>
      <c r="B210" s="440" t="s">
        <v>189</v>
      </c>
      <c r="C210" s="489"/>
      <c r="D210" s="489"/>
      <c r="E210" s="489"/>
      <c r="F210" s="489"/>
      <c r="G210" s="489"/>
      <c r="H210" s="489"/>
      <c r="I210" s="489"/>
      <c r="J210" s="489"/>
      <c r="K210" s="489"/>
      <c r="L210" s="489">
        <v>198</v>
      </c>
      <c r="M210" s="427">
        <f t="shared" si="4"/>
        <v>3.8128249566724434E-2</v>
      </c>
      <c r="N210" s="489">
        <v>4866</v>
      </c>
      <c r="O210" s="427">
        <f t="shared" si="5"/>
        <v>4.1913949782505705E-2</v>
      </c>
      <c r="P210" s="381"/>
      <c r="Q210" s="489">
        <v>2</v>
      </c>
      <c r="R210" s="427">
        <f t="shared" si="6"/>
        <v>2.1052631578947368E-2</v>
      </c>
      <c r="S210" s="489">
        <v>4</v>
      </c>
      <c r="T210" s="427">
        <f t="shared" si="7"/>
        <v>5.0441361916771753E-3</v>
      </c>
      <c r="U210" s="379"/>
      <c r="V210" s="435"/>
      <c r="W210" s="6"/>
    </row>
    <row r="211" spans="1:24" ht="15.6">
      <c r="A211" s="444"/>
      <c r="B211" s="440" t="str">
        <f>B198</f>
        <v>Total Performing  Assets</v>
      </c>
      <c r="C211" s="489"/>
      <c r="D211" s="489"/>
      <c r="E211" s="489"/>
      <c r="F211" s="489"/>
      <c r="G211" s="489"/>
      <c r="H211" s="489"/>
      <c r="I211" s="489"/>
      <c r="J211" s="489"/>
      <c r="K211" s="489"/>
      <c r="L211" s="489">
        <f>SUM(L204:L210)</f>
        <v>5193</v>
      </c>
      <c r="M211" s="427">
        <f>SUM(M204:M210)</f>
        <v>1</v>
      </c>
      <c r="N211" s="489">
        <f>SUM(N204:N210)</f>
        <v>116095</v>
      </c>
      <c r="O211" s="427">
        <f>SUM(O204:O210)</f>
        <v>1</v>
      </c>
      <c r="P211" s="381"/>
      <c r="Q211" s="489">
        <f>SUM(Q204:Q210)</f>
        <v>95</v>
      </c>
      <c r="R211" s="427">
        <f>SUM(R204:R210)</f>
        <v>1</v>
      </c>
      <c r="S211" s="489">
        <f>SUM(S204:S210)</f>
        <v>793</v>
      </c>
      <c r="T211" s="427">
        <f>SUM(T204:T210)</f>
        <v>1</v>
      </c>
      <c r="U211" s="379"/>
      <c r="V211" s="435"/>
      <c r="W211" s="6"/>
    </row>
    <row r="212" spans="1:24" ht="15.6">
      <c r="A212" s="444"/>
      <c r="B212" s="440" t="s">
        <v>85</v>
      </c>
      <c r="C212" s="489"/>
      <c r="D212" s="489"/>
      <c r="E212" s="489"/>
      <c r="F212" s="489"/>
      <c r="G212" s="489"/>
      <c r="H212" s="489"/>
      <c r="I212" s="489"/>
      <c r="J212" s="489"/>
      <c r="K212" s="489"/>
      <c r="L212" s="489">
        <v>288</v>
      </c>
      <c r="M212" s="381"/>
      <c r="N212" s="489">
        <v>8659</v>
      </c>
      <c r="O212" s="380"/>
      <c r="P212" s="381"/>
      <c r="Q212" s="489">
        <v>23</v>
      </c>
      <c r="R212" s="381"/>
      <c r="S212" s="489">
        <v>422</v>
      </c>
      <c r="T212" s="381"/>
      <c r="U212" s="379"/>
      <c r="V212" s="435"/>
      <c r="W212" s="6"/>
    </row>
    <row r="213" spans="1:24" ht="15.6">
      <c r="A213" s="444"/>
      <c r="B213" s="440" t="s">
        <v>86</v>
      </c>
      <c r="C213" s="489"/>
      <c r="D213" s="489"/>
      <c r="E213" s="489"/>
      <c r="F213" s="489"/>
      <c r="G213" s="489"/>
      <c r="H213" s="489"/>
      <c r="I213" s="489"/>
      <c r="J213" s="489"/>
      <c r="K213" s="489"/>
      <c r="L213" s="489">
        <f>SUM(L211:L212)</f>
        <v>5481</v>
      </c>
      <c r="M213" s="450"/>
      <c r="N213" s="489">
        <f>SUM(N211:N212)</f>
        <v>124754</v>
      </c>
      <c r="O213" s="427"/>
      <c r="P213" s="450"/>
      <c r="Q213" s="489">
        <f>SUM(Q211:Q212)</f>
        <v>118</v>
      </c>
      <c r="R213" s="450"/>
      <c r="S213" s="489">
        <f>SUM(S211:S212)</f>
        <v>1215</v>
      </c>
      <c r="T213" s="450"/>
      <c r="U213" s="450"/>
      <c r="V213" s="492"/>
    </row>
    <row r="214" spans="1:24" ht="15.6">
      <c r="A214" s="444"/>
      <c r="B214" s="440"/>
      <c r="C214" s="381"/>
      <c r="D214" s="381"/>
      <c r="E214" s="381"/>
      <c r="F214" s="381"/>
      <c r="G214" s="381"/>
      <c r="H214" s="381"/>
      <c r="I214" s="381"/>
      <c r="J214" s="381"/>
      <c r="K214" s="381"/>
      <c r="L214" s="381"/>
      <c r="M214" s="493"/>
      <c r="N214" s="381"/>
      <c r="O214" s="493"/>
      <c r="P214" s="381"/>
      <c r="Q214" s="493"/>
      <c r="R214" s="381"/>
      <c r="S214" s="489"/>
      <c r="T214" s="381"/>
      <c r="U214" s="379"/>
      <c r="V214" s="435"/>
      <c r="W214" s="6"/>
    </row>
    <row r="215" spans="1:24" ht="15.6">
      <c r="A215" s="444"/>
      <c r="B215" s="440" t="s">
        <v>86</v>
      </c>
      <c r="C215" s="381"/>
      <c r="D215" s="381"/>
      <c r="E215" s="381"/>
      <c r="F215" s="381"/>
      <c r="G215" s="381"/>
      <c r="H215" s="381"/>
      <c r="I215" s="381"/>
      <c r="J215" s="381"/>
      <c r="K215" s="381"/>
      <c r="L215" s="493"/>
      <c r="M215" s="493"/>
      <c r="N215" s="493"/>
      <c r="O215" s="493"/>
      <c r="P215" s="381"/>
      <c r="Q215" s="493"/>
      <c r="R215" s="381"/>
      <c r="S215" s="489">
        <f>+N200+S200+N213+S213</f>
        <v>133943</v>
      </c>
      <c r="T215" s="490"/>
      <c r="U215" s="379"/>
      <c r="V215" s="435"/>
      <c r="W215" s="6"/>
      <c r="X215" s="182"/>
    </row>
    <row r="216" spans="1:24" ht="15.6">
      <c r="A216" s="316"/>
      <c r="B216" s="360"/>
      <c r="C216" s="363"/>
      <c r="D216" s="363"/>
      <c r="E216" s="363"/>
      <c r="F216" s="363"/>
      <c r="G216" s="363"/>
      <c r="H216" s="363"/>
      <c r="I216" s="363"/>
      <c r="J216" s="363"/>
      <c r="K216" s="363"/>
      <c r="L216" s="491"/>
      <c r="M216" s="491"/>
      <c r="N216" s="491"/>
      <c r="O216" s="491"/>
      <c r="P216" s="363"/>
      <c r="Q216" s="491"/>
      <c r="R216" s="363"/>
      <c r="S216" s="361"/>
      <c r="T216" s="363"/>
      <c r="U216" s="364"/>
      <c r="V216" s="312"/>
      <c r="W216" s="6"/>
    </row>
    <row r="217" spans="1:24" ht="15.6">
      <c r="A217" s="349"/>
      <c r="B217" s="357" t="s">
        <v>87</v>
      </c>
      <c r="C217" s="526"/>
      <c r="D217" s="526"/>
      <c r="E217" s="526"/>
      <c r="F217" s="526"/>
      <c r="G217" s="526"/>
      <c r="H217" s="526"/>
      <c r="I217" s="526"/>
      <c r="J217" s="526"/>
      <c r="K217" s="526"/>
      <c r="L217" s="526"/>
      <c r="M217" s="527"/>
      <c r="N217" s="526"/>
      <c r="O217" s="527"/>
      <c r="P217" s="526"/>
      <c r="Q217" s="527"/>
      <c r="R217" s="526"/>
      <c r="S217" s="358"/>
      <c r="T217" s="526"/>
      <c r="U217" s="350"/>
      <c r="V217" s="528"/>
      <c r="W217" s="6"/>
    </row>
    <row r="218" spans="1:24" ht="15.6">
      <c r="A218" s="315"/>
      <c r="B218" s="310"/>
      <c r="C218" s="296"/>
      <c r="D218" s="296"/>
      <c r="E218" s="296"/>
      <c r="F218" s="296"/>
      <c r="G218" s="296"/>
      <c r="H218" s="296"/>
      <c r="I218" s="296"/>
      <c r="J218" s="296"/>
      <c r="K218" s="296"/>
      <c r="L218" s="296"/>
      <c r="M218" s="352"/>
      <c r="N218" s="296"/>
      <c r="O218" s="352"/>
      <c r="P218" s="296"/>
      <c r="Q218" s="352"/>
      <c r="R218" s="296"/>
      <c r="S218" s="351"/>
      <c r="T218" s="296"/>
      <c r="U218" s="294"/>
      <c r="V218" s="301"/>
      <c r="W218" s="6"/>
    </row>
    <row r="219" spans="1:24" ht="15.6">
      <c r="A219" s="444"/>
      <c r="B219" s="440" t="s">
        <v>88</v>
      </c>
      <c r="C219" s="381"/>
      <c r="D219" s="381"/>
      <c r="E219" s="381"/>
      <c r="F219" s="381"/>
      <c r="G219" s="381"/>
      <c r="H219" s="381"/>
      <c r="I219" s="381"/>
      <c r="J219" s="381"/>
      <c r="K219" s="381"/>
      <c r="L219" s="381"/>
      <c r="M219" s="493"/>
      <c r="N219" s="381"/>
      <c r="O219" s="493"/>
      <c r="P219" s="381"/>
      <c r="Q219" s="493"/>
      <c r="R219" s="381"/>
      <c r="S219" s="489">
        <f>+N198+S198+N211+S211</f>
        <v>118663</v>
      </c>
      <c r="T219" s="381"/>
      <c r="U219" s="379"/>
      <c r="V219" s="435"/>
      <c r="W219" s="6"/>
      <c r="X219" s="182"/>
    </row>
    <row r="220" spans="1:24" ht="15.6">
      <c r="A220" s="444"/>
      <c r="B220" s="440" t="s">
        <v>89</v>
      </c>
      <c r="C220" s="381"/>
      <c r="D220" s="381"/>
      <c r="E220" s="381"/>
      <c r="F220" s="381"/>
      <c r="G220" s="381"/>
      <c r="H220" s="381"/>
      <c r="I220" s="381"/>
      <c r="J220" s="381"/>
      <c r="K220" s="381"/>
      <c r="L220" s="381"/>
      <c r="M220" s="493"/>
      <c r="N220" s="381"/>
      <c r="O220" s="493"/>
      <c r="P220" s="381"/>
      <c r="Q220" s="493"/>
      <c r="R220" s="381"/>
      <c r="S220" s="489">
        <f>+U78</f>
        <v>0</v>
      </c>
      <c r="T220" s="381"/>
      <c r="U220" s="379"/>
      <c r="V220" s="435"/>
      <c r="W220" s="119"/>
    </row>
    <row r="221" spans="1:24" ht="15.6">
      <c r="A221" s="444"/>
      <c r="B221" s="440" t="s">
        <v>90</v>
      </c>
      <c r="C221" s="381"/>
      <c r="D221" s="381"/>
      <c r="E221" s="381"/>
      <c r="F221" s="381"/>
      <c r="G221" s="381"/>
      <c r="H221" s="381"/>
      <c r="I221" s="381"/>
      <c r="J221" s="381"/>
      <c r="K221" s="381"/>
      <c r="L221" s="381"/>
      <c r="M221" s="493"/>
      <c r="N221" s="381"/>
      <c r="O221" s="493"/>
      <c r="P221" s="381"/>
      <c r="Q221" s="493"/>
      <c r="R221" s="381"/>
      <c r="S221" s="489">
        <f>SUM(S219:S220)</f>
        <v>118663</v>
      </c>
      <c r="T221" s="381"/>
      <c r="U221" s="379"/>
      <c r="V221" s="435"/>
      <c r="W221" s="6"/>
    </row>
    <row r="222" spans="1:24" ht="15.6">
      <c r="A222" s="444"/>
      <c r="B222" s="440"/>
      <c r="C222" s="381"/>
      <c r="D222" s="381"/>
      <c r="E222" s="381"/>
      <c r="F222" s="381"/>
      <c r="G222" s="381"/>
      <c r="H222" s="381"/>
      <c r="I222" s="381"/>
      <c r="J222" s="381"/>
      <c r="K222" s="381"/>
      <c r="L222" s="381"/>
      <c r="M222" s="493"/>
      <c r="N222" s="381"/>
      <c r="O222" s="493"/>
      <c r="P222" s="381"/>
      <c r="Q222" s="493"/>
      <c r="R222" s="381"/>
      <c r="S222" s="489"/>
      <c r="T222" s="381"/>
      <c r="U222" s="379"/>
      <c r="V222" s="435"/>
      <c r="W222" s="6"/>
    </row>
    <row r="223" spans="1:24" ht="15.6">
      <c r="A223" s="444"/>
      <c r="B223" s="440" t="s">
        <v>91</v>
      </c>
      <c r="C223" s="381"/>
      <c r="D223" s="381"/>
      <c r="E223" s="381"/>
      <c r="F223" s="381"/>
      <c r="G223" s="381"/>
      <c r="H223" s="381"/>
      <c r="I223" s="381"/>
      <c r="J223" s="381"/>
      <c r="K223" s="381"/>
      <c r="L223" s="381"/>
      <c r="M223" s="493"/>
      <c r="N223" s="381"/>
      <c r="O223" s="493"/>
      <c r="P223" s="381"/>
      <c r="Q223" s="493"/>
      <c r="R223" s="381"/>
      <c r="S223" s="489">
        <f>U33</f>
        <v>118663.254</v>
      </c>
      <c r="T223" s="381"/>
      <c r="U223" s="379"/>
      <c r="V223" s="435"/>
      <c r="W223" s="6"/>
    </row>
    <row r="224" spans="1:24" ht="15.6">
      <c r="A224" s="444"/>
      <c r="B224" s="440"/>
      <c r="C224" s="381"/>
      <c r="D224" s="381"/>
      <c r="E224" s="381"/>
      <c r="F224" s="381"/>
      <c r="G224" s="381"/>
      <c r="H224" s="381"/>
      <c r="I224" s="381"/>
      <c r="J224" s="381"/>
      <c r="K224" s="381"/>
      <c r="L224" s="381"/>
      <c r="M224" s="493"/>
      <c r="N224" s="381"/>
      <c r="O224" s="493"/>
      <c r="P224" s="381"/>
      <c r="Q224" s="493"/>
      <c r="R224" s="381"/>
      <c r="S224" s="489"/>
      <c r="T224" s="381"/>
      <c r="U224" s="379"/>
      <c r="V224" s="435"/>
      <c r="W224" s="6"/>
    </row>
    <row r="225" spans="1:23" ht="15.6">
      <c r="A225" s="444"/>
      <c r="B225" s="440" t="s">
        <v>92</v>
      </c>
      <c r="C225" s="381"/>
      <c r="D225" s="381"/>
      <c r="E225" s="381"/>
      <c r="F225" s="381"/>
      <c r="G225" s="381"/>
      <c r="H225" s="381"/>
      <c r="I225" s="381"/>
      <c r="J225" s="381"/>
      <c r="K225" s="381"/>
      <c r="L225" s="381"/>
      <c r="M225" s="493"/>
      <c r="N225" s="381"/>
      <c r="O225" s="493"/>
      <c r="P225" s="381"/>
      <c r="Q225" s="493"/>
      <c r="R225" s="381"/>
      <c r="S225" s="489">
        <f>S221/S223</f>
        <v>0.9999978594890041</v>
      </c>
      <c r="T225" s="381"/>
      <c r="U225" s="379"/>
      <c r="V225" s="435"/>
      <c r="W225" s="6"/>
    </row>
    <row r="226" spans="1:23" ht="15.6">
      <c r="A226" s="444"/>
      <c r="B226" s="379"/>
      <c r="C226" s="379"/>
      <c r="D226" s="379"/>
      <c r="E226" s="379"/>
      <c r="F226" s="379"/>
      <c r="G226" s="379"/>
      <c r="H226" s="379"/>
      <c r="I226" s="379"/>
      <c r="J226" s="379"/>
      <c r="K226" s="379"/>
      <c r="L226" s="379"/>
      <c r="M226" s="380"/>
      <c r="N226" s="379"/>
      <c r="O226" s="379"/>
      <c r="P226" s="379"/>
      <c r="Q226" s="440"/>
      <c r="R226" s="497"/>
      <c r="S226" s="441"/>
      <c r="T226" s="497"/>
      <c r="U226" s="466"/>
      <c r="V226" s="410"/>
      <c r="W226" s="6"/>
    </row>
    <row r="227" spans="1:23" ht="15.6">
      <c r="A227" s="353"/>
      <c r="B227" s="494" t="s">
        <v>127</v>
      </c>
      <c r="C227" s="495"/>
      <c r="D227" s="495"/>
      <c r="E227" s="495"/>
      <c r="F227" s="495"/>
      <c r="G227" s="495"/>
      <c r="H227" s="495"/>
      <c r="I227" s="495"/>
      <c r="J227" s="495"/>
      <c r="K227" s="495"/>
      <c r="L227" s="495"/>
      <c r="M227" s="363"/>
      <c r="N227" s="364"/>
      <c r="O227" s="494"/>
      <c r="P227" s="443"/>
      <c r="Q227" s="443"/>
      <c r="R227" s="443"/>
      <c r="S227" s="496"/>
      <c r="T227" s="443"/>
      <c r="U227" s="443"/>
      <c r="V227" s="355"/>
      <c r="W227" s="6"/>
    </row>
    <row r="228" spans="1:23" ht="15.6">
      <c r="A228" s="353"/>
      <c r="B228" s="287" t="s">
        <v>128</v>
      </c>
      <c r="C228" s="354"/>
      <c r="D228" s="354"/>
      <c r="E228" s="354"/>
      <c r="F228" s="354"/>
      <c r="G228" s="354"/>
      <c r="H228" s="354"/>
      <c r="I228" s="354"/>
      <c r="J228" s="354"/>
      <c r="K228" s="354"/>
      <c r="L228" s="354"/>
      <c r="M228" s="290"/>
      <c r="N228" s="287"/>
      <c r="O228" s="287"/>
      <c r="P228" s="354"/>
      <c r="Q228" s="354"/>
      <c r="R228" s="317"/>
      <c r="S228" s="317"/>
      <c r="T228" s="317"/>
      <c r="U228" s="317"/>
      <c r="V228" s="355"/>
      <c r="W228" s="6"/>
    </row>
    <row r="229" spans="1:23" ht="15.6">
      <c r="A229" s="353"/>
      <c r="B229" s="287" t="s">
        <v>246</v>
      </c>
      <c r="C229" s="287"/>
      <c r="D229" s="287"/>
      <c r="E229" s="287"/>
      <c r="F229" s="287"/>
      <c r="G229" s="287"/>
      <c r="H229" s="287"/>
      <c r="I229" s="287"/>
      <c r="J229" s="287"/>
      <c r="K229" s="287"/>
      <c r="L229" s="287"/>
      <c r="M229" s="287"/>
      <c r="N229" s="287"/>
      <c r="O229" s="287"/>
      <c r="P229" s="287"/>
      <c r="Q229" s="287"/>
      <c r="R229" s="287"/>
      <c r="S229" s="287"/>
      <c r="T229" s="287"/>
      <c r="U229" s="287"/>
      <c r="V229" s="355"/>
      <c r="W229" s="6"/>
    </row>
    <row r="230" spans="1:23" ht="15.6">
      <c r="A230" s="353"/>
      <c r="B230" s="287" t="s">
        <v>129</v>
      </c>
      <c r="C230" s="354"/>
      <c r="D230" s="354"/>
      <c r="E230" s="354"/>
      <c r="F230" s="354"/>
      <c r="G230" s="354"/>
      <c r="H230" s="354"/>
      <c r="I230" s="354"/>
      <c r="J230" s="354"/>
      <c r="K230" s="354"/>
      <c r="L230" s="354"/>
      <c r="M230" s="290"/>
      <c r="N230" s="287"/>
      <c r="O230" s="287"/>
      <c r="P230" s="354"/>
      <c r="Q230" s="354"/>
      <c r="R230" s="317"/>
      <c r="S230" s="317"/>
      <c r="T230" s="317"/>
      <c r="U230" s="317"/>
      <c r="V230" s="355"/>
      <c r="W230" s="6"/>
    </row>
    <row r="231" spans="1:23" ht="15.6">
      <c r="A231" s="353"/>
      <c r="B231" s="287"/>
      <c r="C231" s="354"/>
      <c r="D231" s="354"/>
      <c r="E231" s="354"/>
      <c r="F231" s="354"/>
      <c r="G231" s="354"/>
      <c r="H231" s="354"/>
      <c r="I231" s="354"/>
      <c r="J231" s="354"/>
      <c r="K231" s="354"/>
      <c r="L231" s="354"/>
      <c r="M231" s="290"/>
      <c r="N231" s="287"/>
      <c r="O231" s="287"/>
      <c r="P231" s="354"/>
      <c r="Q231" s="354"/>
      <c r="R231" s="317"/>
      <c r="S231" s="317"/>
      <c r="T231" s="317"/>
      <c r="U231" s="317"/>
      <c r="V231" s="355"/>
      <c r="W231" s="6"/>
    </row>
    <row r="232" spans="1:23" ht="15.6">
      <c r="A232" s="353"/>
      <c r="B232" s="287"/>
      <c r="C232" s="354"/>
      <c r="D232" s="354"/>
      <c r="E232" s="354"/>
      <c r="F232" s="354"/>
      <c r="G232" s="354"/>
      <c r="H232" s="354"/>
      <c r="I232" s="354"/>
      <c r="J232" s="354"/>
      <c r="K232" s="354"/>
      <c r="L232" s="354"/>
      <c r="M232" s="290"/>
      <c r="N232" s="287"/>
      <c r="O232" s="287"/>
      <c r="P232" s="354"/>
      <c r="Q232" s="354"/>
      <c r="R232" s="317"/>
      <c r="S232" s="317"/>
      <c r="T232" s="317"/>
      <c r="U232" s="317"/>
      <c r="V232" s="355"/>
      <c r="W232" s="6"/>
    </row>
    <row r="233" spans="1:23" ht="16.2" thickBot="1">
      <c r="A233" s="353"/>
      <c r="B233" s="287" t="str">
        <f>+B160</f>
        <v>PPAF3 INVESTOR REPORT QUARTER ENDING MARCH 2014</v>
      </c>
      <c r="C233" s="354"/>
      <c r="D233" s="354"/>
      <c r="E233" s="354"/>
      <c r="F233" s="354"/>
      <c r="G233" s="354"/>
      <c r="H233" s="354"/>
      <c r="I233" s="354"/>
      <c r="J233" s="354"/>
      <c r="K233" s="354"/>
      <c r="L233" s="354"/>
      <c r="M233" s="290"/>
      <c r="N233" s="287"/>
      <c r="O233" s="287"/>
      <c r="P233" s="354"/>
      <c r="Q233" s="354"/>
      <c r="R233" s="317"/>
      <c r="S233" s="317"/>
      <c r="T233" s="317"/>
      <c r="U233" s="317"/>
      <c r="V233" s="356"/>
      <c r="W233" s="6"/>
    </row>
    <row r="234" spans="1:2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row>
  </sheetData>
  <hyperlinks>
    <hyperlink ref="I9" r:id="rId1"/>
    <hyperlink ref="K187"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21" man="1"/>
    <brk id="109" max="16383" man="1"/>
    <brk id="160" max="21" man="1"/>
    <brk id="239" man="1"/>
  </rowBreaks>
  <colBreaks count="1" manualBreakCount="1">
    <brk id="23" max="1048575" man="1"/>
  </colBreaks>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0099"/>
  </sheetPr>
  <dimension ref="A1:Y234"/>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38" t="s">
        <v>223</v>
      </c>
      <c r="B1" s="285" t="s">
        <v>123</v>
      </c>
      <c r="C1" s="239"/>
      <c r="D1" s="239"/>
      <c r="E1" s="239"/>
      <c r="F1" s="239"/>
      <c r="G1" s="239"/>
      <c r="H1" s="239"/>
      <c r="I1" s="239"/>
      <c r="J1" s="239"/>
      <c r="K1" s="239"/>
      <c r="L1" s="239"/>
      <c r="M1" s="240"/>
      <c r="N1" s="240"/>
      <c r="O1" s="240"/>
      <c r="P1" s="240"/>
      <c r="Q1" s="240"/>
      <c r="R1" s="240"/>
      <c r="S1" s="240"/>
      <c r="T1" s="240"/>
      <c r="U1" s="240"/>
      <c r="V1" s="241"/>
      <c r="W1" s="6"/>
    </row>
    <row r="2" spans="1:23" ht="15.6">
      <c r="A2" s="242"/>
      <c r="B2" s="243"/>
      <c r="C2" s="243"/>
      <c r="D2" s="243"/>
      <c r="E2" s="243"/>
      <c r="F2" s="243"/>
      <c r="G2" s="243"/>
      <c r="H2" s="243"/>
      <c r="I2" s="243"/>
      <c r="J2" s="243"/>
      <c r="K2" s="243"/>
      <c r="L2" s="243"/>
      <c r="M2" s="244"/>
      <c r="N2" s="244"/>
      <c r="O2" s="244"/>
      <c r="P2" s="244"/>
      <c r="Q2" s="244"/>
      <c r="R2" s="244"/>
      <c r="S2" s="244"/>
      <c r="T2" s="244"/>
      <c r="U2" s="244"/>
      <c r="V2" s="245"/>
      <c r="W2" s="6"/>
    </row>
    <row r="3" spans="1:23" ht="15.6">
      <c r="A3" s="246"/>
      <c r="B3" s="247" t="s">
        <v>125</v>
      </c>
      <c r="C3" s="244"/>
      <c r="D3" s="244"/>
      <c r="E3" s="244"/>
      <c r="F3" s="244"/>
      <c r="G3" s="244"/>
      <c r="H3" s="244"/>
      <c r="I3" s="244"/>
      <c r="J3" s="244"/>
      <c r="K3" s="244"/>
      <c r="L3" s="244"/>
      <c r="M3" s="244"/>
      <c r="N3" s="244"/>
      <c r="O3" s="244"/>
      <c r="P3" s="244"/>
      <c r="Q3" s="244"/>
      <c r="R3" s="244"/>
      <c r="S3" s="244"/>
      <c r="T3" s="244"/>
      <c r="U3" s="244"/>
      <c r="V3" s="245"/>
      <c r="W3" s="6"/>
    </row>
    <row r="4" spans="1:23" ht="15.6">
      <c r="A4" s="242"/>
      <c r="B4" s="243"/>
      <c r="C4" s="243"/>
      <c r="D4" s="243"/>
      <c r="E4" s="243"/>
      <c r="F4" s="243"/>
      <c r="G4" s="243"/>
      <c r="H4" s="243"/>
      <c r="I4" s="243"/>
      <c r="J4" s="243"/>
      <c r="K4" s="243"/>
      <c r="L4" s="243"/>
      <c r="M4" s="244"/>
      <c r="N4" s="244"/>
      <c r="O4" s="244"/>
      <c r="P4" s="244"/>
      <c r="Q4" s="244"/>
      <c r="R4" s="244"/>
      <c r="S4" s="244"/>
      <c r="T4" s="244"/>
      <c r="U4" s="244"/>
      <c r="V4" s="245"/>
      <c r="W4" s="6"/>
    </row>
    <row r="5" spans="1:23" ht="16.2">
      <c r="A5" s="242"/>
      <c r="B5" s="286" t="s">
        <v>0</v>
      </c>
      <c r="C5" s="248"/>
      <c r="D5" s="248"/>
      <c r="E5" s="248"/>
      <c r="F5" s="248"/>
      <c r="G5" s="248"/>
      <c r="H5" s="248"/>
      <c r="I5" s="248"/>
      <c r="J5" s="248"/>
      <c r="K5" s="248"/>
      <c r="L5" s="248"/>
      <c r="M5" s="244"/>
      <c r="N5" s="244"/>
      <c r="O5" s="244"/>
      <c r="P5" s="244"/>
      <c r="Q5" s="244"/>
      <c r="R5" s="244"/>
      <c r="S5" s="244"/>
      <c r="T5" s="244"/>
      <c r="U5" s="244"/>
      <c r="V5" s="245"/>
      <c r="W5" s="6"/>
    </row>
    <row r="6" spans="1:23" ht="16.2">
      <c r="A6" s="242"/>
      <c r="B6" s="286" t="s">
        <v>1</v>
      </c>
      <c r="C6" s="248"/>
      <c r="D6" s="248"/>
      <c r="E6" s="248"/>
      <c r="F6" s="248"/>
      <c r="G6" s="248"/>
      <c r="H6" s="248"/>
      <c r="I6" s="248"/>
      <c r="J6" s="248"/>
      <c r="K6" s="248"/>
      <c r="L6" s="248"/>
      <c r="M6" s="244"/>
      <c r="N6" s="244"/>
      <c r="O6" s="244"/>
      <c r="P6" s="244"/>
      <c r="Q6" s="244"/>
      <c r="R6" s="244"/>
      <c r="S6" s="244"/>
      <c r="T6" s="244"/>
      <c r="U6" s="244"/>
      <c r="V6" s="245"/>
      <c r="W6" s="6"/>
    </row>
    <row r="7" spans="1:23" ht="16.2">
      <c r="A7" s="242"/>
      <c r="B7" s="286" t="s">
        <v>2</v>
      </c>
      <c r="C7" s="248"/>
      <c r="D7" s="248"/>
      <c r="E7" s="248"/>
      <c r="F7" s="248"/>
      <c r="G7" s="248"/>
      <c r="H7" s="248"/>
      <c r="I7" s="248"/>
      <c r="J7" s="248"/>
      <c r="K7" s="248"/>
      <c r="L7" s="248"/>
      <c r="M7" s="244"/>
      <c r="N7" s="244"/>
      <c r="O7" s="244"/>
      <c r="P7" s="244"/>
      <c r="Q7" s="244"/>
      <c r="R7" s="244"/>
      <c r="S7" s="244"/>
      <c r="T7" s="244"/>
      <c r="U7" s="244"/>
      <c r="V7" s="245"/>
      <c r="W7" s="6"/>
    </row>
    <row r="8" spans="1:23" ht="16.2">
      <c r="A8" s="242"/>
      <c r="B8" s="249"/>
      <c r="C8" s="248"/>
      <c r="D8" s="248"/>
      <c r="E8" s="248"/>
      <c r="F8" s="248"/>
      <c r="G8" s="248"/>
      <c r="H8" s="248"/>
      <c r="I8" s="248"/>
      <c r="J8" s="248"/>
      <c r="K8" s="248"/>
      <c r="L8" s="248"/>
      <c r="M8" s="244"/>
      <c r="N8" s="244"/>
      <c r="O8" s="244"/>
      <c r="P8" s="244"/>
      <c r="Q8" s="244"/>
      <c r="R8" s="244"/>
      <c r="S8" s="244"/>
      <c r="T8" s="244"/>
      <c r="U8" s="244"/>
      <c r="V8" s="245"/>
      <c r="W8" s="6"/>
    </row>
    <row r="9" spans="1:23" ht="18">
      <c r="A9" s="242"/>
      <c r="B9" s="250" t="s">
        <v>194</v>
      </c>
      <c r="C9" s="248"/>
      <c r="D9" s="248"/>
      <c r="E9" s="248"/>
      <c r="F9" s="248"/>
      <c r="G9" s="248"/>
      <c r="H9" s="248"/>
      <c r="I9" s="251" t="s">
        <v>195</v>
      </c>
      <c r="J9" s="248"/>
      <c r="K9" s="248"/>
      <c r="L9" s="248"/>
      <c r="M9" s="244"/>
      <c r="N9" s="244"/>
      <c r="O9" s="244"/>
      <c r="P9" s="244"/>
      <c r="Q9" s="244"/>
      <c r="R9" s="244"/>
      <c r="S9" s="244"/>
      <c r="T9" s="244"/>
      <c r="U9" s="244"/>
      <c r="V9" s="245"/>
      <c r="W9" s="6"/>
    </row>
    <row r="10" spans="1:23" ht="16.2">
      <c r="A10" s="242"/>
      <c r="B10" s="248"/>
      <c r="C10" s="248"/>
      <c r="D10" s="248"/>
      <c r="E10" s="248"/>
      <c r="F10" s="248"/>
      <c r="G10" s="248"/>
      <c r="H10" s="248"/>
      <c r="I10" s="248"/>
      <c r="J10" s="248"/>
      <c r="K10" s="248"/>
      <c r="L10" s="248"/>
      <c r="M10" s="252"/>
      <c r="N10" s="252"/>
      <c r="O10" s="244"/>
      <c r="P10" s="244"/>
      <c r="Q10" s="244"/>
      <c r="R10" s="244"/>
      <c r="S10" s="244"/>
      <c r="T10" s="244"/>
      <c r="U10" s="244"/>
      <c r="V10" s="245"/>
      <c r="W10" s="6"/>
    </row>
    <row r="11" spans="1:23" ht="15.6">
      <c r="A11" s="242"/>
      <c r="B11" s="287" t="s">
        <v>3</v>
      </c>
      <c r="C11" s="252"/>
      <c r="D11" s="252"/>
      <c r="E11" s="252"/>
      <c r="F11" s="252"/>
      <c r="G11" s="252"/>
      <c r="H11" s="252"/>
      <c r="I11" s="252"/>
      <c r="J11" s="252"/>
      <c r="K11" s="252"/>
      <c r="L11" s="252"/>
      <c r="M11" s="244"/>
      <c r="N11" s="244"/>
      <c r="O11" s="244"/>
      <c r="P11" s="244"/>
      <c r="Q11" s="244"/>
      <c r="R11" s="244"/>
      <c r="S11" s="244"/>
      <c r="T11" s="244"/>
      <c r="U11" s="244"/>
      <c r="V11" s="245"/>
      <c r="W11" s="6"/>
    </row>
    <row r="12" spans="1:23" ht="16.2" thickBot="1">
      <c r="A12" s="242"/>
      <c r="B12" s="252"/>
      <c r="C12" s="252"/>
      <c r="D12" s="252"/>
      <c r="E12" s="252"/>
      <c r="F12" s="252"/>
      <c r="G12" s="252"/>
      <c r="H12" s="252"/>
      <c r="I12" s="252"/>
      <c r="J12" s="252"/>
      <c r="K12" s="252"/>
      <c r="L12" s="252"/>
      <c r="M12" s="244"/>
      <c r="N12" s="244"/>
      <c r="O12" s="244"/>
      <c r="P12" s="244"/>
      <c r="Q12" s="244"/>
      <c r="R12" s="244"/>
      <c r="S12" s="244"/>
      <c r="T12" s="244"/>
      <c r="U12" s="244"/>
      <c r="V12" s="245"/>
      <c r="W12" s="6"/>
    </row>
    <row r="13" spans="1:23" ht="15.6">
      <c r="A13" s="238"/>
      <c r="B13" s="240"/>
      <c r="C13" s="240"/>
      <c r="D13" s="240"/>
      <c r="E13" s="240"/>
      <c r="F13" s="240"/>
      <c r="G13" s="240"/>
      <c r="H13" s="240"/>
      <c r="I13" s="240"/>
      <c r="J13" s="240"/>
      <c r="K13" s="240"/>
      <c r="L13" s="240"/>
      <c r="M13" s="240"/>
      <c r="N13" s="240"/>
      <c r="O13" s="240"/>
      <c r="P13" s="240"/>
      <c r="Q13" s="240"/>
      <c r="R13" s="240"/>
      <c r="S13" s="240"/>
      <c r="T13" s="240"/>
      <c r="U13" s="240"/>
      <c r="V13" s="241"/>
      <c r="W13" s="6"/>
    </row>
    <row r="14" spans="1:23" ht="15.6">
      <c r="A14" s="242"/>
      <c r="B14" s="287" t="s">
        <v>4</v>
      </c>
      <c r="C14" s="253"/>
      <c r="D14" s="253"/>
      <c r="E14" s="253"/>
      <c r="F14" s="253"/>
      <c r="G14" s="253"/>
      <c r="H14" s="253"/>
      <c r="I14" s="253"/>
      <c r="J14" s="253"/>
      <c r="K14" s="253"/>
      <c r="L14" s="253"/>
      <c r="M14" s="288"/>
      <c r="N14" s="288"/>
      <c r="O14" s="288"/>
      <c r="P14" s="288"/>
      <c r="Q14" s="288"/>
      <c r="R14" s="288"/>
      <c r="S14" s="288"/>
      <c r="T14" s="288"/>
      <c r="U14" s="289" t="s">
        <v>126</v>
      </c>
      <c r="V14" s="245"/>
      <c r="W14" s="6"/>
    </row>
    <row r="15" spans="1:23" ht="15.6">
      <c r="A15" s="242"/>
      <c r="B15" s="287" t="s">
        <v>5</v>
      </c>
      <c r="C15" s="253"/>
      <c r="D15" s="253"/>
      <c r="E15" s="253"/>
      <c r="F15" s="253"/>
      <c r="G15" s="253"/>
      <c r="H15" s="253"/>
      <c r="I15" s="253"/>
      <c r="J15" s="253"/>
      <c r="K15" s="253"/>
      <c r="L15" s="253"/>
      <c r="M15" s="290" t="s">
        <v>93</v>
      </c>
      <c r="N15" s="291">
        <v>0.1492</v>
      </c>
      <c r="O15" s="290" t="s">
        <v>99</v>
      </c>
      <c r="P15" s="291">
        <v>5.4399999999999997E-2</v>
      </c>
      <c r="Q15" s="290" t="s">
        <v>102</v>
      </c>
      <c r="R15" s="291">
        <v>0.48899999999999999</v>
      </c>
      <c r="S15" s="290" t="s">
        <v>108</v>
      </c>
      <c r="T15" s="291">
        <v>0.30740000000000001</v>
      </c>
      <c r="U15" s="289"/>
      <c r="V15" s="254"/>
      <c r="W15" s="6"/>
    </row>
    <row r="16" spans="1:23" ht="15.6">
      <c r="A16" s="242"/>
      <c r="B16" s="287" t="s">
        <v>6</v>
      </c>
      <c r="C16" s="253"/>
      <c r="D16" s="253"/>
      <c r="E16" s="253"/>
      <c r="F16" s="253"/>
      <c r="G16" s="253"/>
      <c r="H16" s="253"/>
      <c r="I16" s="253"/>
      <c r="J16" s="253"/>
      <c r="K16" s="253"/>
      <c r="L16" s="253"/>
      <c r="M16" s="290" t="s">
        <v>93</v>
      </c>
      <c r="N16" s="291">
        <f>+N198/S221</f>
        <v>1.2612152086161005E-2</v>
      </c>
      <c r="O16" s="290" t="s">
        <v>99</v>
      </c>
      <c r="P16" s="291">
        <f>+S198/S221</f>
        <v>2.0976185859582944E-3</v>
      </c>
      <c r="Q16" s="290" t="s">
        <v>102</v>
      </c>
      <c r="R16" s="291">
        <f>+N211/S221</f>
        <v>0.97958787964252347</v>
      </c>
      <c r="S16" s="290" t="s">
        <v>108</v>
      </c>
      <c r="T16" s="291">
        <f>+S211/S221</f>
        <v>5.7023496853572117E-3</v>
      </c>
      <c r="U16" s="289"/>
      <c r="V16" s="254"/>
      <c r="W16" s="6"/>
    </row>
    <row r="17" spans="1:23" ht="15.6">
      <c r="A17" s="242"/>
      <c r="B17" s="287" t="s">
        <v>7</v>
      </c>
      <c r="C17" s="253"/>
      <c r="D17" s="253"/>
      <c r="E17" s="253"/>
      <c r="F17" s="253"/>
      <c r="G17" s="253"/>
      <c r="H17" s="253"/>
      <c r="I17" s="253"/>
      <c r="J17" s="253"/>
      <c r="K17" s="253"/>
      <c r="L17" s="253"/>
      <c r="M17" s="288"/>
      <c r="N17" s="288"/>
      <c r="O17" s="288"/>
      <c r="P17" s="288"/>
      <c r="Q17" s="288"/>
      <c r="R17" s="288"/>
      <c r="S17" s="288"/>
      <c r="T17" s="288"/>
      <c r="U17" s="292">
        <v>38491</v>
      </c>
      <c r="V17" s="245"/>
      <c r="W17" s="6"/>
    </row>
    <row r="18" spans="1:23" ht="15.6">
      <c r="A18" s="242"/>
      <c r="B18" s="287" t="s">
        <v>8</v>
      </c>
      <c r="C18" s="253"/>
      <c r="D18" s="253"/>
      <c r="E18" s="253"/>
      <c r="F18" s="253"/>
      <c r="G18" s="253"/>
      <c r="H18" s="253"/>
      <c r="I18" s="253"/>
      <c r="J18" s="253"/>
      <c r="K18" s="253"/>
      <c r="L18" s="253"/>
      <c r="M18" s="288"/>
      <c r="N18" s="288"/>
      <c r="O18" s="288"/>
      <c r="P18" s="288"/>
      <c r="Q18" s="288"/>
      <c r="R18" s="288"/>
      <c r="S18" s="288"/>
      <c r="T18" s="288"/>
      <c r="U18" s="292">
        <v>41842</v>
      </c>
      <c r="V18" s="245"/>
      <c r="W18" s="6"/>
    </row>
    <row r="19" spans="1:23" ht="15.6">
      <c r="A19" s="242"/>
      <c r="B19" s="288"/>
      <c r="C19" s="244"/>
      <c r="D19" s="244"/>
      <c r="E19" s="244"/>
      <c r="F19" s="244"/>
      <c r="G19" s="244"/>
      <c r="H19" s="244"/>
      <c r="I19" s="244"/>
      <c r="J19" s="244"/>
      <c r="K19" s="244"/>
      <c r="L19" s="244"/>
      <c r="M19" s="244"/>
      <c r="N19" s="244"/>
      <c r="O19" s="244"/>
      <c r="P19" s="244"/>
      <c r="Q19" s="244"/>
      <c r="R19" s="244"/>
      <c r="S19" s="244"/>
      <c r="T19" s="244"/>
      <c r="U19" s="255"/>
      <c r="V19" s="245"/>
      <c r="W19" s="6"/>
    </row>
    <row r="20" spans="1:23" ht="15.6">
      <c r="A20" s="242"/>
      <c r="B20" s="293" t="s">
        <v>9</v>
      </c>
      <c r="C20" s="244"/>
      <c r="D20" s="244"/>
      <c r="E20" s="244"/>
      <c r="F20" s="244"/>
      <c r="G20" s="244"/>
      <c r="H20" s="244"/>
      <c r="I20" s="244"/>
      <c r="J20" s="244"/>
      <c r="K20" s="244"/>
      <c r="L20" s="244"/>
      <c r="M20" s="244"/>
      <c r="N20" s="244"/>
      <c r="O20" s="244"/>
      <c r="P20" s="244"/>
      <c r="Q20" s="244"/>
      <c r="R20" s="244"/>
      <c r="S20" s="255"/>
      <c r="T20" s="244"/>
      <c r="U20" s="249"/>
      <c r="V20" s="245"/>
      <c r="W20" s="6"/>
    </row>
    <row r="21" spans="1:23" ht="15.6">
      <c r="A21" s="242"/>
      <c r="B21" s="244"/>
      <c r="C21" s="244"/>
      <c r="D21" s="244"/>
      <c r="E21" s="244"/>
      <c r="F21" s="244"/>
      <c r="G21" s="244"/>
      <c r="H21" s="244"/>
      <c r="I21" s="244"/>
      <c r="J21" s="244"/>
      <c r="K21" s="244"/>
      <c r="L21" s="244"/>
      <c r="M21" s="244"/>
      <c r="N21" s="244"/>
      <c r="O21" s="244"/>
      <c r="P21" s="244"/>
      <c r="Q21" s="244"/>
      <c r="R21" s="244"/>
      <c r="S21" s="244"/>
      <c r="T21" s="244"/>
      <c r="U21" s="256"/>
      <c r="V21" s="245"/>
      <c r="W21" s="6"/>
    </row>
    <row r="22" spans="1:23" ht="15.6">
      <c r="A22" s="230"/>
      <c r="B22" s="231"/>
      <c r="C22" s="232" t="s">
        <v>130</v>
      </c>
      <c r="D22" s="232"/>
      <c r="E22" s="232" t="s">
        <v>131</v>
      </c>
      <c r="F22" s="232"/>
      <c r="G22" s="232" t="s">
        <v>132</v>
      </c>
      <c r="H22" s="232"/>
      <c r="I22" s="232" t="s">
        <v>133</v>
      </c>
      <c r="J22" s="232"/>
      <c r="K22" s="232" t="s">
        <v>134</v>
      </c>
      <c r="L22" s="232"/>
      <c r="M22" s="233" t="s">
        <v>135</v>
      </c>
      <c r="N22" s="233"/>
      <c r="O22" s="233" t="s">
        <v>136</v>
      </c>
      <c r="P22" s="233"/>
      <c r="Q22" s="233" t="s">
        <v>137</v>
      </c>
      <c r="R22" s="233"/>
      <c r="S22" s="235"/>
      <c r="T22" s="236"/>
      <c r="U22" s="236"/>
      <c r="V22" s="237"/>
      <c r="W22" s="6"/>
    </row>
    <row r="23" spans="1:23" ht="15.6">
      <c r="A23" s="257"/>
      <c r="B23" s="294" t="s">
        <v>10</v>
      </c>
      <c r="C23" s="295" t="s">
        <v>96</v>
      </c>
      <c r="D23" s="295"/>
      <c r="E23" s="295" t="s">
        <v>96</v>
      </c>
      <c r="F23" s="295"/>
      <c r="G23" s="295" t="s">
        <v>138</v>
      </c>
      <c r="H23" s="295"/>
      <c r="I23" s="295" t="s">
        <v>138</v>
      </c>
      <c r="J23" s="295"/>
      <c r="K23" s="295" t="s">
        <v>104</v>
      </c>
      <c r="L23" s="296"/>
      <c r="M23" s="297" t="s">
        <v>104</v>
      </c>
      <c r="N23" s="297"/>
      <c r="O23" s="297" t="s">
        <v>109</v>
      </c>
      <c r="P23" s="297"/>
      <c r="Q23" s="297" t="s">
        <v>109</v>
      </c>
      <c r="R23" s="258"/>
      <c r="S23" s="258"/>
      <c r="T23" s="259"/>
      <c r="U23" s="259"/>
      <c r="V23" s="260"/>
      <c r="W23" s="6"/>
    </row>
    <row r="24" spans="1:23" ht="15.6">
      <c r="A24" s="378"/>
      <c r="B24" s="379" t="s">
        <v>11</v>
      </c>
      <c r="C24" s="380" t="s">
        <v>97</v>
      </c>
      <c r="D24" s="380"/>
      <c r="E24" s="380" t="s">
        <v>97</v>
      </c>
      <c r="F24" s="380"/>
      <c r="G24" s="380" t="s">
        <v>139</v>
      </c>
      <c r="H24" s="380"/>
      <c r="I24" s="380" t="s">
        <v>139</v>
      </c>
      <c r="J24" s="380"/>
      <c r="K24" s="380" t="s">
        <v>105</v>
      </c>
      <c r="L24" s="381"/>
      <c r="M24" s="382" t="s">
        <v>105</v>
      </c>
      <c r="N24" s="382"/>
      <c r="O24" s="382" t="s">
        <v>110</v>
      </c>
      <c r="P24" s="382"/>
      <c r="Q24" s="382" t="s">
        <v>110</v>
      </c>
      <c r="R24" s="383"/>
      <c r="S24" s="383"/>
      <c r="T24" s="384"/>
      <c r="U24" s="384"/>
      <c r="V24" s="385"/>
      <c r="W24" s="6"/>
    </row>
    <row r="25" spans="1:23" ht="15.6">
      <c r="A25" s="378"/>
      <c r="B25" s="386" t="s">
        <v>12</v>
      </c>
      <c r="C25" s="381" t="s">
        <v>284</v>
      </c>
      <c r="D25" s="381"/>
      <c r="E25" s="381" t="s">
        <v>284</v>
      </c>
      <c r="F25" s="381"/>
      <c r="G25" s="381" t="s">
        <v>284</v>
      </c>
      <c r="H25" s="381"/>
      <c r="I25" s="381" t="s">
        <v>284</v>
      </c>
      <c r="J25" s="386"/>
      <c r="K25" s="381" t="s">
        <v>138</v>
      </c>
      <c r="L25" s="386"/>
      <c r="M25" s="387" t="s">
        <v>138</v>
      </c>
      <c r="N25" s="382"/>
      <c r="O25" s="387" t="s">
        <v>288</v>
      </c>
      <c r="P25" s="382"/>
      <c r="Q25" s="387" t="s">
        <v>288</v>
      </c>
      <c r="R25" s="388"/>
      <c r="S25" s="388"/>
      <c r="T25" s="389"/>
      <c r="U25" s="384"/>
      <c r="V25" s="385"/>
      <c r="W25" s="6"/>
    </row>
    <row r="26" spans="1:23" ht="15.6">
      <c r="A26" s="378"/>
      <c r="B26" s="386" t="s">
        <v>13</v>
      </c>
      <c r="C26" s="381" t="s">
        <v>139</v>
      </c>
      <c r="D26" s="381"/>
      <c r="E26" s="381" t="s">
        <v>139</v>
      </c>
      <c r="F26" s="381"/>
      <c r="G26" s="381" t="s">
        <v>139</v>
      </c>
      <c r="H26" s="381"/>
      <c r="I26" s="381" t="s">
        <v>139</v>
      </c>
      <c r="J26" s="386"/>
      <c r="K26" s="381" t="s">
        <v>280</v>
      </c>
      <c r="L26" s="386"/>
      <c r="M26" s="387" t="s">
        <v>280</v>
      </c>
      <c r="N26" s="382"/>
      <c r="O26" s="387" t="s">
        <v>110</v>
      </c>
      <c r="P26" s="382"/>
      <c r="Q26" s="387" t="s">
        <v>110</v>
      </c>
      <c r="R26" s="388"/>
      <c r="S26" s="388"/>
      <c r="T26" s="389"/>
      <c r="U26" s="384"/>
      <c r="V26" s="385"/>
      <c r="W26" s="6"/>
    </row>
    <row r="27" spans="1:23" ht="15.6">
      <c r="A27" s="378"/>
      <c r="B27" s="379" t="s">
        <v>14</v>
      </c>
      <c r="C27" s="380" t="s">
        <v>140</v>
      </c>
      <c r="D27" s="379"/>
      <c r="E27" s="380" t="s">
        <v>141</v>
      </c>
      <c r="F27" s="379"/>
      <c r="G27" s="380" t="s">
        <v>142</v>
      </c>
      <c r="H27" s="379"/>
      <c r="I27" s="380" t="s">
        <v>258</v>
      </c>
      <c r="J27" s="379"/>
      <c r="K27" s="380" t="s">
        <v>143</v>
      </c>
      <c r="L27" s="379"/>
      <c r="M27" s="379" t="s">
        <v>144</v>
      </c>
      <c r="N27" s="382"/>
      <c r="O27" s="379" t="s">
        <v>145</v>
      </c>
      <c r="P27" s="382"/>
      <c r="Q27" s="379" t="s">
        <v>146</v>
      </c>
      <c r="R27" s="383"/>
      <c r="S27" s="390"/>
      <c r="T27" s="384"/>
      <c r="U27" s="384"/>
      <c r="V27" s="385"/>
      <c r="W27" s="6"/>
    </row>
    <row r="28" spans="1:23" ht="15.6">
      <c r="A28" s="378"/>
      <c r="B28" s="379" t="s">
        <v>147</v>
      </c>
      <c r="C28" s="391">
        <v>146000</v>
      </c>
      <c r="D28" s="380"/>
      <c r="E28" s="392">
        <v>259500</v>
      </c>
      <c r="F28" s="380"/>
      <c r="G28" s="391">
        <v>16000</v>
      </c>
      <c r="H28" s="380"/>
      <c r="I28" s="392">
        <v>35500</v>
      </c>
      <c r="J28" s="379"/>
      <c r="K28" s="391">
        <v>18000</v>
      </c>
      <c r="L28" s="379"/>
      <c r="M28" s="392">
        <v>33000</v>
      </c>
      <c r="N28" s="393"/>
      <c r="O28" s="394">
        <v>24500</v>
      </c>
      <c r="P28" s="394"/>
      <c r="Q28" s="392">
        <v>30000</v>
      </c>
      <c r="R28" s="395"/>
      <c r="S28" s="395"/>
      <c r="T28" s="396"/>
      <c r="U28" s="395"/>
      <c r="V28" s="397"/>
      <c r="W28" s="6"/>
    </row>
    <row r="29" spans="1:23" ht="15.6">
      <c r="A29" s="378"/>
      <c r="B29" s="379" t="s">
        <v>15</v>
      </c>
      <c r="C29" s="391">
        <f>C28*C35</f>
        <v>23514.497200000002</v>
      </c>
      <c r="D29" s="398"/>
      <c r="E29" s="392">
        <f>E28*E35</f>
        <v>41794.602900000005</v>
      </c>
      <c r="F29" s="398"/>
      <c r="G29" s="391">
        <f>G28*G35</f>
        <v>8441.9552000000003</v>
      </c>
      <c r="H29" s="398"/>
      <c r="I29" s="392">
        <f>I28*I35</f>
        <v>18730.588100000001</v>
      </c>
      <c r="J29" s="399"/>
      <c r="K29" s="391">
        <f>K28*K35</f>
        <v>9497.1995999999999</v>
      </c>
      <c r="L29" s="399"/>
      <c r="M29" s="392">
        <f>M28*M35</f>
        <v>17411.532600000002</v>
      </c>
      <c r="N29" s="393"/>
      <c r="O29" s="391">
        <f>O28*O35</f>
        <v>12926.743900000001</v>
      </c>
      <c r="P29" s="394"/>
      <c r="Q29" s="392">
        <f>Q28*Q35</f>
        <v>15828.666000000001</v>
      </c>
      <c r="R29" s="400"/>
      <c r="S29" s="395"/>
      <c r="T29" s="396"/>
      <c r="U29" s="395"/>
      <c r="V29" s="397"/>
      <c r="W29" s="6"/>
    </row>
    <row r="30" spans="1:23" ht="15.6">
      <c r="A30" s="401"/>
      <c r="B30" s="386" t="s">
        <v>148</v>
      </c>
      <c r="C30" s="415">
        <f>C34*C28</f>
        <v>22483.824799999999</v>
      </c>
      <c r="D30" s="505"/>
      <c r="E30" s="406">
        <f>E34*E28</f>
        <v>39962.688600000001</v>
      </c>
      <c r="F30" s="505"/>
      <c r="G30" s="415">
        <f>G34*G28</f>
        <v>8071.9999999999991</v>
      </c>
      <c r="H30" s="505"/>
      <c r="I30" s="406">
        <f>I34*I28</f>
        <v>17909.749999999996</v>
      </c>
      <c r="J30" s="506"/>
      <c r="K30" s="415">
        <f>K34*K28</f>
        <v>9080.9999999999982</v>
      </c>
      <c r="L30" s="399"/>
      <c r="M30" s="406">
        <f>M34*M28</f>
        <v>16648.5</v>
      </c>
      <c r="N30" s="407"/>
      <c r="O30" s="415">
        <f>O34*O28</f>
        <v>12360.249999999998</v>
      </c>
      <c r="P30" s="408"/>
      <c r="Q30" s="406">
        <f>Q34*Q28</f>
        <v>15134.999999999998</v>
      </c>
      <c r="R30" s="408"/>
      <c r="S30" s="408"/>
      <c r="T30" s="409"/>
      <c r="U30" s="408"/>
      <c r="V30" s="410"/>
      <c r="W30" s="6"/>
    </row>
    <row r="31" spans="1:23" ht="15.6">
      <c r="A31" s="401"/>
      <c r="B31" s="379" t="s">
        <v>260</v>
      </c>
      <c r="C31" s="391">
        <v>146000</v>
      </c>
      <c r="D31" s="398"/>
      <c r="E31" s="391">
        <v>178000</v>
      </c>
      <c r="F31" s="391"/>
      <c r="G31" s="391">
        <v>16000</v>
      </c>
      <c r="H31" s="391"/>
      <c r="I31" s="391">
        <v>24500</v>
      </c>
      <c r="J31" s="412"/>
      <c r="K31" s="391">
        <v>18000</v>
      </c>
      <c r="L31" s="412"/>
      <c r="M31" s="391">
        <v>22500</v>
      </c>
      <c r="N31" s="414"/>
      <c r="O31" s="391">
        <v>24500</v>
      </c>
      <c r="P31" s="415"/>
      <c r="Q31" s="391">
        <v>20500</v>
      </c>
      <c r="R31" s="408"/>
      <c r="S31" s="408"/>
      <c r="T31" s="409"/>
      <c r="U31" s="394">
        <f>+Q31+O31+M31+K31+I31+G31+E31+C31</f>
        <v>450000</v>
      </c>
      <c r="V31" s="410"/>
      <c r="W31" s="6"/>
    </row>
    <row r="32" spans="1:23" ht="15.6">
      <c r="A32" s="401"/>
      <c r="B32" s="379" t="s">
        <v>261</v>
      </c>
      <c r="C32" s="391">
        <f>C28*C35</f>
        <v>23514.497200000002</v>
      </c>
      <c r="D32" s="398"/>
      <c r="E32" s="391">
        <f>E31*E35</f>
        <v>28668.359600000003</v>
      </c>
      <c r="F32" s="391"/>
      <c r="G32" s="391">
        <f>G28*G35</f>
        <v>8441.9552000000003</v>
      </c>
      <c r="H32" s="391"/>
      <c r="I32" s="391">
        <f>I31*I35</f>
        <v>12926.743900000001</v>
      </c>
      <c r="J32" s="412"/>
      <c r="K32" s="391">
        <f>K28*K35</f>
        <v>9497.1995999999999</v>
      </c>
      <c r="L32" s="412"/>
      <c r="M32" s="391">
        <f>M31*M35</f>
        <v>11871.499500000002</v>
      </c>
      <c r="N32" s="414"/>
      <c r="O32" s="391">
        <f>O28*O35</f>
        <v>12926.743900000001</v>
      </c>
      <c r="P32" s="415"/>
      <c r="Q32" s="391">
        <f>Q31*Q35</f>
        <v>10816.2551</v>
      </c>
      <c r="R32" s="391"/>
      <c r="S32" s="408"/>
      <c r="T32" s="409"/>
      <c r="U32" s="394">
        <f>+Q32+O32+M32+K32+I32+G32+E32+C32</f>
        <v>118663.254</v>
      </c>
      <c r="V32" s="410"/>
      <c r="W32" s="6"/>
    </row>
    <row r="33" spans="1:23" ht="15.6">
      <c r="A33" s="401"/>
      <c r="B33" s="386" t="s">
        <v>262</v>
      </c>
      <c r="C33" s="415">
        <f>C34*C28</f>
        <v>22483.824799999999</v>
      </c>
      <c r="D33" s="415"/>
      <c r="E33" s="415">
        <f>E34*E31</f>
        <v>27411.786399999997</v>
      </c>
      <c r="F33" s="415"/>
      <c r="G33" s="415">
        <f>G34*G28</f>
        <v>8071.9999999999991</v>
      </c>
      <c r="H33" s="415"/>
      <c r="I33" s="415">
        <f>I34*I31</f>
        <v>12360.249999999998</v>
      </c>
      <c r="J33" s="414"/>
      <c r="K33" s="415">
        <f>K34*K28</f>
        <v>9080.9999999999982</v>
      </c>
      <c r="L33" s="414"/>
      <c r="M33" s="415">
        <f>M34*M31</f>
        <v>11351.249999999998</v>
      </c>
      <c r="N33" s="414"/>
      <c r="O33" s="415">
        <f>O34*O28</f>
        <v>12360.249999999998</v>
      </c>
      <c r="P33" s="415"/>
      <c r="Q33" s="415">
        <f>Q34*Q31</f>
        <v>10342.249999999998</v>
      </c>
      <c r="R33" s="408"/>
      <c r="S33" s="408"/>
      <c r="T33" s="409"/>
      <c r="U33" s="408">
        <f>+Q33+O33+M33+K33+I33+G33+E33+C33-1</f>
        <v>113461.61119999998</v>
      </c>
      <c r="V33" s="410"/>
      <c r="W33" s="6"/>
    </row>
    <row r="34" spans="1:23" ht="15.6">
      <c r="A34" s="401"/>
      <c r="B34" s="468" t="s">
        <v>149</v>
      </c>
      <c r="C34" s="507">
        <v>0.15399879999999999</v>
      </c>
      <c r="D34" s="507"/>
      <c r="E34" s="507">
        <v>0.15399879999999999</v>
      </c>
      <c r="F34" s="507"/>
      <c r="G34" s="507">
        <v>0.50449999999999995</v>
      </c>
      <c r="H34" s="507"/>
      <c r="I34" s="507">
        <v>0.50449999999999995</v>
      </c>
      <c r="J34" s="507"/>
      <c r="K34" s="507">
        <v>0.50449999999999995</v>
      </c>
      <c r="L34" s="507"/>
      <c r="M34" s="507">
        <v>0.50449999999999995</v>
      </c>
      <c r="N34" s="507"/>
      <c r="O34" s="507">
        <v>0.50449999999999995</v>
      </c>
      <c r="P34" s="507"/>
      <c r="Q34" s="507">
        <v>0.50449999999999995</v>
      </c>
      <c r="R34" s="508"/>
      <c r="S34" s="420"/>
      <c r="T34" s="421"/>
      <c r="U34" s="420"/>
      <c r="V34" s="385"/>
      <c r="W34" s="6"/>
    </row>
    <row r="35" spans="1:23" ht="15.6">
      <c r="A35" s="401"/>
      <c r="B35" s="468" t="s">
        <v>150</v>
      </c>
      <c r="C35" s="507">
        <v>0.16105820000000001</v>
      </c>
      <c r="D35" s="507"/>
      <c r="E35" s="507">
        <v>0.16105820000000001</v>
      </c>
      <c r="F35" s="507"/>
      <c r="G35" s="507">
        <v>0.52762220000000004</v>
      </c>
      <c r="H35" s="507"/>
      <c r="I35" s="507">
        <v>0.52762220000000004</v>
      </c>
      <c r="J35" s="507"/>
      <c r="K35" s="507">
        <v>0.52762220000000004</v>
      </c>
      <c r="L35" s="507"/>
      <c r="M35" s="507">
        <v>0.52762220000000004</v>
      </c>
      <c r="N35" s="507"/>
      <c r="O35" s="507">
        <v>0.52762220000000004</v>
      </c>
      <c r="P35" s="507"/>
      <c r="Q35" s="507">
        <v>0.52762220000000004</v>
      </c>
      <c r="R35" s="508"/>
      <c r="S35" s="420"/>
      <c r="T35" s="421"/>
      <c r="U35" s="420"/>
      <c r="V35" s="385"/>
      <c r="W35" s="6"/>
    </row>
    <row r="36" spans="1:23" ht="15.6">
      <c r="A36" s="378"/>
      <c r="B36" s="379" t="s">
        <v>153</v>
      </c>
      <c r="C36" s="380" t="s">
        <v>163</v>
      </c>
      <c r="D36" s="380"/>
      <c r="E36" s="380" t="s">
        <v>163</v>
      </c>
      <c r="F36" s="380"/>
      <c r="G36" s="380" t="s">
        <v>164</v>
      </c>
      <c r="H36" s="380"/>
      <c r="I36" s="380" t="s">
        <v>164</v>
      </c>
      <c r="J36" s="380"/>
      <c r="K36" s="380" t="s">
        <v>106</v>
      </c>
      <c r="L36" s="380"/>
      <c r="M36" s="380" t="s">
        <v>165</v>
      </c>
      <c r="N36" s="380"/>
      <c r="O36" s="380" t="s">
        <v>166</v>
      </c>
      <c r="P36" s="380"/>
      <c r="Q36" s="380" t="s">
        <v>167</v>
      </c>
      <c r="R36" s="380"/>
      <c r="S36" s="380"/>
      <c r="T36" s="379"/>
      <c r="U36" s="424"/>
      <c r="V36" s="410"/>
      <c r="W36" s="6"/>
    </row>
    <row r="37" spans="1:23" ht="15.6">
      <c r="A37" s="378"/>
      <c r="B37" s="379" t="s">
        <v>151</v>
      </c>
      <c r="C37" s="509">
        <v>9.6530999999999995E-3</v>
      </c>
      <c r="D37" s="509"/>
      <c r="E37" s="509">
        <v>7.6800000000000002E-3</v>
      </c>
      <c r="F37" s="509"/>
      <c r="G37" s="509">
        <v>1.18531E-2</v>
      </c>
      <c r="H37" s="509"/>
      <c r="I37" s="509">
        <v>9.8799999999999999E-3</v>
      </c>
      <c r="J37" s="509"/>
      <c r="K37" s="509">
        <v>1.72531E-2</v>
      </c>
      <c r="L37" s="509"/>
      <c r="M37" s="509">
        <v>1.468E-2</v>
      </c>
      <c r="N37" s="509"/>
      <c r="O37" s="509">
        <v>2.42531E-2</v>
      </c>
      <c r="P37" s="509"/>
      <c r="Q37" s="509">
        <v>2.128E-2</v>
      </c>
      <c r="R37" s="427"/>
      <c r="S37" s="509"/>
      <c r="T37" s="379"/>
      <c r="U37" s="380"/>
      <c r="V37" s="410"/>
      <c r="W37" s="6"/>
    </row>
    <row r="38" spans="1:23" ht="15.6">
      <c r="A38" s="378"/>
      <c r="B38" s="379" t="s">
        <v>152</v>
      </c>
      <c r="C38" s="509">
        <v>9.5937999999999996E-3</v>
      </c>
      <c r="D38" s="509"/>
      <c r="E38" s="509">
        <v>7.2199999999999999E-3</v>
      </c>
      <c r="F38" s="509"/>
      <c r="G38" s="509">
        <v>1.17938E-2</v>
      </c>
      <c r="H38" s="509"/>
      <c r="I38" s="509">
        <v>9.4199999999999996E-3</v>
      </c>
      <c r="J38" s="509"/>
      <c r="K38" s="509">
        <v>1.7193799999999999E-2</v>
      </c>
      <c r="L38" s="509"/>
      <c r="M38" s="509">
        <v>1.422E-2</v>
      </c>
      <c r="N38" s="509"/>
      <c r="O38" s="509">
        <v>2.4193800000000001E-2</v>
      </c>
      <c r="P38" s="509"/>
      <c r="Q38" s="509">
        <v>2.0820000000000002E-2</v>
      </c>
      <c r="R38" s="427"/>
      <c r="S38" s="509"/>
      <c r="T38" s="379"/>
      <c r="U38" s="424"/>
      <c r="V38" s="410"/>
      <c r="W38" s="6"/>
    </row>
    <row r="39" spans="1:23" ht="15.6">
      <c r="A39" s="378"/>
      <c r="B39" s="379" t="s">
        <v>263</v>
      </c>
      <c r="C39" s="380" t="s">
        <v>163</v>
      </c>
      <c r="D39" s="379"/>
      <c r="E39" s="380" t="s">
        <v>228</v>
      </c>
      <c r="F39" s="379"/>
      <c r="G39" s="380" t="s">
        <v>164</v>
      </c>
      <c r="H39" s="379"/>
      <c r="I39" s="380" t="s">
        <v>226</v>
      </c>
      <c r="J39" s="379"/>
      <c r="K39" s="380" t="s">
        <v>106</v>
      </c>
      <c r="L39" s="379"/>
      <c r="M39" s="380" t="s">
        <v>227</v>
      </c>
      <c r="N39" s="379"/>
      <c r="O39" s="380" t="s">
        <v>166</v>
      </c>
      <c r="P39" s="380"/>
      <c r="Q39" s="380" t="s">
        <v>229</v>
      </c>
      <c r="R39" s="427"/>
      <c r="S39" s="509"/>
      <c r="T39" s="379"/>
      <c r="U39" s="424"/>
      <c r="V39" s="410"/>
      <c r="W39" s="6"/>
    </row>
    <row r="40" spans="1:23" ht="15.6">
      <c r="A40" s="378"/>
      <c r="B40" s="379" t="s">
        <v>264</v>
      </c>
      <c r="C40" s="509">
        <f>+C37</f>
        <v>9.6530999999999995E-3</v>
      </c>
      <c r="D40" s="509"/>
      <c r="E40" s="509">
        <v>1.02291E-2</v>
      </c>
      <c r="F40" s="509"/>
      <c r="G40" s="509">
        <f>+G37</f>
        <v>1.18531E-2</v>
      </c>
      <c r="H40" s="509"/>
      <c r="I40" s="509">
        <v>1.2586099999999999E-2</v>
      </c>
      <c r="J40" s="509"/>
      <c r="K40" s="509">
        <f>+K37</f>
        <v>1.72531E-2</v>
      </c>
      <c r="L40" s="510"/>
      <c r="M40" s="509">
        <v>1.7813499999999999E-2</v>
      </c>
      <c r="N40" s="510"/>
      <c r="O40" s="509">
        <f>+O37</f>
        <v>2.42531E-2</v>
      </c>
      <c r="P40" s="509"/>
      <c r="Q40" s="509">
        <v>2.5079500000000001E-2</v>
      </c>
      <c r="R40" s="427"/>
      <c r="S40" s="509"/>
      <c r="T40" s="379"/>
      <c r="U40" s="427">
        <f>SUMPRODUCT(C40:Q40,C32:Q32)/U32</f>
        <v>1.4689542507490484E-2</v>
      </c>
      <c r="V40" s="410"/>
      <c r="W40" s="6"/>
    </row>
    <row r="41" spans="1:23" ht="15.6">
      <c r="A41" s="378"/>
      <c r="B41" s="379" t="s">
        <v>265</v>
      </c>
      <c r="C41" s="509">
        <f>+C38</f>
        <v>9.5937999999999996E-3</v>
      </c>
      <c r="D41" s="509"/>
      <c r="E41" s="509">
        <v>1.01698E-2</v>
      </c>
      <c r="F41" s="509"/>
      <c r="G41" s="509">
        <f>+G38</f>
        <v>1.17938E-2</v>
      </c>
      <c r="H41" s="509"/>
      <c r="I41" s="509">
        <v>1.2526799999999999E-2</v>
      </c>
      <c r="J41" s="509"/>
      <c r="K41" s="509">
        <f>+K38</f>
        <v>1.7193799999999999E-2</v>
      </c>
      <c r="L41" s="510"/>
      <c r="M41" s="509">
        <v>1.7754200000000001E-2</v>
      </c>
      <c r="N41" s="510"/>
      <c r="O41" s="509">
        <f>+O38</f>
        <v>2.4193800000000001E-2</v>
      </c>
      <c r="P41" s="509"/>
      <c r="Q41" s="509">
        <v>2.5020199999999999E-2</v>
      </c>
      <c r="R41" s="427"/>
      <c r="S41" s="509"/>
      <c r="T41" s="379"/>
      <c r="U41" s="424"/>
      <c r="V41" s="410"/>
      <c r="W41" s="6"/>
    </row>
    <row r="42" spans="1:23" ht="15.6">
      <c r="A42" s="378"/>
      <c r="B42" s="379" t="s">
        <v>17</v>
      </c>
      <c r="C42" s="429">
        <v>39918</v>
      </c>
      <c r="D42" s="429"/>
      <c r="E42" s="429">
        <v>39918</v>
      </c>
      <c r="F42" s="429"/>
      <c r="G42" s="429">
        <v>39918</v>
      </c>
      <c r="H42" s="429"/>
      <c r="I42" s="429">
        <v>39918</v>
      </c>
      <c r="J42" s="429"/>
      <c r="K42" s="429">
        <v>39918</v>
      </c>
      <c r="L42" s="429"/>
      <c r="M42" s="429">
        <v>39918</v>
      </c>
      <c r="N42" s="429"/>
      <c r="O42" s="429">
        <v>39918</v>
      </c>
      <c r="P42" s="429"/>
      <c r="Q42" s="429">
        <v>39918</v>
      </c>
      <c r="R42" s="380"/>
      <c r="S42" s="380"/>
      <c r="T42" s="379"/>
      <c r="U42" s="424"/>
      <c r="V42" s="410"/>
      <c r="W42" s="6"/>
    </row>
    <row r="43" spans="1:23" ht="15.6">
      <c r="A43" s="378"/>
      <c r="B43" s="379" t="s">
        <v>18</v>
      </c>
      <c r="C43" s="429">
        <v>40283</v>
      </c>
      <c r="D43" s="430"/>
      <c r="E43" s="429">
        <v>40283</v>
      </c>
      <c r="F43" s="430"/>
      <c r="G43" s="429">
        <v>40283</v>
      </c>
      <c r="H43" s="430"/>
      <c r="I43" s="429">
        <v>40283</v>
      </c>
      <c r="J43" s="430"/>
      <c r="K43" s="429">
        <v>40283</v>
      </c>
      <c r="L43" s="430"/>
      <c r="M43" s="429">
        <v>40283</v>
      </c>
      <c r="N43" s="430"/>
      <c r="O43" s="429">
        <v>40283</v>
      </c>
      <c r="P43" s="429"/>
      <c r="Q43" s="429">
        <v>40283</v>
      </c>
      <c r="R43" s="380"/>
      <c r="S43" s="380"/>
      <c r="T43" s="424"/>
      <c r="U43" s="424"/>
      <c r="V43" s="410"/>
      <c r="W43" s="6"/>
    </row>
    <row r="44" spans="1:23" ht="15.6">
      <c r="A44" s="378"/>
      <c r="B44" s="379" t="s">
        <v>154</v>
      </c>
      <c r="C44" s="380" t="s">
        <v>163</v>
      </c>
      <c r="D44" s="380"/>
      <c r="E44" s="380" t="s">
        <v>163</v>
      </c>
      <c r="F44" s="380"/>
      <c r="G44" s="380" t="s">
        <v>164</v>
      </c>
      <c r="H44" s="380"/>
      <c r="I44" s="380" t="s">
        <v>164</v>
      </c>
      <c r="J44" s="380"/>
      <c r="K44" s="380" t="s">
        <v>106</v>
      </c>
      <c r="L44" s="380"/>
      <c r="M44" s="380" t="s">
        <v>165</v>
      </c>
      <c r="N44" s="380"/>
      <c r="O44" s="380" t="s">
        <v>166</v>
      </c>
      <c r="P44" s="380"/>
      <c r="Q44" s="380" t="s">
        <v>167</v>
      </c>
      <c r="R44" s="380"/>
      <c r="S44" s="380"/>
      <c r="T44" s="424"/>
      <c r="U44" s="424"/>
      <c r="V44" s="410"/>
      <c r="W44" s="6"/>
    </row>
    <row r="45" spans="1:23" ht="15.6">
      <c r="A45" s="378"/>
      <c r="B45" s="379" t="s">
        <v>266</v>
      </c>
      <c r="C45" s="380" t="s">
        <v>163</v>
      </c>
      <c r="D45" s="379"/>
      <c r="E45" s="380" t="s">
        <v>228</v>
      </c>
      <c r="F45" s="379"/>
      <c r="G45" s="380" t="s">
        <v>164</v>
      </c>
      <c r="H45" s="379"/>
      <c r="I45" s="380" t="s">
        <v>226</v>
      </c>
      <c r="J45" s="379"/>
      <c r="K45" s="380" t="s">
        <v>106</v>
      </c>
      <c r="L45" s="379"/>
      <c r="M45" s="380" t="s">
        <v>227</v>
      </c>
      <c r="N45" s="379"/>
      <c r="O45" s="380" t="s">
        <v>166</v>
      </c>
      <c r="P45" s="380"/>
      <c r="Q45" s="380" t="s">
        <v>229</v>
      </c>
      <c r="R45" s="380"/>
      <c r="S45" s="380"/>
      <c r="T45" s="424"/>
      <c r="U45" s="424"/>
      <c r="V45" s="410"/>
      <c r="W45" s="6"/>
    </row>
    <row r="46" spans="1:23" ht="15.6">
      <c r="A46" s="378"/>
      <c r="B46" s="379"/>
      <c r="C46" s="379"/>
      <c r="D46" s="379"/>
      <c r="E46" s="379"/>
      <c r="F46" s="379"/>
      <c r="G46" s="379"/>
      <c r="H46" s="379"/>
      <c r="I46" s="379"/>
      <c r="J46" s="379"/>
      <c r="K46" s="379"/>
      <c r="L46" s="379"/>
      <c r="M46" s="431"/>
      <c r="N46" s="431"/>
      <c r="O46" s="379"/>
      <c r="P46" s="431"/>
      <c r="Q46" s="431"/>
      <c r="R46" s="431"/>
      <c r="S46" s="431"/>
      <c r="T46" s="431"/>
      <c r="U46" s="431"/>
      <c r="V46" s="410"/>
      <c r="W46" s="6"/>
    </row>
    <row r="47" spans="1:23" ht="15.6">
      <c r="A47" s="378"/>
      <c r="B47" s="379" t="s">
        <v>201</v>
      </c>
      <c r="C47" s="379"/>
      <c r="D47" s="379"/>
      <c r="E47" s="379"/>
      <c r="F47" s="379"/>
      <c r="G47" s="379"/>
      <c r="H47" s="379"/>
      <c r="I47" s="379"/>
      <c r="J47" s="379"/>
      <c r="K47" s="379"/>
      <c r="L47" s="379"/>
      <c r="M47" s="379"/>
      <c r="N47" s="379"/>
      <c r="O47" s="379"/>
      <c r="P47" s="379"/>
      <c r="Q47" s="379"/>
      <c r="R47" s="379"/>
      <c r="S47" s="379"/>
      <c r="T47" s="379"/>
      <c r="U47" s="427">
        <f>SUM(G31:Q31)/(C31+E31)</f>
        <v>0.3888888888888889</v>
      </c>
      <c r="V47" s="410"/>
      <c r="W47" s="6"/>
    </row>
    <row r="48" spans="1:23" ht="15.6">
      <c r="A48" s="378"/>
      <c r="B48" s="379" t="s">
        <v>202</v>
      </c>
      <c r="C48" s="379"/>
      <c r="D48" s="379"/>
      <c r="E48" s="379"/>
      <c r="F48" s="379"/>
      <c r="G48" s="379"/>
      <c r="H48" s="379"/>
      <c r="I48" s="379"/>
      <c r="J48" s="379"/>
      <c r="K48" s="379"/>
      <c r="L48" s="379"/>
      <c r="M48" s="379"/>
      <c r="N48" s="379"/>
      <c r="O48" s="379"/>
      <c r="P48" s="379"/>
      <c r="Q48" s="379"/>
      <c r="R48" s="379"/>
      <c r="S48" s="379"/>
      <c r="T48" s="379"/>
      <c r="U48" s="427">
        <f>SUM(F33:Q33)/(C33+E33)</f>
        <v>1.2739998262612724</v>
      </c>
      <c r="V48" s="410"/>
      <c r="W48" s="6"/>
    </row>
    <row r="49" spans="1:25" ht="15.6">
      <c r="A49" s="378"/>
      <c r="B49" s="379" t="s">
        <v>203</v>
      </c>
      <c r="C49" s="379"/>
      <c r="D49" s="379"/>
      <c r="E49" s="379"/>
      <c r="F49" s="379"/>
      <c r="G49" s="379"/>
      <c r="H49" s="379"/>
      <c r="I49" s="379"/>
      <c r="J49" s="379"/>
      <c r="K49" s="379"/>
      <c r="L49" s="379"/>
      <c r="M49" s="379"/>
      <c r="N49" s="379"/>
      <c r="O49" s="379"/>
      <c r="P49" s="379"/>
      <c r="Q49" s="379"/>
      <c r="R49" s="379"/>
      <c r="S49" s="380" t="s">
        <v>95</v>
      </c>
      <c r="T49" s="380" t="s">
        <v>117</v>
      </c>
      <c r="U49" s="394">
        <v>99000</v>
      </c>
      <c r="V49" s="410"/>
      <c r="W49" s="6"/>
    </row>
    <row r="50" spans="1:25" ht="15.6">
      <c r="A50" s="378"/>
      <c r="B50" s="379"/>
      <c r="C50" s="379"/>
      <c r="D50" s="379"/>
      <c r="E50" s="379"/>
      <c r="F50" s="379"/>
      <c r="G50" s="379"/>
      <c r="H50" s="379"/>
      <c r="I50" s="379"/>
      <c r="J50" s="379"/>
      <c r="K50" s="379"/>
      <c r="L50" s="379"/>
      <c r="M50" s="379"/>
      <c r="N50" s="379"/>
      <c r="O50" s="379"/>
      <c r="P50" s="379"/>
      <c r="Q50" s="379"/>
      <c r="R50" s="379"/>
      <c r="S50" s="379" t="s">
        <v>213</v>
      </c>
      <c r="T50" s="379"/>
      <c r="U50" s="432"/>
      <c r="V50" s="410"/>
      <c r="W50" s="6"/>
    </row>
    <row r="51" spans="1:25" ht="15.6">
      <c r="A51" s="378"/>
      <c r="B51" s="379" t="s">
        <v>19</v>
      </c>
      <c r="C51" s="379"/>
      <c r="D51" s="379"/>
      <c r="E51" s="379"/>
      <c r="F51" s="379"/>
      <c r="G51" s="379"/>
      <c r="H51" s="379"/>
      <c r="I51" s="379"/>
      <c r="J51" s="379"/>
      <c r="K51" s="379"/>
      <c r="L51" s="379"/>
      <c r="M51" s="379"/>
      <c r="N51" s="379"/>
      <c r="O51" s="379"/>
      <c r="P51" s="379"/>
      <c r="Q51" s="379"/>
      <c r="R51" s="379"/>
      <c r="S51" s="380"/>
      <c r="T51" s="380"/>
      <c r="U51" s="380" t="s">
        <v>118</v>
      </c>
      <c r="V51" s="410"/>
      <c r="W51" s="6"/>
    </row>
    <row r="52" spans="1:25" ht="15.6">
      <c r="A52" s="401"/>
      <c r="B52" s="386" t="s">
        <v>20</v>
      </c>
      <c r="C52" s="386"/>
      <c r="D52" s="386"/>
      <c r="E52" s="386"/>
      <c r="F52" s="386"/>
      <c r="G52" s="386"/>
      <c r="H52" s="386"/>
      <c r="I52" s="386"/>
      <c r="J52" s="386"/>
      <c r="K52" s="386"/>
      <c r="L52" s="386"/>
      <c r="M52" s="386"/>
      <c r="N52" s="386"/>
      <c r="O52" s="386"/>
      <c r="P52" s="386"/>
      <c r="Q52" s="386"/>
      <c r="R52" s="386"/>
      <c r="S52" s="433"/>
      <c r="T52" s="433"/>
      <c r="U52" s="434">
        <v>41835</v>
      </c>
      <c r="V52" s="435"/>
      <c r="W52" s="6"/>
    </row>
    <row r="53" spans="1:25" ht="15.6">
      <c r="A53" s="378"/>
      <c r="B53" s="379" t="s">
        <v>155</v>
      </c>
      <c r="C53" s="379"/>
      <c r="D53" s="379"/>
      <c r="E53" s="379"/>
      <c r="F53" s="379"/>
      <c r="G53" s="379"/>
      <c r="H53" s="379"/>
      <c r="I53" s="379"/>
      <c r="J53" s="379"/>
      <c r="K53" s="379"/>
      <c r="L53" s="379"/>
      <c r="M53" s="379"/>
      <c r="N53" s="379"/>
      <c r="O53" s="379"/>
      <c r="P53" s="379"/>
      <c r="Q53" s="424"/>
      <c r="R53" s="379">
        <f>U53-S53+1</f>
        <v>90</v>
      </c>
      <c r="S53" s="436">
        <v>41654</v>
      </c>
      <c r="T53" s="429"/>
      <c r="U53" s="436">
        <v>41743</v>
      </c>
      <c r="V53" s="410"/>
      <c r="W53" s="6"/>
    </row>
    <row r="54" spans="1:25" ht="15.6">
      <c r="A54" s="378"/>
      <c r="B54" s="379" t="s">
        <v>156</v>
      </c>
      <c r="C54" s="379"/>
      <c r="D54" s="379"/>
      <c r="E54" s="379"/>
      <c r="F54" s="379"/>
      <c r="G54" s="379"/>
      <c r="H54" s="379"/>
      <c r="I54" s="379"/>
      <c r="J54" s="379"/>
      <c r="K54" s="379"/>
      <c r="L54" s="379"/>
      <c r="M54" s="379"/>
      <c r="N54" s="379"/>
      <c r="O54" s="379"/>
      <c r="P54" s="379"/>
      <c r="Q54" s="424"/>
      <c r="R54" s="379">
        <f>U54-S54+1</f>
        <v>91</v>
      </c>
      <c r="S54" s="436">
        <v>41744</v>
      </c>
      <c r="T54" s="429"/>
      <c r="U54" s="436">
        <v>41834</v>
      </c>
      <c r="V54" s="410"/>
      <c r="W54" s="6"/>
    </row>
    <row r="55" spans="1:25" ht="15.6">
      <c r="A55" s="378"/>
      <c r="B55" s="379" t="s">
        <v>21</v>
      </c>
      <c r="C55" s="379"/>
      <c r="D55" s="379"/>
      <c r="E55" s="379"/>
      <c r="F55" s="379"/>
      <c r="G55" s="379"/>
      <c r="H55" s="379"/>
      <c r="I55" s="379"/>
      <c r="J55" s="379"/>
      <c r="K55" s="379"/>
      <c r="L55" s="379"/>
      <c r="M55" s="379"/>
      <c r="N55" s="379"/>
      <c r="O55" s="379"/>
      <c r="P55" s="379"/>
      <c r="Q55" s="379"/>
      <c r="R55" s="379"/>
      <c r="S55" s="436"/>
      <c r="T55" s="429"/>
      <c r="U55" s="436" t="s">
        <v>119</v>
      </c>
      <c r="V55" s="410"/>
      <c r="W55" s="6"/>
    </row>
    <row r="56" spans="1:25" ht="15.6">
      <c r="A56" s="378"/>
      <c r="B56" s="379" t="s">
        <v>22</v>
      </c>
      <c r="C56" s="379"/>
      <c r="D56" s="379"/>
      <c r="E56" s="379"/>
      <c r="F56" s="379"/>
      <c r="G56" s="379"/>
      <c r="H56" s="379"/>
      <c r="I56" s="379"/>
      <c r="J56" s="379"/>
      <c r="K56" s="379"/>
      <c r="L56" s="379"/>
      <c r="M56" s="379"/>
      <c r="N56" s="379"/>
      <c r="O56" s="379"/>
      <c r="P56" s="379"/>
      <c r="Q56" s="379"/>
      <c r="R56" s="379"/>
      <c r="S56" s="436"/>
      <c r="T56" s="429"/>
      <c r="U56" s="436">
        <v>41821</v>
      </c>
      <c r="V56" s="410"/>
      <c r="W56" s="6"/>
    </row>
    <row r="57" spans="1:25" ht="15.6">
      <c r="A57" s="242"/>
      <c r="B57" s="364"/>
      <c r="C57" s="364"/>
      <c r="D57" s="364"/>
      <c r="E57" s="364"/>
      <c r="F57" s="364"/>
      <c r="G57" s="364"/>
      <c r="H57" s="364"/>
      <c r="I57" s="364"/>
      <c r="J57" s="364"/>
      <c r="K57" s="364"/>
      <c r="L57" s="364"/>
      <c r="M57" s="364"/>
      <c r="N57" s="364"/>
      <c r="O57" s="364"/>
      <c r="P57" s="364"/>
      <c r="Q57" s="364"/>
      <c r="R57" s="364"/>
      <c r="S57" s="364"/>
      <c r="T57" s="364"/>
      <c r="U57" s="377"/>
      <c r="V57" s="303"/>
      <c r="W57" s="6"/>
    </row>
    <row r="58" spans="1:25" ht="15.6">
      <c r="A58" s="242"/>
      <c r="B58" s="288"/>
      <c r="C58" s="288"/>
      <c r="D58" s="288"/>
      <c r="E58" s="288"/>
      <c r="F58" s="288"/>
      <c r="G58" s="288"/>
      <c r="H58" s="288"/>
      <c r="I58" s="288"/>
      <c r="J58" s="288"/>
      <c r="K58" s="288"/>
      <c r="L58" s="288"/>
      <c r="M58" s="288"/>
      <c r="N58" s="288"/>
      <c r="O58" s="288"/>
      <c r="P58" s="288"/>
      <c r="Q58" s="288"/>
      <c r="R58" s="288"/>
      <c r="S58" s="288"/>
      <c r="T58" s="288"/>
      <c r="U58" s="302"/>
      <c r="V58" s="303"/>
      <c r="W58" s="6"/>
    </row>
    <row r="59" spans="1:25" ht="16.2" thickBot="1">
      <c r="A59" s="261"/>
      <c r="B59" s="304" t="s">
        <v>290</v>
      </c>
      <c r="C59" s="305"/>
      <c r="D59" s="305"/>
      <c r="E59" s="305"/>
      <c r="F59" s="305"/>
      <c r="G59" s="305"/>
      <c r="H59" s="305"/>
      <c r="I59" s="305"/>
      <c r="J59" s="305"/>
      <c r="K59" s="305"/>
      <c r="L59" s="305"/>
      <c r="M59" s="305"/>
      <c r="N59" s="305"/>
      <c r="O59" s="305"/>
      <c r="P59" s="305"/>
      <c r="Q59" s="305"/>
      <c r="R59" s="305"/>
      <c r="S59" s="305"/>
      <c r="T59" s="305"/>
      <c r="U59" s="306"/>
      <c r="V59" s="307"/>
      <c r="W59" s="6"/>
    </row>
    <row r="60" spans="1:25" ht="15.6">
      <c r="A60" s="230"/>
      <c r="B60" s="511" t="s">
        <v>23</v>
      </c>
      <c r="C60" s="511"/>
      <c r="D60" s="511"/>
      <c r="E60" s="511"/>
      <c r="F60" s="511"/>
      <c r="G60" s="511"/>
      <c r="H60" s="511"/>
      <c r="I60" s="511"/>
      <c r="J60" s="511"/>
      <c r="K60" s="511"/>
      <c r="L60" s="511"/>
      <c r="M60" s="231"/>
      <c r="N60" s="231"/>
      <c r="O60" s="231"/>
      <c r="P60" s="231"/>
      <c r="Q60" s="231"/>
      <c r="R60" s="231"/>
      <c r="S60" s="231"/>
      <c r="T60" s="231"/>
      <c r="U60" s="309"/>
      <c r="V60" s="237"/>
      <c r="W60" s="6"/>
    </row>
    <row r="61" spans="1:25" ht="15.6">
      <c r="A61" s="242"/>
      <c r="B61" s="252"/>
      <c r="C61" s="252"/>
      <c r="D61" s="252"/>
      <c r="E61" s="252"/>
      <c r="F61" s="252"/>
      <c r="G61" s="252"/>
      <c r="H61" s="252"/>
      <c r="I61" s="252"/>
      <c r="J61" s="252"/>
      <c r="K61" s="252"/>
      <c r="L61" s="252"/>
      <c r="M61" s="244"/>
      <c r="N61" s="244"/>
      <c r="O61" s="244"/>
      <c r="P61" s="244"/>
      <c r="Q61" s="244"/>
      <c r="R61" s="244"/>
      <c r="S61" s="244"/>
      <c r="T61" s="244"/>
      <c r="U61" s="263"/>
      <c r="V61" s="245"/>
      <c r="W61" s="6"/>
    </row>
    <row r="62" spans="1:25" s="151" customFormat="1" ht="46.8">
      <c r="A62" s="264"/>
      <c r="B62" s="512"/>
      <c r="C62" s="513"/>
      <c r="D62" s="513"/>
      <c r="E62" s="513"/>
      <c r="F62" s="513"/>
      <c r="G62" s="513"/>
      <c r="H62" s="513"/>
      <c r="I62" s="513"/>
      <c r="J62" s="513"/>
      <c r="K62" s="513" t="s">
        <v>197</v>
      </c>
      <c r="L62" s="513"/>
      <c r="M62" s="513" t="s">
        <v>98</v>
      </c>
      <c r="N62" s="513"/>
      <c r="O62" s="513" t="s">
        <v>107</v>
      </c>
      <c r="P62" s="513"/>
      <c r="Q62" s="513" t="s">
        <v>111</v>
      </c>
      <c r="R62" s="513"/>
      <c r="S62" s="513" t="s">
        <v>113</v>
      </c>
      <c r="T62" s="513"/>
      <c r="U62" s="514" t="s">
        <v>120</v>
      </c>
      <c r="V62" s="515"/>
      <c r="W62" s="150"/>
    </row>
    <row r="63" spans="1:25" ht="15.6">
      <c r="A63" s="378"/>
      <c r="B63" s="379" t="s">
        <v>24</v>
      </c>
      <c r="C63" s="440"/>
      <c r="D63" s="440"/>
      <c r="E63" s="440"/>
      <c r="F63" s="440"/>
      <c r="G63" s="440"/>
      <c r="H63" s="440"/>
      <c r="I63" s="440"/>
      <c r="J63" s="440"/>
      <c r="K63" s="440">
        <f>265+63566+3306</f>
        <v>67137</v>
      </c>
      <c r="L63" s="440"/>
      <c r="M63" s="440">
        <v>6515</v>
      </c>
      <c r="N63" s="440"/>
      <c r="O63" s="440">
        <f>109+2+30</f>
        <v>141</v>
      </c>
      <c r="P63" s="440"/>
      <c r="Q63" s="440">
        <v>0</v>
      </c>
      <c r="R63" s="440"/>
      <c r="S63" s="440">
        <v>0</v>
      </c>
      <c r="T63" s="440"/>
      <c r="U63" s="441">
        <f>+M63-O63+Q63-S63</f>
        <v>6374</v>
      </c>
      <c r="V63" s="410"/>
      <c r="W63" s="6"/>
      <c r="Y63" s="182"/>
    </row>
    <row r="64" spans="1:25" ht="15.6">
      <c r="A64" s="378"/>
      <c r="B64" s="379" t="s">
        <v>25</v>
      </c>
      <c r="C64" s="440"/>
      <c r="D64" s="440"/>
      <c r="E64" s="440"/>
      <c r="F64" s="440"/>
      <c r="G64" s="440"/>
      <c r="H64" s="440"/>
      <c r="I64" s="440"/>
      <c r="J64" s="440"/>
      <c r="K64" s="440"/>
      <c r="L64" s="440"/>
      <c r="M64" s="440"/>
      <c r="N64" s="440"/>
      <c r="O64" s="440"/>
      <c r="P64" s="440"/>
      <c r="Q64" s="440">
        <v>0</v>
      </c>
      <c r="R64" s="440"/>
      <c r="S64" s="440">
        <v>0</v>
      </c>
      <c r="T64" s="440"/>
      <c r="U64" s="441">
        <f>M64-O64</f>
        <v>0</v>
      </c>
      <c r="V64" s="410"/>
      <c r="W64" s="6"/>
    </row>
    <row r="65" spans="1:25" ht="15.6">
      <c r="A65" s="378"/>
      <c r="B65" s="379"/>
      <c r="C65" s="440"/>
      <c r="D65" s="440"/>
      <c r="E65" s="440"/>
      <c r="F65" s="440"/>
      <c r="G65" s="440"/>
      <c r="H65" s="440"/>
      <c r="I65" s="440"/>
      <c r="J65" s="440"/>
      <c r="K65" s="440"/>
      <c r="L65" s="440"/>
      <c r="M65" s="440"/>
      <c r="N65" s="440"/>
      <c r="O65" s="440"/>
      <c r="P65" s="440"/>
      <c r="Q65" s="440"/>
      <c r="R65" s="440"/>
      <c r="S65" s="440"/>
      <c r="T65" s="440"/>
      <c r="U65" s="441"/>
      <c r="V65" s="410"/>
      <c r="W65" s="6"/>
    </row>
    <row r="66" spans="1:25" ht="15.6">
      <c r="A66" s="378"/>
      <c r="B66" s="379" t="s">
        <v>26</v>
      </c>
      <c r="C66" s="440"/>
      <c r="D66" s="440"/>
      <c r="E66" s="440"/>
      <c r="F66" s="440"/>
      <c r="G66" s="440"/>
      <c r="H66" s="440"/>
      <c r="I66" s="440"/>
      <c r="J66" s="440"/>
      <c r="K66" s="440">
        <v>24470</v>
      </c>
      <c r="L66" s="440"/>
      <c r="M66" s="440">
        <v>1458</v>
      </c>
      <c r="N66" s="440"/>
      <c r="O66" s="440">
        <v>59</v>
      </c>
      <c r="P66" s="440"/>
      <c r="Q66" s="440">
        <v>0</v>
      </c>
      <c r="R66" s="440"/>
      <c r="S66" s="440">
        <f>SUM(S63:S65)</f>
        <v>0</v>
      </c>
      <c r="T66" s="440"/>
      <c r="U66" s="441">
        <f>+M66-O66+Q66-S66</f>
        <v>1399</v>
      </c>
      <c r="V66" s="410"/>
      <c r="W66" s="6"/>
      <c r="Y66" s="182"/>
    </row>
    <row r="67" spans="1:25" ht="15.6">
      <c r="A67" s="378"/>
      <c r="B67" s="379" t="s">
        <v>25</v>
      </c>
      <c r="C67" s="440"/>
      <c r="D67" s="440"/>
      <c r="E67" s="440"/>
      <c r="F67" s="440"/>
      <c r="G67" s="440"/>
      <c r="H67" s="440"/>
      <c r="I67" s="440"/>
      <c r="J67" s="440"/>
      <c r="K67" s="440"/>
      <c r="L67" s="440"/>
      <c r="M67" s="440"/>
      <c r="N67" s="440"/>
      <c r="O67" s="440"/>
      <c r="P67" s="440"/>
      <c r="Q67" s="440">
        <v>0</v>
      </c>
      <c r="R67" s="440"/>
      <c r="S67" s="440">
        <v>0</v>
      </c>
      <c r="T67" s="440"/>
      <c r="U67" s="440"/>
      <c r="V67" s="410"/>
      <c r="W67" s="6"/>
    </row>
    <row r="68" spans="1:25" ht="15.6">
      <c r="A68" s="378"/>
      <c r="B68" s="386"/>
      <c r="C68" s="440"/>
      <c r="D68" s="440"/>
      <c r="E68" s="440"/>
      <c r="F68" s="440"/>
      <c r="G68" s="440"/>
      <c r="H68" s="440"/>
      <c r="I68" s="440"/>
      <c r="J68" s="440"/>
      <c r="K68" s="440"/>
      <c r="L68" s="440"/>
      <c r="M68" s="440"/>
      <c r="N68" s="440"/>
      <c r="O68" s="442"/>
      <c r="P68" s="440"/>
      <c r="Q68" s="440"/>
      <c r="R68" s="440"/>
      <c r="S68" s="440"/>
      <c r="T68" s="440"/>
      <c r="U68" s="440"/>
      <c r="V68" s="410"/>
      <c r="W68" s="6"/>
    </row>
    <row r="69" spans="1:25" ht="15.6">
      <c r="A69" s="378"/>
      <c r="B69" s="379" t="s">
        <v>27</v>
      </c>
      <c r="C69" s="440"/>
      <c r="D69" s="440"/>
      <c r="E69" s="440"/>
      <c r="F69" s="440"/>
      <c r="G69" s="440"/>
      <c r="H69" s="440"/>
      <c r="I69" s="440"/>
      <c r="J69" s="440"/>
      <c r="K69" s="440">
        <v>220072</v>
      </c>
      <c r="L69" s="440"/>
      <c r="M69" s="440">
        <v>124755</v>
      </c>
      <c r="N69" s="440"/>
      <c r="O69" s="440">
        <f>4704+426</f>
        <v>5130</v>
      </c>
      <c r="P69" s="440"/>
      <c r="Q69" s="440">
        <v>0</v>
      </c>
      <c r="R69" s="440"/>
      <c r="S69" s="440">
        <v>0</v>
      </c>
      <c r="T69" s="440"/>
      <c r="U69" s="441">
        <f>+M69-O69+Q69-S69</f>
        <v>119625</v>
      </c>
      <c r="V69" s="410"/>
      <c r="W69" s="6"/>
      <c r="Y69" s="182"/>
    </row>
    <row r="70" spans="1:25" ht="15.6">
      <c r="A70" s="378"/>
      <c r="B70" s="379" t="s">
        <v>25</v>
      </c>
      <c r="C70" s="440"/>
      <c r="D70" s="440"/>
      <c r="E70" s="440"/>
      <c r="F70" s="440"/>
      <c r="G70" s="440"/>
      <c r="H70" s="440"/>
      <c r="I70" s="440"/>
      <c r="J70" s="440"/>
      <c r="K70" s="440"/>
      <c r="L70" s="440"/>
      <c r="M70" s="440"/>
      <c r="N70" s="440"/>
      <c r="O70" s="440"/>
      <c r="P70" s="440"/>
      <c r="Q70" s="440">
        <v>0</v>
      </c>
      <c r="R70" s="440"/>
      <c r="S70" s="440">
        <v>0</v>
      </c>
      <c r="T70" s="440"/>
      <c r="U70" s="441">
        <f>M70-O70+Q70-S70</f>
        <v>0</v>
      </c>
      <c r="V70" s="410"/>
      <c r="W70" s="6"/>
    </row>
    <row r="71" spans="1:25" ht="15.6">
      <c r="A71" s="378"/>
      <c r="B71" s="379"/>
      <c r="C71" s="440"/>
      <c r="D71" s="440"/>
      <c r="E71" s="440"/>
      <c r="F71" s="440"/>
      <c r="G71" s="440"/>
      <c r="H71" s="440"/>
      <c r="I71" s="440"/>
      <c r="J71" s="440"/>
      <c r="K71" s="440"/>
      <c r="L71" s="440"/>
      <c r="M71" s="440"/>
      <c r="N71" s="440"/>
      <c r="O71" s="440"/>
      <c r="P71" s="440"/>
      <c r="Q71" s="440"/>
      <c r="R71" s="440"/>
      <c r="S71" s="440"/>
      <c r="T71" s="440"/>
      <c r="U71" s="441"/>
      <c r="V71" s="410"/>
      <c r="W71" s="6"/>
    </row>
    <row r="72" spans="1:25" ht="15.6">
      <c r="A72" s="378"/>
      <c r="B72" s="379" t="s">
        <v>28</v>
      </c>
      <c r="C72" s="440"/>
      <c r="D72" s="440"/>
      <c r="E72" s="440"/>
      <c r="F72" s="440"/>
      <c r="G72" s="440"/>
      <c r="H72" s="440"/>
      <c r="I72" s="440"/>
      <c r="J72" s="440"/>
      <c r="K72" s="440">
        <v>138321</v>
      </c>
      <c r="L72" s="440"/>
      <c r="M72" s="440">
        <v>1215</v>
      </c>
      <c r="N72" s="440"/>
      <c r="O72" s="440">
        <f>132+48</f>
        <v>180</v>
      </c>
      <c r="P72" s="440"/>
      <c r="Q72" s="440">
        <v>0</v>
      </c>
      <c r="R72" s="440"/>
      <c r="S72" s="440">
        <v>0</v>
      </c>
      <c r="T72" s="440"/>
      <c r="U72" s="441">
        <f>+M72-O72+Q72-S72</f>
        <v>1035</v>
      </c>
      <c r="V72" s="410"/>
      <c r="W72" s="6"/>
      <c r="X72" s="182"/>
      <c r="Y72" s="182"/>
    </row>
    <row r="73" spans="1:25" ht="15.6">
      <c r="A73" s="378"/>
      <c r="B73" s="379" t="s">
        <v>25</v>
      </c>
      <c r="C73" s="440"/>
      <c r="D73" s="440"/>
      <c r="E73" s="440"/>
      <c r="F73" s="440"/>
      <c r="G73" s="440"/>
      <c r="H73" s="440"/>
      <c r="I73" s="440"/>
      <c r="J73" s="440"/>
      <c r="K73" s="440"/>
      <c r="L73" s="440"/>
      <c r="M73" s="440"/>
      <c r="N73" s="440"/>
      <c r="O73" s="440"/>
      <c r="P73" s="440"/>
      <c r="Q73" s="440">
        <v>0</v>
      </c>
      <c r="R73" s="440"/>
      <c r="S73" s="440">
        <v>0</v>
      </c>
      <c r="T73" s="440"/>
      <c r="U73" s="441"/>
      <c r="V73" s="410"/>
      <c r="W73" s="6"/>
    </row>
    <row r="74" spans="1:25" ht="15.6">
      <c r="A74" s="378"/>
      <c r="B74" s="440"/>
      <c r="C74" s="440"/>
      <c r="D74" s="440"/>
      <c r="E74" s="440"/>
      <c r="F74" s="440"/>
      <c r="G74" s="440"/>
      <c r="H74" s="440"/>
      <c r="I74" s="440"/>
      <c r="J74" s="440"/>
      <c r="K74" s="440"/>
      <c r="L74" s="440"/>
      <c r="M74" s="440"/>
      <c r="N74" s="440"/>
      <c r="O74" s="440"/>
      <c r="P74" s="440"/>
      <c r="Q74" s="440"/>
      <c r="R74" s="440"/>
      <c r="S74" s="440"/>
      <c r="T74" s="440"/>
      <c r="U74" s="441"/>
      <c r="V74" s="410"/>
      <c r="W74" s="6"/>
    </row>
    <row r="75" spans="1:25" ht="15.6">
      <c r="A75" s="378"/>
      <c r="B75" s="379" t="s">
        <v>29</v>
      </c>
      <c r="C75" s="440"/>
      <c r="D75" s="440"/>
      <c r="E75" s="440"/>
      <c r="F75" s="440"/>
      <c r="G75" s="440"/>
      <c r="H75" s="440"/>
      <c r="I75" s="440"/>
      <c r="J75" s="440"/>
      <c r="K75" s="440">
        <f>SUM(K63:K72)</f>
        <v>450000</v>
      </c>
      <c r="L75" s="440"/>
      <c r="M75" s="440">
        <f>SUM(M63:M72)</f>
        <v>133943</v>
      </c>
      <c r="N75" s="440"/>
      <c r="O75" s="440">
        <f>SUM(O63:O73)</f>
        <v>5510</v>
      </c>
      <c r="P75" s="440"/>
      <c r="Q75" s="440">
        <f>SUM(Q63:Q73)</f>
        <v>0</v>
      </c>
      <c r="R75" s="440"/>
      <c r="S75" s="440">
        <f>SUM(S70:S74)</f>
        <v>0</v>
      </c>
      <c r="T75" s="440"/>
      <c r="U75" s="440">
        <f>SUM(U63:U73)</f>
        <v>128433</v>
      </c>
      <c r="V75" s="410"/>
      <c r="W75" s="6"/>
      <c r="X75" s="182"/>
      <c r="Y75" s="182"/>
    </row>
    <row r="76" spans="1:25" ht="15.6">
      <c r="A76" s="378"/>
      <c r="B76" s="379"/>
      <c r="C76" s="440"/>
      <c r="D76" s="440"/>
      <c r="E76" s="440"/>
      <c r="F76" s="440"/>
      <c r="G76" s="440"/>
      <c r="H76" s="440"/>
      <c r="I76" s="440"/>
      <c r="J76" s="440"/>
      <c r="K76" s="440"/>
      <c r="L76" s="440"/>
      <c r="M76" s="440"/>
      <c r="N76" s="440"/>
      <c r="O76" s="440"/>
      <c r="P76" s="440"/>
      <c r="Q76" s="440"/>
      <c r="R76" s="440"/>
      <c r="S76" s="440"/>
      <c r="T76" s="440"/>
      <c r="U76" s="440"/>
      <c r="V76" s="410"/>
      <c r="W76" s="6"/>
    </row>
    <row r="77" spans="1:25" ht="15.6">
      <c r="A77" s="378"/>
      <c r="B77" s="379" t="s">
        <v>214</v>
      </c>
      <c r="C77" s="440"/>
      <c r="D77" s="440"/>
      <c r="E77" s="440"/>
      <c r="F77" s="440"/>
      <c r="G77" s="440"/>
      <c r="H77" s="440"/>
      <c r="I77" s="440"/>
      <c r="J77" s="440"/>
      <c r="K77" s="440">
        <v>0</v>
      </c>
      <c r="L77" s="440"/>
      <c r="M77" s="440">
        <v>-15280</v>
      </c>
      <c r="N77" s="440"/>
      <c r="O77" s="440">
        <v>-309</v>
      </c>
      <c r="P77" s="440"/>
      <c r="Q77" s="440"/>
      <c r="R77" s="440"/>
      <c r="S77" s="440"/>
      <c r="T77" s="440"/>
      <c r="U77" s="441">
        <f>+M77-O77</f>
        <v>-14971</v>
      </c>
      <c r="V77" s="410"/>
      <c r="W77" s="6"/>
      <c r="Y77" s="182"/>
    </row>
    <row r="78" spans="1:25" ht="15.6">
      <c r="A78" s="378"/>
      <c r="B78" s="379" t="s">
        <v>30</v>
      </c>
      <c r="C78" s="440"/>
      <c r="D78" s="440"/>
      <c r="E78" s="440"/>
      <c r="F78" s="440"/>
      <c r="G78" s="440"/>
      <c r="H78" s="440"/>
      <c r="I78" s="440"/>
      <c r="J78" s="440"/>
      <c r="K78" s="440">
        <v>0</v>
      </c>
      <c r="L78" s="440"/>
      <c r="M78" s="440">
        <v>0</v>
      </c>
      <c r="N78" s="440"/>
      <c r="O78" s="440">
        <v>0</v>
      </c>
      <c r="P78" s="440"/>
      <c r="Q78" s="440">
        <v>0</v>
      </c>
      <c r="R78" s="440"/>
      <c r="S78" s="440"/>
      <c r="T78" s="440"/>
      <c r="U78" s="440">
        <v>0</v>
      </c>
      <c r="V78" s="410"/>
      <c r="W78" s="6"/>
      <c r="X78" s="182"/>
    </row>
    <row r="79" spans="1:25" ht="15.6">
      <c r="A79" s="378"/>
      <c r="B79" s="379" t="s">
        <v>31</v>
      </c>
      <c r="C79" s="440"/>
      <c r="D79" s="440"/>
      <c r="E79" s="440"/>
      <c r="F79" s="440"/>
      <c r="G79" s="440"/>
      <c r="H79" s="440"/>
      <c r="I79" s="440"/>
      <c r="J79" s="440"/>
      <c r="K79" s="440">
        <v>0</v>
      </c>
      <c r="L79" s="440"/>
      <c r="M79" s="440">
        <v>0</v>
      </c>
      <c r="N79" s="440"/>
      <c r="O79" s="440"/>
      <c r="P79" s="440"/>
      <c r="Q79" s="440">
        <v>0</v>
      </c>
      <c r="R79" s="440"/>
      <c r="S79" s="440"/>
      <c r="T79" s="440"/>
      <c r="U79" s="440">
        <f>Q79+M79</f>
        <v>0</v>
      </c>
      <c r="V79" s="410"/>
      <c r="W79" s="6"/>
    </row>
    <row r="80" spans="1:25" ht="15.6">
      <c r="A80" s="378"/>
      <c r="B80" s="379" t="s">
        <v>16</v>
      </c>
      <c r="C80" s="440"/>
      <c r="D80" s="440"/>
      <c r="E80" s="440"/>
      <c r="F80" s="440"/>
      <c r="G80" s="440"/>
      <c r="H80" s="440"/>
      <c r="I80" s="440"/>
      <c r="J80" s="440"/>
      <c r="K80" s="440">
        <f>SUM(K75:K79)</f>
        <v>450000</v>
      </c>
      <c r="L80" s="440"/>
      <c r="M80" s="440">
        <f>SUM(M75:M79)</f>
        <v>118663</v>
      </c>
      <c r="N80" s="440"/>
      <c r="O80" s="440">
        <f>O78-O79</f>
        <v>0</v>
      </c>
      <c r="P80" s="440"/>
      <c r="Q80" s="440"/>
      <c r="R80" s="440"/>
      <c r="S80" s="440"/>
      <c r="T80" s="440"/>
      <c r="U80" s="440">
        <f>SUM(U75:U79)</f>
        <v>113462</v>
      </c>
      <c r="V80" s="410"/>
      <c r="W80" s="6"/>
      <c r="X80" s="182"/>
      <c r="Y80" s="182"/>
    </row>
    <row r="81" spans="1:24" ht="15.6">
      <c r="A81" s="242"/>
      <c r="B81" s="437"/>
      <c r="C81" s="438"/>
      <c r="D81" s="438"/>
      <c r="E81" s="438"/>
      <c r="F81" s="438"/>
      <c r="G81" s="438"/>
      <c r="H81" s="438"/>
      <c r="I81" s="438"/>
      <c r="J81" s="438"/>
      <c r="K81" s="438"/>
      <c r="L81" s="438"/>
      <c r="M81" s="438"/>
      <c r="N81" s="438"/>
      <c r="O81" s="438"/>
      <c r="P81" s="438"/>
      <c r="Q81" s="438"/>
      <c r="R81" s="438"/>
      <c r="S81" s="439"/>
      <c r="T81" s="438"/>
      <c r="U81" s="439"/>
      <c r="V81" s="245"/>
      <c r="W81" s="6"/>
    </row>
    <row r="82" spans="1:24" ht="15.6">
      <c r="A82" s="230"/>
      <c r="B82" s="511" t="s">
        <v>32</v>
      </c>
      <c r="C82" s="511"/>
      <c r="D82" s="511"/>
      <c r="E82" s="511"/>
      <c r="F82" s="511"/>
      <c r="G82" s="511"/>
      <c r="H82" s="511"/>
      <c r="I82" s="511"/>
      <c r="J82" s="511"/>
      <c r="K82" s="511"/>
      <c r="L82" s="511"/>
      <c r="M82" s="511"/>
      <c r="N82" s="511"/>
      <c r="O82" s="511"/>
      <c r="P82" s="511"/>
      <c r="Q82" s="511"/>
      <c r="R82" s="232"/>
      <c r="S82" s="232"/>
      <c r="T82" s="232"/>
      <c r="U82" s="232" t="s">
        <v>121</v>
      </c>
      <c r="V82" s="516"/>
      <c r="W82" s="6"/>
    </row>
    <row r="83" spans="1:24" ht="15.6">
      <c r="A83" s="315"/>
      <c r="B83" s="294" t="s">
        <v>33</v>
      </c>
      <c r="C83" s="294"/>
      <c r="D83" s="294"/>
      <c r="E83" s="294"/>
      <c r="F83" s="294"/>
      <c r="G83" s="294"/>
      <c r="H83" s="294"/>
      <c r="I83" s="294"/>
      <c r="J83" s="294"/>
      <c r="K83" s="294"/>
      <c r="L83" s="294"/>
      <c r="M83" s="294"/>
      <c r="N83" s="294"/>
      <c r="O83" s="310"/>
      <c r="P83" s="294"/>
      <c r="Q83" s="294"/>
      <c r="R83" s="294"/>
      <c r="S83" s="310"/>
      <c r="T83" s="294"/>
      <c r="U83" s="311">
        <v>48279</v>
      </c>
      <c r="V83" s="298"/>
      <c r="W83" s="6"/>
    </row>
    <row r="84" spans="1:24" ht="15.6">
      <c r="A84" s="444"/>
      <c r="B84" s="379" t="s">
        <v>34</v>
      </c>
      <c r="C84" s="431"/>
      <c r="D84" s="431"/>
      <c r="E84" s="431"/>
      <c r="F84" s="431"/>
      <c r="G84" s="431"/>
      <c r="H84" s="431"/>
      <c r="I84" s="431"/>
      <c r="J84" s="431"/>
      <c r="K84" s="431"/>
      <c r="L84" s="431"/>
      <c r="M84" s="430"/>
      <c r="N84" s="379"/>
      <c r="O84" s="379"/>
      <c r="P84" s="379"/>
      <c r="Q84" s="379"/>
      <c r="R84" s="379"/>
      <c r="S84" s="440"/>
      <c r="T84" s="379"/>
      <c r="U84" s="441">
        <f>-42+328+48</f>
        <v>334</v>
      </c>
      <c r="V84" s="410"/>
      <c r="W84" s="6"/>
    </row>
    <row r="85" spans="1:24" ht="15.6">
      <c r="A85" s="444"/>
      <c r="B85" s="379" t="s">
        <v>230</v>
      </c>
      <c r="C85" s="379"/>
      <c r="D85" s="379"/>
      <c r="E85" s="379"/>
      <c r="F85" s="379"/>
      <c r="G85" s="379"/>
      <c r="H85" s="379"/>
      <c r="I85" s="379"/>
      <c r="J85" s="379"/>
      <c r="K85" s="379"/>
      <c r="L85" s="379"/>
      <c r="M85" s="379"/>
      <c r="N85" s="379"/>
      <c r="O85" s="379"/>
      <c r="P85" s="379"/>
      <c r="Q85" s="379"/>
      <c r="R85" s="379"/>
      <c r="S85" s="440"/>
      <c r="T85" s="379"/>
      <c r="U85" s="441">
        <v>0</v>
      </c>
      <c r="V85" s="410"/>
      <c r="W85" s="6"/>
      <c r="X85" s="64"/>
    </row>
    <row r="86" spans="1:24" ht="15.6">
      <c r="A86" s="444"/>
      <c r="B86" s="379" t="s">
        <v>231</v>
      </c>
      <c r="C86" s="379"/>
      <c r="D86" s="379"/>
      <c r="E86" s="379"/>
      <c r="F86" s="379"/>
      <c r="G86" s="379"/>
      <c r="H86" s="379"/>
      <c r="I86" s="379"/>
      <c r="J86" s="379"/>
      <c r="K86" s="379"/>
      <c r="L86" s="379"/>
      <c r="M86" s="379"/>
      <c r="N86" s="379"/>
      <c r="O86" s="379"/>
      <c r="P86" s="379"/>
      <c r="Q86" s="379"/>
      <c r="R86" s="379"/>
      <c r="S86" s="440"/>
      <c r="T86" s="379"/>
      <c r="U86" s="441">
        <v>0</v>
      </c>
      <c r="V86" s="410"/>
      <c r="W86" s="6"/>
      <c r="X86" s="64"/>
    </row>
    <row r="87" spans="1:24" ht="15.6">
      <c r="A87" s="444"/>
      <c r="B87" s="379" t="s">
        <v>35</v>
      </c>
      <c r="C87" s="379"/>
      <c r="D87" s="379"/>
      <c r="E87" s="379"/>
      <c r="F87" s="379"/>
      <c r="G87" s="379"/>
      <c r="H87" s="379"/>
      <c r="I87" s="379"/>
      <c r="J87" s="379"/>
      <c r="K87" s="379"/>
      <c r="L87" s="379"/>
      <c r="M87" s="379"/>
      <c r="N87" s="379"/>
      <c r="O87" s="379"/>
      <c r="P87" s="379"/>
      <c r="Q87" s="379"/>
      <c r="R87" s="379"/>
      <c r="S87" s="440"/>
      <c r="T87" s="379"/>
      <c r="U87" s="441">
        <f>SUM(U83:U86)</f>
        <v>48613</v>
      </c>
      <c r="V87" s="410"/>
      <c r="W87" s="6"/>
      <c r="X87" s="64"/>
    </row>
    <row r="88" spans="1:24" ht="15.6">
      <c r="A88" s="444"/>
      <c r="B88" s="379"/>
      <c r="C88" s="379"/>
      <c r="D88" s="379"/>
      <c r="E88" s="379"/>
      <c r="F88" s="379"/>
      <c r="G88" s="379"/>
      <c r="H88" s="379"/>
      <c r="I88" s="379"/>
      <c r="J88" s="379"/>
      <c r="K88" s="379"/>
      <c r="L88" s="379"/>
      <c r="M88" s="379"/>
      <c r="N88" s="379"/>
      <c r="O88" s="379"/>
      <c r="P88" s="379"/>
      <c r="Q88" s="379"/>
      <c r="R88" s="379"/>
      <c r="S88" s="440"/>
      <c r="T88" s="379"/>
      <c r="U88" s="440"/>
      <c r="V88" s="410"/>
      <c r="W88" s="6"/>
    </row>
    <row r="89" spans="1:24" ht="15.6">
      <c r="A89" s="444"/>
      <c r="B89" s="446" t="s">
        <v>36</v>
      </c>
      <c r="C89" s="446"/>
      <c r="D89" s="446"/>
      <c r="E89" s="446"/>
      <c r="F89" s="446"/>
      <c r="G89" s="446"/>
      <c r="H89" s="446"/>
      <c r="I89" s="446"/>
      <c r="J89" s="446"/>
      <c r="K89" s="446"/>
      <c r="L89" s="446"/>
      <c r="M89" s="379"/>
      <c r="N89" s="379"/>
      <c r="O89" s="379"/>
      <c r="P89" s="379"/>
      <c r="Q89" s="379"/>
      <c r="R89" s="379"/>
      <c r="S89" s="440"/>
      <c r="T89" s="379"/>
      <c r="U89" s="441"/>
      <c r="V89" s="410"/>
      <c r="W89" s="6"/>
      <c r="X89" s="64"/>
    </row>
    <row r="90" spans="1:24" ht="15.6">
      <c r="A90" s="444">
        <v>1</v>
      </c>
      <c r="B90" s="379" t="s">
        <v>37</v>
      </c>
      <c r="C90" s="379"/>
      <c r="D90" s="379"/>
      <c r="E90" s="379"/>
      <c r="F90" s="379"/>
      <c r="G90" s="379"/>
      <c r="H90" s="379"/>
      <c r="I90" s="379"/>
      <c r="J90" s="379"/>
      <c r="K90" s="379"/>
      <c r="L90" s="379"/>
      <c r="M90" s="379"/>
      <c r="N90" s="379"/>
      <c r="O90" s="379"/>
      <c r="P90" s="379"/>
      <c r="Q90" s="379"/>
      <c r="R90" s="379"/>
      <c r="S90" s="379"/>
      <c r="T90" s="379"/>
      <c r="U90" s="441">
        <v>-2</v>
      </c>
      <c r="V90" s="410"/>
      <c r="W90" s="6"/>
    </row>
    <row r="91" spans="1:24" ht="15.6">
      <c r="A91" s="444">
        <f>A90+1</f>
        <v>2</v>
      </c>
      <c r="B91" s="379" t="s">
        <v>168</v>
      </c>
      <c r="C91" s="379"/>
      <c r="D91" s="379"/>
      <c r="E91" s="379"/>
      <c r="F91" s="379"/>
      <c r="G91" s="379"/>
      <c r="H91" s="379"/>
      <c r="I91" s="379"/>
      <c r="J91" s="379"/>
      <c r="K91" s="379"/>
      <c r="L91" s="379"/>
      <c r="M91" s="379"/>
      <c r="N91" s="379"/>
      <c r="O91" s="379"/>
      <c r="P91" s="379"/>
      <c r="Q91" s="379"/>
      <c r="R91" s="379"/>
      <c r="S91" s="379"/>
      <c r="T91" s="379"/>
      <c r="U91" s="441">
        <f>-118-61-2</f>
        <v>-181</v>
      </c>
      <c r="V91" s="410"/>
      <c r="W91" s="6"/>
      <c r="X91" s="64"/>
    </row>
    <row r="92" spans="1:24" ht="15.6">
      <c r="A92" s="444">
        <v>3</v>
      </c>
      <c r="B92" s="379" t="s">
        <v>38</v>
      </c>
      <c r="C92" s="379"/>
      <c r="D92" s="379"/>
      <c r="E92" s="379"/>
      <c r="F92" s="379"/>
      <c r="G92" s="379"/>
      <c r="H92" s="379"/>
      <c r="I92" s="379"/>
      <c r="J92" s="379"/>
      <c r="K92" s="379"/>
      <c r="L92" s="379"/>
      <c r="M92" s="379"/>
      <c r="N92" s="379"/>
      <c r="O92" s="379"/>
      <c r="P92" s="379"/>
      <c r="Q92" s="379"/>
      <c r="R92" s="379"/>
      <c r="S92" s="379"/>
      <c r="T92" s="379"/>
      <c r="U92" s="441">
        <v>-28</v>
      </c>
      <c r="V92" s="410"/>
      <c r="W92" s="6"/>
      <c r="X92" s="64"/>
    </row>
    <row r="93" spans="1:24" ht="15.6">
      <c r="A93" s="447" t="s">
        <v>190</v>
      </c>
      <c r="B93" s="379" t="s">
        <v>169</v>
      </c>
      <c r="C93" s="379"/>
      <c r="D93" s="379"/>
      <c r="E93" s="379"/>
      <c r="F93" s="379"/>
      <c r="G93" s="379"/>
      <c r="H93" s="379"/>
      <c r="I93" s="379"/>
      <c r="J93" s="379"/>
      <c r="K93" s="379"/>
      <c r="L93" s="379"/>
      <c r="M93" s="379"/>
      <c r="N93" s="379"/>
      <c r="O93" s="379"/>
      <c r="P93" s="379"/>
      <c r="Q93" s="379"/>
      <c r="R93" s="379"/>
      <c r="S93" s="379"/>
      <c r="T93" s="379"/>
      <c r="U93" s="441">
        <v>-57</v>
      </c>
      <c r="V93" s="410"/>
      <c r="W93" s="6"/>
      <c r="X93" s="64"/>
    </row>
    <row r="94" spans="1:24" ht="15.6">
      <c r="A94" s="447" t="s">
        <v>191</v>
      </c>
      <c r="B94" s="379" t="s">
        <v>170</v>
      </c>
      <c r="C94" s="379"/>
      <c r="D94" s="379"/>
      <c r="E94" s="379"/>
      <c r="F94" s="379"/>
      <c r="G94" s="379"/>
      <c r="H94" s="379"/>
      <c r="I94" s="379"/>
      <c r="J94" s="379"/>
      <c r="K94" s="379"/>
      <c r="L94" s="379"/>
      <c r="M94" s="379"/>
      <c r="N94" s="379"/>
      <c r="O94" s="379"/>
      <c r="P94" s="379"/>
      <c r="Q94" s="379"/>
      <c r="R94" s="379"/>
      <c r="S94" s="379"/>
      <c r="T94" s="379"/>
      <c r="U94" s="441">
        <v>-73</v>
      </c>
      <c r="V94" s="410"/>
      <c r="W94" s="6"/>
      <c r="X94" s="182"/>
    </row>
    <row r="95" spans="1:24" ht="15.6">
      <c r="A95" s="444">
        <v>5</v>
      </c>
      <c r="B95" s="379" t="s">
        <v>171</v>
      </c>
      <c r="C95" s="379"/>
      <c r="D95" s="379"/>
      <c r="E95" s="379"/>
      <c r="F95" s="379"/>
      <c r="G95" s="379"/>
      <c r="H95" s="379"/>
      <c r="I95" s="379"/>
      <c r="J95" s="379"/>
      <c r="K95" s="379"/>
      <c r="L95" s="379"/>
      <c r="M95" s="379"/>
      <c r="N95" s="379"/>
      <c r="O95" s="379"/>
      <c r="P95" s="379"/>
      <c r="Q95" s="379"/>
      <c r="R95" s="379"/>
      <c r="S95" s="379"/>
      <c r="T95" s="379"/>
      <c r="U95" s="441">
        <v>-8</v>
      </c>
      <c r="V95" s="410"/>
      <c r="W95" s="6"/>
    </row>
    <row r="96" spans="1:24" ht="15.6">
      <c r="A96" s="447" t="s">
        <v>174</v>
      </c>
      <c r="B96" s="379" t="s">
        <v>172</v>
      </c>
      <c r="C96" s="379"/>
      <c r="D96" s="379"/>
      <c r="E96" s="379"/>
      <c r="F96" s="379"/>
      <c r="G96" s="379"/>
      <c r="H96" s="379"/>
      <c r="I96" s="379"/>
      <c r="J96" s="379"/>
      <c r="K96" s="379"/>
      <c r="L96" s="379"/>
      <c r="M96" s="379"/>
      <c r="N96" s="379"/>
      <c r="O96" s="379"/>
      <c r="P96" s="379"/>
      <c r="Q96" s="379"/>
      <c r="R96" s="379"/>
      <c r="S96" s="379"/>
      <c r="T96" s="379"/>
      <c r="U96" s="441">
        <v>-25</v>
      </c>
      <c r="V96" s="410"/>
      <c r="W96" s="6"/>
      <c r="X96" s="182"/>
    </row>
    <row r="97" spans="1:24" ht="15.6">
      <c r="A97" s="447" t="s">
        <v>176</v>
      </c>
      <c r="B97" s="379" t="s">
        <v>173</v>
      </c>
      <c r="C97" s="379"/>
      <c r="D97" s="379"/>
      <c r="E97" s="379"/>
      <c r="F97" s="379"/>
      <c r="G97" s="379"/>
      <c r="H97" s="379"/>
      <c r="I97" s="379"/>
      <c r="J97" s="379"/>
      <c r="K97" s="379"/>
      <c r="L97" s="379"/>
      <c r="M97" s="379"/>
      <c r="N97" s="379"/>
      <c r="O97" s="379"/>
      <c r="P97" s="379"/>
      <c r="Q97" s="379"/>
      <c r="R97" s="379"/>
      <c r="S97" s="379"/>
      <c r="T97" s="379"/>
      <c r="U97" s="441">
        <v>-40</v>
      </c>
      <c r="V97" s="410"/>
      <c r="W97" s="119"/>
      <c r="X97" s="182"/>
    </row>
    <row r="98" spans="1:24" ht="15.6">
      <c r="A98" s="447" t="s">
        <v>178</v>
      </c>
      <c r="B98" s="379" t="s">
        <v>175</v>
      </c>
      <c r="C98" s="379"/>
      <c r="D98" s="379"/>
      <c r="E98" s="379"/>
      <c r="F98" s="379"/>
      <c r="G98" s="379"/>
      <c r="H98" s="379"/>
      <c r="I98" s="379"/>
      <c r="J98" s="379"/>
      <c r="K98" s="379"/>
      <c r="L98" s="379"/>
      <c r="M98" s="379"/>
      <c r="N98" s="379"/>
      <c r="O98" s="379"/>
      <c r="P98" s="379"/>
      <c r="Q98" s="379"/>
      <c r="R98" s="379"/>
      <c r="S98" s="379"/>
      <c r="T98" s="379"/>
      <c r="U98" s="441">
        <v>-41</v>
      </c>
      <c r="V98" s="410"/>
      <c r="W98" s="6"/>
      <c r="X98" s="182"/>
    </row>
    <row r="99" spans="1:24" ht="15.6">
      <c r="A99" s="447" t="s">
        <v>180</v>
      </c>
      <c r="B99" s="379" t="s">
        <v>177</v>
      </c>
      <c r="C99" s="379"/>
      <c r="D99" s="379"/>
      <c r="E99" s="379"/>
      <c r="F99" s="379"/>
      <c r="G99" s="379"/>
      <c r="H99" s="379"/>
      <c r="I99" s="379"/>
      <c r="J99" s="379"/>
      <c r="K99" s="379"/>
      <c r="L99" s="379"/>
      <c r="M99" s="379"/>
      <c r="N99" s="379"/>
      <c r="O99" s="379"/>
      <c r="P99" s="379"/>
      <c r="Q99" s="379"/>
      <c r="R99" s="379"/>
      <c r="S99" s="379"/>
      <c r="T99" s="379"/>
      <c r="U99" s="441">
        <v>-53</v>
      </c>
      <c r="V99" s="410"/>
      <c r="W99" s="119"/>
      <c r="X99" s="182"/>
    </row>
    <row r="100" spans="1:24" ht="15.6">
      <c r="A100" s="447" t="s">
        <v>192</v>
      </c>
      <c r="B100" s="379" t="s">
        <v>179</v>
      </c>
      <c r="C100" s="379"/>
      <c r="D100" s="379"/>
      <c r="E100" s="379"/>
      <c r="F100" s="379"/>
      <c r="G100" s="379"/>
      <c r="H100" s="379"/>
      <c r="I100" s="379"/>
      <c r="J100" s="379"/>
      <c r="K100" s="379"/>
      <c r="L100" s="379"/>
      <c r="M100" s="379"/>
      <c r="N100" s="379"/>
      <c r="O100" s="379"/>
      <c r="P100" s="379"/>
      <c r="Q100" s="379"/>
      <c r="R100" s="379"/>
      <c r="S100" s="379"/>
      <c r="T100" s="379"/>
      <c r="U100" s="441">
        <v>-78</v>
      </c>
      <c r="V100" s="410"/>
      <c r="W100" s="6"/>
      <c r="X100" s="182"/>
    </row>
    <row r="101" spans="1:24" ht="15.6">
      <c r="A101" s="447" t="s">
        <v>193</v>
      </c>
      <c r="B101" s="379" t="s">
        <v>181</v>
      </c>
      <c r="C101" s="379"/>
      <c r="D101" s="379"/>
      <c r="E101" s="379"/>
      <c r="F101" s="379"/>
      <c r="G101" s="379"/>
      <c r="H101" s="379"/>
      <c r="I101" s="379"/>
      <c r="J101" s="379"/>
      <c r="K101" s="379"/>
      <c r="L101" s="379"/>
      <c r="M101" s="379"/>
      <c r="N101" s="379"/>
      <c r="O101" s="379"/>
      <c r="P101" s="379"/>
      <c r="Q101" s="379"/>
      <c r="R101" s="379"/>
      <c r="S101" s="379"/>
      <c r="T101" s="379"/>
      <c r="U101" s="441">
        <v>-68</v>
      </c>
      <c r="V101" s="410"/>
      <c r="W101" s="119"/>
      <c r="X101" s="182"/>
    </row>
    <row r="102" spans="1:24" ht="15.6">
      <c r="A102" s="444">
        <v>9</v>
      </c>
      <c r="B102" s="379" t="s">
        <v>257</v>
      </c>
      <c r="C102" s="379"/>
      <c r="D102" s="379"/>
      <c r="E102" s="379"/>
      <c r="F102" s="379"/>
      <c r="G102" s="379"/>
      <c r="H102" s="379"/>
      <c r="I102" s="379"/>
      <c r="J102" s="379"/>
      <c r="K102" s="379"/>
      <c r="L102" s="379"/>
      <c r="M102" s="379"/>
      <c r="N102" s="379"/>
      <c r="O102" s="379"/>
      <c r="P102" s="379"/>
      <c r="Q102" s="379"/>
      <c r="R102" s="379"/>
      <c r="S102" s="379"/>
      <c r="T102" s="379"/>
      <c r="U102" s="441">
        <f>+S219-U32</f>
        <v>-5201.2540000000008</v>
      </c>
      <c r="V102" s="410"/>
      <c r="W102" s="6"/>
      <c r="X102" s="182"/>
    </row>
    <row r="103" spans="1:24" ht="15.6">
      <c r="A103" s="444">
        <v>10</v>
      </c>
      <c r="B103" s="379" t="s">
        <v>234</v>
      </c>
      <c r="C103" s="379"/>
      <c r="D103" s="379"/>
      <c r="E103" s="379"/>
      <c r="F103" s="379"/>
      <c r="G103" s="379"/>
      <c r="H103" s="379"/>
      <c r="I103" s="379"/>
      <c r="J103" s="379"/>
      <c r="K103" s="379"/>
      <c r="L103" s="379"/>
      <c r="M103" s="379"/>
      <c r="N103" s="379"/>
      <c r="O103" s="379"/>
      <c r="P103" s="379"/>
      <c r="Q103" s="379"/>
      <c r="R103" s="379"/>
      <c r="S103" s="379"/>
      <c r="T103" s="379"/>
      <c r="U103" s="441">
        <v>-40500</v>
      </c>
      <c r="V103" s="410"/>
      <c r="W103" s="6"/>
      <c r="X103" s="64"/>
    </row>
    <row r="104" spans="1:24" ht="15.6">
      <c r="A104" s="444">
        <v>11</v>
      </c>
      <c r="B104" s="379" t="s">
        <v>183</v>
      </c>
      <c r="C104" s="379"/>
      <c r="D104" s="379"/>
      <c r="E104" s="379"/>
      <c r="F104" s="379"/>
      <c r="G104" s="379"/>
      <c r="H104" s="379"/>
      <c r="I104" s="379"/>
      <c r="J104" s="379"/>
      <c r="K104" s="379"/>
      <c r="L104" s="379"/>
      <c r="M104" s="379"/>
      <c r="N104" s="379"/>
      <c r="O104" s="379"/>
      <c r="P104" s="379"/>
      <c r="Q104" s="379"/>
      <c r="R104" s="379"/>
      <c r="S104" s="379"/>
      <c r="T104" s="379"/>
      <c r="U104" s="441">
        <v>0</v>
      </c>
      <c r="V104" s="410"/>
      <c r="W104" s="6"/>
      <c r="X104" s="64"/>
    </row>
    <row r="105" spans="1:24" ht="15.6">
      <c r="A105" s="444">
        <v>12</v>
      </c>
      <c r="B105" s="379" t="s">
        <v>184</v>
      </c>
      <c r="C105" s="379"/>
      <c r="D105" s="379"/>
      <c r="E105" s="379"/>
      <c r="F105" s="379"/>
      <c r="G105" s="379"/>
      <c r="H105" s="379"/>
      <c r="I105" s="379"/>
      <c r="J105" s="379"/>
      <c r="K105" s="379"/>
      <c r="L105" s="379"/>
      <c r="M105" s="379"/>
      <c r="N105" s="379"/>
      <c r="O105" s="379"/>
      <c r="P105" s="379"/>
      <c r="Q105" s="379"/>
      <c r="R105" s="379"/>
      <c r="S105" s="379"/>
      <c r="T105" s="379"/>
      <c r="U105" s="441">
        <v>-133</v>
      </c>
      <c r="V105" s="410"/>
      <c r="W105" s="6"/>
      <c r="X105" s="182"/>
    </row>
    <row r="106" spans="1:24" ht="15.6">
      <c r="A106" s="444">
        <v>13</v>
      </c>
      <c r="B106" s="379" t="s">
        <v>40</v>
      </c>
      <c r="C106" s="379"/>
      <c r="D106" s="379"/>
      <c r="E106" s="379"/>
      <c r="F106" s="379"/>
      <c r="G106" s="379"/>
      <c r="H106" s="379"/>
      <c r="I106" s="379"/>
      <c r="J106" s="379"/>
      <c r="K106" s="379"/>
      <c r="L106" s="379"/>
      <c r="M106" s="379"/>
      <c r="N106" s="379"/>
      <c r="O106" s="379"/>
      <c r="P106" s="379"/>
      <c r="Q106" s="379"/>
      <c r="R106" s="379"/>
      <c r="S106" s="379"/>
      <c r="T106" s="379"/>
      <c r="U106" s="441">
        <f>-SUM(U87:V105)</f>
        <v>-2124.7459999999992</v>
      </c>
      <c r="V106" s="410"/>
      <c r="W106" s="6"/>
      <c r="X106" s="182"/>
    </row>
    <row r="107" spans="1:24" ht="15.6">
      <c r="A107" s="316"/>
      <c r="B107" s="443"/>
      <c r="C107" s="364"/>
      <c r="D107" s="364"/>
      <c r="E107" s="364"/>
      <c r="F107" s="364"/>
      <c r="G107" s="364"/>
      <c r="H107" s="364"/>
      <c r="I107" s="364"/>
      <c r="J107" s="364"/>
      <c r="K107" s="364"/>
      <c r="L107" s="364"/>
      <c r="M107" s="364"/>
      <c r="N107" s="364"/>
      <c r="O107" s="364"/>
      <c r="P107" s="364"/>
      <c r="Q107" s="364"/>
      <c r="R107" s="364"/>
      <c r="S107" s="360"/>
      <c r="T107" s="360"/>
      <c r="U107" s="360"/>
      <c r="V107" s="303"/>
      <c r="W107" s="6"/>
      <c r="X107" s="182"/>
    </row>
    <row r="108" spans="1:24" ht="15.6">
      <c r="A108" s="316"/>
      <c r="B108" s="317"/>
      <c r="C108" s="288"/>
      <c r="D108" s="288"/>
      <c r="E108" s="288"/>
      <c r="F108" s="288"/>
      <c r="G108" s="288"/>
      <c r="H108" s="288"/>
      <c r="I108" s="288"/>
      <c r="J108" s="288"/>
      <c r="K108" s="288"/>
      <c r="L108" s="288"/>
      <c r="M108" s="288"/>
      <c r="N108" s="288"/>
      <c r="O108" s="288"/>
      <c r="P108" s="288"/>
      <c r="Q108" s="288"/>
      <c r="R108" s="288"/>
      <c r="S108" s="318"/>
      <c r="T108" s="318"/>
      <c r="U108" s="318"/>
      <c r="V108" s="303"/>
      <c r="W108" s="6"/>
    </row>
    <row r="109" spans="1:24" ht="16.2" thickBot="1">
      <c r="A109" s="319"/>
      <c r="B109" s="304" t="str">
        <f>+B59</f>
        <v>PPAF3 INVESTOR REPORT QUARTER ENDING JUNE 2014</v>
      </c>
      <c r="C109" s="305"/>
      <c r="D109" s="305"/>
      <c r="E109" s="305"/>
      <c r="F109" s="305"/>
      <c r="G109" s="305"/>
      <c r="H109" s="305"/>
      <c r="I109" s="305"/>
      <c r="J109" s="305"/>
      <c r="K109" s="305"/>
      <c r="L109" s="305"/>
      <c r="M109" s="305"/>
      <c r="N109" s="305"/>
      <c r="O109" s="305"/>
      <c r="P109" s="305"/>
      <c r="Q109" s="305"/>
      <c r="R109" s="305"/>
      <c r="S109" s="320"/>
      <c r="T109" s="320"/>
      <c r="U109" s="320"/>
      <c r="V109" s="307"/>
      <c r="W109" s="6"/>
    </row>
    <row r="110" spans="1:24" ht="15.6">
      <c r="A110" s="238"/>
      <c r="B110" s="240"/>
      <c r="C110" s="240"/>
      <c r="D110" s="240"/>
      <c r="E110" s="240"/>
      <c r="F110" s="240"/>
      <c r="G110" s="240"/>
      <c r="H110" s="240"/>
      <c r="I110" s="240"/>
      <c r="J110" s="240"/>
      <c r="K110" s="240"/>
      <c r="L110" s="240"/>
      <c r="M110" s="240"/>
      <c r="N110" s="240"/>
      <c r="O110" s="240"/>
      <c r="P110" s="240"/>
      <c r="Q110" s="240"/>
      <c r="R110" s="240"/>
      <c r="S110" s="269"/>
      <c r="T110" s="269"/>
      <c r="U110" s="269"/>
      <c r="V110" s="241"/>
      <c r="W110" s="6"/>
    </row>
    <row r="111" spans="1:24" ht="15.6">
      <c r="A111" s="321"/>
      <c r="B111" s="517" t="s">
        <v>41</v>
      </c>
      <c r="C111" s="322"/>
      <c r="D111" s="322"/>
      <c r="E111" s="322"/>
      <c r="F111" s="322"/>
      <c r="G111" s="322"/>
      <c r="H111" s="322"/>
      <c r="I111" s="322"/>
      <c r="J111" s="322"/>
      <c r="K111" s="322"/>
      <c r="L111" s="322"/>
      <c r="M111" s="322"/>
      <c r="N111" s="322"/>
      <c r="O111" s="322"/>
      <c r="P111" s="322"/>
      <c r="Q111" s="322"/>
      <c r="R111" s="322"/>
      <c r="S111" s="322"/>
      <c r="T111" s="322"/>
      <c r="U111" s="323"/>
      <c r="V111" s="324"/>
      <c r="W111" s="6"/>
    </row>
    <row r="112" spans="1:24" ht="15.6">
      <c r="A112" s="270"/>
      <c r="B112" s="271"/>
      <c r="C112" s="271"/>
      <c r="D112" s="271"/>
      <c r="E112" s="271"/>
      <c r="F112" s="271"/>
      <c r="G112" s="271"/>
      <c r="H112" s="271"/>
      <c r="I112" s="271"/>
      <c r="J112" s="271"/>
      <c r="K112" s="271"/>
      <c r="L112" s="271"/>
      <c r="M112" s="271"/>
      <c r="N112" s="271"/>
      <c r="O112" s="271"/>
      <c r="P112" s="271"/>
      <c r="Q112" s="271"/>
      <c r="R112" s="271"/>
      <c r="S112" s="271"/>
      <c r="T112" s="271"/>
      <c r="U112" s="272"/>
      <c r="V112" s="273"/>
      <c r="W112" s="6"/>
    </row>
    <row r="113" spans="1:24" ht="15.6">
      <c r="A113" s="242"/>
      <c r="B113" s="274" t="s">
        <v>42</v>
      </c>
      <c r="C113" s="252"/>
      <c r="D113" s="252"/>
      <c r="E113" s="252"/>
      <c r="F113" s="252"/>
      <c r="G113" s="252"/>
      <c r="H113" s="252"/>
      <c r="I113" s="252"/>
      <c r="J113" s="252"/>
      <c r="K113" s="252"/>
      <c r="L113" s="252"/>
      <c r="M113" s="244"/>
      <c r="N113" s="244"/>
      <c r="O113" s="244"/>
      <c r="P113" s="244"/>
      <c r="Q113" s="244"/>
      <c r="R113" s="244"/>
      <c r="S113" s="244"/>
      <c r="T113" s="244"/>
      <c r="U113" s="263"/>
      <c r="V113" s="245"/>
      <c r="W113" s="6"/>
    </row>
    <row r="114" spans="1:24" ht="15.6">
      <c r="A114" s="378"/>
      <c r="B114" s="379" t="s">
        <v>43</v>
      </c>
      <c r="C114" s="379"/>
      <c r="D114" s="379"/>
      <c r="E114" s="379"/>
      <c r="F114" s="379"/>
      <c r="G114" s="379"/>
      <c r="H114" s="379"/>
      <c r="I114" s="379"/>
      <c r="J114" s="379"/>
      <c r="K114" s="379"/>
      <c r="L114" s="379"/>
      <c r="M114" s="379"/>
      <c r="N114" s="379"/>
      <c r="O114" s="379"/>
      <c r="P114" s="379"/>
      <c r="Q114" s="379"/>
      <c r="R114" s="379"/>
      <c r="S114" s="379"/>
      <c r="T114" s="379"/>
      <c r="U114" s="441">
        <v>40500</v>
      </c>
      <c r="V114" s="410"/>
      <c r="W114" s="6"/>
    </row>
    <row r="115" spans="1:24" ht="15.6">
      <c r="A115" s="378"/>
      <c r="B115" s="379" t="s">
        <v>240</v>
      </c>
      <c r="C115" s="379"/>
      <c r="D115" s="379"/>
      <c r="E115" s="379"/>
      <c r="F115" s="379"/>
      <c r="G115" s="379"/>
      <c r="H115" s="379"/>
      <c r="I115" s="379"/>
      <c r="J115" s="379"/>
      <c r="K115" s="379"/>
      <c r="L115" s="379"/>
      <c r="M115" s="379"/>
      <c r="N115" s="379"/>
      <c r="O115" s="379"/>
      <c r="P115" s="379"/>
      <c r="Q115" s="379"/>
      <c r="R115" s="379"/>
      <c r="S115" s="379"/>
      <c r="T115" s="379"/>
      <c r="U115" s="441">
        <v>40500</v>
      </c>
      <c r="V115" s="410"/>
      <c r="W115" s="6"/>
    </row>
    <row r="116" spans="1:24" ht="15.6">
      <c r="A116" s="378"/>
      <c r="B116" s="379" t="s">
        <v>241</v>
      </c>
      <c r="C116" s="379"/>
      <c r="D116" s="379"/>
      <c r="E116" s="379"/>
      <c r="F116" s="379"/>
      <c r="G116" s="379"/>
      <c r="H116" s="379"/>
      <c r="I116" s="379"/>
      <c r="J116" s="379"/>
      <c r="K116" s="379"/>
      <c r="L116" s="379"/>
      <c r="M116" s="379"/>
      <c r="N116" s="379"/>
      <c r="O116" s="379"/>
      <c r="P116" s="379"/>
      <c r="Q116" s="379"/>
      <c r="R116" s="379"/>
      <c r="S116" s="379"/>
      <c r="T116" s="379"/>
      <c r="U116" s="441">
        <v>0</v>
      </c>
      <c r="V116" s="410"/>
      <c r="W116" s="6"/>
    </row>
    <row r="117" spans="1:24" ht="15.6">
      <c r="A117" s="378"/>
      <c r="B117" s="379" t="s">
        <v>209</v>
      </c>
      <c r="C117" s="379"/>
      <c r="D117" s="379"/>
      <c r="E117" s="379"/>
      <c r="F117" s="379"/>
      <c r="G117" s="379"/>
      <c r="H117" s="379"/>
      <c r="I117" s="379"/>
      <c r="J117" s="379"/>
      <c r="K117" s="379"/>
      <c r="L117" s="379"/>
      <c r="M117" s="379"/>
      <c r="N117" s="379"/>
      <c r="O117" s="379"/>
      <c r="P117" s="379"/>
      <c r="Q117" s="379"/>
      <c r="R117" s="379"/>
      <c r="S117" s="379"/>
      <c r="T117" s="379"/>
      <c r="U117" s="441">
        <v>0</v>
      </c>
      <c r="V117" s="410"/>
      <c r="W117" s="6"/>
    </row>
    <row r="118" spans="1:24" ht="15.6">
      <c r="A118" s="378"/>
      <c r="B118" s="379" t="s">
        <v>210</v>
      </c>
      <c r="C118" s="379"/>
      <c r="D118" s="379"/>
      <c r="E118" s="379"/>
      <c r="F118" s="379"/>
      <c r="G118" s="379"/>
      <c r="H118" s="379"/>
      <c r="I118" s="379"/>
      <c r="J118" s="379"/>
      <c r="K118" s="379"/>
      <c r="L118" s="379"/>
      <c r="M118" s="379"/>
      <c r="N118" s="379"/>
      <c r="O118" s="379"/>
      <c r="P118" s="379"/>
      <c r="Q118" s="379"/>
      <c r="R118" s="379"/>
      <c r="S118" s="379"/>
      <c r="T118" s="379"/>
      <c r="U118" s="441">
        <v>0</v>
      </c>
      <c r="V118" s="410"/>
      <c r="W118" s="6"/>
    </row>
    <row r="119" spans="1:24" ht="15.6">
      <c r="A119" s="378"/>
      <c r="B119" s="379" t="s">
        <v>211</v>
      </c>
      <c r="C119" s="379"/>
      <c r="D119" s="379"/>
      <c r="E119" s="379"/>
      <c r="F119" s="379"/>
      <c r="G119" s="379"/>
      <c r="H119" s="379"/>
      <c r="I119" s="379"/>
      <c r="J119" s="379"/>
      <c r="K119" s="379"/>
      <c r="L119" s="379"/>
      <c r="M119" s="379"/>
      <c r="N119" s="379"/>
      <c r="O119" s="379"/>
      <c r="P119" s="379"/>
      <c r="Q119" s="379"/>
      <c r="R119" s="379"/>
      <c r="S119" s="379"/>
      <c r="T119" s="379"/>
      <c r="U119" s="441">
        <v>0</v>
      </c>
      <c r="V119" s="410"/>
      <c r="W119" s="6"/>
    </row>
    <row r="120" spans="1:24" ht="15.6">
      <c r="A120" s="378"/>
      <c r="B120" s="379" t="s">
        <v>212</v>
      </c>
      <c r="C120" s="379"/>
      <c r="D120" s="379"/>
      <c r="E120" s="379"/>
      <c r="F120" s="379"/>
      <c r="G120" s="379"/>
      <c r="H120" s="379"/>
      <c r="I120" s="379"/>
      <c r="J120" s="379"/>
      <c r="K120" s="379"/>
      <c r="L120" s="379"/>
      <c r="M120" s="379"/>
      <c r="N120" s="379"/>
      <c r="O120" s="379"/>
      <c r="P120" s="379"/>
      <c r="Q120" s="379"/>
      <c r="R120" s="379"/>
      <c r="S120" s="379"/>
      <c r="T120" s="379"/>
      <c r="U120" s="441">
        <v>0</v>
      </c>
      <c r="V120" s="410"/>
      <c r="W120" s="6"/>
    </row>
    <row r="121" spans="1:24" ht="15.6">
      <c r="A121" s="378"/>
      <c r="B121" s="379" t="s">
        <v>242</v>
      </c>
      <c r="C121" s="379"/>
      <c r="D121" s="379"/>
      <c r="E121" s="379"/>
      <c r="F121" s="379"/>
      <c r="G121" s="379"/>
      <c r="H121" s="379"/>
      <c r="I121" s="379"/>
      <c r="J121" s="379"/>
      <c r="K121" s="379"/>
      <c r="L121" s="379"/>
      <c r="M121" s="379"/>
      <c r="N121" s="379"/>
      <c r="O121" s="379"/>
      <c r="P121" s="379"/>
      <c r="Q121" s="379"/>
      <c r="R121" s="379"/>
      <c r="S121" s="379"/>
      <c r="T121" s="379"/>
      <c r="U121" s="441">
        <v>0</v>
      </c>
      <c r="V121" s="410"/>
      <c r="W121" s="6"/>
    </row>
    <row r="122" spans="1:24" ht="15.6">
      <c r="A122" s="378"/>
      <c r="B122" s="379" t="s">
        <v>45</v>
      </c>
      <c r="C122" s="379"/>
      <c r="D122" s="379"/>
      <c r="E122" s="379"/>
      <c r="F122" s="379"/>
      <c r="G122" s="379"/>
      <c r="H122" s="379"/>
      <c r="I122" s="379"/>
      <c r="J122" s="379"/>
      <c r="K122" s="379"/>
      <c r="L122" s="379"/>
      <c r="M122" s="379"/>
      <c r="N122" s="379"/>
      <c r="O122" s="379"/>
      <c r="P122" s="379"/>
      <c r="Q122" s="379"/>
      <c r="R122" s="379"/>
      <c r="S122" s="379"/>
      <c r="T122" s="379"/>
      <c r="U122" s="441">
        <f>SUM(U115:U121)</f>
        <v>40500</v>
      </c>
      <c r="V122" s="410"/>
      <c r="W122" s="6"/>
    </row>
    <row r="123" spans="1:24" ht="15.6">
      <c r="A123" s="242"/>
      <c r="B123" s="438"/>
      <c r="C123" s="438"/>
      <c r="D123" s="438"/>
      <c r="E123" s="438"/>
      <c r="F123" s="438"/>
      <c r="G123" s="438"/>
      <c r="H123" s="438"/>
      <c r="I123" s="438"/>
      <c r="J123" s="438"/>
      <c r="K123" s="438"/>
      <c r="L123" s="438"/>
      <c r="M123" s="438"/>
      <c r="N123" s="438"/>
      <c r="O123" s="438"/>
      <c r="P123" s="438"/>
      <c r="Q123" s="438"/>
      <c r="R123" s="438"/>
      <c r="S123" s="438"/>
      <c r="T123" s="438"/>
      <c r="U123" s="448"/>
      <c r="V123" s="245"/>
      <c r="W123" s="6"/>
    </row>
    <row r="124" spans="1:24" ht="15.6">
      <c r="A124" s="242"/>
      <c r="B124" s="274" t="s">
        <v>46</v>
      </c>
      <c r="C124" s="252"/>
      <c r="D124" s="252"/>
      <c r="E124" s="252"/>
      <c r="F124" s="252"/>
      <c r="G124" s="252"/>
      <c r="H124" s="252"/>
      <c r="I124" s="252"/>
      <c r="J124" s="252"/>
      <c r="K124" s="252"/>
      <c r="L124" s="252"/>
      <c r="M124" s="244"/>
      <c r="N124" s="244"/>
      <c r="O124" s="244"/>
      <c r="P124" s="275"/>
      <c r="Q124" s="244"/>
      <c r="R124" s="244"/>
      <c r="S124" s="244"/>
      <c r="T124" s="244"/>
      <c r="U124" s="276"/>
      <c r="V124" s="245"/>
      <c r="W124" s="6"/>
    </row>
    <row r="125" spans="1:24" ht="15.6">
      <c r="A125" s="230"/>
      <c r="B125" s="511"/>
      <c r="C125" s="232" t="s">
        <v>185</v>
      </c>
      <c r="D125" s="232"/>
      <c r="E125" s="232" t="s">
        <v>99</v>
      </c>
      <c r="F125" s="232"/>
      <c r="G125" s="232" t="s">
        <v>102</v>
      </c>
      <c r="H125" s="232"/>
      <c r="I125" s="232" t="s">
        <v>108</v>
      </c>
      <c r="J125" s="232"/>
      <c r="K125" s="232"/>
      <c r="L125" s="232"/>
      <c r="M125" s="232"/>
      <c r="N125" s="232"/>
      <c r="O125" s="232"/>
      <c r="P125" s="326"/>
      <c r="Q125" s="326"/>
      <c r="R125" s="231"/>
      <c r="S125" s="231"/>
      <c r="T125" s="231"/>
      <c r="U125" s="309"/>
      <c r="V125" s="237"/>
      <c r="W125" s="6"/>
    </row>
    <row r="126" spans="1:24" ht="15.6">
      <c r="A126" s="257"/>
      <c r="B126" s="294" t="s">
        <v>122</v>
      </c>
      <c r="C126" s="310">
        <f>+N199-'March 14'!N199</f>
        <v>-62</v>
      </c>
      <c r="D126" s="294"/>
      <c r="E126" s="310">
        <f>+S199-'March 14'!S199</f>
        <v>-32</v>
      </c>
      <c r="F126" s="294"/>
      <c r="G126" s="310">
        <f>+'June 14'!N212-'March 14'!N212</f>
        <v>-181</v>
      </c>
      <c r="H126" s="294"/>
      <c r="I126" s="310">
        <f>+S212-'March 14'!S212</f>
        <v>-34</v>
      </c>
      <c r="J126" s="294"/>
      <c r="K126" s="294"/>
      <c r="L126" s="294"/>
      <c r="M126" s="294"/>
      <c r="N126" s="294"/>
      <c r="O126" s="294"/>
      <c r="P126" s="325"/>
      <c r="Q126" s="325"/>
      <c r="R126" s="294"/>
      <c r="S126" s="294"/>
      <c r="T126" s="294"/>
      <c r="U126" s="311">
        <f>SUM(C126:I126)</f>
        <v>-309</v>
      </c>
      <c r="V126" s="298"/>
      <c r="W126" s="6"/>
      <c r="X126" s="182"/>
    </row>
    <row r="127" spans="1:24" ht="15.6">
      <c r="A127" s="378"/>
      <c r="B127" s="379" t="s">
        <v>47</v>
      </c>
      <c r="C127" s="379">
        <v>30</v>
      </c>
      <c r="D127" s="379"/>
      <c r="E127" s="379">
        <v>0</v>
      </c>
      <c r="F127" s="379"/>
      <c r="G127" s="379">
        <v>426</v>
      </c>
      <c r="H127" s="379"/>
      <c r="I127" s="440">
        <v>48</v>
      </c>
      <c r="J127" s="379"/>
      <c r="K127" s="379"/>
      <c r="L127" s="379"/>
      <c r="M127" s="379"/>
      <c r="N127" s="379"/>
      <c r="O127" s="379"/>
      <c r="P127" s="450"/>
      <c r="Q127" s="450"/>
      <c r="R127" s="379"/>
      <c r="S127" s="379"/>
      <c r="T127" s="379"/>
      <c r="U127" s="441">
        <f>SUM(C127:I127)</f>
        <v>504</v>
      </c>
      <c r="V127" s="410"/>
      <c r="W127" s="6"/>
    </row>
    <row r="128" spans="1:24" ht="15.6">
      <c r="A128" s="242"/>
      <c r="B128" s="364" t="s">
        <v>48</v>
      </c>
      <c r="C128" s="364"/>
      <c r="D128" s="364"/>
      <c r="E128" s="364"/>
      <c r="F128" s="364"/>
      <c r="G128" s="364"/>
      <c r="H128" s="364"/>
      <c r="I128" s="364"/>
      <c r="J128" s="364"/>
      <c r="K128" s="364"/>
      <c r="L128" s="364"/>
      <c r="M128" s="364"/>
      <c r="N128" s="364"/>
      <c r="O128" s="364"/>
      <c r="P128" s="364"/>
      <c r="Q128" s="364"/>
      <c r="R128" s="364"/>
      <c r="S128" s="364"/>
      <c r="T128" s="364"/>
      <c r="U128" s="449">
        <f>SUM(U126:U127)</f>
        <v>195</v>
      </c>
      <c r="V128" s="303"/>
      <c r="W128" s="6"/>
      <c r="X128" s="182"/>
    </row>
    <row r="129" spans="1:25" ht="15.6">
      <c r="A129" s="242"/>
      <c r="B129" s="274" t="s">
        <v>49</v>
      </c>
      <c r="C129" s="252"/>
      <c r="D129" s="252"/>
      <c r="E129" s="252"/>
      <c r="F129" s="252"/>
      <c r="G129" s="252"/>
      <c r="H129" s="252"/>
      <c r="I129" s="252"/>
      <c r="J129" s="252"/>
      <c r="K129" s="252"/>
      <c r="L129" s="252"/>
      <c r="M129" s="244"/>
      <c r="N129" s="244"/>
      <c r="O129" s="244"/>
      <c r="P129" s="244"/>
      <c r="Q129" s="244"/>
      <c r="R129" s="244"/>
      <c r="S129" s="244"/>
      <c r="T129" s="244"/>
      <c r="U129" s="263"/>
      <c r="V129" s="245"/>
      <c r="W129" s="6"/>
    </row>
    <row r="130" spans="1:25" ht="15.6">
      <c r="A130" s="444"/>
      <c r="B130" s="379" t="s">
        <v>50</v>
      </c>
      <c r="C130" s="386"/>
      <c r="D130" s="386"/>
      <c r="E130" s="386"/>
      <c r="F130" s="386"/>
      <c r="G130" s="386"/>
      <c r="H130" s="386"/>
      <c r="I130" s="386"/>
      <c r="J130" s="386"/>
      <c r="K130" s="386"/>
      <c r="L130" s="386"/>
      <c r="M130" s="379"/>
      <c r="N130" s="379"/>
      <c r="O130" s="379"/>
      <c r="P130" s="379"/>
      <c r="Q130" s="379"/>
      <c r="R130" s="379"/>
      <c r="S130" s="379"/>
      <c r="T130" s="379"/>
      <c r="U130" s="441">
        <f>U75+U77</f>
        <v>113462</v>
      </c>
      <c r="V130" s="410"/>
      <c r="W130" s="6"/>
      <c r="X130" s="182"/>
    </row>
    <row r="131" spans="1:25" ht="15.6">
      <c r="A131" s="444"/>
      <c r="B131" s="379" t="s">
        <v>51</v>
      </c>
      <c r="C131" s="386"/>
      <c r="D131" s="386"/>
      <c r="E131" s="386"/>
      <c r="F131" s="386"/>
      <c r="G131" s="386"/>
      <c r="H131" s="386"/>
      <c r="I131" s="386"/>
      <c r="J131" s="386"/>
      <c r="K131" s="386"/>
      <c r="L131" s="386"/>
      <c r="M131" s="379"/>
      <c r="N131" s="379"/>
      <c r="O131" s="379"/>
      <c r="P131" s="379"/>
      <c r="Q131" s="379"/>
      <c r="R131" s="379"/>
      <c r="S131" s="379"/>
      <c r="T131" s="379"/>
      <c r="U131" s="441">
        <v>0</v>
      </c>
      <c r="V131" s="410"/>
      <c r="W131" s="6"/>
      <c r="Y131" s="182"/>
    </row>
    <row r="132" spans="1:25" ht="15.6">
      <c r="A132" s="444"/>
      <c r="B132" s="379" t="s">
        <v>52</v>
      </c>
      <c r="C132" s="386"/>
      <c r="D132" s="386"/>
      <c r="E132" s="386"/>
      <c r="F132" s="386"/>
      <c r="G132" s="386"/>
      <c r="H132" s="386"/>
      <c r="I132" s="386"/>
      <c r="J132" s="386"/>
      <c r="K132" s="386"/>
      <c r="L132" s="386"/>
      <c r="M132" s="379"/>
      <c r="N132" s="379"/>
      <c r="O132" s="379"/>
      <c r="P132" s="379"/>
      <c r="Q132" s="379"/>
      <c r="R132" s="379"/>
      <c r="S132" s="379"/>
      <c r="T132" s="379"/>
      <c r="U132" s="441">
        <f>+U130+U131</f>
        <v>113462</v>
      </c>
      <c r="V132" s="410"/>
      <c r="W132" s="6"/>
    </row>
    <row r="133" spans="1:25" ht="15.6">
      <c r="A133" s="444"/>
      <c r="B133" s="379" t="s">
        <v>53</v>
      </c>
      <c r="C133" s="386"/>
      <c r="D133" s="386"/>
      <c r="E133" s="386"/>
      <c r="F133" s="386"/>
      <c r="G133" s="386"/>
      <c r="H133" s="386"/>
      <c r="I133" s="386"/>
      <c r="J133" s="386"/>
      <c r="K133" s="386"/>
      <c r="L133" s="386"/>
      <c r="M133" s="379"/>
      <c r="N133" s="379"/>
      <c r="O133" s="379"/>
      <c r="P133" s="379"/>
      <c r="Q133" s="379"/>
      <c r="R133" s="379"/>
      <c r="S133" s="379"/>
      <c r="T133" s="379"/>
      <c r="U133" s="441">
        <f>U80</f>
        <v>113462</v>
      </c>
      <c r="V133" s="410"/>
      <c r="W133" s="6"/>
      <c r="X133" s="64"/>
    </row>
    <row r="134" spans="1:25" ht="15.6">
      <c r="A134" s="242"/>
      <c r="B134" s="438"/>
      <c r="C134" s="438"/>
      <c r="D134" s="438"/>
      <c r="E134" s="438"/>
      <c r="F134" s="438"/>
      <c r="G134" s="438"/>
      <c r="H134" s="438"/>
      <c r="I134" s="438"/>
      <c r="J134" s="438"/>
      <c r="K134" s="438"/>
      <c r="L134" s="438"/>
      <c r="M134" s="438"/>
      <c r="N134" s="438"/>
      <c r="O134" s="438"/>
      <c r="P134" s="438"/>
      <c r="Q134" s="438"/>
      <c r="R134" s="438"/>
      <c r="S134" s="438"/>
      <c r="T134" s="438"/>
      <c r="U134" s="451"/>
      <c r="V134" s="245"/>
      <c r="W134" s="6"/>
    </row>
    <row r="135" spans="1:25" ht="15.6">
      <c r="A135" s="242"/>
      <c r="B135" s="274" t="s">
        <v>54</v>
      </c>
      <c r="C135" s="247"/>
      <c r="D135" s="247"/>
      <c r="E135" s="247"/>
      <c r="F135" s="247"/>
      <c r="G135" s="247"/>
      <c r="H135" s="247"/>
      <c r="I135" s="247"/>
      <c r="J135" s="247"/>
      <c r="K135" s="247"/>
      <c r="L135" s="247"/>
      <c r="M135" s="247"/>
      <c r="N135" s="247"/>
      <c r="O135" s="247"/>
      <c r="P135" s="247"/>
      <c r="Q135" s="277" t="s">
        <v>112</v>
      </c>
      <c r="R135" s="278"/>
      <c r="S135" s="277" t="s">
        <v>114</v>
      </c>
      <c r="T135" s="247"/>
      <c r="U135" s="279" t="s">
        <v>90</v>
      </c>
      <c r="V135" s="245"/>
      <c r="W135" s="6"/>
    </row>
    <row r="136" spans="1:25" ht="15.6">
      <c r="A136" s="378"/>
      <c r="B136" s="379" t="s">
        <v>55</v>
      </c>
      <c r="C136" s="379"/>
      <c r="D136" s="379"/>
      <c r="E136" s="379"/>
      <c r="F136" s="379"/>
      <c r="G136" s="379"/>
      <c r="H136" s="379"/>
      <c r="I136" s="379"/>
      <c r="J136" s="379"/>
      <c r="K136" s="379"/>
      <c r="L136" s="379"/>
      <c r="M136" s="379"/>
      <c r="N136" s="379"/>
      <c r="O136" s="379"/>
      <c r="P136" s="379"/>
      <c r="Q136" s="441">
        <v>0</v>
      </c>
      <c r="R136" s="379"/>
      <c r="S136" s="453" t="s">
        <v>115</v>
      </c>
      <c r="T136" s="379"/>
      <c r="U136" s="441">
        <f>Q136</f>
        <v>0</v>
      </c>
      <c r="V136" s="385"/>
      <c r="W136" s="6"/>
    </row>
    <row r="137" spans="1:25" ht="15.6">
      <c r="A137" s="378"/>
      <c r="B137" s="379" t="s">
        <v>56</v>
      </c>
      <c r="C137" s="379"/>
      <c r="D137" s="379"/>
      <c r="E137" s="379"/>
      <c r="F137" s="379"/>
      <c r="G137" s="379"/>
      <c r="H137" s="379"/>
      <c r="I137" s="379"/>
      <c r="J137" s="379"/>
      <c r="K137" s="379"/>
      <c r="L137" s="379"/>
      <c r="M137" s="379"/>
      <c r="N137" s="379"/>
      <c r="O137" s="379"/>
      <c r="P137" s="379"/>
      <c r="Q137" s="441">
        <f>+'March 14'!Q139</f>
        <v>4229</v>
      </c>
      <c r="R137" s="379"/>
      <c r="S137" s="453" t="s">
        <v>115</v>
      </c>
      <c r="T137" s="379"/>
      <c r="U137" s="441">
        <f>Q137</f>
        <v>4229</v>
      </c>
      <c r="V137" s="385"/>
      <c r="W137" s="6"/>
    </row>
    <row r="138" spans="1:25" ht="15.6">
      <c r="A138" s="378"/>
      <c r="B138" s="379" t="s">
        <v>57</v>
      </c>
      <c r="C138" s="379"/>
      <c r="D138" s="379"/>
      <c r="E138" s="379"/>
      <c r="F138" s="379"/>
      <c r="G138" s="379"/>
      <c r="H138" s="379"/>
      <c r="I138" s="379"/>
      <c r="J138" s="379"/>
      <c r="K138" s="379"/>
      <c r="L138" s="379"/>
      <c r="M138" s="379"/>
      <c r="N138" s="379"/>
      <c r="O138" s="379"/>
      <c r="P138" s="379"/>
      <c r="Q138" s="441">
        <v>0</v>
      </c>
      <c r="R138" s="379"/>
      <c r="S138" s="453" t="s">
        <v>115</v>
      </c>
      <c r="T138" s="379"/>
      <c r="U138" s="441">
        <f>Q138</f>
        <v>0</v>
      </c>
      <c r="V138" s="385"/>
      <c r="W138" s="6"/>
    </row>
    <row r="139" spans="1:25" ht="15.6">
      <c r="A139" s="378"/>
      <c r="B139" s="379" t="s">
        <v>58</v>
      </c>
      <c r="C139" s="379"/>
      <c r="D139" s="379"/>
      <c r="E139" s="379"/>
      <c r="F139" s="379"/>
      <c r="G139" s="379"/>
      <c r="H139" s="379"/>
      <c r="I139" s="379"/>
      <c r="J139" s="379"/>
      <c r="K139" s="379"/>
      <c r="L139" s="379"/>
      <c r="M139" s="379"/>
      <c r="N139" s="379"/>
      <c r="O139" s="379"/>
      <c r="P139" s="379"/>
      <c r="Q139" s="441">
        <f>SUM(Q137:Q138)</f>
        <v>4229</v>
      </c>
      <c r="R139" s="379"/>
      <c r="S139" s="453" t="s">
        <v>115</v>
      </c>
      <c r="T139" s="379"/>
      <c r="U139" s="441">
        <f>Q139</f>
        <v>4229</v>
      </c>
      <c r="V139" s="385"/>
      <c r="W139" s="6"/>
    </row>
    <row r="140" spans="1:25" ht="15.6">
      <c r="A140" s="378"/>
      <c r="B140" s="379" t="s">
        <v>215</v>
      </c>
      <c r="C140" s="379"/>
      <c r="D140" s="379"/>
      <c r="E140" s="379"/>
      <c r="F140" s="379"/>
      <c r="G140" s="379"/>
      <c r="H140" s="379"/>
      <c r="I140" s="379"/>
      <c r="J140" s="379"/>
      <c r="K140" s="379"/>
      <c r="L140" s="379"/>
      <c r="M140" s="379"/>
      <c r="N140" s="379"/>
      <c r="O140" s="379"/>
      <c r="P140" s="379"/>
      <c r="Q140" s="441"/>
      <c r="R140" s="379"/>
      <c r="S140" s="453"/>
      <c r="T140" s="379"/>
      <c r="U140" s="441"/>
      <c r="V140" s="385"/>
      <c r="W140" s="6"/>
    </row>
    <row r="141" spans="1:25" ht="15.6">
      <c r="A141" s="378"/>
      <c r="B141" s="454"/>
      <c r="C141" s="454"/>
      <c r="D141" s="454"/>
      <c r="E141" s="454"/>
      <c r="F141" s="454"/>
      <c r="G141" s="454"/>
      <c r="H141" s="454"/>
      <c r="I141" s="454"/>
      <c r="J141" s="454"/>
      <c r="K141" s="454"/>
      <c r="L141" s="454"/>
      <c r="M141" s="454"/>
      <c r="N141" s="454"/>
      <c r="O141" s="454"/>
      <c r="P141" s="454"/>
      <c r="Q141" s="454"/>
      <c r="R141" s="454"/>
      <c r="S141" s="454"/>
      <c r="T141" s="454"/>
      <c r="U141" s="454"/>
      <c r="V141" s="385"/>
      <c r="W141" s="6"/>
    </row>
    <row r="142" spans="1:25" ht="15.6">
      <c r="A142" s="242"/>
      <c r="B142" s="452"/>
      <c r="C142" s="452"/>
      <c r="D142" s="452"/>
      <c r="E142" s="452"/>
      <c r="F142" s="452"/>
      <c r="G142" s="452"/>
      <c r="H142" s="452"/>
      <c r="I142" s="452"/>
      <c r="J142" s="452"/>
      <c r="K142" s="452"/>
      <c r="L142" s="452"/>
      <c r="M142" s="452"/>
      <c r="N142" s="452"/>
      <c r="O142" s="452"/>
      <c r="P142" s="452"/>
      <c r="Q142" s="452"/>
      <c r="R142" s="452"/>
      <c r="S142" s="452"/>
      <c r="T142" s="452"/>
      <c r="U142" s="452"/>
      <c r="V142" s="284"/>
      <c r="W142" s="6"/>
    </row>
    <row r="143" spans="1:25" ht="15.6">
      <c r="A143" s="230"/>
      <c r="B143" s="511" t="s">
        <v>59</v>
      </c>
      <c r="C143" s="518"/>
      <c r="D143" s="518"/>
      <c r="E143" s="518"/>
      <c r="F143" s="518"/>
      <c r="G143" s="518"/>
      <c r="H143" s="518"/>
      <c r="I143" s="518"/>
      <c r="J143" s="518"/>
      <c r="K143" s="518"/>
      <c r="L143" s="518"/>
      <c r="M143" s="518"/>
      <c r="N143" s="518"/>
      <c r="O143" s="518"/>
      <c r="P143" s="519"/>
      <c r="Q143" s="519"/>
      <c r="R143" s="519"/>
      <c r="S143" s="519">
        <v>41820</v>
      </c>
      <c r="T143" s="231"/>
      <c r="U143" s="231"/>
      <c r="V143" s="237"/>
      <c r="W143" s="6"/>
    </row>
    <row r="144" spans="1:25" ht="15.6">
      <c r="A144" s="281"/>
      <c r="B144" s="294" t="s">
        <v>60</v>
      </c>
      <c r="C144" s="329"/>
      <c r="D144" s="329"/>
      <c r="E144" s="329"/>
      <c r="F144" s="329"/>
      <c r="G144" s="329"/>
      <c r="H144" s="329"/>
      <c r="I144" s="329"/>
      <c r="J144" s="329"/>
      <c r="K144" s="329"/>
      <c r="L144" s="329"/>
      <c r="M144" s="329"/>
      <c r="N144" s="329"/>
      <c r="O144" s="329"/>
      <c r="P144" s="300"/>
      <c r="Q144" s="300"/>
      <c r="R144" s="300"/>
      <c r="S144" s="299">
        <v>0.10630000000000001</v>
      </c>
      <c r="T144" s="294"/>
      <c r="U144" s="294"/>
      <c r="V144" s="260"/>
      <c r="W144" s="6"/>
    </row>
    <row r="145" spans="1:23" ht="15.6">
      <c r="A145" s="458"/>
      <c r="B145" s="379" t="s">
        <v>61</v>
      </c>
      <c r="C145" s="459"/>
      <c r="D145" s="459"/>
      <c r="E145" s="459"/>
      <c r="F145" s="459"/>
      <c r="G145" s="459"/>
      <c r="H145" s="459"/>
      <c r="I145" s="459"/>
      <c r="J145" s="459"/>
      <c r="K145" s="459"/>
      <c r="L145" s="459"/>
      <c r="M145" s="459"/>
      <c r="N145" s="459"/>
      <c r="O145" s="459"/>
      <c r="P145" s="433"/>
      <c r="Q145" s="433"/>
      <c r="R145" s="433"/>
      <c r="S145" s="427">
        <v>5.2200000000000003E-2</v>
      </c>
      <c r="T145" s="427"/>
      <c r="U145" s="379"/>
      <c r="V145" s="385"/>
      <c r="W145" s="6"/>
    </row>
    <row r="146" spans="1:23" ht="15.6">
      <c r="A146" s="458"/>
      <c r="B146" s="379" t="s">
        <v>62</v>
      </c>
      <c r="C146" s="459"/>
      <c r="D146" s="459"/>
      <c r="E146" s="459"/>
      <c r="F146" s="459"/>
      <c r="G146" s="459"/>
      <c r="H146" s="459"/>
      <c r="I146" s="459"/>
      <c r="J146" s="459"/>
      <c r="K146" s="459"/>
      <c r="L146" s="459"/>
      <c r="M146" s="459"/>
      <c r="N146" s="459"/>
      <c r="O146" s="459"/>
      <c r="P146" s="433"/>
      <c r="Q146" s="433"/>
      <c r="R146" s="433"/>
      <c r="S146" s="427">
        <f>S144-S145</f>
        <v>5.4100000000000002E-2</v>
      </c>
      <c r="T146" s="379"/>
      <c r="U146" s="379"/>
      <c r="V146" s="385"/>
      <c r="W146" s="6"/>
    </row>
    <row r="147" spans="1:23" ht="15.6">
      <c r="A147" s="458"/>
      <c r="B147" s="379" t="s">
        <v>63</v>
      </c>
      <c r="C147" s="459"/>
      <c r="D147" s="459"/>
      <c r="E147" s="459"/>
      <c r="F147" s="459"/>
      <c r="G147" s="459"/>
      <c r="H147" s="459"/>
      <c r="I147" s="459"/>
      <c r="J147" s="459"/>
      <c r="K147" s="459"/>
      <c r="L147" s="459"/>
      <c r="M147" s="459"/>
      <c r="N147" s="459"/>
      <c r="O147" s="459"/>
      <c r="P147" s="433"/>
      <c r="Q147" s="433"/>
      <c r="R147" s="433"/>
      <c r="S147" s="427">
        <v>9.1050000000000006E-2</v>
      </c>
      <c r="T147" s="379"/>
      <c r="U147" s="379"/>
      <c r="V147" s="385"/>
      <c r="W147" s="6"/>
    </row>
    <row r="148" spans="1:23" ht="15.6">
      <c r="A148" s="458"/>
      <c r="B148" s="379" t="s">
        <v>64</v>
      </c>
      <c r="C148" s="459"/>
      <c r="D148" s="459"/>
      <c r="E148" s="459"/>
      <c r="F148" s="459"/>
      <c r="G148" s="459"/>
      <c r="H148" s="459"/>
      <c r="I148" s="459"/>
      <c r="J148" s="459"/>
      <c r="K148" s="459"/>
      <c r="L148" s="459"/>
      <c r="M148" s="459"/>
      <c r="N148" s="459"/>
      <c r="O148" s="459"/>
      <c r="P148" s="433"/>
      <c r="Q148" s="433"/>
      <c r="R148" s="433"/>
      <c r="S148" s="427">
        <f>+U40</f>
        <v>1.4689542507490484E-2</v>
      </c>
      <c r="T148" s="379"/>
      <c r="U148" s="379"/>
      <c r="V148" s="385"/>
      <c r="W148" s="6"/>
    </row>
    <row r="149" spans="1:23" ht="15.6">
      <c r="A149" s="458"/>
      <c r="B149" s="379" t="s">
        <v>65</v>
      </c>
      <c r="C149" s="459"/>
      <c r="D149" s="459"/>
      <c r="E149" s="459"/>
      <c r="F149" s="459"/>
      <c r="G149" s="459"/>
      <c r="H149" s="459"/>
      <c r="I149" s="459"/>
      <c r="J149" s="459"/>
      <c r="K149" s="459"/>
      <c r="L149" s="459"/>
      <c r="M149" s="459"/>
      <c r="N149" s="459"/>
      <c r="O149" s="459"/>
      <c r="P149" s="433"/>
      <c r="Q149" s="433"/>
      <c r="R149" s="433"/>
      <c r="S149" s="427">
        <f>S147-S148</f>
        <v>7.6360457492509526E-2</v>
      </c>
      <c r="T149" s="379"/>
      <c r="U149" s="379"/>
      <c r="V149" s="385"/>
      <c r="W149" s="6"/>
    </row>
    <row r="150" spans="1:23" ht="15.6">
      <c r="A150" s="458"/>
      <c r="B150" s="379" t="s">
        <v>204</v>
      </c>
      <c r="C150" s="459"/>
      <c r="D150" s="459"/>
      <c r="E150" s="459"/>
      <c r="F150" s="459"/>
      <c r="G150" s="459"/>
      <c r="H150" s="459"/>
      <c r="I150" s="459"/>
      <c r="J150" s="459"/>
      <c r="K150" s="459"/>
      <c r="L150" s="459"/>
      <c r="M150" s="459"/>
      <c r="N150" s="459"/>
      <c r="O150" s="459"/>
      <c r="P150" s="433"/>
      <c r="Q150" s="433"/>
      <c r="R150" s="433"/>
      <c r="S150" s="429">
        <v>49780</v>
      </c>
      <c r="T150" s="379"/>
      <c r="U150" s="379"/>
      <c r="V150" s="385"/>
      <c r="W150" s="6"/>
    </row>
    <row r="151" spans="1:23" ht="15.6">
      <c r="A151" s="458"/>
      <c r="B151" s="379" t="s">
        <v>205</v>
      </c>
      <c r="C151" s="459"/>
      <c r="D151" s="459"/>
      <c r="E151" s="459"/>
      <c r="F151" s="459"/>
      <c r="G151" s="459"/>
      <c r="H151" s="459"/>
      <c r="I151" s="459"/>
      <c r="J151" s="459"/>
      <c r="K151" s="459"/>
      <c r="L151" s="459"/>
      <c r="M151" s="459"/>
      <c r="N151" s="459"/>
      <c r="O151" s="459"/>
      <c r="P151" s="433"/>
      <c r="Q151" s="433"/>
      <c r="R151" s="433"/>
      <c r="S151" s="429">
        <v>49780</v>
      </c>
      <c r="T151" s="379"/>
      <c r="U151" s="379"/>
      <c r="V151" s="385"/>
      <c r="W151" s="6"/>
    </row>
    <row r="152" spans="1:23" ht="15.6">
      <c r="A152" s="458"/>
      <c r="B152" s="379" t="s">
        <v>206</v>
      </c>
      <c r="C152" s="459"/>
      <c r="D152" s="459"/>
      <c r="E152" s="459"/>
      <c r="F152" s="459"/>
      <c r="G152" s="459"/>
      <c r="H152" s="459"/>
      <c r="I152" s="459"/>
      <c r="J152" s="459"/>
      <c r="K152" s="459"/>
      <c r="L152" s="459"/>
      <c r="M152" s="459"/>
      <c r="N152" s="459"/>
      <c r="O152" s="459"/>
      <c r="P152" s="433"/>
      <c r="Q152" s="433"/>
      <c r="R152" s="433"/>
      <c r="S152" s="429">
        <v>49780</v>
      </c>
      <c r="T152" s="379"/>
      <c r="U152" s="379"/>
      <c r="V152" s="385"/>
      <c r="W152" s="6"/>
    </row>
    <row r="153" spans="1:23" ht="15.6">
      <c r="A153" s="458"/>
      <c r="B153" s="379" t="s">
        <v>207</v>
      </c>
      <c r="C153" s="459"/>
      <c r="D153" s="459"/>
      <c r="E153" s="459"/>
      <c r="F153" s="459"/>
      <c r="G153" s="459"/>
      <c r="H153" s="459"/>
      <c r="I153" s="459"/>
      <c r="J153" s="459"/>
      <c r="K153" s="459"/>
      <c r="L153" s="459"/>
      <c r="M153" s="459"/>
      <c r="N153" s="459"/>
      <c r="O153" s="459"/>
      <c r="P153" s="433"/>
      <c r="Q153" s="433"/>
      <c r="R153" s="433"/>
      <c r="S153" s="429">
        <v>49780</v>
      </c>
      <c r="T153" s="379"/>
      <c r="U153" s="379"/>
      <c r="V153" s="385"/>
      <c r="W153" s="6"/>
    </row>
    <row r="154" spans="1:23" ht="15.6">
      <c r="A154" s="458"/>
      <c r="B154" s="379" t="s">
        <v>221</v>
      </c>
      <c r="C154" s="459"/>
      <c r="D154" s="459"/>
      <c r="E154" s="459"/>
      <c r="F154" s="459"/>
      <c r="G154" s="459"/>
      <c r="H154" s="459"/>
      <c r="I154" s="459"/>
      <c r="J154" s="459"/>
      <c r="K154" s="459"/>
      <c r="L154" s="459"/>
      <c r="M154" s="459"/>
      <c r="N154" s="459"/>
      <c r="O154" s="459"/>
      <c r="P154" s="433"/>
      <c r="Q154" s="433"/>
      <c r="R154" s="433"/>
      <c r="S154" s="432">
        <v>111.34</v>
      </c>
      <c r="T154" s="379"/>
      <c r="U154" s="379"/>
      <c r="V154" s="385"/>
      <c r="W154" s="6"/>
    </row>
    <row r="155" spans="1:23" ht="15.6">
      <c r="A155" s="458"/>
      <c r="B155" s="379" t="s">
        <v>222</v>
      </c>
      <c r="C155" s="459"/>
      <c r="D155" s="459"/>
      <c r="E155" s="459"/>
      <c r="F155" s="459"/>
      <c r="G155" s="459"/>
      <c r="H155" s="459"/>
      <c r="I155" s="459"/>
      <c r="J155" s="459"/>
      <c r="K155" s="459"/>
      <c r="L155" s="459"/>
      <c r="M155" s="459"/>
      <c r="N155" s="459"/>
      <c r="O155" s="459"/>
      <c r="P155" s="433"/>
      <c r="Q155" s="433"/>
      <c r="R155" s="433"/>
      <c r="S155" s="432">
        <v>144.44</v>
      </c>
      <c r="T155" s="379"/>
      <c r="U155" s="379"/>
      <c r="V155" s="385"/>
      <c r="W155" s="6"/>
    </row>
    <row r="156" spans="1:23" ht="15.6">
      <c r="A156" s="458" t="s">
        <v>223</v>
      </c>
      <c r="B156" s="379" t="s">
        <v>66</v>
      </c>
      <c r="C156" s="459"/>
      <c r="D156" s="459"/>
      <c r="E156" s="459"/>
      <c r="F156" s="459"/>
      <c r="G156" s="459"/>
      <c r="H156" s="459"/>
      <c r="I156" s="459"/>
      <c r="J156" s="459"/>
      <c r="K156" s="459"/>
      <c r="L156" s="459"/>
      <c r="M156" s="459"/>
      <c r="N156" s="459"/>
      <c r="O156" s="459"/>
      <c r="P156" s="433"/>
      <c r="Q156" s="433"/>
      <c r="R156" s="433"/>
      <c r="S156" s="427">
        <v>4.2200000000000001E-2</v>
      </c>
      <c r="T156" s="379"/>
      <c r="U156" s="379"/>
      <c r="V156" s="385"/>
      <c r="W156" s="6"/>
    </row>
    <row r="157" spans="1:23" ht="15.6">
      <c r="A157" s="458"/>
      <c r="B157" s="379" t="s">
        <v>67</v>
      </c>
      <c r="C157" s="459"/>
      <c r="D157" s="459"/>
      <c r="E157" s="459"/>
      <c r="F157" s="459"/>
      <c r="G157" s="459"/>
      <c r="H157" s="459"/>
      <c r="I157" s="459"/>
      <c r="J157" s="459"/>
      <c r="K157" s="459"/>
      <c r="L157" s="459"/>
      <c r="M157" s="459"/>
      <c r="N157" s="459"/>
      <c r="O157" s="459"/>
      <c r="P157" s="433"/>
      <c r="Q157" s="433"/>
      <c r="R157" s="433"/>
      <c r="S157" s="427">
        <v>0.2697</v>
      </c>
      <c r="T157" s="379"/>
      <c r="U157" s="379"/>
      <c r="V157" s="385"/>
      <c r="W157" s="6"/>
    </row>
    <row r="158" spans="1:23" ht="15.6">
      <c r="A158" s="280"/>
      <c r="B158" s="364"/>
      <c r="C158" s="364"/>
      <c r="D158" s="364"/>
      <c r="E158" s="364"/>
      <c r="F158" s="364"/>
      <c r="G158" s="364"/>
      <c r="H158" s="364"/>
      <c r="I158" s="364"/>
      <c r="J158" s="364"/>
      <c r="K158" s="364"/>
      <c r="L158" s="364"/>
      <c r="M158" s="364"/>
      <c r="N158" s="364"/>
      <c r="O158" s="364"/>
      <c r="P158" s="364"/>
      <c r="Q158" s="364"/>
      <c r="R158" s="455"/>
      <c r="S158" s="456"/>
      <c r="T158" s="364"/>
      <c r="U158" s="457"/>
      <c r="V158" s="245"/>
      <c r="W158" s="6"/>
    </row>
    <row r="159" spans="1:23" ht="15.6">
      <c r="A159" s="280"/>
      <c r="B159" s="288"/>
      <c r="C159" s="288"/>
      <c r="D159" s="288"/>
      <c r="E159" s="288"/>
      <c r="F159" s="288"/>
      <c r="G159" s="288"/>
      <c r="H159" s="288"/>
      <c r="I159" s="288"/>
      <c r="J159" s="288"/>
      <c r="K159" s="288"/>
      <c r="L159" s="288"/>
      <c r="M159" s="288"/>
      <c r="N159" s="288"/>
      <c r="O159" s="288"/>
      <c r="P159" s="288"/>
      <c r="Q159" s="288"/>
      <c r="R159" s="331"/>
      <c r="S159" s="332"/>
      <c r="T159" s="288"/>
      <c r="U159" s="333"/>
      <c r="V159" s="245"/>
      <c r="W159" s="6"/>
    </row>
    <row r="160" spans="1:23" ht="16.2" thickBot="1">
      <c r="A160" s="282"/>
      <c r="B160" s="304" t="str">
        <f>+B109</f>
        <v>PPAF3 INVESTOR REPORT QUARTER ENDING JUNE 2014</v>
      </c>
      <c r="C160" s="305"/>
      <c r="D160" s="305"/>
      <c r="E160" s="305"/>
      <c r="F160" s="305"/>
      <c r="G160" s="305"/>
      <c r="H160" s="305"/>
      <c r="I160" s="305"/>
      <c r="J160" s="305"/>
      <c r="K160" s="305"/>
      <c r="L160" s="305"/>
      <c r="M160" s="305"/>
      <c r="N160" s="305"/>
      <c r="O160" s="305"/>
      <c r="P160" s="305"/>
      <c r="Q160" s="305"/>
      <c r="R160" s="334"/>
      <c r="S160" s="335"/>
      <c r="T160" s="305"/>
      <c r="U160" s="336"/>
      <c r="V160" s="262"/>
      <c r="W160" s="6"/>
    </row>
    <row r="161" spans="1:23" ht="15.6">
      <c r="A161" s="337"/>
      <c r="B161" s="520" t="s">
        <v>68</v>
      </c>
      <c r="C161" s="521"/>
      <c r="D161" s="521"/>
      <c r="E161" s="521"/>
      <c r="F161" s="521"/>
      <c r="G161" s="521"/>
      <c r="H161" s="521"/>
      <c r="I161" s="521"/>
      <c r="J161" s="521"/>
      <c r="K161" s="521"/>
      <c r="L161" s="521"/>
      <c r="M161" s="522"/>
      <c r="N161" s="521"/>
      <c r="O161" s="522"/>
      <c r="P161" s="521"/>
      <c r="Q161" s="522"/>
      <c r="R161" s="521" t="s">
        <v>94</v>
      </c>
      <c r="S161" s="522" t="s">
        <v>116</v>
      </c>
      <c r="T161" s="340"/>
      <c r="U161" s="340"/>
      <c r="V161" s="341"/>
      <c r="W161" s="6"/>
    </row>
    <row r="162" spans="1:23" ht="15.6">
      <c r="A162" s="283"/>
      <c r="B162" s="294" t="s">
        <v>216</v>
      </c>
      <c r="C162" s="310"/>
      <c r="D162" s="310"/>
      <c r="E162" s="310"/>
      <c r="F162" s="310"/>
      <c r="G162" s="310"/>
      <c r="H162" s="310"/>
      <c r="I162" s="310"/>
      <c r="J162" s="310"/>
      <c r="K162" s="310"/>
      <c r="L162" s="310"/>
      <c r="M162" s="310"/>
      <c r="N162" s="310"/>
      <c r="O162" s="294"/>
      <c r="P162" s="294"/>
      <c r="Q162" s="294"/>
      <c r="R162" s="310">
        <v>599</v>
      </c>
      <c r="S162" s="311">
        <v>14472</v>
      </c>
      <c r="T162" s="311"/>
      <c r="U162" s="330"/>
      <c r="V162" s="342"/>
      <c r="W162" s="6"/>
    </row>
    <row r="163" spans="1:23" ht="15.6">
      <c r="A163" s="465"/>
      <c r="B163" s="379" t="s">
        <v>217</v>
      </c>
      <c r="C163" s="440"/>
      <c r="D163" s="440"/>
      <c r="E163" s="440"/>
      <c r="F163" s="440"/>
      <c r="G163" s="440"/>
      <c r="H163" s="440"/>
      <c r="I163" s="440"/>
      <c r="J163" s="440"/>
      <c r="K163" s="440"/>
      <c r="L163" s="440"/>
      <c r="M163" s="440"/>
      <c r="N163" s="440"/>
      <c r="O163" s="379"/>
      <c r="P163" s="379"/>
      <c r="Q163" s="379"/>
      <c r="R163" s="545">
        <v>5</v>
      </c>
      <c r="S163" s="546">
        <v>23</v>
      </c>
      <c r="T163" s="441"/>
      <c r="U163" s="466"/>
      <c r="V163" s="467"/>
      <c r="W163" s="6"/>
    </row>
    <row r="164" spans="1:23" ht="15.6">
      <c r="A164" s="465"/>
      <c r="B164" s="379" t="s">
        <v>218</v>
      </c>
      <c r="C164" s="440"/>
      <c r="D164" s="440"/>
      <c r="E164" s="440"/>
      <c r="F164" s="440"/>
      <c r="G164" s="440"/>
      <c r="H164" s="440"/>
      <c r="I164" s="440"/>
      <c r="J164" s="440"/>
      <c r="K164" s="440"/>
      <c r="L164" s="440"/>
      <c r="M164" s="440"/>
      <c r="N164" s="440"/>
      <c r="O164" s="379"/>
      <c r="P164" s="379"/>
      <c r="Q164" s="379"/>
      <c r="R164" s="545">
        <v>99</v>
      </c>
      <c r="S164" s="546">
        <v>85</v>
      </c>
      <c r="T164" s="441"/>
      <c r="U164" s="466"/>
      <c r="V164" s="467"/>
      <c r="W164" s="6"/>
    </row>
    <row r="165" spans="1:23" ht="15.6">
      <c r="A165" s="465"/>
      <c r="B165" s="379" t="s">
        <v>219</v>
      </c>
      <c r="C165" s="440"/>
      <c r="D165" s="440"/>
      <c r="E165" s="440"/>
      <c r="F165" s="440"/>
      <c r="G165" s="440"/>
      <c r="H165" s="440"/>
      <c r="I165" s="440"/>
      <c r="J165" s="440"/>
      <c r="K165" s="440"/>
      <c r="L165" s="440"/>
      <c r="M165" s="440"/>
      <c r="N165" s="440"/>
      <c r="O165" s="379"/>
      <c r="P165" s="379"/>
      <c r="Q165" s="379"/>
      <c r="R165" s="545">
        <v>93</v>
      </c>
      <c r="S165" s="546">
        <v>212</v>
      </c>
      <c r="T165" s="441"/>
      <c r="U165" s="466"/>
      <c r="V165" s="467"/>
      <c r="W165" s="6"/>
    </row>
    <row r="166" spans="1:23" ht="15.6">
      <c r="A166" s="465"/>
      <c r="B166" s="379" t="s">
        <v>90</v>
      </c>
      <c r="C166" s="440"/>
      <c r="D166" s="440"/>
      <c r="E166" s="440"/>
      <c r="F166" s="440"/>
      <c r="G166" s="440"/>
      <c r="H166" s="440"/>
      <c r="I166" s="440"/>
      <c r="J166" s="440"/>
      <c r="K166" s="440"/>
      <c r="L166" s="440"/>
      <c r="M166" s="440"/>
      <c r="N166" s="440"/>
      <c r="O166" s="379"/>
      <c r="P166" s="379"/>
      <c r="Q166" s="379"/>
      <c r="R166" s="547">
        <f>SUM(R162:R165)</f>
        <v>796</v>
      </c>
      <c r="S166" s="546">
        <f>SUM(S162:S165)</f>
        <v>14792</v>
      </c>
      <c r="T166" s="441"/>
      <c r="U166" s="466"/>
      <c r="V166" s="467"/>
      <c r="W166" s="6"/>
    </row>
    <row r="167" spans="1:23" ht="15.6">
      <c r="A167" s="465"/>
      <c r="B167" s="379"/>
      <c r="C167" s="440"/>
      <c r="D167" s="440"/>
      <c r="E167" s="440"/>
      <c r="F167" s="440"/>
      <c r="G167" s="440"/>
      <c r="H167" s="440"/>
      <c r="I167" s="440"/>
      <c r="J167" s="440"/>
      <c r="K167" s="440"/>
      <c r="L167" s="440"/>
      <c r="M167" s="440"/>
      <c r="N167" s="440"/>
      <c r="O167" s="379"/>
      <c r="P167" s="379"/>
      <c r="Q167" s="379"/>
      <c r="R167" s="545"/>
      <c r="S167" s="546"/>
      <c r="T167" s="441"/>
      <c r="U167" s="466"/>
      <c r="V167" s="467"/>
      <c r="W167" s="6"/>
    </row>
    <row r="168" spans="1:23" ht="15.6">
      <c r="A168" s="465"/>
      <c r="B168" s="379" t="s">
        <v>220</v>
      </c>
      <c r="C168" s="440"/>
      <c r="D168" s="440"/>
      <c r="E168" s="440"/>
      <c r="F168" s="440"/>
      <c r="G168" s="440"/>
      <c r="H168" s="440"/>
      <c r="I168" s="440"/>
      <c r="J168" s="440"/>
      <c r="K168" s="440"/>
      <c r="L168" s="440"/>
      <c r="M168" s="440"/>
      <c r="N168" s="440"/>
      <c r="O168" s="379"/>
      <c r="P168" s="379"/>
      <c r="Q168" s="379"/>
      <c r="R168" s="545">
        <v>0</v>
      </c>
      <c r="S168" s="546">
        <v>0</v>
      </c>
      <c r="T168" s="441"/>
      <c r="U168" s="466"/>
      <c r="V168" s="467"/>
      <c r="W168" s="6"/>
    </row>
    <row r="169" spans="1:23" ht="15.6">
      <c r="A169" s="465"/>
      <c r="B169" s="379" t="s">
        <v>224</v>
      </c>
      <c r="C169" s="440"/>
      <c r="D169" s="440"/>
      <c r="E169" s="440"/>
      <c r="F169" s="440"/>
      <c r="G169" s="440"/>
      <c r="H169" s="440"/>
      <c r="I169" s="440"/>
      <c r="J169" s="440"/>
      <c r="K169" s="440"/>
      <c r="L169" s="440"/>
      <c r="M169" s="440"/>
      <c r="N169" s="440"/>
      <c r="O169" s="379"/>
      <c r="P169" s="379"/>
      <c r="Q169" s="379"/>
      <c r="R169" s="545">
        <v>9</v>
      </c>
      <c r="S169" s="546">
        <v>292</v>
      </c>
      <c r="T169" s="441"/>
      <c r="U169" s="466"/>
      <c r="V169" s="467"/>
      <c r="W169" s="6"/>
    </row>
    <row r="170" spans="1:23" ht="15.6">
      <c r="A170" s="465"/>
      <c r="B170" s="468" t="s">
        <v>69</v>
      </c>
      <c r="C170" s="469"/>
      <c r="D170" s="469"/>
      <c r="E170" s="469"/>
      <c r="F170" s="469"/>
      <c r="G170" s="469"/>
      <c r="H170" s="469"/>
      <c r="I170" s="469"/>
      <c r="J170" s="469"/>
      <c r="K170" s="469"/>
      <c r="L170" s="469"/>
      <c r="M170" s="469"/>
      <c r="N170" s="469"/>
      <c r="O170" s="454"/>
      <c r="P170" s="454"/>
      <c r="Q170" s="454"/>
      <c r="R170" s="539"/>
      <c r="S170" s="540">
        <v>0</v>
      </c>
      <c r="T170" s="454"/>
      <c r="U170" s="470"/>
      <c r="V170" s="471"/>
      <c r="W170" s="6"/>
    </row>
    <row r="171" spans="1:23" ht="15.6">
      <c r="A171" s="465"/>
      <c r="B171" s="468" t="s">
        <v>70</v>
      </c>
      <c r="C171" s="469"/>
      <c r="D171" s="469"/>
      <c r="E171" s="469"/>
      <c r="F171" s="469"/>
      <c r="G171" s="469"/>
      <c r="H171" s="469"/>
      <c r="I171" s="469"/>
      <c r="J171" s="469"/>
      <c r="K171" s="469"/>
      <c r="L171" s="469"/>
      <c r="M171" s="469"/>
      <c r="N171" s="469"/>
      <c r="O171" s="454"/>
      <c r="P171" s="454"/>
      <c r="Q171" s="454"/>
      <c r="R171" s="539"/>
      <c r="S171" s="540">
        <f>Q75</f>
        <v>0</v>
      </c>
      <c r="T171" s="454"/>
      <c r="U171" s="470"/>
      <c r="V171" s="471"/>
      <c r="W171" s="6"/>
    </row>
    <row r="172" spans="1:23" ht="15.6">
      <c r="A172" s="472"/>
      <c r="B172" s="468" t="s">
        <v>71</v>
      </c>
      <c r="C172" s="469"/>
      <c r="D172" s="469"/>
      <c r="E172" s="469"/>
      <c r="F172" s="469"/>
      <c r="G172" s="469"/>
      <c r="H172" s="469"/>
      <c r="I172" s="469"/>
      <c r="J172" s="469"/>
      <c r="K172" s="469"/>
      <c r="L172" s="469"/>
      <c r="M172" s="473"/>
      <c r="N172" s="473"/>
      <c r="O172" s="473"/>
      <c r="P172" s="454"/>
      <c r="Q172" s="454"/>
      <c r="R172" s="379"/>
      <c r="S172" s="500"/>
      <c r="T172" s="454"/>
      <c r="U172" s="470"/>
      <c r="V172" s="474"/>
      <c r="W172" s="6"/>
    </row>
    <row r="173" spans="1:23" ht="15.6">
      <c r="A173" s="465"/>
      <c r="B173" s="379" t="s">
        <v>72</v>
      </c>
      <c r="C173" s="469"/>
      <c r="D173" s="469"/>
      <c r="E173" s="469"/>
      <c r="F173" s="469"/>
      <c r="G173" s="469"/>
      <c r="H173" s="469"/>
      <c r="I173" s="469"/>
      <c r="J173" s="469"/>
      <c r="K173" s="469"/>
      <c r="L173" s="469"/>
      <c r="M173" s="469"/>
      <c r="N173" s="469"/>
      <c r="O173" s="469"/>
      <c r="P173" s="454"/>
      <c r="Q173" s="454"/>
      <c r="R173" s="379"/>
      <c r="S173" s="546">
        <f>U128</f>
        <v>195</v>
      </c>
      <c r="T173" s="454"/>
      <c r="U173" s="470"/>
      <c r="V173" s="474"/>
      <c r="W173" s="6"/>
    </row>
    <row r="174" spans="1:23" ht="15.6">
      <c r="A174" s="465"/>
      <c r="B174" s="379" t="s">
        <v>73</v>
      </c>
      <c r="C174" s="469"/>
      <c r="D174" s="469"/>
      <c r="E174" s="469"/>
      <c r="F174" s="469"/>
      <c r="G174" s="469"/>
      <c r="H174" s="469"/>
      <c r="I174" s="469"/>
      <c r="J174" s="469"/>
      <c r="K174" s="469"/>
      <c r="L174" s="469"/>
      <c r="M174" s="469"/>
      <c r="N174" s="469"/>
      <c r="O174" s="469"/>
      <c r="P174" s="454"/>
      <c r="Q174" s="454"/>
      <c r="R174" s="379"/>
      <c r="S174" s="546">
        <f>'March 14'!S174+S173</f>
        <v>88392</v>
      </c>
      <c r="T174" s="454"/>
      <c r="U174" s="470"/>
      <c r="V174" s="474"/>
      <c r="W174" s="6"/>
    </row>
    <row r="175" spans="1:23" ht="15.6">
      <c r="A175" s="465"/>
      <c r="B175" s="379" t="s">
        <v>74</v>
      </c>
      <c r="C175" s="469"/>
      <c r="D175" s="469"/>
      <c r="E175" s="469"/>
      <c r="F175" s="469"/>
      <c r="G175" s="469"/>
      <c r="H175" s="469"/>
      <c r="I175" s="469"/>
      <c r="J175" s="469"/>
      <c r="K175" s="469"/>
      <c r="L175" s="469"/>
      <c r="M175" s="469"/>
      <c r="N175" s="469"/>
      <c r="O175" s="469"/>
      <c r="P175" s="454"/>
      <c r="Q175" s="454"/>
      <c r="R175" s="379"/>
      <c r="S175" s="546">
        <f>'March 14'!S175+793</f>
        <v>23772</v>
      </c>
      <c r="T175" s="454"/>
      <c r="U175" s="470"/>
      <c r="V175" s="474"/>
      <c r="W175" s="6"/>
    </row>
    <row r="176" spans="1:23" ht="15.6">
      <c r="A176" s="465"/>
      <c r="B176" s="473"/>
      <c r="C176" s="469"/>
      <c r="D176" s="469"/>
      <c r="E176" s="469"/>
      <c r="F176" s="469"/>
      <c r="G176" s="469"/>
      <c r="H176" s="469"/>
      <c r="I176" s="469"/>
      <c r="J176" s="469"/>
      <c r="K176" s="469"/>
      <c r="L176" s="469"/>
      <c r="M176" s="469"/>
      <c r="N176" s="469"/>
      <c r="O176" s="469"/>
      <c r="P176" s="454"/>
      <c r="Q176" s="454"/>
      <c r="R176" s="379"/>
      <c r="S176" s="546"/>
      <c r="T176" s="454"/>
      <c r="U176" s="470"/>
      <c r="V176" s="474"/>
      <c r="W176" s="6"/>
    </row>
    <row r="177" spans="1:23" ht="15.6">
      <c r="A177" s="472"/>
      <c r="B177" s="468" t="s">
        <v>259</v>
      </c>
      <c r="C177" s="469"/>
      <c r="D177" s="469"/>
      <c r="E177" s="469"/>
      <c r="F177" s="469"/>
      <c r="G177" s="469"/>
      <c r="H177" s="469"/>
      <c r="I177" s="469"/>
      <c r="J177" s="469"/>
      <c r="K177" s="469"/>
      <c r="L177" s="469"/>
      <c r="M177" s="473"/>
      <c r="N177" s="473"/>
      <c r="O177" s="473"/>
      <c r="P177" s="454"/>
      <c r="Q177" s="454"/>
      <c r="R177" s="379"/>
      <c r="S177" s="548"/>
      <c r="T177" s="454"/>
      <c r="U177" s="470"/>
      <c r="V177" s="474"/>
      <c r="W177" s="6"/>
    </row>
    <row r="178" spans="1:23" ht="15.6">
      <c r="A178" s="472"/>
      <c r="B178" s="379" t="s">
        <v>254</v>
      </c>
      <c r="C178" s="469"/>
      <c r="D178" s="469"/>
      <c r="E178" s="469"/>
      <c r="F178" s="469"/>
      <c r="G178" s="469"/>
      <c r="H178" s="469"/>
      <c r="I178" s="469"/>
      <c r="J178" s="469"/>
      <c r="K178" s="469"/>
      <c r="L178" s="469"/>
      <c r="M178" s="473"/>
      <c r="N178" s="473"/>
      <c r="O178" s="473"/>
      <c r="P178" s="454"/>
      <c r="Q178" s="454"/>
      <c r="R178" s="379"/>
      <c r="S178" s="548">
        <v>3</v>
      </c>
      <c r="T178" s="454"/>
      <c r="U178" s="470"/>
      <c r="V178" s="474"/>
      <c r="W178" s="6"/>
    </row>
    <row r="179" spans="1:23" ht="15.6">
      <c r="A179" s="465"/>
      <c r="B179" s="379" t="s">
        <v>75</v>
      </c>
      <c r="C179" s="469"/>
      <c r="D179" s="469"/>
      <c r="E179" s="469"/>
      <c r="F179" s="469"/>
      <c r="G179" s="469"/>
      <c r="H179" s="469"/>
      <c r="I179" s="469"/>
      <c r="J179" s="469"/>
      <c r="K179" s="469"/>
      <c r="L179" s="469"/>
      <c r="M179" s="475"/>
      <c r="N179" s="475"/>
      <c r="O179" s="476"/>
      <c r="P179" s="454"/>
      <c r="Q179" s="454"/>
      <c r="R179" s="379"/>
      <c r="S179" s="549">
        <v>35.14</v>
      </c>
      <c r="T179" s="454"/>
      <c r="U179" s="470"/>
      <c r="V179" s="474"/>
      <c r="W179" s="6"/>
    </row>
    <row r="180" spans="1:23" ht="15.6">
      <c r="A180" s="465"/>
      <c r="B180" s="379" t="s">
        <v>76</v>
      </c>
      <c r="C180" s="469"/>
      <c r="D180" s="469"/>
      <c r="E180" s="469"/>
      <c r="F180" s="469"/>
      <c r="G180" s="469"/>
      <c r="H180" s="469"/>
      <c r="I180" s="469"/>
      <c r="J180" s="469"/>
      <c r="K180" s="469"/>
      <c r="L180" s="469"/>
      <c r="M180" s="475"/>
      <c r="N180" s="475"/>
      <c r="O180" s="476"/>
      <c r="P180" s="454"/>
      <c r="Q180" s="454"/>
      <c r="R180" s="379"/>
      <c r="S180" s="548">
        <v>169</v>
      </c>
      <c r="T180" s="454"/>
      <c r="U180" s="470"/>
      <c r="V180" s="474"/>
      <c r="W180" s="6"/>
    </row>
    <row r="181" spans="1:23" ht="15.6">
      <c r="A181" s="465"/>
      <c r="B181" s="473"/>
      <c r="C181" s="469"/>
      <c r="D181" s="469"/>
      <c r="E181" s="469"/>
      <c r="F181" s="469"/>
      <c r="G181" s="469"/>
      <c r="H181" s="469"/>
      <c r="I181" s="469"/>
      <c r="J181" s="469"/>
      <c r="K181" s="469"/>
      <c r="L181" s="469"/>
      <c r="M181" s="477"/>
      <c r="N181" s="475"/>
      <c r="O181" s="476"/>
      <c r="P181" s="454"/>
      <c r="Q181" s="454"/>
      <c r="R181" s="379"/>
      <c r="S181" s="537"/>
      <c r="T181" s="454"/>
      <c r="U181" s="470"/>
      <c r="V181" s="474"/>
      <c r="W181" s="6"/>
    </row>
    <row r="182" spans="1:23" ht="15.6">
      <c r="A182" s="465"/>
      <c r="B182" s="468" t="s">
        <v>77</v>
      </c>
      <c r="C182" s="469"/>
      <c r="D182" s="469"/>
      <c r="E182" s="469"/>
      <c r="F182" s="469"/>
      <c r="G182" s="469"/>
      <c r="H182" s="469"/>
      <c r="I182" s="469"/>
      <c r="J182" s="469"/>
      <c r="K182" s="469"/>
      <c r="L182" s="469"/>
      <c r="M182" s="469"/>
      <c r="N182" s="477"/>
      <c r="O182" s="475"/>
      <c r="P182" s="476"/>
      <c r="Q182" s="454"/>
      <c r="R182" s="380"/>
      <c r="S182" s="538"/>
      <c r="T182" s="478"/>
      <c r="U182" s="390"/>
      <c r="V182" s="479"/>
      <c r="W182" s="6"/>
    </row>
    <row r="183" spans="1:23" ht="15.6">
      <c r="A183" s="465"/>
      <c r="B183" s="379" t="s">
        <v>78</v>
      </c>
      <c r="C183" s="469"/>
      <c r="D183" s="469"/>
      <c r="E183" s="469"/>
      <c r="F183" s="469"/>
      <c r="G183" s="469"/>
      <c r="H183" s="469"/>
      <c r="I183" s="469"/>
      <c r="J183" s="469"/>
      <c r="K183" s="469"/>
      <c r="L183" s="469"/>
      <c r="M183" s="469"/>
      <c r="N183" s="477"/>
      <c r="O183" s="475"/>
      <c r="P183" s="476"/>
      <c r="Q183" s="454"/>
      <c r="R183" s="380"/>
      <c r="S183" s="550">
        <v>0</v>
      </c>
      <c r="T183" s="480"/>
      <c r="U183" s="390"/>
      <c r="V183" s="479"/>
      <c r="W183" s="6"/>
    </row>
    <row r="184" spans="1:23" ht="15.6">
      <c r="A184" s="465"/>
      <c r="B184" s="379" t="s">
        <v>75</v>
      </c>
      <c r="C184" s="469"/>
      <c r="D184" s="469"/>
      <c r="E184" s="469"/>
      <c r="F184" s="469"/>
      <c r="G184" s="469"/>
      <c r="H184" s="469"/>
      <c r="I184" s="469"/>
      <c r="J184" s="469"/>
      <c r="K184" s="469"/>
      <c r="L184" s="469"/>
      <c r="M184" s="469"/>
      <c r="N184" s="477"/>
      <c r="O184" s="475"/>
      <c r="P184" s="476"/>
      <c r="Q184" s="454"/>
      <c r="R184" s="380"/>
      <c r="S184" s="550">
        <v>0</v>
      </c>
      <c r="T184" s="480"/>
      <c r="U184" s="390"/>
      <c r="V184" s="479"/>
      <c r="W184" s="6"/>
    </row>
    <row r="185" spans="1:23" ht="15.6">
      <c r="A185" s="465"/>
      <c r="B185" s="379" t="s">
        <v>79</v>
      </c>
      <c r="C185" s="469"/>
      <c r="D185" s="469"/>
      <c r="E185" s="469"/>
      <c r="F185" s="469"/>
      <c r="G185" s="469"/>
      <c r="H185" s="469"/>
      <c r="I185" s="469"/>
      <c r="J185" s="469"/>
      <c r="K185" s="469"/>
      <c r="L185" s="469"/>
      <c r="M185" s="469"/>
      <c r="N185" s="477"/>
      <c r="O185" s="475"/>
      <c r="P185" s="476"/>
      <c r="Q185" s="454"/>
      <c r="R185" s="380"/>
      <c r="S185" s="550">
        <v>0</v>
      </c>
      <c r="T185" s="480"/>
      <c r="U185" s="390"/>
      <c r="V185" s="479"/>
      <c r="W185" s="6"/>
    </row>
    <row r="186" spans="1:23" ht="15.6">
      <c r="A186" s="465"/>
      <c r="B186" s="473"/>
      <c r="C186" s="469"/>
      <c r="D186" s="469"/>
      <c r="E186" s="469"/>
      <c r="F186" s="469"/>
      <c r="G186" s="469"/>
      <c r="H186" s="469"/>
      <c r="I186" s="469"/>
      <c r="J186" s="469"/>
      <c r="K186" s="469"/>
      <c r="L186" s="469"/>
      <c r="M186" s="477"/>
      <c r="N186" s="475"/>
      <c r="O186" s="476"/>
      <c r="P186" s="454"/>
      <c r="Q186" s="454"/>
      <c r="R186" s="454"/>
      <c r="S186" s="537"/>
      <c r="T186" s="454"/>
      <c r="U186" s="470"/>
      <c r="V186" s="474"/>
      <c r="W186" s="6"/>
    </row>
    <row r="187" spans="1:23" ht="17.399999999999999">
      <c r="A187" s="465"/>
      <c r="B187" s="482" t="s">
        <v>196</v>
      </c>
      <c r="C187" s="469"/>
      <c r="D187" s="469"/>
      <c r="E187" s="469"/>
      <c r="F187" s="469"/>
      <c r="G187" s="469"/>
      <c r="H187" s="469"/>
      <c r="I187" s="469"/>
      <c r="J187" s="469"/>
      <c r="K187" s="483" t="s">
        <v>195</v>
      </c>
      <c r="L187" s="469"/>
      <c r="M187" s="477"/>
      <c r="N187" s="475"/>
      <c r="O187" s="476"/>
      <c r="P187" s="454"/>
      <c r="Q187" s="454"/>
      <c r="R187" s="454"/>
      <c r="S187" s="481"/>
      <c r="T187" s="454"/>
      <c r="U187" s="470"/>
      <c r="V187" s="474"/>
      <c r="W187" s="6"/>
    </row>
    <row r="188" spans="1:23" ht="15.6">
      <c r="A188" s="242"/>
      <c r="B188" s="460"/>
      <c r="C188" s="461"/>
      <c r="D188" s="461"/>
      <c r="E188" s="461"/>
      <c r="F188" s="461"/>
      <c r="G188" s="461"/>
      <c r="H188" s="461"/>
      <c r="I188" s="461"/>
      <c r="J188" s="461"/>
      <c r="K188" s="461"/>
      <c r="L188" s="461"/>
      <c r="M188" s="462"/>
      <c r="N188" s="461"/>
      <c r="O188" s="462"/>
      <c r="P188" s="461"/>
      <c r="Q188" s="462"/>
      <c r="R188" s="461"/>
      <c r="S188" s="462"/>
      <c r="T188" s="461"/>
      <c r="U188" s="463"/>
      <c r="V188" s="464"/>
      <c r="W188" s="6"/>
    </row>
    <row r="189" spans="1:23" ht="15.6">
      <c r="A189" s="348"/>
      <c r="B189" s="525" t="s">
        <v>80</v>
      </c>
      <c r="C189" s="343"/>
      <c r="D189" s="343"/>
      <c r="E189" s="343"/>
      <c r="F189" s="343"/>
      <c r="G189" s="343"/>
      <c r="H189" s="343"/>
      <c r="I189" s="343"/>
      <c r="J189" s="343"/>
      <c r="K189" s="343"/>
      <c r="L189" s="343"/>
      <c r="M189" s="525" t="s">
        <v>100</v>
      </c>
      <c r="N189" s="526"/>
      <c r="O189" s="527"/>
      <c r="P189" s="526"/>
      <c r="Q189" s="525"/>
      <c r="R189" s="525" t="s">
        <v>26</v>
      </c>
      <c r="S189" s="527"/>
      <c r="T189" s="526"/>
      <c r="U189" s="346"/>
      <c r="V189" s="528"/>
      <c r="W189" s="6"/>
    </row>
    <row r="190" spans="1:23" ht="15.6">
      <c r="A190" s="365"/>
      <c r="B190" s="366"/>
      <c r="C190" s="529"/>
      <c r="D190" s="529"/>
      <c r="E190" s="529"/>
      <c r="F190" s="529"/>
      <c r="G190" s="529"/>
      <c r="H190" s="529"/>
      <c r="I190" s="529"/>
      <c r="J190" s="529"/>
      <c r="K190" s="529"/>
      <c r="L190" s="529" t="s">
        <v>94</v>
      </c>
      <c r="M190" s="530" t="s">
        <v>101</v>
      </c>
      <c r="N190" s="529" t="s">
        <v>103</v>
      </c>
      <c r="O190" s="530" t="s">
        <v>101</v>
      </c>
      <c r="P190" s="530"/>
      <c r="Q190" s="529" t="s">
        <v>94</v>
      </c>
      <c r="R190" s="530" t="s">
        <v>101</v>
      </c>
      <c r="S190" s="529" t="s">
        <v>103</v>
      </c>
      <c r="T190" s="530" t="s">
        <v>101</v>
      </c>
      <c r="U190" s="369"/>
      <c r="V190" s="531"/>
      <c r="W190" s="6"/>
    </row>
    <row r="191" spans="1:23" ht="15.6">
      <c r="A191" s="316"/>
      <c r="B191" s="360" t="s">
        <v>81</v>
      </c>
      <c r="C191" s="361"/>
      <c r="D191" s="361"/>
      <c r="E191" s="361"/>
      <c r="F191" s="361"/>
      <c r="G191" s="361"/>
      <c r="H191" s="361"/>
      <c r="I191" s="361"/>
      <c r="J191" s="361"/>
      <c r="K191" s="361"/>
      <c r="L191" s="361">
        <v>312</v>
      </c>
      <c r="M191" s="362">
        <f t="shared" ref="M191:M197" si="0">+L191/$L$198</f>
        <v>0.67532467532467533</v>
      </c>
      <c r="N191" s="361">
        <v>1141</v>
      </c>
      <c r="O191" s="362">
        <f t="shared" ref="O191:O197" si="1">N191/$N$198</f>
        <v>0.79734451432564635</v>
      </c>
      <c r="P191" s="363"/>
      <c r="Q191" s="361">
        <v>66</v>
      </c>
      <c r="R191" s="362">
        <f t="shared" ref="R191:R197" si="2">+Q191/$Q$198</f>
        <v>0.27966101694915252</v>
      </c>
      <c r="S191" s="552">
        <v>117</v>
      </c>
      <c r="T191" s="362">
        <f>+S191/$S$198</f>
        <v>0.49159663865546216</v>
      </c>
      <c r="U191" s="364"/>
      <c r="V191" s="312"/>
      <c r="W191" s="6"/>
    </row>
    <row r="192" spans="1:23" ht="15.6">
      <c r="A192" s="444"/>
      <c r="B192" s="440" t="s">
        <v>82</v>
      </c>
      <c r="C192" s="489"/>
      <c r="D192" s="489"/>
      <c r="E192" s="489"/>
      <c r="F192" s="489"/>
      <c r="G192" s="489"/>
      <c r="H192" s="489"/>
      <c r="I192" s="489"/>
      <c r="J192" s="489"/>
      <c r="K192" s="489"/>
      <c r="L192" s="489">
        <v>10</v>
      </c>
      <c r="M192" s="427">
        <f t="shared" si="0"/>
        <v>2.1645021645021644E-2</v>
      </c>
      <c r="N192" s="553">
        <v>16</v>
      </c>
      <c r="O192" s="427">
        <f t="shared" si="1"/>
        <v>1.1180992313067784E-2</v>
      </c>
      <c r="P192" s="381"/>
      <c r="Q192" s="489">
        <v>9</v>
      </c>
      <c r="R192" s="427">
        <f t="shared" si="2"/>
        <v>3.8135593220338986E-2</v>
      </c>
      <c r="S192" s="553">
        <v>2</v>
      </c>
      <c r="T192" s="427">
        <f t="shared" ref="T192:T197" si="3">+S192/$S$198</f>
        <v>8.4033613445378148E-3</v>
      </c>
      <c r="U192" s="379"/>
      <c r="V192" s="435"/>
      <c r="W192" s="6"/>
    </row>
    <row r="193" spans="1:24" ht="15.6">
      <c r="A193" s="444"/>
      <c r="B193" s="440" t="s">
        <v>83</v>
      </c>
      <c r="C193" s="489"/>
      <c r="D193" s="489"/>
      <c r="E193" s="489"/>
      <c r="F193" s="489"/>
      <c r="G193" s="489"/>
      <c r="H193" s="489"/>
      <c r="I193" s="489"/>
      <c r="J193" s="489"/>
      <c r="K193" s="489"/>
      <c r="L193" s="489">
        <v>15</v>
      </c>
      <c r="M193" s="427">
        <f t="shared" si="0"/>
        <v>3.2467532467532464E-2</v>
      </c>
      <c r="N193" s="489">
        <v>10</v>
      </c>
      <c r="O193" s="427">
        <f t="shared" si="1"/>
        <v>6.9881201956673656E-3</v>
      </c>
      <c r="P193" s="381"/>
      <c r="Q193" s="489">
        <v>13</v>
      </c>
      <c r="R193" s="427">
        <f t="shared" si="2"/>
        <v>5.5084745762711863E-2</v>
      </c>
      <c r="S193" s="553">
        <v>3</v>
      </c>
      <c r="T193" s="427">
        <f t="shared" si="3"/>
        <v>1.2605042016806723E-2</v>
      </c>
      <c r="U193" s="379"/>
      <c r="V193" s="435"/>
      <c r="W193" s="6"/>
    </row>
    <row r="194" spans="1:24" ht="15.6">
      <c r="A194" s="444"/>
      <c r="B194" s="440" t="s">
        <v>186</v>
      </c>
      <c r="C194" s="489"/>
      <c r="D194" s="489"/>
      <c r="E194" s="489"/>
      <c r="F194" s="489"/>
      <c r="G194" s="489"/>
      <c r="H194" s="489"/>
      <c r="I194" s="489"/>
      <c r="J194" s="489"/>
      <c r="K194" s="489"/>
      <c r="L194" s="489">
        <v>12</v>
      </c>
      <c r="M194" s="427">
        <f t="shared" si="0"/>
        <v>2.5974025974025976E-2</v>
      </c>
      <c r="N194" s="489">
        <v>30</v>
      </c>
      <c r="O194" s="427">
        <f t="shared" si="1"/>
        <v>2.0964360587002098E-2</v>
      </c>
      <c r="P194" s="381"/>
      <c r="Q194" s="489">
        <v>17</v>
      </c>
      <c r="R194" s="551">
        <f t="shared" si="2"/>
        <v>7.2033898305084748E-2</v>
      </c>
      <c r="S194" s="489">
        <v>10</v>
      </c>
      <c r="T194" s="427">
        <f t="shared" si="3"/>
        <v>4.2016806722689079E-2</v>
      </c>
      <c r="U194" s="379"/>
      <c r="V194" s="435"/>
      <c r="W194" s="6"/>
    </row>
    <row r="195" spans="1:24" ht="15.6">
      <c r="A195" s="444"/>
      <c r="B195" s="440" t="s">
        <v>187</v>
      </c>
      <c r="C195" s="489"/>
      <c r="D195" s="489"/>
      <c r="E195" s="489"/>
      <c r="F195" s="489"/>
      <c r="G195" s="489"/>
      <c r="H195" s="489"/>
      <c r="I195" s="489"/>
      <c r="J195" s="489"/>
      <c r="K195" s="489"/>
      <c r="L195" s="489">
        <v>15</v>
      </c>
      <c r="M195" s="427">
        <f t="shared" si="0"/>
        <v>3.2467532467532464E-2</v>
      </c>
      <c r="N195" s="489">
        <v>25</v>
      </c>
      <c r="O195" s="427">
        <f t="shared" si="1"/>
        <v>1.7470300489168415E-2</v>
      </c>
      <c r="P195" s="381"/>
      <c r="Q195" s="489">
        <v>11</v>
      </c>
      <c r="R195" s="427">
        <f t="shared" si="2"/>
        <v>4.6610169491525424E-2</v>
      </c>
      <c r="S195" s="489">
        <v>9</v>
      </c>
      <c r="T195" s="427">
        <f t="shared" si="3"/>
        <v>3.7815126050420166E-2</v>
      </c>
      <c r="U195" s="379"/>
      <c r="V195" s="435"/>
      <c r="W195" s="6"/>
    </row>
    <row r="196" spans="1:24" ht="15.6">
      <c r="A196" s="444"/>
      <c r="B196" s="440" t="s">
        <v>188</v>
      </c>
      <c r="C196" s="489"/>
      <c r="D196" s="489"/>
      <c r="E196" s="489"/>
      <c r="F196" s="489"/>
      <c r="G196" s="489"/>
      <c r="H196" s="489"/>
      <c r="I196" s="489"/>
      <c r="J196" s="489"/>
      <c r="K196" s="489"/>
      <c r="L196" s="489">
        <v>7</v>
      </c>
      <c r="M196" s="427">
        <f t="shared" si="0"/>
        <v>1.5151515151515152E-2</v>
      </c>
      <c r="N196" s="489">
        <v>4</v>
      </c>
      <c r="O196" s="427">
        <f t="shared" si="1"/>
        <v>2.7952480782669461E-3</v>
      </c>
      <c r="P196" s="381"/>
      <c r="Q196" s="489">
        <v>21</v>
      </c>
      <c r="R196" s="427">
        <f t="shared" si="2"/>
        <v>8.8983050847457626E-2</v>
      </c>
      <c r="S196" s="489">
        <v>12</v>
      </c>
      <c r="T196" s="427">
        <f t="shared" si="3"/>
        <v>5.0420168067226892E-2</v>
      </c>
      <c r="U196" s="379"/>
      <c r="V196" s="435"/>
      <c r="W196" s="6"/>
    </row>
    <row r="197" spans="1:24" ht="15.6">
      <c r="A197" s="444"/>
      <c r="B197" s="440" t="s">
        <v>189</v>
      </c>
      <c r="C197" s="489"/>
      <c r="D197" s="489"/>
      <c r="E197" s="489"/>
      <c r="F197" s="489"/>
      <c r="G197" s="489"/>
      <c r="H197" s="489"/>
      <c r="I197" s="489"/>
      <c r="J197" s="489"/>
      <c r="K197" s="489"/>
      <c r="L197" s="489">
        <v>91</v>
      </c>
      <c r="M197" s="427">
        <f t="shared" si="0"/>
        <v>0.19696969696969696</v>
      </c>
      <c r="N197" s="489">
        <v>205</v>
      </c>
      <c r="O197" s="427">
        <f t="shared" si="1"/>
        <v>0.143256464011181</v>
      </c>
      <c r="P197" s="381"/>
      <c r="Q197" s="489">
        <v>99</v>
      </c>
      <c r="R197" s="427">
        <f t="shared" si="2"/>
        <v>0.41949152542372881</v>
      </c>
      <c r="S197" s="489">
        <v>85</v>
      </c>
      <c r="T197" s="427">
        <f t="shared" si="3"/>
        <v>0.35714285714285715</v>
      </c>
      <c r="U197" s="379"/>
      <c r="V197" s="435"/>
      <c r="W197" s="6"/>
    </row>
    <row r="198" spans="1:24" ht="15.6">
      <c r="A198" s="444"/>
      <c r="B198" s="440" t="s">
        <v>84</v>
      </c>
      <c r="C198" s="489"/>
      <c r="D198" s="489"/>
      <c r="E198" s="489"/>
      <c r="F198" s="489"/>
      <c r="G198" s="489"/>
      <c r="H198" s="489"/>
      <c r="I198" s="489"/>
      <c r="J198" s="489"/>
      <c r="K198" s="489"/>
      <c r="L198" s="489">
        <f>SUM(L191:L197)</f>
        <v>462</v>
      </c>
      <c r="M198" s="427">
        <f>SUM(M191:M197)</f>
        <v>1</v>
      </c>
      <c r="N198" s="489">
        <f>SUM(N191:N197)</f>
        <v>1431</v>
      </c>
      <c r="O198" s="427">
        <f>SUM(O191:O197)</f>
        <v>1</v>
      </c>
      <c r="P198" s="381"/>
      <c r="Q198" s="489">
        <f>SUM(Q191:Q197)</f>
        <v>236</v>
      </c>
      <c r="R198" s="427">
        <f>SUM(R191:R197)</f>
        <v>1</v>
      </c>
      <c r="S198" s="489">
        <f>SUM(S191:S197)</f>
        <v>238</v>
      </c>
      <c r="T198" s="427">
        <f>SUM(T191:T197)</f>
        <v>1</v>
      </c>
      <c r="U198" s="379"/>
      <c r="V198" s="435"/>
      <c r="W198" s="6"/>
      <c r="X198" s="64"/>
    </row>
    <row r="199" spans="1:24" ht="15.6">
      <c r="A199" s="444"/>
      <c r="B199" s="440" t="s">
        <v>85</v>
      </c>
      <c r="C199" s="489"/>
      <c r="D199" s="489"/>
      <c r="E199" s="489"/>
      <c r="F199" s="489"/>
      <c r="G199" s="489"/>
      <c r="H199" s="489"/>
      <c r="I199" s="489"/>
      <c r="J199" s="489"/>
      <c r="K199" s="489"/>
      <c r="L199" s="489">
        <v>852</v>
      </c>
      <c r="M199" s="380"/>
      <c r="N199" s="489">
        <v>4944</v>
      </c>
      <c r="O199" s="380"/>
      <c r="P199" s="381"/>
      <c r="Q199" s="489">
        <v>527</v>
      </c>
      <c r="R199" s="380"/>
      <c r="S199" s="489">
        <v>1161</v>
      </c>
      <c r="T199" s="380"/>
      <c r="U199" s="379"/>
      <c r="V199" s="435"/>
      <c r="W199" s="6"/>
      <c r="X199" s="64"/>
    </row>
    <row r="200" spans="1:24" ht="15.6">
      <c r="A200" s="444"/>
      <c r="B200" s="440" t="s">
        <v>86</v>
      </c>
      <c r="C200" s="489"/>
      <c r="D200" s="489"/>
      <c r="E200" s="489"/>
      <c r="F200" s="489"/>
      <c r="G200" s="489"/>
      <c r="H200" s="489"/>
      <c r="I200" s="489"/>
      <c r="J200" s="489"/>
      <c r="K200" s="489"/>
      <c r="L200" s="489">
        <f>SUM(L198:L199)</f>
        <v>1314</v>
      </c>
      <c r="M200" s="450"/>
      <c r="N200" s="489">
        <f>SUM(N198:N199)</f>
        <v>6375</v>
      </c>
      <c r="O200" s="490"/>
      <c r="P200" s="450"/>
      <c r="Q200" s="489">
        <f>SUM(Q198:Q199)</f>
        <v>763</v>
      </c>
      <c r="R200" s="450"/>
      <c r="S200" s="489">
        <f>SUM(S198:S199)</f>
        <v>1399</v>
      </c>
      <c r="T200" s="450"/>
      <c r="U200" s="450"/>
      <c r="V200" s="435"/>
      <c r="W200" s="6"/>
      <c r="X200" s="64"/>
    </row>
    <row r="201" spans="1:24" ht="15.6">
      <c r="A201" s="242"/>
      <c r="B201" s="484"/>
      <c r="C201" s="485"/>
      <c r="D201" s="485"/>
      <c r="E201" s="485"/>
      <c r="F201" s="485"/>
      <c r="G201" s="485"/>
      <c r="H201" s="485"/>
      <c r="I201" s="485"/>
      <c r="J201" s="485"/>
      <c r="K201" s="485"/>
      <c r="L201" s="532"/>
      <c r="M201" s="533"/>
      <c r="N201" s="532"/>
      <c r="O201" s="533"/>
      <c r="P201" s="488"/>
      <c r="Q201" s="532"/>
      <c r="R201" s="533"/>
      <c r="S201" s="532"/>
      <c r="T201" s="533"/>
      <c r="U201" s="463"/>
      <c r="V201" s="464"/>
      <c r="W201" s="6"/>
    </row>
    <row r="202" spans="1:24" ht="15.6">
      <c r="A202" s="349"/>
      <c r="B202" s="525" t="s">
        <v>80</v>
      </c>
      <c r="C202" s="526"/>
      <c r="D202" s="526"/>
      <c r="E202" s="526"/>
      <c r="F202" s="526"/>
      <c r="G202" s="526"/>
      <c r="H202" s="526"/>
      <c r="I202" s="526"/>
      <c r="J202" s="526"/>
      <c r="K202" s="526"/>
      <c r="L202" s="526"/>
      <c r="M202" s="525" t="s">
        <v>27</v>
      </c>
      <c r="N202" s="526"/>
      <c r="O202" s="527"/>
      <c r="P202" s="526"/>
      <c r="Q202" s="525"/>
      <c r="R202" s="525" t="s">
        <v>28</v>
      </c>
      <c r="S202" s="527"/>
      <c r="T202" s="526"/>
      <c r="U202" s="346"/>
      <c r="V202" s="528"/>
      <c r="W202" s="6"/>
    </row>
    <row r="203" spans="1:24" ht="15.6">
      <c r="A203" s="371"/>
      <c r="B203" s="372"/>
      <c r="C203" s="534"/>
      <c r="D203" s="534"/>
      <c r="E203" s="534"/>
      <c r="F203" s="534"/>
      <c r="G203" s="534"/>
      <c r="H203" s="534"/>
      <c r="I203" s="534"/>
      <c r="J203" s="534"/>
      <c r="K203" s="534"/>
      <c r="L203" s="534" t="s">
        <v>94</v>
      </c>
      <c r="M203" s="535" t="s">
        <v>101</v>
      </c>
      <c r="N203" s="534" t="s">
        <v>103</v>
      </c>
      <c r="O203" s="535" t="s">
        <v>101</v>
      </c>
      <c r="P203" s="535"/>
      <c r="Q203" s="534" t="s">
        <v>94</v>
      </c>
      <c r="R203" s="535" t="s">
        <v>101</v>
      </c>
      <c r="S203" s="534" t="s">
        <v>103</v>
      </c>
      <c r="T203" s="535" t="s">
        <v>101</v>
      </c>
      <c r="U203" s="375"/>
      <c r="V203" s="536"/>
      <c r="W203" s="6"/>
    </row>
    <row r="204" spans="1:24" ht="15.6">
      <c r="A204" s="315"/>
      <c r="B204" s="310" t="s">
        <v>81</v>
      </c>
      <c r="C204" s="351"/>
      <c r="D204" s="351"/>
      <c r="E204" s="351"/>
      <c r="F204" s="351"/>
      <c r="G204" s="351"/>
      <c r="H204" s="351"/>
      <c r="I204" s="351"/>
      <c r="J204" s="351"/>
      <c r="K204" s="351"/>
      <c r="L204" s="351">
        <v>4398</v>
      </c>
      <c r="M204" s="299">
        <f t="shared" ref="M204:M210" si="4">+L204/$L$211</f>
        <v>0.88012807684610761</v>
      </c>
      <c r="N204" s="351">
        <v>96674</v>
      </c>
      <c r="O204" s="299">
        <f t="shared" ref="O204:O210" si="5">+N204/$N$211</f>
        <v>0.86979288503409924</v>
      </c>
      <c r="P204" s="296"/>
      <c r="Q204" s="351">
        <v>72</v>
      </c>
      <c r="R204" s="299">
        <f t="shared" ref="R204:R210" si="6">Q204/$Q$211</f>
        <v>0.84705882352941175</v>
      </c>
      <c r="S204" s="351">
        <v>544</v>
      </c>
      <c r="T204" s="299">
        <f t="shared" ref="T204:T210" si="7">+S204/$S$211</f>
        <v>0.84080370942812988</v>
      </c>
      <c r="U204" s="294"/>
      <c r="V204" s="301"/>
      <c r="W204" s="6"/>
    </row>
    <row r="205" spans="1:24" ht="15.6">
      <c r="A205" s="444"/>
      <c r="B205" s="440" t="s">
        <v>82</v>
      </c>
      <c r="C205" s="489"/>
      <c r="D205" s="489"/>
      <c r="E205" s="489"/>
      <c r="F205" s="489"/>
      <c r="G205" s="489"/>
      <c r="H205" s="489"/>
      <c r="I205" s="489"/>
      <c r="J205" s="489"/>
      <c r="K205" s="489"/>
      <c r="L205" s="489">
        <v>118</v>
      </c>
      <c r="M205" s="427">
        <f t="shared" si="4"/>
        <v>2.3614168501100659E-2</v>
      </c>
      <c r="N205" s="489">
        <v>2705</v>
      </c>
      <c r="O205" s="427">
        <f t="shared" si="5"/>
        <v>2.4337358069566155E-2</v>
      </c>
      <c r="P205" s="381"/>
      <c r="Q205" s="489">
        <v>8</v>
      </c>
      <c r="R205" s="427">
        <f t="shared" si="6"/>
        <v>9.4117647058823528E-2</v>
      </c>
      <c r="S205" s="489">
        <v>73</v>
      </c>
      <c r="T205" s="427">
        <f t="shared" si="7"/>
        <v>0.11282843894899536</v>
      </c>
      <c r="U205" s="379"/>
      <c r="V205" s="435"/>
      <c r="W205" s="6"/>
    </row>
    <row r="206" spans="1:24" ht="15.6">
      <c r="A206" s="444"/>
      <c r="B206" s="440" t="s">
        <v>83</v>
      </c>
      <c r="C206" s="489"/>
      <c r="D206" s="489"/>
      <c r="E206" s="489"/>
      <c r="F206" s="489"/>
      <c r="G206" s="489"/>
      <c r="H206" s="489"/>
      <c r="I206" s="489"/>
      <c r="J206" s="489"/>
      <c r="K206" s="489"/>
      <c r="L206" s="489">
        <v>82</v>
      </c>
      <c r="M206" s="427">
        <f t="shared" si="4"/>
        <v>1.6409845907544528E-2</v>
      </c>
      <c r="N206" s="489">
        <v>1966</v>
      </c>
      <c r="O206" s="427">
        <f t="shared" si="5"/>
        <v>1.7688445828010005E-2</v>
      </c>
      <c r="P206" s="381"/>
      <c r="Q206" s="489">
        <v>2</v>
      </c>
      <c r="R206" s="427">
        <f t="shared" si="6"/>
        <v>2.3529411764705882E-2</v>
      </c>
      <c r="S206" s="489">
        <v>23</v>
      </c>
      <c r="T206" s="427">
        <f t="shared" si="7"/>
        <v>3.5548686244204021E-2</v>
      </c>
      <c r="U206" s="379"/>
      <c r="V206" s="435"/>
      <c r="W206" s="6"/>
      <c r="X206" s="182"/>
    </row>
    <row r="207" spans="1:24" ht="15.6">
      <c r="A207" s="444"/>
      <c r="B207" s="440" t="s">
        <v>186</v>
      </c>
      <c r="C207" s="489"/>
      <c r="D207" s="489"/>
      <c r="E207" s="489"/>
      <c r="F207" s="489"/>
      <c r="G207" s="489"/>
      <c r="H207" s="489"/>
      <c r="I207" s="489"/>
      <c r="J207" s="489"/>
      <c r="K207" s="489"/>
      <c r="L207" s="489">
        <v>81</v>
      </c>
      <c r="M207" s="427">
        <f t="shared" si="4"/>
        <v>1.6209725835501301E-2</v>
      </c>
      <c r="N207" s="489">
        <v>1880</v>
      </c>
      <c r="O207" s="427">
        <f t="shared" si="5"/>
        <v>1.6914688787720657E-2</v>
      </c>
      <c r="P207" s="381"/>
      <c r="Q207" s="489">
        <v>0</v>
      </c>
      <c r="R207" s="427">
        <f t="shared" si="6"/>
        <v>0</v>
      </c>
      <c r="S207" s="489">
        <v>0</v>
      </c>
      <c r="T207" s="427">
        <f t="shared" si="7"/>
        <v>0</v>
      </c>
      <c r="U207" s="379"/>
      <c r="V207" s="435"/>
      <c r="W207" s="6"/>
    </row>
    <row r="208" spans="1:24" ht="15.6">
      <c r="A208" s="444"/>
      <c r="B208" s="440" t="s">
        <v>187</v>
      </c>
      <c r="C208" s="489"/>
      <c r="D208" s="489"/>
      <c r="E208" s="489"/>
      <c r="F208" s="489"/>
      <c r="G208" s="489"/>
      <c r="H208" s="489"/>
      <c r="I208" s="489"/>
      <c r="J208" s="489"/>
      <c r="K208" s="489"/>
      <c r="L208" s="489">
        <v>53</v>
      </c>
      <c r="M208" s="427">
        <f t="shared" si="4"/>
        <v>1.0606363818290974E-2</v>
      </c>
      <c r="N208" s="489">
        <v>1287</v>
      </c>
      <c r="O208" s="427">
        <f t="shared" si="5"/>
        <v>1.157936407967898E-2</v>
      </c>
      <c r="P208" s="381"/>
      <c r="Q208" s="489">
        <v>0</v>
      </c>
      <c r="R208" s="427">
        <f t="shared" si="6"/>
        <v>0</v>
      </c>
      <c r="S208" s="489">
        <v>0</v>
      </c>
      <c r="T208" s="427">
        <f t="shared" si="7"/>
        <v>0</v>
      </c>
      <c r="U208" s="379"/>
      <c r="V208" s="435"/>
      <c r="W208" s="6"/>
    </row>
    <row r="209" spans="1:24" ht="15.6">
      <c r="A209" s="444"/>
      <c r="B209" s="440" t="s">
        <v>188</v>
      </c>
      <c r="C209" s="489"/>
      <c r="D209" s="489"/>
      <c r="E209" s="489"/>
      <c r="F209" s="489"/>
      <c r="G209" s="489"/>
      <c r="H209" s="489"/>
      <c r="I209" s="489"/>
      <c r="J209" s="489"/>
      <c r="K209" s="489"/>
      <c r="L209" s="489">
        <v>50</v>
      </c>
      <c r="M209" s="427">
        <f t="shared" si="4"/>
        <v>1.0006003602161296E-2</v>
      </c>
      <c r="N209" s="489">
        <v>1239</v>
      </c>
      <c r="O209" s="427">
        <f t="shared" si="5"/>
        <v>1.1147499685098879E-2</v>
      </c>
      <c r="P209" s="381"/>
      <c r="Q209" s="489">
        <v>0</v>
      </c>
      <c r="R209" s="427">
        <f t="shared" si="6"/>
        <v>0</v>
      </c>
      <c r="S209" s="489">
        <v>0</v>
      </c>
      <c r="T209" s="427">
        <f t="shared" si="7"/>
        <v>0</v>
      </c>
      <c r="U209" s="379"/>
      <c r="V209" s="435"/>
      <c r="W209" s="6"/>
    </row>
    <row r="210" spans="1:24" ht="15.6">
      <c r="A210" s="444"/>
      <c r="B210" s="440" t="s">
        <v>189</v>
      </c>
      <c r="C210" s="489"/>
      <c r="D210" s="489"/>
      <c r="E210" s="489"/>
      <c r="F210" s="489"/>
      <c r="G210" s="489"/>
      <c r="H210" s="489"/>
      <c r="I210" s="489"/>
      <c r="J210" s="489"/>
      <c r="K210" s="489"/>
      <c r="L210" s="489">
        <v>215</v>
      </c>
      <c r="M210" s="427">
        <f t="shared" si="4"/>
        <v>4.3025815489293573E-2</v>
      </c>
      <c r="N210" s="489">
        <v>5395</v>
      </c>
      <c r="O210" s="427">
        <f t="shared" si="5"/>
        <v>4.853975851582603E-2</v>
      </c>
      <c r="P210" s="381"/>
      <c r="Q210" s="489">
        <v>3</v>
      </c>
      <c r="R210" s="427">
        <f t="shared" si="6"/>
        <v>3.5294117647058823E-2</v>
      </c>
      <c r="S210" s="489">
        <v>7</v>
      </c>
      <c r="T210" s="427">
        <f t="shared" si="7"/>
        <v>1.0819165378670788E-2</v>
      </c>
      <c r="U210" s="379"/>
      <c r="V210" s="435"/>
      <c r="W210" s="6"/>
    </row>
    <row r="211" spans="1:24" ht="15.6">
      <c r="A211" s="444"/>
      <c r="B211" s="440" t="str">
        <f>B198</f>
        <v>Total Performing  Assets</v>
      </c>
      <c r="C211" s="489"/>
      <c r="D211" s="489"/>
      <c r="E211" s="489"/>
      <c r="F211" s="489"/>
      <c r="G211" s="489"/>
      <c r="H211" s="489"/>
      <c r="I211" s="489"/>
      <c r="J211" s="489"/>
      <c r="K211" s="489"/>
      <c r="L211" s="489">
        <f>SUM(L204:L210)</f>
        <v>4997</v>
      </c>
      <c r="M211" s="427">
        <f>SUM(M204:M210)</f>
        <v>1</v>
      </c>
      <c r="N211" s="489">
        <f>SUM(N204:N210)</f>
        <v>111146</v>
      </c>
      <c r="O211" s="427">
        <f>SUM(O204:O210)</f>
        <v>0.99999999999999989</v>
      </c>
      <c r="P211" s="381"/>
      <c r="Q211" s="489">
        <f>SUM(Q204:Q210)</f>
        <v>85</v>
      </c>
      <c r="R211" s="427">
        <f>SUM(R204:R210)</f>
        <v>1</v>
      </c>
      <c r="S211" s="489">
        <f>SUM(S204:S210)</f>
        <v>647</v>
      </c>
      <c r="T211" s="427">
        <f>SUM(T204:T210)</f>
        <v>1.0000000000000002</v>
      </c>
      <c r="U211" s="379"/>
      <c r="V211" s="435"/>
      <c r="W211" s="6"/>
    </row>
    <row r="212" spans="1:24" ht="15.6">
      <c r="A212" s="444"/>
      <c r="B212" s="440" t="s">
        <v>85</v>
      </c>
      <c r="C212" s="489"/>
      <c r="D212" s="489"/>
      <c r="E212" s="489"/>
      <c r="F212" s="489"/>
      <c r="G212" s="489"/>
      <c r="H212" s="489"/>
      <c r="I212" s="489"/>
      <c r="J212" s="489"/>
      <c r="K212" s="489"/>
      <c r="L212" s="489">
        <v>290</v>
      </c>
      <c r="M212" s="381"/>
      <c r="N212" s="489">
        <v>8478</v>
      </c>
      <c r="O212" s="380"/>
      <c r="P212" s="381"/>
      <c r="Q212" s="489">
        <v>20</v>
      </c>
      <c r="R212" s="381"/>
      <c r="S212" s="489">
        <v>388</v>
      </c>
      <c r="T212" s="381"/>
      <c r="U212" s="379"/>
      <c r="V212" s="435"/>
      <c r="W212" s="6"/>
    </row>
    <row r="213" spans="1:24" ht="15.6">
      <c r="A213" s="444"/>
      <c r="B213" s="440" t="s">
        <v>86</v>
      </c>
      <c r="C213" s="489"/>
      <c r="D213" s="489"/>
      <c r="E213" s="489"/>
      <c r="F213" s="489"/>
      <c r="G213" s="489"/>
      <c r="H213" s="489"/>
      <c r="I213" s="489"/>
      <c r="J213" s="489"/>
      <c r="K213" s="489"/>
      <c r="L213" s="489">
        <f>SUM(L211:L212)</f>
        <v>5287</v>
      </c>
      <c r="M213" s="450"/>
      <c r="N213" s="489">
        <f>SUM(N211:N212)</f>
        <v>119624</v>
      </c>
      <c r="O213" s="427"/>
      <c r="P213" s="450"/>
      <c r="Q213" s="489">
        <f>SUM(Q211:Q212)</f>
        <v>105</v>
      </c>
      <c r="R213" s="450"/>
      <c r="S213" s="489">
        <f>SUM(S211:S212)</f>
        <v>1035</v>
      </c>
      <c r="T213" s="450"/>
      <c r="U213" s="450"/>
      <c r="V213" s="492"/>
    </row>
    <row r="214" spans="1:24" ht="15.6">
      <c r="A214" s="444"/>
      <c r="B214" s="440"/>
      <c r="C214" s="381"/>
      <c r="D214" s="381"/>
      <c r="E214" s="381"/>
      <c r="F214" s="381"/>
      <c r="G214" s="381"/>
      <c r="H214" s="381"/>
      <c r="I214" s="381"/>
      <c r="J214" s="381"/>
      <c r="K214" s="381"/>
      <c r="L214" s="381"/>
      <c r="M214" s="493"/>
      <c r="N214" s="381"/>
      <c r="O214" s="493"/>
      <c r="P214" s="381"/>
      <c r="Q214" s="493"/>
      <c r="R214" s="381"/>
      <c r="S214" s="489"/>
      <c r="T214" s="381"/>
      <c r="U214" s="379"/>
      <c r="V214" s="435"/>
      <c r="W214" s="6"/>
    </row>
    <row r="215" spans="1:24" ht="15.6">
      <c r="A215" s="444"/>
      <c r="B215" s="440" t="s">
        <v>86</v>
      </c>
      <c r="C215" s="381"/>
      <c r="D215" s="381"/>
      <c r="E215" s="381"/>
      <c r="F215" s="381"/>
      <c r="G215" s="381"/>
      <c r="H215" s="381"/>
      <c r="I215" s="381"/>
      <c r="J215" s="381"/>
      <c r="K215" s="381"/>
      <c r="L215" s="493"/>
      <c r="M215" s="493"/>
      <c r="N215" s="493"/>
      <c r="O215" s="493"/>
      <c r="P215" s="381"/>
      <c r="Q215" s="493"/>
      <c r="R215" s="381"/>
      <c r="S215" s="489">
        <f>+N200+S200+N213+S213</f>
        <v>128433</v>
      </c>
      <c r="T215" s="490"/>
      <c r="U215" s="379"/>
      <c r="V215" s="435"/>
      <c r="W215" s="6"/>
      <c r="X215" s="182"/>
    </row>
    <row r="216" spans="1:24" ht="15.6">
      <c r="A216" s="316"/>
      <c r="B216" s="360"/>
      <c r="C216" s="363"/>
      <c r="D216" s="363"/>
      <c r="E216" s="363"/>
      <c r="F216" s="363"/>
      <c r="G216" s="363"/>
      <c r="H216" s="363"/>
      <c r="I216" s="363"/>
      <c r="J216" s="363"/>
      <c r="K216" s="363"/>
      <c r="L216" s="491"/>
      <c r="M216" s="491"/>
      <c r="N216" s="491"/>
      <c r="O216" s="491"/>
      <c r="P216" s="363"/>
      <c r="Q216" s="491"/>
      <c r="R216" s="363"/>
      <c r="S216" s="361"/>
      <c r="T216" s="363"/>
      <c r="U216" s="364"/>
      <c r="V216" s="312"/>
      <c r="W216" s="6"/>
    </row>
    <row r="217" spans="1:24" ht="15.6">
      <c r="A217" s="349"/>
      <c r="B217" s="357" t="s">
        <v>87</v>
      </c>
      <c r="C217" s="526"/>
      <c r="D217" s="526"/>
      <c r="E217" s="526"/>
      <c r="F217" s="526"/>
      <c r="G217" s="526"/>
      <c r="H217" s="526"/>
      <c r="I217" s="526"/>
      <c r="J217" s="526"/>
      <c r="K217" s="526"/>
      <c r="L217" s="526"/>
      <c r="M217" s="527"/>
      <c r="N217" s="526"/>
      <c r="O217" s="527"/>
      <c r="P217" s="526"/>
      <c r="Q217" s="527"/>
      <c r="R217" s="526"/>
      <c r="S217" s="358"/>
      <c r="T217" s="526"/>
      <c r="U217" s="350"/>
      <c r="V217" s="528"/>
      <c r="W217" s="6"/>
    </row>
    <row r="218" spans="1:24" ht="15.6">
      <c r="A218" s="315"/>
      <c r="B218" s="310"/>
      <c r="C218" s="296"/>
      <c r="D218" s="296"/>
      <c r="E218" s="296"/>
      <c r="F218" s="296"/>
      <c r="G218" s="296"/>
      <c r="H218" s="296"/>
      <c r="I218" s="296"/>
      <c r="J218" s="296"/>
      <c r="K218" s="296"/>
      <c r="L218" s="296"/>
      <c r="M218" s="352"/>
      <c r="N218" s="296"/>
      <c r="O218" s="352"/>
      <c r="P218" s="296"/>
      <c r="Q218" s="352"/>
      <c r="R218" s="296"/>
      <c r="S218" s="351"/>
      <c r="T218" s="296"/>
      <c r="U218" s="294"/>
      <c r="V218" s="301"/>
      <c r="W218" s="6"/>
    </row>
    <row r="219" spans="1:24" ht="15.6">
      <c r="A219" s="444"/>
      <c r="B219" s="440" t="s">
        <v>88</v>
      </c>
      <c r="C219" s="381"/>
      <c r="D219" s="381"/>
      <c r="E219" s="381"/>
      <c r="F219" s="381"/>
      <c r="G219" s="381"/>
      <c r="H219" s="381"/>
      <c r="I219" s="381"/>
      <c r="J219" s="381"/>
      <c r="K219" s="381"/>
      <c r="L219" s="381"/>
      <c r="M219" s="493"/>
      <c r="N219" s="381"/>
      <c r="O219" s="493"/>
      <c r="P219" s="381"/>
      <c r="Q219" s="493"/>
      <c r="R219" s="381"/>
      <c r="S219" s="489">
        <f>+N198+S198+N211+S211</f>
        <v>113462</v>
      </c>
      <c r="T219" s="381"/>
      <c r="U219" s="379"/>
      <c r="V219" s="435"/>
      <c r="W219" s="6"/>
      <c r="X219" s="182"/>
    </row>
    <row r="220" spans="1:24" ht="15.6">
      <c r="A220" s="444"/>
      <c r="B220" s="440" t="s">
        <v>89</v>
      </c>
      <c r="C220" s="381"/>
      <c r="D220" s="381"/>
      <c r="E220" s="381"/>
      <c r="F220" s="381"/>
      <c r="G220" s="381"/>
      <c r="H220" s="381"/>
      <c r="I220" s="381"/>
      <c r="J220" s="381"/>
      <c r="K220" s="381"/>
      <c r="L220" s="381"/>
      <c r="M220" s="493"/>
      <c r="N220" s="381"/>
      <c r="O220" s="493"/>
      <c r="P220" s="381"/>
      <c r="Q220" s="493"/>
      <c r="R220" s="381"/>
      <c r="S220" s="489">
        <f>+U78</f>
        <v>0</v>
      </c>
      <c r="T220" s="381"/>
      <c r="U220" s="379"/>
      <c r="V220" s="435"/>
      <c r="W220" s="119"/>
    </row>
    <row r="221" spans="1:24" ht="15.6">
      <c r="A221" s="444"/>
      <c r="B221" s="440" t="s">
        <v>90</v>
      </c>
      <c r="C221" s="381"/>
      <c r="D221" s="381"/>
      <c r="E221" s="381"/>
      <c r="F221" s="381"/>
      <c r="G221" s="381"/>
      <c r="H221" s="381"/>
      <c r="I221" s="381"/>
      <c r="J221" s="381"/>
      <c r="K221" s="381"/>
      <c r="L221" s="381"/>
      <c r="M221" s="493"/>
      <c r="N221" s="381"/>
      <c r="O221" s="493"/>
      <c r="P221" s="381"/>
      <c r="Q221" s="493"/>
      <c r="R221" s="381"/>
      <c r="S221" s="489">
        <f>SUM(S219:S220)</f>
        <v>113462</v>
      </c>
      <c r="T221" s="381"/>
      <c r="U221" s="379"/>
      <c r="V221" s="435"/>
      <c r="W221" s="6"/>
    </row>
    <row r="222" spans="1:24" ht="15.6">
      <c r="A222" s="444"/>
      <c r="B222" s="440"/>
      <c r="C222" s="381"/>
      <c r="D222" s="381"/>
      <c r="E222" s="381"/>
      <c r="F222" s="381"/>
      <c r="G222" s="381"/>
      <c r="H222" s="381"/>
      <c r="I222" s="381"/>
      <c r="J222" s="381"/>
      <c r="K222" s="381"/>
      <c r="L222" s="381"/>
      <c r="M222" s="493"/>
      <c r="N222" s="381"/>
      <c r="O222" s="493"/>
      <c r="P222" s="381"/>
      <c r="Q222" s="493"/>
      <c r="R222" s="381"/>
      <c r="S222" s="489"/>
      <c r="T222" s="381"/>
      <c r="U222" s="379"/>
      <c r="V222" s="435"/>
      <c r="W222" s="6"/>
    </row>
    <row r="223" spans="1:24" ht="15.6">
      <c r="A223" s="444"/>
      <c r="B223" s="440" t="s">
        <v>91</v>
      </c>
      <c r="C223" s="381"/>
      <c r="D223" s="381"/>
      <c r="E223" s="381"/>
      <c r="F223" s="381"/>
      <c r="G223" s="381"/>
      <c r="H223" s="381"/>
      <c r="I223" s="381"/>
      <c r="J223" s="381"/>
      <c r="K223" s="381"/>
      <c r="L223" s="381"/>
      <c r="M223" s="493"/>
      <c r="N223" s="381"/>
      <c r="O223" s="493"/>
      <c r="P223" s="381"/>
      <c r="Q223" s="493"/>
      <c r="R223" s="381"/>
      <c r="S223" s="489">
        <f>U33</f>
        <v>113461.61119999998</v>
      </c>
      <c r="T223" s="381"/>
      <c r="U223" s="379"/>
      <c r="V223" s="435"/>
      <c r="W223" s="6"/>
    </row>
    <row r="224" spans="1:24" ht="15.6">
      <c r="A224" s="444"/>
      <c r="B224" s="440"/>
      <c r="C224" s="381"/>
      <c r="D224" s="381"/>
      <c r="E224" s="381"/>
      <c r="F224" s="381"/>
      <c r="G224" s="381"/>
      <c r="H224" s="381"/>
      <c r="I224" s="381"/>
      <c r="J224" s="381"/>
      <c r="K224" s="381"/>
      <c r="L224" s="381"/>
      <c r="M224" s="493"/>
      <c r="N224" s="381"/>
      <c r="O224" s="493"/>
      <c r="P224" s="381"/>
      <c r="Q224" s="493"/>
      <c r="R224" s="381"/>
      <c r="S224" s="489"/>
      <c r="T224" s="381"/>
      <c r="U224" s="379"/>
      <c r="V224" s="435"/>
      <c r="W224" s="6"/>
    </row>
    <row r="225" spans="1:23" ht="15.6">
      <c r="A225" s="444"/>
      <c r="B225" s="440" t="s">
        <v>92</v>
      </c>
      <c r="C225" s="381"/>
      <c r="D225" s="381"/>
      <c r="E225" s="381"/>
      <c r="F225" s="381"/>
      <c r="G225" s="381"/>
      <c r="H225" s="381"/>
      <c r="I225" s="381"/>
      <c r="J225" s="381"/>
      <c r="K225" s="381"/>
      <c r="L225" s="381"/>
      <c r="M225" s="493"/>
      <c r="N225" s="381"/>
      <c r="O225" s="493"/>
      <c r="P225" s="381"/>
      <c r="Q225" s="493"/>
      <c r="R225" s="381"/>
      <c r="S225" s="489">
        <f>S221/S223</f>
        <v>1.0000034267096678</v>
      </c>
      <c r="T225" s="381"/>
      <c r="U225" s="379"/>
      <c r="V225" s="435"/>
      <c r="W225" s="6"/>
    </row>
    <row r="226" spans="1:23" ht="15.6">
      <c r="A226" s="444"/>
      <c r="B226" s="379"/>
      <c r="C226" s="379"/>
      <c r="D226" s="379"/>
      <c r="E226" s="379"/>
      <c r="F226" s="379"/>
      <c r="G226" s="379"/>
      <c r="H226" s="379"/>
      <c r="I226" s="379"/>
      <c r="J226" s="379"/>
      <c r="K226" s="379"/>
      <c r="L226" s="379"/>
      <c r="M226" s="380"/>
      <c r="N226" s="379"/>
      <c r="O226" s="379"/>
      <c r="P226" s="379"/>
      <c r="Q226" s="440"/>
      <c r="R226" s="497"/>
      <c r="S226" s="441"/>
      <c r="T226" s="497"/>
      <c r="U226" s="466"/>
      <c r="V226" s="410"/>
      <c r="W226" s="6"/>
    </row>
    <row r="227" spans="1:23" ht="15.6">
      <c r="A227" s="353"/>
      <c r="B227" s="494" t="s">
        <v>127</v>
      </c>
      <c r="C227" s="495"/>
      <c r="D227" s="495"/>
      <c r="E227" s="495"/>
      <c r="F227" s="495"/>
      <c r="G227" s="495"/>
      <c r="H227" s="495"/>
      <c r="I227" s="495"/>
      <c r="J227" s="495"/>
      <c r="K227" s="495"/>
      <c r="L227" s="495"/>
      <c r="M227" s="363"/>
      <c r="N227" s="364"/>
      <c r="O227" s="494"/>
      <c r="P227" s="443"/>
      <c r="Q227" s="443"/>
      <c r="R227" s="443"/>
      <c r="S227" s="496"/>
      <c r="T227" s="443"/>
      <c r="U227" s="443"/>
      <c r="V227" s="355"/>
      <c r="W227" s="6"/>
    </row>
    <row r="228" spans="1:23" ht="15.6">
      <c r="A228" s="353"/>
      <c r="B228" s="287" t="s">
        <v>128</v>
      </c>
      <c r="C228" s="354"/>
      <c r="D228" s="354"/>
      <c r="E228" s="354"/>
      <c r="F228" s="354"/>
      <c r="G228" s="354"/>
      <c r="H228" s="354"/>
      <c r="I228" s="354"/>
      <c r="J228" s="354"/>
      <c r="K228" s="354"/>
      <c r="L228" s="354"/>
      <c r="M228" s="290"/>
      <c r="N228" s="287"/>
      <c r="O228" s="287"/>
      <c r="P228" s="354"/>
      <c r="Q228" s="354"/>
      <c r="R228" s="317"/>
      <c r="S228" s="317"/>
      <c r="T228" s="317"/>
      <c r="U228" s="317"/>
      <c r="V228" s="355"/>
      <c r="W228" s="6"/>
    </row>
    <row r="229" spans="1:23" ht="15.6">
      <c r="A229" s="353"/>
      <c r="B229" s="287" t="s">
        <v>246</v>
      </c>
      <c r="C229" s="287"/>
      <c r="D229" s="287"/>
      <c r="E229" s="287"/>
      <c r="F229" s="287"/>
      <c r="G229" s="287"/>
      <c r="H229" s="287"/>
      <c r="I229" s="287"/>
      <c r="J229" s="287"/>
      <c r="K229" s="287"/>
      <c r="L229" s="287"/>
      <c r="M229" s="287"/>
      <c r="N229" s="287"/>
      <c r="O229" s="287"/>
      <c r="P229" s="287"/>
      <c r="Q229" s="287"/>
      <c r="R229" s="287"/>
      <c r="S229" s="287"/>
      <c r="T229" s="287"/>
      <c r="U229" s="287"/>
      <c r="V229" s="355"/>
      <c r="W229" s="6"/>
    </row>
    <row r="230" spans="1:23" ht="15.6">
      <c r="A230" s="353"/>
      <c r="B230" s="287" t="s">
        <v>129</v>
      </c>
      <c r="C230" s="354"/>
      <c r="D230" s="354"/>
      <c r="E230" s="354"/>
      <c r="F230" s="354"/>
      <c r="G230" s="354"/>
      <c r="H230" s="354"/>
      <c r="I230" s="354"/>
      <c r="J230" s="354"/>
      <c r="K230" s="354"/>
      <c r="L230" s="354"/>
      <c r="M230" s="290"/>
      <c r="N230" s="287"/>
      <c r="O230" s="287"/>
      <c r="P230" s="354"/>
      <c r="Q230" s="354"/>
      <c r="R230" s="317"/>
      <c r="S230" s="317"/>
      <c r="T230" s="317"/>
      <c r="U230" s="317"/>
      <c r="V230" s="355"/>
      <c r="W230" s="6"/>
    </row>
    <row r="231" spans="1:23" ht="15.6">
      <c r="A231" s="353"/>
      <c r="B231" s="287"/>
      <c r="C231" s="354"/>
      <c r="D231" s="354"/>
      <c r="E231" s="354"/>
      <c r="F231" s="354"/>
      <c r="G231" s="354"/>
      <c r="H231" s="354"/>
      <c r="I231" s="354"/>
      <c r="J231" s="354"/>
      <c r="K231" s="354"/>
      <c r="L231" s="354"/>
      <c r="M231" s="290"/>
      <c r="N231" s="287"/>
      <c r="O231" s="287"/>
      <c r="P231" s="354"/>
      <c r="Q231" s="354"/>
      <c r="R231" s="317"/>
      <c r="S231" s="317"/>
      <c r="T231" s="317"/>
      <c r="U231" s="317"/>
      <c r="V231" s="355"/>
      <c r="W231" s="6"/>
    </row>
    <row r="232" spans="1:23" ht="15.6">
      <c r="A232" s="353"/>
      <c r="B232" s="287"/>
      <c r="C232" s="354"/>
      <c r="D232" s="354"/>
      <c r="E232" s="354"/>
      <c r="F232" s="354"/>
      <c r="G232" s="354"/>
      <c r="H232" s="354"/>
      <c r="I232" s="354"/>
      <c r="J232" s="354"/>
      <c r="K232" s="354"/>
      <c r="L232" s="354"/>
      <c r="M232" s="290"/>
      <c r="N232" s="287"/>
      <c r="O232" s="287"/>
      <c r="P232" s="354"/>
      <c r="Q232" s="354"/>
      <c r="R232" s="317"/>
      <c r="S232" s="317"/>
      <c r="T232" s="317"/>
      <c r="U232" s="317"/>
      <c r="V232" s="355"/>
      <c r="W232" s="6"/>
    </row>
    <row r="233" spans="1:23" ht="16.2" thickBot="1">
      <c r="A233" s="353"/>
      <c r="B233" s="287" t="str">
        <f>+B160</f>
        <v>PPAF3 INVESTOR REPORT QUARTER ENDING JUNE 2014</v>
      </c>
      <c r="C233" s="354"/>
      <c r="D233" s="354"/>
      <c r="E233" s="354"/>
      <c r="F233" s="354"/>
      <c r="G233" s="354"/>
      <c r="H233" s="354"/>
      <c r="I233" s="354"/>
      <c r="J233" s="354"/>
      <c r="K233" s="354"/>
      <c r="L233" s="354"/>
      <c r="M233" s="290"/>
      <c r="N233" s="287"/>
      <c r="O233" s="287"/>
      <c r="P233" s="354"/>
      <c r="Q233" s="354"/>
      <c r="R233" s="317"/>
      <c r="S233" s="317"/>
      <c r="T233" s="317"/>
      <c r="U233" s="317"/>
      <c r="V233" s="356"/>
      <c r="W233" s="6"/>
    </row>
    <row r="234" spans="1:2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row>
  </sheetData>
  <hyperlinks>
    <hyperlink ref="I9" r:id="rId1"/>
    <hyperlink ref="K187"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21" man="1"/>
    <brk id="109" max="16383" man="1"/>
    <brk id="160" max="21" man="1"/>
    <brk id="239" man="1"/>
  </rowBreaks>
  <colBreaks count="1" manualBreakCount="1">
    <brk id="23" max="1048575" man="1"/>
  </colBreaks>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0" tint="-0.499984740745262"/>
  </sheetPr>
  <dimension ref="A1:Y234"/>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38" t="s">
        <v>223</v>
      </c>
      <c r="B1" s="285" t="s">
        <v>123</v>
      </c>
      <c r="C1" s="239"/>
      <c r="D1" s="239"/>
      <c r="E1" s="239"/>
      <c r="F1" s="239"/>
      <c r="G1" s="239"/>
      <c r="H1" s="239"/>
      <c r="I1" s="239"/>
      <c r="J1" s="239"/>
      <c r="K1" s="239"/>
      <c r="L1" s="239"/>
      <c r="M1" s="240"/>
      <c r="N1" s="240"/>
      <c r="O1" s="240"/>
      <c r="P1" s="240"/>
      <c r="Q1" s="240"/>
      <c r="R1" s="240"/>
      <c r="S1" s="240"/>
      <c r="T1" s="240"/>
      <c r="U1" s="240"/>
      <c r="V1" s="241"/>
      <c r="W1" s="6"/>
    </row>
    <row r="2" spans="1:23" ht="15.6">
      <c r="A2" s="242"/>
      <c r="B2" s="243"/>
      <c r="C2" s="243"/>
      <c r="D2" s="243"/>
      <c r="E2" s="243"/>
      <c r="F2" s="243"/>
      <c r="G2" s="243"/>
      <c r="H2" s="243"/>
      <c r="I2" s="243"/>
      <c r="J2" s="243"/>
      <c r="K2" s="243"/>
      <c r="L2" s="243"/>
      <c r="M2" s="244"/>
      <c r="N2" s="244"/>
      <c r="O2" s="244"/>
      <c r="P2" s="244"/>
      <c r="Q2" s="244"/>
      <c r="R2" s="244"/>
      <c r="S2" s="244"/>
      <c r="T2" s="244"/>
      <c r="U2" s="244"/>
      <c r="V2" s="245"/>
      <c r="W2" s="6"/>
    </row>
    <row r="3" spans="1:23" ht="15.6">
      <c r="A3" s="246"/>
      <c r="B3" s="247" t="s">
        <v>125</v>
      </c>
      <c r="C3" s="244"/>
      <c r="D3" s="244"/>
      <c r="E3" s="244"/>
      <c r="F3" s="244"/>
      <c r="G3" s="244"/>
      <c r="H3" s="244"/>
      <c r="I3" s="244"/>
      <c r="J3" s="244"/>
      <c r="K3" s="244"/>
      <c r="L3" s="244"/>
      <c r="M3" s="244"/>
      <c r="N3" s="244"/>
      <c r="O3" s="244"/>
      <c r="P3" s="244"/>
      <c r="Q3" s="244"/>
      <c r="R3" s="244"/>
      <c r="S3" s="244"/>
      <c r="T3" s="244"/>
      <c r="U3" s="244"/>
      <c r="V3" s="245"/>
      <c r="W3" s="6"/>
    </row>
    <row r="4" spans="1:23" ht="15.6">
      <c r="A4" s="242"/>
      <c r="B4" s="243"/>
      <c r="C4" s="243"/>
      <c r="D4" s="243"/>
      <c r="E4" s="243"/>
      <c r="F4" s="243"/>
      <c r="G4" s="243"/>
      <c r="H4" s="243"/>
      <c r="I4" s="243"/>
      <c r="J4" s="243"/>
      <c r="K4" s="243"/>
      <c r="L4" s="243"/>
      <c r="M4" s="244"/>
      <c r="N4" s="244"/>
      <c r="O4" s="244"/>
      <c r="P4" s="244"/>
      <c r="Q4" s="244"/>
      <c r="R4" s="244"/>
      <c r="S4" s="244"/>
      <c r="T4" s="244"/>
      <c r="U4" s="244"/>
      <c r="V4" s="245"/>
      <c r="W4" s="6"/>
    </row>
    <row r="5" spans="1:23" ht="16.2">
      <c r="A5" s="242"/>
      <c r="B5" s="286" t="s">
        <v>0</v>
      </c>
      <c r="C5" s="248"/>
      <c r="D5" s="248"/>
      <c r="E5" s="248"/>
      <c r="F5" s="248"/>
      <c r="G5" s="248"/>
      <c r="H5" s="248"/>
      <c r="I5" s="248"/>
      <c r="J5" s="248"/>
      <c r="K5" s="248"/>
      <c r="L5" s="248"/>
      <c r="M5" s="244"/>
      <c r="N5" s="244"/>
      <c r="O5" s="244"/>
      <c r="P5" s="244"/>
      <c r="Q5" s="244"/>
      <c r="R5" s="244"/>
      <c r="S5" s="244"/>
      <c r="T5" s="244"/>
      <c r="U5" s="244"/>
      <c r="V5" s="245"/>
      <c r="W5" s="6"/>
    </row>
    <row r="6" spans="1:23" ht="16.2">
      <c r="A6" s="242"/>
      <c r="B6" s="286" t="s">
        <v>1</v>
      </c>
      <c r="C6" s="248"/>
      <c r="D6" s="248"/>
      <c r="E6" s="248"/>
      <c r="F6" s="248"/>
      <c r="G6" s="248"/>
      <c r="H6" s="248"/>
      <c r="I6" s="248"/>
      <c r="J6" s="248"/>
      <c r="K6" s="248"/>
      <c r="L6" s="248"/>
      <c r="M6" s="244"/>
      <c r="N6" s="244"/>
      <c r="O6" s="244"/>
      <c r="P6" s="244"/>
      <c r="Q6" s="244"/>
      <c r="R6" s="244"/>
      <c r="S6" s="244"/>
      <c r="T6" s="244"/>
      <c r="U6" s="244"/>
      <c r="V6" s="245"/>
      <c r="W6" s="6"/>
    </row>
    <row r="7" spans="1:23" ht="16.2">
      <c r="A7" s="242"/>
      <c r="B7" s="286" t="s">
        <v>2</v>
      </c>
      <c r="C7" s="248"/>
      <c r="D7" s="248"/>
      <c r="E7" s="248"/>
      <c r="F7" s="248"/>
      <c r="G7" s="248"/>
      <c r="H7" s="248"/>
      <c r="I7" s="248"/>
      <c r="J7" s="248"/>
      <c r="K7" s="248"/>
      <c r="L7" s="248"/>
      <c r="M7" s="244"/>
      <c r="N7" s="244"/>
      <c r="O7" s="244"/>
      <c r="P7" s="244"/>
      <c r="Q7" s="244"/>
      <c r="R7" s="244"/>
      <c r="S7" s="244"/>
      <c r="T7" s="244"/>
      <c r="U7" s="244"/>
      <c r="V7" s="245"/>
      <c r="W7" s="6"/>
    </row>
    <row r="8" spans="1:23" ht="16.2">
      <c r="A8" s="242"/>
      <c r="B8" s="249"/>
      <c r="C8" s="248"/>
      <c r="D8" s="248"/>
      <c r="E8" s="248"/>
      <c r="F8" s="248"/>
      <c r="G8" s="248"/>
      <c r="H8" s="248"/>
      <c r="I8" s="248"/>
      <c r="J8" s="248"/>
      <c r="K8" s="248"/>
      <c r="L8" s="248"/>
      <c r="M8" s="244"/>
      <c r="N8" s="244"/>
      <c r="O8" s="244"/>
      <c r="P8" s="244"/>
      <c r="Q8" s="244"/>
      <c r="R8" s="244"/>
      <c r="S8" s="244"/>
      <c r="T8" s="244"/>
      <c r="U8" s="244"/>
      <c r="V8" s="245"/>
      <c r="W8" s="6"/>
    </row>
    <row r="9" spans="1:23" ht="18">
      <c r="A9" s="242"/>
      <c r="B9" s="250" t="s">
        <v>194</v>
      </c>
      <c r="C9" s="248"/>
      <c r="D9" s="248"/>
      <c r="E9" s="248"/>
      <c r="F9" s="248"/>
      <c r="G9" s="248"/>
      <c r="H9" s="248"/>
      <c r="I9" s="251" t="s">
        <v>195</v>
      </c>
      <c r="J9" s="248"/>
      <c r="K9" s="248"/>
      <c r="L9" s="248"/>
      <c r="M9" s="244"/>
      <c r="N9" s="244"/>
      <c r="O9" s="244"/>
      <c r="P9" s="244"/>
      <c r="Q9" s="244"/>
      <c r="R9" s="244"/>
      <c r="S9" s="244"/>
      <c r="T9" s="244"/>
      <c r="U9" s="244"/>
      <c r="V9" s="245"/>
      <c r="W9" s="6"/>
    </row>
    <row r="10" spans="1:23" ht="16.2">
      <c r="A10" s="242"/>
      <c r="B10" s="248"/>
      <c r="C10" s="248"/>
      <c r="D10" s="248"/>
      <c r="E10" s="248"/>
      <c r="F10" s="248"/>
      <c r="G10" s="248"/>
      <c r="H10" s="248"/>
      <c r="I10" s="248"/>
      <c r="J10" s="248"/>
      <c r="K10" s="248"/>
      <c r="L10" s="248"/>
      <c r="M10" s="252"/>
      <c r="N10" s="252"/>
      <c r="O10" s="244"/>
      <c r="P10" s="244"/>
      <c r="Q10" s="244"/>
      <c r="R10" s="244"/>
      <c r="S10" s="244"/>
      <c r="T10" s="244"/>
      <c r="U10" s="244"/>
      <c r="V10" s="245"/>
      <c r="W10" s="6"/>
    </row>
    <row r="11" spans="1:23" ht="15.6">
      <c r="A11" s="242"/>
      <c r="B11" s="287" t="s">
        <v>3</v>
      </c>
      <c r="C11" s="252"/>
      <c r="D11" s="252"/>
      <c r="E11" s="252"/>
      <c r="F11" s="252"/>
      <c r="G11" s="252"/>
      <c r="H11" s="252"/>
      <c r="I11" s="252"/>
      <c r="J11" s="252"/>
      <c r="K11" s="252"/>
      <c r="L11" s="252"/>
      <c r="M11" s="244"/>
      <c r="N11" s="244"/>
      <c r="O11" s="244"/>
      <c r="P11" s="244"/>
      <c r="Q11" s="244"/>
      <c r="R11" s="244"/>
      <c r="S11" s="244"/>
      <c r="T11" s="244"/>
      <c r="U11" s="244"/>
      <c r="V11" s="245"/>
      <c r="W11" s="6"/>
    </row>
    <row r="12" spans="1:23" ht="16.2" thickBot="1">
      <c r="A12" s="242"/>
      <c r="B12" s="252"/>
      <c r="C12" s="252"/>
      <c r="D12" s="252"/>
      <c r="E12" s="252"/>
      <c r="F12" s="252"/>
      <c r="G12" s="252"/>
      <c r="H12" s="252"/>
      <c r="I12" s="252"/>
      <c r="J12" s="252"/>
      <c r="K12" s="252"/>
      <c r="L12" s="252"/>
      <c r="M12" s="244"/>
      <c r="N12" s="244"/>
      <c r="O12" s="244"/>
      <c r="P12" s="244"/>
      <c r="Q12" s="244"/>
      <c r="R12" s="244"/>
      <c r="S12" s="244"/>
      <c r="T12" s="244"/>
      <c r="U12" s="244"/>
      <c r="V12" s="245"/>
      <c r="W12" s="6"/>
    </row>
    <row r="13" spans="1:23" ht="15.6">
      <c r="A13" s="238"/>
      <c r="B13" s="240"/>
      <c r="C13" s="240"/>
      <c r="D13" s="240"/>
      <c r="E13" s="240"/>
      <c r="F13" s="240"/>
      <c r="G13" s="240"/>
      <c r="H13" s="240"/>
      <c r="I13" s="240"/>
      <c r="J13" s="240"/>
      <c r="K13" s="240"/>
      <c r="L13" s="240"/>
      <c r="M13" s="240"/>
      <c r="N13" s="240"/>
      <c r="O13" s="240"/>
      <c r="P13" s="240"/>
      <c r="Q13" s="240"/>
      <c r="R13" s="240"/>
      <c r="S13" s="240"/>
      <c r="T13" s="240"/>
      <c r="U13" s="240"/>
      <c r="V13" s="241"/>
      <c r="W13" s="6"/>
    </row>
    <row r="14" spans="1:23" ht="15.6">
      <c r="A14" s="242"/>
      <c r="B14" s="287" t="s">
        <v>4</v>
      </c>
      <c r="C14" s="253"/>
      <c r="D14" s="253"/>
      <c r="E14" s="253"/>
      <c r="F14" s="253"/>
      <c r="G14" s="253"/>
      <c r="H14" s="253"/>
      <c r="I14" s="253"/>
      <c r="J14" s="253"/>
      <c r="K14" s="253"/>
      <c r="L14" s="253"/>
      <c r="M14" s="288"/>
      <c r="N14" s="288"/>
      <c r="O14" s="288"/>
      <c r="P14" s="288"/>
      <c r="Q14" s="288"/>
      <c r="R14" s="288"/>
      <c r="S14" s="288"/>
      <c r="T14" s="288"/>
      <c r="U14" s="289" t="s">
        <v>126</v>
      </c>
      <c r="V14" s="245"/>
      <c r="W14" s="6"/>
    </row>
    <row r="15" spans="1:23" ht="15.6">
      <c r="A15" s="242"/>
      <c r="B15" s="287" t="s">
        <v>5</v>
      </c>
      <c r="C15" s="253"/>
      <c r="D15" s="253"/>
      <c r="E15" s="253"/>
      <c r="F15" s="253"/>
      <c r="G15" s="253"/>
      <c r="H15" s="253"/>
      <c r="I15" s="253"/>
      <c r="J15" s="253"/>
      <c r="K15" s="253"/>
      <c r="L15" s="253"/>
      <c r="M15" s="290" t="s">
        <v>93</v>
      </c>
      <c r="N15" s="291">
        <v>0.1492</v>
      </c>
      <c r="O15" s="290" t="s">
        <v>99</v>
      </c>
      <c r="P15" s="291">
        <v>5.4399999999999997E-2</v>
      </c>
      <c r="Q15" s="290" t="s">
        <v>102</v>
      </c>
      <c r="R15" s="291">
        <v>0.48899999999999999</v>
      </c>
      <c r="S15" s="290" t="s">
        <v>108</v>
      </c>
      <c r="T15" s="291">
        <v>0.30740000000000001</v>
      </c>
      <c r="U15" s="289"/>
      <c r="V15" s="254"/>
      <c r="W15" s="6"/>
    </row>
    <row r="16" spans="1:23" ht="15.6">
      <c r="A16" s="242"/>
      <c r="B16" s="287" t="s">
        <v>6</v>
      </c>
      <c r="C16" s="253"/>
      <c r="D16" s="253"/>
      <c r="E16" s="253"/>
      <c r="F16" s="253"/>
      <c r="G16" s="253"/>
      <c r="H16" s="253"/>
      <c r="I16" s="253"/>
      <c r="J16" s="253"/>
      <c r="K16" s="253"/>
      <c r="L16" s="253"/>
      <c r="M16" s="290" t="s">
        <v>93</v>
      </c>
      <c r="N16" s="291">
        <f>+N198/S221</f>
        <v>1.2295081967213115E-2</v>
      </c>
      <c r="O16" s="290" t="s">
        <v>99</v>
      </c>
      <c r="P16" s="291">
        <f>+S198/S221</f>
        <v>2.0353032601857675E-3</v>
      </c>
      <c r="Q16" s="290" t="s">
        <v>102</v>
      </c>
      <c r="R16" s="291">
        <f>+N211/S221</f>
        <v>0.98076638419124451</v>
      </c>
      <c r="S16" s="290" t="s">
        <v>108</v>
      </c>
      <c r="T16" s="291">
        <f>+S211/S221</f>
        <v>4.9032305813566223E-3</v>
      </c>
      <c r="U16" s="289"/>
      <c r="V16" s="254"/>
      <c r="W16" s="6"/>
    </row>
    <row r="17" spans="1:23" ht="15.6">
      <c r="A17" s="242"/>
      <c r="B17" s="287" t="s">
        <v>7</v>
      </c>
      <c r="C17" s="253"/>
      <c r="D17" s="253"/>
      <c r="E17" s="253"/>
      <c r="F17" s="253"/>
      <c r="G17" s="253"/>
      <c r="H17" s="253"/>
      <c r="I17" s="253"/>
      <c r="J17" s="253"/>
      <c r="K17" s="253"/>
      <c r="L17" s="253"/>
      <c r="M17" s="288"/>
      <c r="N17" s="288"/>
      <c r="O17" s="288"/>
      <c r="P17" s="288"/>
      <c r="Q17" s="288"/>
      <c r="R17" s="288"/>
      <c r="S17" s="288"/>
      <c r="T17" s="288"/>
      <c r="U17" s="292">
        <v>38491</v>
      </c>
      <c r="V17" s="245"/>
      <c r="W17" s="6"/>
    </row>
    <row r="18" spans="1:23" ht="15.6">
      <c r="A18" s="242"/>
      <c r="B18" s="287" t="s">
        <v>8</v>
      </c>
      <c r="C18" s="253"/>
      <c r="D18" s="253"/>
      <c r="E18" s="253"/>
      <c r="F18" s="253"/>
      <c r="G18" s="253"/>
      <c r="H18" s="253"/>
      <c r="I18" s="253"/>
      <c r="J18" s="253"/>
      <c r="K18" s="253"/>
      <c r="L18" s="253"/>
      <c r="M18" s="288"/>
      <c r="N18" s="288"/>
      <c r="O18" s="288"/>
      <c r="P18" s="288"/>
      <c r="Q18" s="288"/>
      <c r="R18" s="288"/>
      <c r="S18" s="288"/>
      <c r="T18" s="288"/>
      <c r="U18" s="292">
        <v>41934</v>
      </c>
      <c r="V18" s="245"/>
      <c r="W18" s="6"/>
    </row>
    <row r="19" spans="1:23" ht="15.6">
      <c r="A19" s="242"/>
      <c r="B19" s="288"/>
      <c r="C19" s="244"/>
      <c r="D19" s="244"/>
      <c r="E19" s="244"/>
      <c r="F19" s="244"/>
      <c r="G19" s="244"/>
      <c r="H19" s="244"/>
      <c r="I19" s="244"/>
      <c r="J19" s="244"/>
      <c r="K19" s="244"/>
      <c r="L19" s="244"/>
      <c r="M19" s="244"/>
      <c r="N19" s="244"/>
      <c r="O19" s="244"/>
      <c r="P19" s="244"/>
      <c r="Q19" s="244"/>
      <c r="R19" s="244"/>
      <c r="S19" s="244"/>
      <c r="T19" s="244"/>
      <c r="U19" s="255"/>
      <c r="V19" s="245"/>
      <c r="W19" s="6"/>
    </row>
    <row r="20" spans="1:23" ht="15.6">
      <c r="A20" s="242"/>
      <c r="B20" s="293" t="s">
        <v>9</v>
      </c>
      <c r="C20" s="244"/>
      <c r="D20" s="244"/>
      <c r="E20" s="244"/>
      <c r="F20" s="244"/>
      <c r="G20" s="244"/>
      <c r="H20" s="244"/>
      <c r="I20" s="244"/>
      <c r="J20" s="244"/>
      <c r="K20" s="244"/>
      <c r="L20" s="244"/>
      <c r="M20" s="244"/>
      <c r="N20" s="244"/>
      <c r="O20" s="244"/>
      <c r="P20" s="244"/>
      <c r="Q20" s="244"/>
      <c r="R20" s="244"/>
      <c r="S20" s="255"/>
      <c r="T20" s="244"/>
      <c r="U20" s="249"/>
      <c r="V20" s="245"/>
      <c r="W20" s="6"/>
    </row>
    <row r="21" spans="1:23" ht="15.6">
      <c r="A21" s="242"/>
      <c r="B21" s="244"/>
      <c r="C21" s="244"/>
      <c r="D21" s="244"/>
      <c r="E21" s="244"/>
      <c r="F21" s="244"/>
      <c r="G21" s="244"/>
      <c r="H21" s="244"/>
      <c r="I21" s="244"/>
      <c r="J21" s="244"/>
      <c r="K21" s="244"/>
      <c r="L21" s="244"/>
      <c r="M21" s="244"/>
      <c r="N21" s="244"/>
      <c r="O21" s="244"/>
      <c r="P21" s="244"/>
      <c r="Q21" s="244"/>
      <c r="R21" s="244"/>
      <c r="S21" s="244"/>
      <c r="T21" s="244"/>
      <c r="U21" s="256"/>
      <c r="V21" s="245"/>
      <c r="W21" s="6"/>
    </row>
    <row r="22" spans="1:23" ht="15.6">
      <c r="A22" s="230"/>
      <c r="B22" s="231"/>
      <c r="C22" s="232" t="s">
        <v>130</v>
      </c>
      <c r="D22" s="232"/>
      <c r="E22" s="232" t="s">
        <v>131</v>
      </c>
      <c r="F22" s="232"/>
      <c r="G22" s="232" t="s">
        <v>132</v>
      </c>
      <c r="H22" s="232"/>
      <c r="I22" s="232" t="s">
        <v>133</v>
      </c>
      <c r="J22" s="232"/>
      <c r="K22" s="232" t="s">
        <v>134</v>
      </c>
      <c r="L22" s="232"/>
      <c r="M22" s="233" t="s">
        <v>135</v>
      </c>
      <c r="N22" s="233"/>
      <c r="O22" s="233" t="s">
        <v>136</v>
      </c>
      <c r="P22" s="233"/>
      <c r="Q22" s="233" t="s">
        <v>137</v>
      </c>
      <c r="R22" s="233"/>
      <c r="S22" s="235"/>
      <c r="T22" s="236"/>
      <c r="U22" s="236"/>
      <c r="V22" s="237"/>
      <c r="W22" s="6"/>
    </row>
    <row r="23" spans="1:23" ht="15.6">
      <c r="A23" s="257"/>
      <c r="B23" s="294" t="s">
        <v>10</v>
      </c>
      <c r="C23" s="295" t="s">
        <v>96</v>
      </c>
      <c r="D23" s="295"/>
      <c r="E23" s="295" t="s">
        <v>96</v>
      </c>
      <c r="F23" s="295"/>
      <c r="G23" s="295" t="s">
        <v>138</v>
      </c>
      <c r="H23" s="295"/>
      <c r="I23" s="295" t="s">
        <v>138</v>
      </c>
      <c r="J23" s="295"/>
      <c r="K23" s="295" t="s">
        <v>104</v>
      </c>
      <c r="L23" s="296"/>
      <c r="M23" s="297" t="s">
        <v>104</v>
      </c>
      <c r="N23" s="297"/>
      <c r="O23" s="297" t="s">
        <v>109</v>
      </c>
      <c r="P23" s="297"/>
      <c r="Q23" s="297" t="s">
        <v>109</v>
      </c>
      <c r="R23" s="258"/>
      <c r="S23" s="258"/>
      <c r="T23" s="259"/>
      <c r="U23" s="259"/>
      <c r="V23" s="260"/>
      <c r="W23" s="6"/>
    </row>
    <row r="24" spans="1:23" ht="15.6">
      <c r="A24" s="378"/>
      <c r="B24" s="379" t="s">
        <v>11</v>
      </c>
      <c r="C24" s="380" t="s">
        <v>97</v>
      </c>
      <c r="D24" s="380"/>
      <c r="E24" s="380" t="s">
        <v>97</v>
      </c>
      <c r="F24" s="380"/>
      <c r="G24" s="380" t="s">
        <v>139</v>
      </c>
      <c r="H24" s="380"/>
      <c r="I24" s="380" t="s">
        <v>139</v>
      </c>
      <c r="J24" s="380"/>
      <c r="K24" s="380" t="s">
        <v>105</v>
      </c>
      <c r="L24" s="381"/>
      <c r="M24" s="382" t="s">
        <v>105</v>
      </c>
      <c r="N24" s="382"/>
      <c r="O24" s="382" t="s">
        <v>110</v>
      </c>
      <c r="P24" s="382"/>
      <c r="Q24" s="382" t="s">
        <v>110</v>
      </c>
      <c r="R24" s="383"/>
      <c r="S24" s="383"/>
      <c r="T24" s="384"/>
      <c r="U24" s="384"/>
      <c r="V24" s="385"/>
      <c r="W24" s="6"/>
    </row>
    <row r="25" spans="1:23" ht="15.6">
      <c r="A25" s="378"/>
      <c r="B25" s="386" t="s">
        <v>12</v>
      </c>
      <c r="C25" s="381" t="s">
        <v>284</v>
      </c>
      <c r="D25" s="381"/>
      <c r="E25" s="381" t="s">
        <v>284</v>
      </c>
      <c r="F25" s="381"/>
      <c r="G25" s="381" t="s">
        <v>284</v>
      </c>
      <c r="H25" s="381"/>
      <c r="I25" s="381" t="s">
        <v>284</v>
      </c>
      <c r="J25" s="386"/>
      <c r="K25" s="381" t="s">
        <v>138</v>
      </c>
      <c r="L25" s="386"/>
      <c r="M25" s="387" t="s">
        <v>138</v>
      </c>
      <c r="N25" s="382"/>
      <c r="O25" s="387" t="s">
        <v>288</v>
      </c>
      <c r="P25" s="382"/>
      <c r="Q25" s="387" t="s">
        <v>288</v>
      </c>
      <c r="R25" s="388"/>
      <c r="S25" s="388"/>
      <c r="T25" s="389"/>
      <c r="U25" s="384"/>
      <c r="V25" s="385"/>
      <c r="W25" s="6"/>
    </row>
    <row r="26" spans="1:23" ht="15.6">
      <c r="A26" s="378"/>
      <c r="B26" s="386" t="s">
        <v>13</v>
      </c>
      <c r="C26" s="381" t="s">
        <v>139</v>
      </c>
      <c r="D26" s="381"/>
      <c r="E26" s="381" t="s">
        <v>139</v>
      </c>
      <c r="F26" s="381"/>
      <c r="G26" s="381" t="s">
        <v>139</v>
      </c>
      <c r="H26" s="381"/>
      <c r="I26" s="381" t="s">
        <v>139</v>
      </c>
      <c r="J26" s="386"/>
      <c r="K26" s="381" t="s">
        <v>280</v>
      </c>
      <c r="L26" s="386"/>
      <c r="M26" s="387" t="s">
        <v>280</v>
      </c>
      <c r="N26" s="382"/>
      <c r="O26" s="387" t="s">
        <v>110</v>
      </c>
      <c r="P26" s="382"/>
      <c r="Q26" s="387" t="s">
        <v>110</v>
      </c>
      <c r="R26" s="388"/>
      <c r="S26" s="388"/>
      <c r="T26" s="389"/>
      <c r="U26" s="384"/>
      <c r="V26" s="385"/>
      <c r="W26" s="6"/>
    </row>
    <row r="27" spans="1:23" ht="15.6">
      <c r="A27" s="378"/>
      <c r="B27" s="379" t="s">
        <v>14</v>
      </c>
      <c r="C27" s="380" t="s">
        <v>140</v>
      </c>
      <c r="D27" s="379"/>
      <c r="E27" s="380" t="s">
        <v>141</v>
      </c>
      <c r="F27" s="379"/>
      <c r="G27" s="380" t="s">
        <v>142</v>
      </c>
      <c r="H27" s="379"/>
      <c r="I27" s="380" t="s">
        <v>258</v>
      </c>
      <c r="J27" s="379"/>
      <c r="K27" s="380" t="s">
        <v>143</v>
      </c>
      <c r="L27" s="379"/>
      <c r="M27" s="379" t="s">
        <v>144</v>
      </c>
      <c r="N27" s="382"/>
      <c r="O27" s="379" t="s">
        <v>145</v>
      </c>
      <c r="P27" s="382"/>
      <c r="Q27" s="379" t="s">
        <v>146</v>
      </c>
      <c r="R27" s="383"/>
      <c r="S27" s="390"/>
      <c r="T27" s="384"/>
      <c r="U27" s="384"/>
      <c r="V27" s="385"/>
      <c r="W27" s="6"/>
    </row>
    <row r="28" spans="1:23" ht="15.6">
      <c r="A28" s="378"/>
      <c r="B28" s="379" t="s">
        <v>147</v>
      </c>
      <c r="C28" s="391">
        <v>146000</v>
      </c>
      <c r="D28" s="380"/>
      <c r="E28" s="392">
        <v>259500</v>
      </c>
      <c r="F28" s="380"/>
      <c r="G28" s="391">
        <v>16000</v>
      </c>
      <c r="H28" s="380"/>
      <c r="I28" s="392">
        <v>35500</v>
      </c>
      <c r="J28" s="379"/>
      <c r="K28" s="391">
        <v>18000</v>
      </c>
      <c r="L28" s="379"/>
      <c r="M28" s="392">
        <v>33000</v>
      </c>
      <c r="N28" s="393"/>
      <c r="O28" s="394">
        <v>24500</v>
      </c>
      <c r="P28" s="394"/>
      <c r="Q28" s="392">
        <v>30000</v>
      </c>
      <c r="R28" s="395"/>
      <c r="S28" s="395"/>
      <c r="T28" s="396"/>
      <c r="U28" s="395"/>
      <c r="V28" s="397"/>
      <c r="W28" s="6"/>
    </row>
    <row r="29" spans="1:23" ht="15.6">
      <c r="A29" s="378"/>
      <c r="B29" s="379" t="s">
        <v>15</v>
      </c>
      <c r="C29" s="391">
        <f>C28*C35</f>
        <v>22483.824799999999</v>
      </c>
      <c r="D29" s="398"/>
      <c r="E29" s="392">
        <f>E28*E35</f>
        <v>39962.688600000001</v>
      </c>
      <c r="F29" s="398"/>
      <c r="G29" s="391">
        <f>G28*G35</f>
        <v>8071.9999999999991</v>
      </c>
      <c r="H29" s="398"/>
      <c r="I29" s="392">
        <f>I28*I35</f>
        <v>17909.749999999996</v>
      </c>
      <c r="J29" s="399"/>
      <c r="K29" s="391">
        <f>K28*K35</f>
        <v>9080.9999999999982</v>
      </c>
      <c r="L29" s="399"/>
      <c r="M29" s="392">
        <f>M28*M35</f>
        <v>16648.5</v>
      </c>
      <c r="N29" s="393"/>
      <c r="O29" s="391">
        <f>O28*O35</f>
        <v>12360.249999999998</v>
      </c>
      <c r="P29" s="394"/>
      <c r="Q29" s="392">
        <f>Q28*Q35</f>
        <v>15134.999999999998</v>
      </c>
      <c r="R29" s="400"/>
      <c r="S29" s="395"/>
      <c r="T29" s="396"/>
      <c r="U29" s="395"/>
      <c r="V29" s="397"/>
      <c r="W29" s="6"/>
    </row>
    <row r="30" spans="1:23" ht="15.6">
      <c r="A30" s="401"/>
      <c r="B30" s="386" t="s">
        <v>148</v>
      </c>
      <c r="C30" s="415">
        <f>C34*C28</f>
        <v>21419.572399999997</v>
      </c>
      <c r="D30" s="505"/>
      <c r="E30" s="406">
        <f>E34*E28</f>
        <v>38071.0893</v>
      </c>
      <c r="F30" s="505"/>
      <c r="G30" s="415">
        <f>G34*G28</f>
        <v>7689.9840000000004</v>
      </c>
      <c r="H30" s="505"/>
      <c r="I30" s="406">
        <f>I34*I28</f>
        <v>17062.151999999998</v>
      </c>
      <c r="J30" s="506"/>
      <c r="K30" s="415">
        <f>K34*K28</f>
        <v>8651.232</v>
      </c>
      <c r="L30" s="399"/>
      <c r="M30" s="406">
        <f>M34*M28</f>
        <v>15860.592000000001</v>
      </c>
      <c r="N30" s="407"/>
      <c r="O30" s="415">
        <f>O34*O28</f>
        <v>11775.288</v>
      </c>
      <c r="P30" s="408"/>
      <c r="Q30" s="406">
        <f>Q34*Q28</f>
        <v>14418.72</v>
      </c>
      <c r="R30" s="408"/>
      <c r="S30" s="408"/>
      <c r="T30" s="409"/>
      <c r="U30" s="408"/>
      <c r="V30" s="410"/>
      <c r="W30" s="6"/>
    </row>
    <row r="31" spans="1:23" ht="15.6">
      <c r="A31" s="401"/>
      <c r="B31" s="379" t="s">
        <v>260</v>
      </c>
      <c r="C31" s="391">
        <v>146000</v>
      </c>
      <c r="D31" s="398"/>
      <c r="E31" s="391">
        <v>178000</v>
      </c>
      <c r="F31" s="391"/>
      <c r="G31" s="391">
        <v>16000</v>
      </c>
      <c r="H31" s="391"/>
      <c r="I31" s="391">
        <v>24500</v>
      </c>
      <c r="J31" s="412"/>
      <c r="K31" s="391">
        <v>18000</v>
      </c>
      <c r="L31" s="412"/>
      <c r="M31" s="391">
        <v>22500</v>
      </c>
      <c r="N31" s="414"/>
      <c r="O31" s="391">
        <v>24500</v>
      </c>
      <c r="P31" s="415"/>
      <c r="Q31" s="391">
        <v>20500</v>
      </c>
      <c r="R31" s="408"/>
      <c r="S31" s="408"/>
      <c r="T31" s="409"/>
      <c r="U31" s="394">
        <f>+Q31+O31+M31+K31+I31+G31+E31+C31</f>
        <v>450000</v>
      </c>
      <c r="V31" s="410"/>
      <c r="W31" s="6"/>
    </row>
    <row r="32" spans="1:23" ht="15.6">
      <c r="A32" s="401"/>
      <c r="B32" s="379" t="s">
        <v>261</v>
      </c>
      <c r="C32" s="391">
        <f>C28*C35</f>
        <v>22483.824799999999</v>
      </c>
      <c r="D32" s="398"/>
      <c r="E32" s="391">
        <f>E31*E35</f>
        <v>27411.786399999997</v>
      </c>
      <c r="F32" s="391"/>
      <c r="G32" s="391">
        <f>G28*G35</f>
        <v>8071.9999999999991</v>
      </c>
      <c r="H32" s="391"/>
      <c r="I32" s="391">
        <f>I31*I35</f>
        <v>12360.249999999998</v>
      </c>
      <c r="J32" s="412"/>
      <c r="K32" s="391">
        <f>K28*K35</f>
        <v>9080.9999999999982</v>
      </c>
      <c r="L32" s="412"/>
      <c r="M32" s="391">
        <f>M31*M35</f>
        <v>11351.249999999998</v>
      </c>
      <c r="N32" s="414"/>
      <c r="O32" s="391">
        <f>O28*O35</f>
        <v>12360.249999999998</v>
      </c>
      <c r="P32" s="415"/>
      <c r="Q32" s="391">
        <f>Q31*Q35</f>
        <v>10342.249999999998</v>
      </c>
      <c r="R32" s="391"/>
      <c r="S32" s="408"/>
      <c r="T32" s="409"/>
      <c r="U32" s="394">
        <f>+Q32+O32+M32+K32+I32+G32+E32+C32-1</f>
        <v>113461.61119999998</v>
      </c>
      <c r="V32" s="410"/>
      <c r="W32" s="6"/>
    </row>
    <row r="33" spans="1:23" ht="15.6">
      <c r="A33" s="401"/>
      <c r="B33" s="386" t="s">
        <v>262</v>
      </c>
      <c r="C33" s="415">
        <f>C34*C28</f>
        <v>21419.572399999997</v>
      </c>
      <c r="D33" s="415"/>
      <c r="E33" s="415">
        <f>E34*E31</f>
        <v>26114.2732</v>
      </c>
      <c r="F33" s="415"/>
      <c r="G33" s="415">
        <f>G34*G28</f>
        <v>7689.9840000000004</v>
      </c>
      <c r="H33" s="415"/>
      <c r="I33" s="415">
        <f>I34*I31</f>
        <v>11775.288</v>
      </c>
      <c r="J33" s="414"/>
      <c r="K33" s="415">
        <f>K34*K28</f>
        <v>8651.232</v>
      </c>
      <c r="L33" s="414"/>
      <c r="M33" s="415">
        <f>M34*M31</f>
        <v>10814.039999999999</v>
      </c>
      <c r="N33" s="414"/>
      <c r="O33" s="415">
        <f>O34*O28</f>
        <v>11775.288</v>
      </c>
      <c r="P33" s="415"/>
      <c r="Q33" s="415">
        <f>Q34*Q31</f>
        <v>9852.7919999999995</v>
      </c>
      <c r="R33" s="408"/>
      <c r="S33" s="408"/>
      <c r="T33" s="409"/>
      <c r="U33" s="408">
        <f>+Q33+O33+M33+K33+I33+G33+E33+C33</f>
        <v>108092.46959999998</v>
      </c>
      <c r="V33" s="410"/>
      <c r="W33" s="6"/>
    </row>
    <row r="34" spans="1:23" ht="15.6">
      <c r="A34" s="401"/>
      <c r="B34" s="468" t="s">
        <v>149</v>
      </c>
      <c r="C34" s="507">
        <v>0.14670939999999999</v>
      </c>
      <c r="D34" s="507"/>
      <c r="E34" s="507">
        <v>0.14670939999999999</v>
      </c>
      <c r="F34" s="507"/>
      <c r="G34" s="507">
        <v>0.480624</v>
      </c>
      <c r="H34" s="507"/>
      <c r="I34" s="507">
        <v>0.480624</v>
      </c>
      <c r="J34" s="507"/>
      <c r="K34" s="507">
        <v>0.480624</v>
      </c>
      <c r="L34" s="507"/>
      <c r="M34" s="507">
        <v>0.480624</v>
      </c>
      <c r="N34" s="507"/>
      <c r="O34" s="507">
        <v>0.480624</v>
      </c>
      <c r="P34" s="507"/>
      <c r="Q34" s="507">
        <v>0.480624</v>
      </c>
      <c r="R34" s="508"/>
      <c r="S34" s="420"/>
      <c r="T34" s="421"/>
      <c r="U34" s="420"/>
      <c r="V34" s="385"/>
      <c r="W34" s="6"/>
    </row>
    <row r="35" spans="1:23" ht="15.6">
      <c r="A35" s="401"/>
      <c r="B35" s="468" t="s">
        <v>150</v>
      </c>
      <c r="C35" s="507">
        <v>0.15399879999999999</v>
      </c>
      <c r="D35" s="507"/>
      <c r="E35" s="507">
        <v>0.15399879999999999</v>
      </c>
      <c r="F35" s="507"/>
      <c r="G35" s="507">
        <v>0.50449999999999995</v>
      </c>
      <c r="H35" s="507"/>
      <c r="I35" s="507">
        <v>0.50449999999999995</v>
      </c>
      <c r="J35" s="507"/>
      <c r="K35" s="507">
        <v>0.50449999999999995</v>
      </c>
      <c r="L35" s="507"/>
      <c r="M35" s="507">
        <v>0.50449999999999995</v>
      </c>
      <c r="N35" s="507"/>
      <c r="O35" s="507">
        <v>0.50449999999999995</v>
      </c>
      <c r="P35" s="507"/>
      <c r="Q35" s="507">
        <v>0.50449999999999995</v>
      </c>
      <c r="R35" s="508"/>
      <c r="S35" s="420"/>
      <c r="T35" s="421"/>
      <c r="U35" s="420"/>
      <c r="V35" s="385"/>
      <c r="W35" s="6"/>
    </row>
    <row r="36" spans="1:23" ht="15.6">
      <c r="A36" s="378"/>
      <c r="B36" s="379" t="s">
        <v>153</v>
      </c>
      <c r="C36" s="380" t="s">
        <v>163</v>
      </c>
      <c r="D36" s="380"/>
      <c r="E36" s="380" t="s">
        <v>163</v>
      </c>
      <c r="F36" s="380"/>
      <c r="G36" s="380" t="s">
        <v>164</v>
      </c>
      <c r="H36" s="380"/>
      <c r="I36" s="380" t="s">
        <v>164</v>
      </c>
      <c r="J36" s="380"/>
      <c r="K36" s="380" t="s">
        <v>106</v>
      </c>
      <c r="L36" s="380"/>
      <c r="M36" s="380" t="s">
        <v>165</v>
      </c>
      <c r="N36" s="380"/>
      <c r="O36" s="380" t="s">
        <v>166</v>
      </c>
      <c r="P36" s="380"/>
      <c r="Q36" s="380" t="s">
        <v>167</v>
      </c>
      <c r="R36" s="380"/>
      <c r="S36" s="380"/>
      <c r="T36" s="379"/>
      <c r="U36" s="424"/>
      <c r="V36" s="410"/>
      <c r="W36" s="6"/>
    </row>
    <row r="37" spans="1:23" ht="15.6">
      <c r="A37" s="378"/>
      <c r="B37" s="379" t="s">
        <v>151</v>
      </c>
      <c r="C37" s="509">
        <v>9.9749999999999995E-3</v>
      </c>
      <c r="D37" s="509"/>
      <c r="E37" s="509">
        <v>6.43E-3</v>
      </c>
      <c r="F37" s="509"/>
      <c r="G37" s="509">
        <v>1.2175E-2</v>
      </c>
      <c r="H37" s="509"/>
      <c r="I37" s="509">
        <v>8.6300000000000005E-3</v>
      </c>
      <c r="J37" s="509"/>
      <c r="K37" s="509">
        <v>1.7575E-2</v>
      </c>
      <c r="L37" s="509"/>
      <c r="M37" s="509">
        <v>1.3429999999999999E-2</v>
      </c>
      <c r="N37" s="509"/>
      <c r="O37" s="509">
        <v>2.4575E-2</v>
      </c>
      <c r="P37" s="509"/>
      <c r="Q37" s="509">
        <v>2.0029999999999999E-2</v>
      </c>
      <c r="R37" s="427"/>
      <c r="S37" s="509"/>
      <c r="T37" s="379"/>
      <c r="U37" s="380"/>
      <c r="V37" s="410"/>
      <c r="W37" s="6"/>
    </row>
    <row r="38" spans="1:23" ht="15.6">
      <c r="A38" s="378"/>
      <c r="B38" s="379" t="s">
        <v>152</v>
      </c>
      <c r="C38" s="509">
        <v>9.6530999999999995E-3</v>
      </c>
      <c r="D38" s="509"/>
      <c r="E38" s="509">
        <v>7.6800000000000002E-3</v>
      </c>
      <c r="F38" s="509"/>
      <c r="G38" s="509">
        <v>1.18531E-2</v>
      </c>
      <c r="H38" s="509"/>
      <c r="I38" s="509">
        <v>9.8799999999999999E-3</v>
      </c>
      <c r="J38" s="509"/>
      <c r="K38" s="509">
        <v>1.72531E-2</v>
      </c>
      <c r="L38" s="509"/>
      <c r="M38" s="509">
        <v>1.468E-2</v>
      </c>
      <c r="N38" s="509"/>
      <c r="O38" s="509">
        <v>2.42531E-2</v>
      </c>
      <c r="P38" s="509"/>
      <c r="Q38" s="509">
        <v>2.128E-2</v>
      </c>
      <c r="R38" s="427"/>
      <c r="S38" s="509"/>
      <c r="T38" s="379"/>
      <c r="U38" s="424"/>
      <c r="V38" s="410"/>
      <c r="W38" s="6"/>
    </row>
    <row r="39" spans="1:23" ht="15.6">
      <c r="A39" s="378"/>
      <c r="B39" s="379" t="s">
        <v>263</v>
      </c>
      <c r="C39" s="380" t="s">
        <v>163</v>
      </c>
      <c r="D39" s="379"/>
      <c r="E39" s="380" t="s">
        <v>228</v>
      </c>
      <c r="F39" s="379"/>
      <c r="G39" s="380" t="s">
        <v>164</v>
      </c>
      <c r="H39" s="379"/>
      <c r="I39" s="380" t="s">
        <v>226</v>
      </c>
      <c r="J39" s="379"/>
      <c r="K39" s="380" t="s">
        <v>106</v>
      </c>
      <c r="L39" s="379"/>
      <c r="M39" s="380" t="s">
        <v>227</v>
      </c>
      <c r="N39" s="379"/>
      <c r="O39" s="380" t="s">
        <v>166</v>
      </c>
      <c r="P39" s="380"/>
      <c r="Q39" s="380" t="s">
        <v>229</v>
      </c>
      <c r="R39" s="427"/>
      <c r="S39" s="509"/>
      <c r="T39" s="379"/>
      <c r="U39" s="424"/>
      <c r="V39" s="410"/>
      <c r="W39" s="6"/>
    </row>
    <row r="40" spans="1:23" ht="15.6">
      <c r="A40" s="378"/>
      <c r="B40" s="379" t="s">
        <v>264</v>
      </c>
      <c r="C40" s="509">
        <f>+C37</f>
        <v>9.9749999999999995E-3</v>
      </c>
      <c r="D40" s="509"/>
      <c r="E40" s="509">
        <v>1.0551E-2</v>
      </c>
      <c r="F40" s="509"/>
      <c r="G40" s="509">
        <f>+G37</f>
        <v>1.2175E-2</v>
      </c>
      <c r="H40" s="509"/>
      <c r="I40" s="509">
        <v>1.2907999999999999E-2</v>
      </c>
      <c r="J40" s="509"/>
      <c r="K40" s="509">
        <f>+K37</f>
        <v>1.7575E-2</v>
      </c>
      <c r="L40" s="510"/>
      <c r="M40" s="509">
        <v>1.8135399999999999E-2</v>
      </c>
      <c r="N40" s="510"/>
      <c r="O40" s="509">
        <f>+O37</f>
        <v>2.4575E-2</v>
      </c>
      <c r="P40" s="509"/>
      <c r="Q40" s="509">
        <v>2.5401400000000001E-2</v>
      </c>
      <c r="R40" s="427"/>
      <c r="S40" s="509"/>
      <c r="T40" s="379"/>
      <c r="U40" s="427">
        <f>SUMPRODUCT(C40:Q40,C32:Q32)/U32</f>
        <v>1.5011592086719813E-2</v>
      </c>
      <c r="V40" s="410"/>
      <c r="W40" s="6"/>
    </row>
    <row r="41" spans="1:23" ht="15.6">
      <c r="A41" s="378"/>
      <c r="B41" s="379" t="s">
        <v>265</v>
      </c>
      <c r="C41" s="509">
        <f>+C38</f>
        <v>9.6530999999999995E-3</v>
      </c>
      <c r="D41" s="509"/>
      <c r="E41" s="509">
        <v>1.02291E-2</v>
      </c>
      <c r="F41" s="509"/>
      <c r="G41" s="509">
        <f>+G38</f>
        <v>1.18531E-2</v>
      </c>
      <c r="H41" s="509"/>
      <c r="I41" s="509">
        <v>1.2586099999999999E-2</v>
      </c>
      <c r="J41" s="509"/>
      <c r="K41" s="509">
        <f>+K38</f>
        <v>1.72531E-2</v>
      </c>
      <c r="L41" s="510"/>
      <c r="M41" s="509">
        <v>1.7813499999999999E-2</v>
      </c>
      <c r="N41" s="510"/>
      <c r="O41" s="509">
        <f>+O38</f>
        <v>2.42531E-2</v>
      </c>
      <c r="P41" s="509"/>
      <c r="Q41" s="509">
        <v>2.5079500000000001E-2</v>
      </c>
      <c r="R41" s="427"/>
      <c r="S41" s="509"/>
      <c r="T41" s="379"/>
      <c r="U41" s="424"/>
      <c r="V41" s="410"/>
      <c r="W41" s="6"/>
    </row>
    <row r="42" spans="1:23" ht="15.6">
      <c r="A42" s="378"/>
      <c r="B42" s="379" t="s">
        <v>17</v>
      </c>
      <c r="C42" s="429">
        <v>39918</v>
      </c>
      <c r="D42" s="429"/>
      <c r="E42" s="429">
        <v>39918</v>
      </c>
      <c r="F42" s="429"/>
      <c r="G42" s="429">
        <v>39918</v>
      </c>
      <c r="H42" s="429"/>
      <c r="I42" s="429">
        <v>39918</v>
      </c>
      <c r="J42" s="429"/>
      <c r="K42" s="429">
        <v>39918</v>
      </c>
      <c r="L42" s="429"/>
      <c r="M42" s="429">
        <v>39918</v>
      </c>
      <c r="N42" s="429"/>
      <c r="O42" s="429">
        <v>39918</v>
      </c>
      <c r="P42" s="429"/>
      <c r="Q42" s="429">
        <v>39918</v>
      </c>
      <c r="R42" s="380"/>
      <c r="S42" s="380"/>
      <c r="T42" s="379"/>
      <c r="U42" s="424"/>
      <c r="V42" s="410"/>
      <c r="W42" s="6"/>
    </row>
    <row r="43" spans="1:23" ht="15.6">
      <c r="A43" s="378"/>
      <c r="B43" s="379" t="s">
        <v>18</v>
      </c>
      <c r="C43" s="429">
        <v>40283</v>
      </c>
      <c r="D43" s="430"/>
      <c r="E43" s="429">
        <v>40283</v>
      </c>
      <c r="F43" s="430"/>
      <c r="G43" s="429">
        <v>40283</v>
      </c>
      <c r="H43" s="430"/>
      <c r="I43" s="429">
        <v>40283</v>
      </c>
      <c r="J43" s="430"/>
      <c r="K43" s="429">
        <v>40283</v>
      </c>
      <c r="L43" s="430"/>
      <c r="M43" s="429">
        <v>40283</v>
      </c>
      <c r="N43" s="430"/>
      <c r="O43" s="429">
        <v>40283</v>
      </c>
      <c r="P43" s="429"/>
      <c r="Q43" s="429">
        <v>40283</v>
      </c>
      <c r="R43" s="380"/>
      <c r="S43" s="380"/>
      <c r="T43" s="424"/>
      <c r="U43" s="424"/>
      <c r="V43" s="410"/>
      <c r="W43" s="6"/>
    </row>
    <row r="44" spans="1:23" ht="15.6">
      <c r="A44" s="378"/>
      <c r="B44" s="379" t="s">
        <v>154</v>
      </c>
      <c r="C44" s="380" t="s">
        <v>163</v>
      </c>
      <c r="D44" s="380"/>
      <c r="E44" s="380" t="s">
        <v>163</v>
      </c>
      <c r="F44" s="380"/>
      <c r="G44" s="380" t="s">
        <v>164</v>
      </c>
      <c r="H44" s="380"/>
      <c r="I44" s="380" t="s">
        <v>164</v>
      </c>
      <c r="J44" s="380"/>
      <c r="K44" s="380" t="s">
        <v>106</v>
      </c>
      <c r="L44" s="380"/>
      <c r="M44" s="380" t="s">
        <v>165</v>
      </c>
      <c r="N44" s="380"/>
      <c r="O44" s="380" t="s">
        <v>166</v>
      </c>
      <c r="P44" s="380"/>
      <c r="Q44" s="380" t="s">
        <v>167</v>
      </c>
      <c r="R44" s="380"/>
      <c r="S44" s="380"/>
      <c r="T44" s="424"/>
      <c r="U44" s="424"/>
      <c r="V44" s="410"/>
      <c r="W44" s="6"/>
    </row>
    <row r="45" spans="1:23" ht="15.6">
      <c r="A45" s="378"/>
      <c r="B45" s="379" t="s">
        <v>266</v>
      </c>
      <c r="C45" s="380" t="s">
        <v>163</v>
      </c>
      <c r="D45" s="379"/>
      <c r="E45" s="380" t="s">
        <v>228</v>
      </c>
      <c r="F45" s="379"/>
      <c r="G45" s="380" t="s">
        <v>164</v>
      </c>
      <c r="H45" s="379"/>
      <c r="I45" s="380" t="s">
        <v>226</v>
      </c>
      <c r="J45" s="379"/>
      <c r="K45" s="380" t="s">
        <v>106</v>
      </c>
      <c r="L45" s="379"/>
      <c r="M45" s="380" t="s">
        <v>227</v>
      </c>
      <c r="N45" s="379"/>
      <c r="O45" s="380" t="s">
        <v>166</v>
      </c>
      <c r="P45" s="380"/>
      <c r="Q45" s="380" t="s">
        <v>229</v>
      </c>
      <c r="R45" s="380"/>
      <c r="S45" s="380"/>
      <c r="T45" s="424"/>
      <c r="U45" s="424"/>
      <c r="V45" s="410"/>
      <c r="W45" s="6"/>
    </row>
    <row r="46" spans="1:23" ht="15.6">
      <c r="A46" s="378"/>
      <c r="B46" s="379"/>
      <c r="C46" s="379"/>
      <c r="D46" s="379"/>
      <c r="E46" s="379"/>
      <c r="F46" s="379"/>
      <c r="G46" s="379"/>
      <c r="H46" s="379"/>
      <c r="I46" s="379"/>
      <c r="J46" s="379"/>
      <c r="K46" s="379"/>
      <c r="L46" s="379"/>
      <c r="M46" s="431"/>
      <c r="N46" s="431"/>
      <c r="O46" s="379"/>
      <c r="P46" s="431"/>
      <c r="Q46" s="431"/>
      <c r="R46" s="431"/>
      <c r="S46" s="431"/>
      <c r="T46" s="431"/>
      <c r="U46" s="431"/>
      <c r="V46" s="410"/>
      <c r="W46" s="6"/>
    </row>
    <row r="47" spans="1:23" ht="15.6">
      <c r="A47" s="378"/>
      <c r="B47" s="379" t="s">
        <v>201</v>
      </c>
      <c r="C47" s="379"/>
      <c r="D47" s="379"/>
      <c r="E47" s="379"/>
      <c r="F47" s="379"/>
      <c r="G47" s="379"/>
      <c r="H47" s="379"/>
      <c r="I47" s="379"/>
      <c r="J47" s="379"/>
      <c r="K47" s="379"/>
      <c r="L47" s="379"/>
      <c r="M47" s="379"/>
      <c r="N47" s="379"/>
      <c r="O47" s="379"/>
      <c r="P47" s="379"/>
      <c r="Q47" s="379"/>
      <c r="R47" s="379"/>
      <c r="S47" s="379"/>
      <c r="T47" s="379"/>
      <c r="U47" s="427">
        <f>SUM(G31:Q31)/(C31+E31)</f>
        <v>0.3888888888888889</v>
      </c>
      <c r="V47" s="410"/>
      <c r="W47" s="6"/>
    </row>
    <row r="48" spans="1:23" ht="15.6">
      <c r="A48" s="378"/>
      <c r="B48" s="379" t="s">
        <v>202</v>
      </c>
      <c r="C48" s="379"/>
      <c r="D48" s="379"/>
      <c r="E48" s="379"/>
      <c r="F48" s="379"/>
      <c r="G48" s="379"/>
      <c r="H48" s="379"/>
      <c r="I48" s="379"/>
      <c r="J48" s="379"/>
      <c r="K48" s="379"/>
      <c r="L48" s="379"/>
      <c r="M48" s="379"/>
      <c r="N48" s="379"/>
      <c r="O48" s="379"/>
      <c r="P48" s="379"/>
      <c r="Q48" s="379"/>
      <c r="R48" s="379"/>
      <c r="S48" s="379"/>
      <c r="T48" s="379"/>
      <c r="U48" s="427">
        <f>SUM(F33:Q33)/(C33+E33)</f>
        <v>1.2740106178154456</v>
      </c>
      <c r="V48" s="410"/>
      <c r="W48" s="6"/>
    </row>
    <row r="49" spans="1:25" ht="15.6">
      <c r="A49" s="378"/>
      <c r="B49" s="379" t="s">
        <v>203</v>
      </c>
      <c r="C49" s="379"/>
      <c r="D49" s="379"/>
      <c r="E49" s="379"/>
      <c r="F49" s="379"/>
      <c r="G49" s="379"/>
      <c r="H49" s="379"/>
      <c r="I49" s="379"/>
      <c r="J49" s="379"/>
      <c r="K49" s="379"/>
      <c r="L49" s="379"/>
      <c r="M49" s="379"/>
      <c r="N49" s="379"/>
      <c r="O49" s="379"/>
      <c r="P49" s="379"/>
      <c r="Q49" s="379"/>
      <c r="R49" s="379"/>
      <c r="S49" s="380" t="s">
        <v>95</v>
      </c>
      <c r="T49" s="380" t="s">
        <v>117</v>
      </c>
      <c r="U49" s="394">
        <v>99000</v>
      </c>
      <c r="V49" s="410"/>
      <c r="W49" s="6"/>
    </row>
    <row r="50" spans="1:25" ht="15.6">
      <c r="A50" s="378"/>
      <c r="B50" s="379"/>
      <c r="C50" s="379"/>
      <c r="D50" s="379"/>
      <c r="E50" s="379"/>
      <c r="F50" s="379"/>
      <c r="G50" s="379"/>
      <c r="H50" s="379"/>
      <c r="I50" s="379"/>
      <c r="J50" s="379"/>
      <c r="K50" s="379"/>
      <c r="L50" s="379"/>
      <c r="M50" s="379"/>
      <c r="N50" s="379"/>
      <c r="O50" s="379"/>
      <c r="P50" s="379"/>
      <c r="Q50" s="379"/>
      <c r="R50" s="379"/>
      <c r="S50" s="379" t="s">
        <v>213</v>
      </c>
      <c r="T50" s="379"/>
      <c r="U50" s="432"/>
      <c r="V50" s="410"/>
      <c r="W50" s="6"/>
    </row>
    <row r="51" spans="1:25" ht="15.6">
      <c r="A51" s="378"/>
      <c r="B51" s="379" t="s">
        <v>19</v>
      </c>
      <c r="C51" s="379"/>
      <c r="D51" s="379"/>
      <c r="E51" s="379"/>
      <c r="F51" s="379"/>
      <c r="G51" s="379"/>
      <c r="H51" s="379"/>
      <c r="I51" s="379"/>
      <c r="J51" s="379"/>
      <c r="K51" s="379"/>
      <c r="L51" s="379"/>
      <c r="M51" s="379"/>
      <c r="N51" s="379"/>
      <c r="O51" s="379"/>
      <c r="P51" s="379"/>
      <c r="Q51" s="379"/>
      <c r="R51" s="379"/>
      <c r="S51" s="380"/>
      <c r="T51" s="380"/>
      <c r="U51" s="380" t="s">
        <v>118</v>
      </c>
      <c r="V51" s="410"/>
      <c r="W51" s="6"/>
    </row>
    <row r="52" spans="1:25" ht="15.6">
      <c r="A52" s="401"/>
      <c r="B52" s="386" t="s">
        <v>20</v>
      </c>
      <c r="C52" s="386"/>
      <c r="D52" s="386"/>
      <c r="E52" s="386"/>
      <c r="F52" s="386"/>
      <c r="G52" s="386"/>
      <c r="H52" s="386"/>
      <c r="I52" s="386"/>
      <c r="J52" s="386"/>
      <c r="K52" s="386"/>
      <c r="L52" s="386"/>
      <c r="M52" s="386"/>
      <c r="N52" s="386"/>
      <c r="O52" s="386"/>
      <c r="P52" s="386"/>
      <c r="Q52" s="386"/>
      <c r="R52" s="386"/>
      <c r="S52" s="433"/>
      <c r="T52" s="433"/>
      <c r="U52" s="434">
        <v>41927</v>
      </c>
      <c r="V52" s="435"/>
      <c r="W52" s="6"/>
    </row>
    <row r="53" spans="1:25" ht="15.6">
      <c r="A53" s="378"/>
      <c r="B53" s="379" t="s">
        <v>155</v>
      </c>
      <c r="C53" s="379"/>
      <c r="D53" s="379"/>
      <c r="E53" s="379"/>
      <c r="F53" s="379"/>
      <c r="G53" s="379"/>
      <c r="H53" s="379"/>
      <c r="I53" s="379"/>
      <c r="J53" s="379"/>
      <c r="K53" s="379"/>
      <c r="L53" s="379"/>
      <c r="M53" s="379"/>
      <c r="N53" s="379"/>
      <c r="O53" s="379"/>
      <c r="P53" s="379"/>
      <c r="Q53" s="424"/>
      <c r="R53" s="379">
        <f>U53-S53+1</f>
        <v>91</v>
      </c>
      <c r="S53" s="436">
        <v>41744</v>
      </c>
      <c r="T53" s="429"/>
      <c r="U53" s="436">
        <v>41834</v>
      </c>
      <c r="V53" s="410"/>
      <c r="W53" s="6"/>
    </row>
    <row r="54" spans="1:25" ht="15.6">
      <c r="A54" s="378"/>
      <c r="B54" s="379" t="s">
        <v>156</v>
      </c>
      <c r="C54" s="379"/>
      <c r="D54" s="379"/>
      <c r="E54" s="379"/>
      <c r="F54" s="379"/>
      <c r="G54" s="379"/>
      <c r="H54" s="379"/>
      <c r="I54" s="379"/>
      <c r="J54" s="379"/>
      <c r="K54" s="379"/>
      <c r="L54" s="379"/>
      <c r="M54" s="379"/>
      <c r="N54" s="379"/>
      <c r="O54" s="379"/>
      <c r="P54" s="379"/>
      <c r="Q54" s="424"/>
      <c r="R54" s="379">
        <f>U54-S54+1</f>
        <v>92</v>
      </c>
      <c r="S54" s="436">
        <v>41835</v>
      </c>
      <c r="T54" s="429"/>
      <c r="U54" s="436">
        <v>41926</v>
      </c>
      <c r="V54" s="410"/>
      <c r="W54" s="6"/>
    </row>
    <row r="55" spans="1:25" ht="15.6">
      <c r="A55" s="378"/>
      <c r="B55" s="379" t="s">
        <v>21</v>
      </c>
      <c r="C55" s="379"/>
      <c r="D55" s="379"/>
      <c r="E55" s="379"/>
      <c r="F55" s="379"/>
      <c r="G55" s="379"/>
      <c r="H55" s="379"/>
      <c r="I55" s="379"/>
      <c r="J55" s="379"/>
      <c r="K55" s="379"/>
      <c r="L55" s="379"/>
      <c r="M55" s="379"/>
      <c r="N55" s="379"/>
      <c r="O55" s="379"/>
      <c r="P55" s="379"/>
      <c r="Q55" s="379"/>
      <c r="R55" s="379"/>
      <c r="S55" s="436"/>
      <c r="T55" s="429"/>
      <c r="U55" s="436" t="s">
        <v>119</v>
      </c>
      <c r="V55" s="410"/>
      <c r="W55" s="6"/>
    </row>
    <row r="56" spans="1:25" ht="15.6">
      <c r="A56" s="378"/>
      <c r="B56" s="379" t="s">
        <v>22</v>
      </c>
      <c r="C56" s="379"/>
      <c r="D56" s="379"/>
      <c r="E56" s="379"/>
      <c r="F56" s="379"/>
      <c r="G56" s="379"/>
      <c r="H56" s="379"/>
      <c r="I56" s="379"/>
      <c r="J56" s="379"/>
      <c r="K56" s="379"/>
      <c r="L56" s="379"/>
      <c r="M56" s="379"/>
      <c r="N56" s="379"/>
      <c r="O56" s="379"/>
      <c r="P56" s="379"/>
      <c r="Q56" s="379"/>
      <c r="R56" s="379"/>
      <c r="S56" s="436"/>
      <c r="T56" s="429"/>
      <c r="U56" s="436">
        <v>41913</v>
      </c>
      <c r="V56" s="410"/>
      <c r="W56" s="6"/>
    </row>
    <row r="57" spans="1:25" ht="15.6">
      <c r="A57" s="242"/>
      <c r="B57" s="364"/>
      <c r="C57" s="364"/>
      <c r="D57" s="364"/>
      <c r="E57" s="364"/>
      <c r="F57" s="364"/>
      <c r="G57" s="364"/>
      <c r="H57" s="364"/>
      <c r="I57" s="364"/>
      <c r="J57" s="364"/>
      <c r="K57" s="364"/>
      <c r="L57" s="364"/>
      <c r="M57" s="364"/>
      <c r="N57" s="364"/>
      <c r="O57" s="364"/>
      <c r="P57" s="364"/>
      <c r="Q57" s="364"/>
      <c r="R57" s="364"/>
      <c r="S57" s="364"/>
      <c r="T57" s="364"/>
      <c r="U57" s="377"/>
      <c r="V57" s="303"/>
      <c r="W57" s="6"/>
    </row>
    <row r="58" spans="1:25" ht="15.6">
      <c r="A58" s="242"/>
      <c r="B58" s="288"/>
      <c r="C58" s="288"/>
      <c r="D58" s="288"/>
      <c r="E58" s="288"/>
      <c r="F58" s="288"/>
      <c r="G58" s="288"/>
      <c r="H58" s="288"/>
      <c r="I58" s="288"/>
      <c r="J58" s="288"/>
      <c r="K58" s="288"/>
      <c r="L58" s="288"/>
      <c r="M58" s="288"/>
      <c r="N58" s="288"/>
      <c r="O58" s="288"/>
      <c r="P58" s="288"/>
      <c r="Q58" s="288"/>
      <c r="R58" s="288"/>
      <c r="S58" s="288"/>
      <c r="T58" s="288"/>
      <c r="U58" s="302"/>
      <c r="V58" s="303"/>
      <c r="W58" s="6"/>
    </row>
    <row r="59" spans="1:25" ht="16.2" thickBot="1">
      <c r="A59" s="261"/>
      <c r="B59" s="304" t="s">
        <v>291</v>
      </c>
      <c r="C59" s="305"/>
      <c r="D59" s="305"/>
      <c r="E59" s="305"/>
      <c r="F59" s="305"/>
      <c r="G59" s="305"/>
      <c r="H59" s="305"/>
      <c r="I59" s="305"/>
      <c r="J59" s="305"/>
      <c r="K59" s="305"/>
      <c r="L59" s="305"/>
      <c r="M59" s="305"/>
      <c r="N59" s="305"/>
      <c r="O59" s="305"/>
      <c r="P59" s="305"/>
      <c r="Q59" s="305"/>
      <c r="R59" s="305"/>
      <c r="S59" s="305"/>
      <c r="T59" s="305"/>
      <c r="U59" s="306"/>
      <c r="V59" s="307"/>
      <c r="W59" s="6"/>
    </row>
    <row r="60" spans="1:25" ht="15.6">
      <c r="A60" s="230"/>
      <c r="B60" s="511" t="s">
        <v>23</v>
      </c>
      <c r="C60" s="511"/>
      <c r="D60" s="511"/>
      <c r="E60" s="511"/>
      <c r="F60" s="511"/>
      <c r="G60" s="511"/>
      <c r="H60" s="511"/>
      <c r="I60" s="511"/>
      <c r="J60" s="511"/>
      <c r="K60" s="511"/>
      <c r="L60" s="511"/>
      <c r="M60" s="231"/>
      <c r="N60" s="231"/>
      <c r="O60" s="231"/>
      <c r="P60" s="231"/>
      <c r="Q60" s="231"/>
      <c r="R60" s="231"/>
      <c r="S60" s="231"/>
      <c r="T60" s="231"/>
      <c r="U60" s="309"/>
      <c r="V60" s="237"/>
      <c r="W60" s="6"/>
    </row>
    <row r="61" spans="1:25" ht="15.6">
      <c r="A61" s="242"/>
      <c r="B61" s="252"/>
      <c r="C61" s="252"/>
      <c r="D61" s="252"/>
      <c r="E61" s="252"/>
      <c r="F61" s="252"/>
      <c r="G61" s="252"/>
      <c r="H61" s="252"/>
      <c r="I61" s="252"/>
      <c r="J61" s="252"/>
      <c r="K61" s="252"/>
      <c r="L61" s="252"/>
      <c r="M61" s="244"/>
      <c r="N61" s="244"/>
      <c r="O61" s="244"/>
      <c r="P61" s="244"/>
      <c r="Q61" s="244"/>
      <c r="R61" s="244"/>
      <c r="S61" s="244"/>
      <c r="T61" s="244"/>
      <c r="U61" s="263"/>
      <c r="V61" s="245"/>
      <c r="W61" s="6"/>
    </row>
    <row r="62" spans="1:25" s="151" customFormat="1" ht="46.8">
      <c r="A62" s="264"/>
      <c r="B62" s="512"/>
      <c r="C62" s="513"/>
      <c r="D62" s="513"/>
      <c r="E62" s="513"/>
      <c r="F62" s="513"/>
      <c r="G62" s="513"/>
      <c r="H62" s="513"/>
      <c r="I62" s="513"/>
      <c r="J62" s="513"/>
      <c r="K62" s="513" t="s">
        <v>197</v>
      </c>
      <c r="L62" s="513"/>
      <c r="M62" s="513" t="s">
        <v>98</v>
      </c>
      <c r="N62" s="513"/>
      <c r="O62" s="513" t="s">
        <v>107</v>
      </c>
      <c r="P62" s="513"/>
      <c r="Q62" s="513" t="s">
        <v>111</v>
      </c>
      <c r="R62" s="513"/>
      <c r="S62" s="513" t="s">
        <v>113</v>
      </c>
      <c r="T62" s="513"/>
      <c r="U62" s="514" t="s">
        <v>120</v>
      </c>
      <c r="V62" s="515"/>
      <c r="W62" s="150"/>
    </row>
    <row r="63" spans="1:25" ht="15.6">
      <c r="A63" s="378"/>
      <c r="B63" s="379" t="s">
        <v>24</v>
      </c>
      <c r="C63" s="440"/>
      <c r="D63" s="440"/>
      <c r="E63" s="440"/>
      <c r="F63" s="440"/>
      <c r="G63" s="440"/>
      <c r="H63" s="440"/>
      <c r="I63" s="440"/>
      <c r="J63" s="440"/>
      <c r="K63" s="440">
        <f>265+63566+3306</f>
        <v>67137</v>
      </c>
      <c r="L63" s="440"/>
      <c r="M63" s="440">
        <v>6374</v>
      </c>
      <c r="N63" s="440"/>
      <c r="O63" s="440">
        <f>118+2+39</f>
        <v>159</v>
      </c>
      <c r="P63" s="440"/>
      <c r="Q63" s="440">
        <v>0</v>
      </c>
      <c r="R63" s="440"/>
      <c r="S63" s="440">
        <v>0</v>
      </c>
      <c r="T63" s="440"/>
      <c r="U63" s="441">
        <f>+M63-O63+Q63-S63</f>
        <v>6215</v>
      </c>
      <c r="V63" s="410"/>
      <c r="W63" s="6"/>
      <c r="Y63" s="182"/>
    </row>
    <row r="64" spans="1:25" ht="15.6">
      <c r="A64" s="378"/>
      <c r="B64" s="379" t="s">
        <v>25</v>
      </c>
      <c r="C64" s="440"/>
      <c r="D64" s="440"/>
      <c r="E64" s="440"/>
      <c r="F64" s="440"/>
      <c r="G64" s="440"/>
      <c r="H64" s="440"/>
      <c r="I64" s="440"/>
      <c r="J64" s="440"/>
      <c r="K64" s="440"/>
      <c r="L64" s="440"/>
      <c r="M64" s="440"/>
      <c r="N64" s="440"/>
      <c r="O64" s="440"/>
      <c r="P64" s="440"/>
      <c r="Q64" s="440">
        <v>0</v>
      </c>
      <c r="R64" s="440"/>
      <c r="S64" s="440">
        <v>0</v>
      </c>
      <c r="T64" s="440"/>
      <c r="U64" s="441">
        <f>M64-O64</f>
        <v>0</v>
      </c>
      <c r="V64" s="410"/>
      <c r="W64" s="6"/>
    </row>
    <row r="65" spans="1:25" ht="15.6">
      <c r="A65" s="378"/>
      <c r="B65" s="379"/>
      <c r="C65" s="440"/>
      <c r="D65" s="440"/>
      <c r="E65" s="440"/>
      <c r="F65" s="440"/>
      <c r="G65" s="440"/>
      <c r="H65" s="440"/>
      <c r="I65" s="440"/>
      <c r="J65" s="440"/>
      <c r="K65" s="440"/>
      <c r="L65" s="440"/>
      <c r="M65" s="440"/>
      <c r="N65" s="440"/>
      <c r="O65" s="440"/>
      <c r="P65" s="440"/>
      <c r="Q65" s="440"/>
      <c r="R65" s="440"/>
      <c r="S65" s="440"/>
      <c r="T65" s="440"/>
      <c r="U65" s="441"/>
      <c r="V65" s="410"/>
      <c r="W65" s="6"/>
    </row>
    <row r="66" spans="1:25" ht="15.6">
      <c r="A66" s="378"/>
      <c r="B66" s="379" t="s">
        <v>26</v>
      </c>
      <c r="C66" s="440"/>
      <c r="D66" s="440"/>
      <c r="E66" s="440"/>
      <c r="F66" s="440"/>
      <c r="G66" s="440"/>
      <c r="H66" s="440"/>
      <c r="I66" s="440"/>
      <c r="J66" s="440"/>
      <c r="K66" s="440">
        <v>24470</v>
      </c>
      <c r="L66" s="440"/>
      <c r="M66" s="440">
        <v>1399</v>
      </c>
      <c r="N66" s="440"/>
      <c r="O66" s="440">
        <v>40</v>
      </c>
      <c r="P66" s="440"/>
      <c r="Q66" s="440">
        <v>0</v>
      </c>
      <c r="R66" s="440"/>
      <c r="S66" s="440">
        <f>SUM(S63:S65)</f>
        <v>0</v>
      </c>
      <c r="T66" s="440"/>
      <c r="U66" s="441">
        <f>+M66-O66+Q66-S66</f>
        <v>1359</v>
      </c>
      <c r="V66" s="410"/>
      <c r="W66" s="6"/>
      <c r="Y66" s="182"/>
    </row>
    <row r="67" spans="1:25" ht="15.6">
      <c r="A67" s="378"/>
      <c r="B67" s="379" t="s">
        <v>25</v>
      </c>
      <c r="C67" s="440"/>
      <c r="D67" s="440"/>
      <c r="E67" s="440"/>
      <c r="F67" s="440"/>
      <c r="G67" s="440"/>
      <c r="H67" s="440"/>
      <c r="I67" s="440"/>
      <c r="J67" s="440"/>
      <c r="K67" s="440"/>
      <c r="L67" s="440"/>
      <c r="M67" s="440"/>
      <c r="N67" s="440"/>
      <c r="O67" s="440"/>
      <c r="P67" s="440"/>
      <c r="Q67" s="440">
        <v>0</v>
      </c>
      <c r="R67" s="440"/>
      <c r="S67" s="440">
        <v>0</v>
      </c>
      <c r="T67" s="440"/>
      <c r="U67" s="440"/>
      <c r="V67" s="410"/>
      <c r="W67" s="6"/>
    </row>
    <row r="68" spans="1:25" ht="15.6">
      <c r="A68" s="378"/>
      <c r="B68" s="386"/>
      <c r="C68" s="440"/>
      <c r="D68" s="440"/>
      <c r="E68" s="440"/>
      <c r="F68" s="440"/>
      <c r="G68" s="440"/>
      <c r="H68" s="440"/>
      <c r="I68" s="440"/>
      <c r="J68" s="440"/>
      <c r="K68" s="440"/>
      <c r="L68" s="440"/>
      <c r="M68" s="440"/>
      <c r="N68" s="440"/>
      <c r="O68" s="442"/>
      <c r="P68" s="440"/>
      <c r="Q68" s="440"/>
      <c r="R68" s="440"/>
      <c r="S68" s="440"/>
      <c r="T68" s="440"/>
      <c r="U68" s="440"/>
      <c r="V68" s="410"/>
      <c r="W68" s="6"/>
    </row>
    <row r="69" spans="1:25" ht="15.6">
      <c r="A69" s="378"/>
      <c r="B69" s="379" t="s">
        <v>27</v>
      </c>
      <c r="C69" s="440"/>
      <c r="D69" s="440"/>
      <c r="E69" s="440"/>
      <c r="F69" s="440"/>
      <c r="G69" s="440"/>
      <c r="H69" s="440"/>
      <c r="I69" s="440"/>
      <c r="J69" s="440"/>
      <c r="K69" s="440">
        <v>220072</v>
      </c>
      <c r="L69" s="440"/>
      <c r="M69" s="440">
        <v>119625</v>
      </c>
      <c r="N69" s="440"/>
      <c r="O69" s="440">
        <f>4809+569</f>
        <v>5378</v>
      </c>
      <c r="P69" s="440"/>
      <c r="Q69" s="440">
        <v>0</v>
      </c>
      <c r="R69" s="440"/>
      <c r="S69" s="440">
        <v>0</v>
      </c>
      <c r="T69" s="440"/>
      <c r="U69" s="441">
        <f>+M69-O69+Q69-S69</f>
        <v>114247</v>
      </c>
      <c r="V69" s="410"/>
      <c r="W69" s="6"/>
      <c r="Y69" s="182"/>
    </row>
    <row r="70" spans="1:25" ht="15.6">
      <c r="A70" s="378"/>
      <c r="B70" s="379" t="s">
        <v>25</v>
      </c>
      <c r="C70" s="440"/>
      <c r="D70" s="440"/>
      <c r="E70" s="440"/>
      <c r="F70" s="440"/>
      <c r="G70" s="440"/>
      <c r="H70" s="440"/>
      <c r="I70" s="440"/>
      <c r="J70" s="440"/>
      <c r="K70" s="440"/>
      <c r="L70" s="440"/>
      <c r="M70" s="440"/>
      <c r="N70" s="440"/>
      <c r="O70" s="440"/>
      <c r="P70" s="440"/>
      <c r="Q70" s="440">
        <v>0</v>
      </c>
      <c r="R70" s="440"/>
      <c r="S70" s="440">
        <v>0</v>
      </c>
      <c r="T70" s="440"/>
      <c r="U70" s="441">
        <f>M70-O70+Q70-S70</f>
        <v>0</v>
      </c>
      <c r="V70" s="410"/>
      <c r="W70" s="6"/>
    </row>
    <row r="71" spans="1:25" ht="15.6">
      <c r="A71" s="378"/>
      <c r="B71" s="379"/>
      <c r="C71" s="440"/>
      <c r="D71" s="440"/>
      <c r="E71" s="440"/>
      <c r="F71" s="440"/>
      <c r="G71" s="440"/>
      <c r="H71" s="440"/>
      <c r="I71" s="440"/>
      <c r="J71" s="440"/>
      <c r="K71" s="440"/>
      <c r="L71" s="440"/>
      <c r="M71" s="440"/>
      <c r="N71" s="440"/>
      <c r="O71" s="440"/>
      <c r="P71" s="440"/>
      <c r="Q71" s="440"/>
      <c r="R71" s="440"/>
      <c r="S71" s="440"/>
      <c r="T71" s="440"/>
      <c r="U71" s="441"/>
      <c r="V71" s="410"/>
      <c r="W71" s="6"/>
    </row>
    <row r="72" spans="1:25" ht="15.6">
      <c r="A72" s="378"/>
      <c r="B72" s="379" t="s">
        <v>28</v>
      </c>
      <c r="C72" s="440"/>
      <c r="D72" s="440"/>
      <c r="E72" s="440"/>
      <c r="F72" s="440"/>
      <c r="G72" s="440"/>
      <c r="H72" s="440"/>
      <c r="I72" s="440"/>
      <c r="J72" s="440"/>
      <c r="K72" s="440">
        <v>138321</v>
      </c>
      <c r="L72" s="440"/>
      <c r="M72" s="440">
        <v>1035</v>
      </c>
      <c r="N72" s="440"/>
      <c r="O72" s="440">
        <f>119+45</f>
        <v>164</v>
      </c>
      <c r="P72" s="440"/>
      <c r="Q72" s="440">
        <v>0</v>
      </c>
      <c r="R72" s="440"/>
      <c r="S72" s="440">
        <v>0</v>
      </c>
      <c r="T72" s="440"/>
      <c r="U72" s="441">
        <f>+M72-O72+Q72-S72</f>
        <v>871</v>
      </c>
      <c r="V72" s="410"/>
      <c r="W72" s="6"/>
      <c r="X72" s="182"/>
      <c r="Y72" s="182"/>
    </row>
    <row r="73" spans="1:25" ht="15.6">
      <c r="A73" s="378"/>
      <c r="B73" s="379" t="s">
        <v>25</v>
      </c>
      <c r="C73" s="440"/>
      <c r="D73" s="440"/>
      <c r="E73" s="440"/>
      <c r="F73" s="440"/>
      <c r="G73" s="440"/>
      <c r="H73" s="440"/>
      <c r="I73" s="440"/>
      <c r="J73" s="440"/>
      <c r="K73" s="440"/>
      <c r="L73" s="440"/>
      <c r="M73" s="440"/>
      <c r="N73" s="440"/>
      <c r="O73" s="440"/>
      <c r="P73" s="440"/>
      <c r="Q73" s="440">
        <v>0</v>
      </c>
      <c r="R73" s="440"/>
      <c r="S73" s="440">
        <v>0</v>
      </c>
      <c r="T73" s="440"/>
      <c r="U73" s="441"/>
      <c r="V73" s="410"/>
      <c r="W73" s="6"/>
    </row>
    <row r="74" spans="1:25" ht="15.6">
      <c r="A74" s="378"/>
      <c r="B74" s="440"/>
      <c r="C74" s="440"/>
      <c r="D74" s="440"/>
      <c r="E74" s="440"/>
      <c r="F74" s="440"/>
      <c r="G74" s="440"/>
      <c r="H74" s="440"/>
      <c r="I74" s="440"/>
      <c r="J74" s="440"/>
      <c r="K74" s="440"/>
      <c r="L74" s="440"/>
      <c r="M74" s="440"/>
      <c r="N74" s="440"/>
      <c r="O74" s="440"/>
      <c r="P74" s="440"/>
      <c r="Q74" s="440"/>
      <c r="R74" s="440"/>
      <c r="S74" s="440"/>
      <c r="T74" s="440"/>
      <c r="U74" s="441"/>
      <c r="V74" s="410"/>
      <c r="W74" s="6"/>
    </row>
    <row r="75" spans="1:25" ht="15.6">
      <c r="A75" s="378"/>
      <c r="B75" s="379" t="s">
        <v>29</v>
      </c>
      <c r="C75" s="440"/>
      <c r="D75" s="440"/>
      <c r="E75" s="440"/>
      <c r="F75" s="440"/>
      <c r="G75" s="440"/>
      <c r="H75" s="440"/>
      <c r="I75" s="440"/>
      <c r="J75" s="440"/>
      <c r="K75" s="440">
        <f>SUM(K63:K72)</f>
        <v>450000</v>
      </c>
      <c r="L75" s="440"/>
      <c r="M75" s="440">
        <f>SUM(M63:M72)</f>
        <v>128433</v>
      </c>
      <c r="N75" s="440"/>
      <c r="O75" s="440">
        <f>SUM(O63:O73)</f>
        <v>5741</v>
      </c>
      <c r="P75" s="440"/>
      <c r="Q75" s="440">
        <f>SUM(Q63:Q73)</f>
        <v>0</v>
      </c>
      <c r="R75" s="440"/>
      <c r="S75" s="440">
        <f>SUM(S70:S74)</f>
        <v>0</v>
      </c>
      <c r="T75" s="440"/>
      <c r="U75" s="440">
        <f>SUM(U63:U73)</f>
        <v>122692</v>
      </c>
      <c r="V75" s="410"/>
      <c r="W75" s="6"/>
      <c r="X75" s="182"/>
      <c r="Y75" s="182"/>
    </row>
    <row r="76" spans="1:25" ht="15.6">
      <c r="A76" s="378"/>
      <c r="B76" s="379"/>
      <c r="C76" s="440"/>
      <c r="D76" s="440"/>
      <c r="E76" s="440"/>
      <c r="F76" s="440"/>
      <c r="G76" s="440"/>
      <c r="H76" s="440"/>
      <c r="I76" s="440"/>
      <c r="J76" s="440"/>
      <c r="K76" s="440"/>
      <c r="L76" s="440"/>
      <c r="M76" s="440"/>
      <c r="N76" s="440"/>
      <c r="O76" s="440"/>
      <c r="P76" s="440"/>
      <c r="Q76" s="440"/>
      <c r="R76" s="440"/>
      <c r="S76" s="440"/>
      <c r="T76" s="440"/>
      <c r="U76" s="440"/>
      <c r="V76" s="410"/>
      <c r="W76" s="6"/>
    </row>
    <row r="77" spans="1:25" ht="15.6">
      <c r="A77" s="378"/>
      <c r="B77" s="379" t="s">
        <v>214</v>
      </c>
      <c r="C77" s="440"/>
      <c r="D77" s="440"/>
      <c r="E77" s="440"/>
      <c r="F77" s="440"/>
      <c r="G77" s="440"/>
      <c r="H77" s="440"/>
      <c r="I77" s="440"/>
      <c r="J77" s="440"/>
      <c r="K77" s="440">
        <v>0</v>
      </c>
      <c r="L77" s="440"/>
      <c r="M77" s="440">
        <v>-14971</v>
      </c>
      <c r="N77" s="440"/>
      <c r="O77" s="440">
        <v>-371</v>
      </c>
      <c r="P77" s="440"/>
      <c r="Q77" s="440"/>
      <c r="R77" s="440"/>
      <c r="S77" s="440"/>
      <c r="T77" s="440"/>
      <c r="U77" s="441">
        <f>+M77-O77</f>
        <v>-14600</v>
      </c>
      <c r="V77" s="410"/>
      <c r="W77" s="6"/>
      <c r="Y77" s="182"/>
    </row>
    <row r="78" spans="1:25" ht="15.6">
      <c r="A78" s="378"/>
      <c r="B78" s="379" t="s">
        <v>30</v>
      </c>
      <c r="C78" s="440"/>
      <c r="D78" s="440"/>
      <c r="E78" s="440"/>
      <c r="F78" s="440"/>
      <c r="G78" s="440"/>
      <c r="H78" s="440"/>
      <c r="I78" s="440"/>
      <c r="J78" s="440"/>
      <c r="K78" s="440">
        <v>0</v>
      </c>
      <c r="L78" s="440"/>
      <c r="M78" s="440">
        <v>0</v>
      </c>
      <c r="N78" s="440"/>
      <c r="O78" s="440">
        <v>0</v>
      </c>
      <c r="P78" s="440"/>
      <c r="Q78" s="440">
        <v>0</v>
      </c>
      <c r="R78" s="440"/>
      <c r="S78" s="440"/>
      <c r="T78" s="440"/>
      <c r="U78" s="440">
        <v>0</v>
      </c>
      <c r="V78" s="410"/>
      <c r="W78" s="6"/>
      <c r="X78" s="182"/>
    </row>
    <row r="79" spans="1:25" ht="15.6">
      <c r="A79" s="378"/>
      <c r="B79" s="379" t="s">
        <v>31</v>
      </c>
      <c r="C79" s="440"/>
      <c r="D79" s="440"/>
      <c r="E79" s="440"/>
      <c r="F79" s="440"/>
      <c r="G79" s="440"/>
      <c r="H79" s="440"/>
      <c r="I79" s="440"/>
      <c r="J79" s="440"/>
      <c r="K79" s="440">
        <v>0</v>
      </c>
      <c r="L79" s="440"/>
      <c r="M79" s="440">
        <v>0</v>
      </c>
      <c r="N79" s="440"/>
      <c r="O79" s="440"/>
      <c r="P79" s="440"/>
      <c r="Q79" s="440">
        <v>0</v>
      </c>
      <c r="R79" s="440"/>
      <c r="S79" s="440"/>
      <c r="T79" s="440"/>
      <c r="U79" s="440">
        <f>Q79+M79</f>
        <v>0</v>
      </c>
      <c r="V79" s="410"/>
      <c r="W79" s="6"/>
    </row>
    <row r="80" spans="1:25" ht="15.6">
      <c r="A80" s="378"/>
      <c r="B80" s="379" t="s">
        <v>16</v>
      </c>
      <c r="C80" s="440"/>
      <c r="D80" s="440"/>
      <c r="E80" s="440"/>
      <c r="F80" s="440"/>
      <c r="G80" s="440"/>
      <c r="H80" s="440"/>
      <c r="I80" s="440"/>
      <c r="J80" s="440"/>
      <c r="K80" s="440">
        <f>SUM(K75:K79)</f>
        <v>450000</v>
      </c>
      <c r="L80" s="440"/>
      <c r="M80" s="440">
        <f>SUM(M75:M79)</f>
        <v>113462</v>
      </c>
      <c r="N80" s="440"/>
      <c r="O80" s="440">
        <f>O78-O79</f>
        <v>0</v>
      </c>
      <c r="P80" s="440"/>
      <c r="Q80" s="440"/>
      <c r="R80" s="440"/>
      <c r="S80" s="440"/>
      <c r="T80" s="440"/>
      <c r="U80" s="440">
        <f>SUM(U75:U79)</f>
        <v>108092</v>
      </c>
      <c r="V80" s="410"/>
      <c r="W80" s="6"/>
      <c r="X80" s="182"/>
      <c r="Y80" s="182"/>
    </row>
    <row r="81" spans="1:24" ht="15.6">
      <c r="A81" s="242"/>
      <c r="B81" s="437"/>
      <c r="C81" s="438"/>
      <c r="D81" s="438"/>
      <c r="E81" s="438"/>
      <c r="F81" s="438"/>
      <c r="G81" s="438"/>
      <c r="H81" s="438"/>
      <c r="I81" s="438"/>
      <c r="J81" s="438"/>
      <c r="K81" s="438"/>
      <c r="L81" s="438"/>
      <c r="M81" s="438"/>
      <c r="N81" s="438"/>
      <c r="O81" s="438"/>
      <c r="P81" s="438"/>
      <c r="Q81" s="438"/>
      <c r="R81" s="438"/>
      <c r="S81" s="439"/>
      <c r="T81" s="438"/>
      <c r="U81" s="439"/>
      <c r="V81" s="245"/>
      <c r="W81" s="6"/>
    </row>
    <row r="82" spans="1:24" ht="15.6">
      <c r="A82" s="230"/>
      <c r="B82" s="511" t="s">
        <v>32</v>
      </c>
      <c r="C82" s="511"/>
      <c r="D82" s="511"/>
      <c r="E82" s="511"/>
      <c r="F82" s="511"/>
      <c r="G82" s="511"/>
      <c r="H82" s="511"/>
      <c r="I82" s="511"/>
      <c r="J82" s="511"/>
      <c r="K82" s="511"/>
      <c r="L82" s="511"/>
      <c r="M82" s="511"/>
      <c r="N82" s="511"/>
      <c r="O82" s="511"/>
      <c r="P82" s="511"/>
      <c r="Q82" s="511"/>
      <c r="R82" s="232"/>
      <c r="S82" s="232"/>
      <c r="T82" s="232"/>
      <c r="U82" s="232" t="s">
        <v>121</v>
      </c>
      <c r="V82" s="516"/>
      <c r="W82" s="6"/>
    </row>
    <row r="83" spans="1:24" ht="15.6">
      <c r="A83" s="315"/>
      <c r="B83" s="294" t="s">
        <v>33</v>
      </c>
      <c r="C83" s="294"/>
      <c r="D83" s="294"/>
      <c r="E83" s="294"/>
      <c r="F83" s="294"/>
      <c r="G83" s="294"/>
      <c r="H83" s="294"/>
      <c r="I83" s="294"/>
      <c r="J83" s="294"/>
      <c r="K83" s="294"/>
      <c r="L83" s="294"/>
      <c r="M83" s="294"/>
      <c r="N83" s="294"/>
      <c r="O83" s="310"/>
      <c r="P83" s="294"/>
      <c r="Q83" s="294"/>
      <c r="R83" s="294"/>
      <c r="S83" s="310"/>
      <c r="T83" s="294"/>
      <c r="U83" s="311">
        <v>48455</v>
      </c>
      <c r="V83" s="298"/>
      <c r="W83" s="6"/>
    </row>
    <row r="84" spans="1:24" ht="15.6">
      <c r="A84" s="444"/>
      <c r="B84" s="379" t="s">
        <v>34</v>
      </c>
      <c r="C84" s="431"/>
      <c r="D84" s="431"/>
      <c r="E84" s="431"/>
      <c r="F84" s="431"/>
      <c r="G84" s="431"/>
      <c r="H84" s="431"/>
      <c r="I84" s="431"/>
      <c r="J84" s="431"/>
      <c r="K84" s="431"/>
      <c r="L84" s="431"/>
      <c r="M84" s="430"/>
      <c r="N84" s="379"/>
      <c r="O84" s="379"/>
      <c r="P84" s="379"/>
      <c r="Q84" s="379"/>
      <c r="R84" s="379"/>
      <c r="S84" s="440"/>
      <c r="T84" s="379"/>
      <c r="U84" s="441">
        <f>-28+178+49+2</f>
        <v>201</v>
      </c>
      <c r="V84" s="410"/>
      <c r="W84" s="6"/>
    </row>
    <row r="85" spans="1:24" ht="15.6">
      <c r="A85" s="444"/>
      <c r="B85" s="379" t="s">
        <v>230</v>
      </c>
      <c r="C85" s="379"/>
      <c r="D85" s="379"/>
      <c r="E85" s="379"/>
      <c r="F85" s="379"/>
      <c r="G85" s="379"/>
      <c r="H85" s="379"/>
      <c r="I85" s="379"/>
      <c r="J85" s="379"/>
      <c r="K85" s="379"/>
      <c r="L85" s="379"/>
      <c r="M85" s="379"/>
      <c r="N85" s="379"/>
      <c r="O85" s="379"/>
      <c r="P85" s="379"/>
      <c r="Q85" s="379"/>
      <c r="R85" s="379"/>
      <c r="S85" s="440"/>
      <c r="T85" s="379"/>
      <c r="U85" s="441">
        <v>0</v>
      </c>
      <c r="V85" s="410"/>
      <c r="W85" s="6"/>
      <c r="X85" s="64"/>
    </row>
    <row r="86" spans="1:24" ht="15.6">
      <c r="A86" s="444"/>
      <c r="B86" s="379" t="s">
        <v>231</v>
      </c>
      <c r="C86" s="379"/>
      <c r="D86" s="379"/>
      <c r="E86" s="379"/>
      <c r="F86" s="379"/>
      <c r="G86" s="379"/>
      <c r="H86" s="379"/>
      <c r="I86" s="379"/>
      <c r="J86" s="379"/>
      <c r="K86" s="379"/>
      <c r="L86" s="379"/>
      <c r="M86" s="379"/>
      <c r="N86" s="379"/>
      <c r="O86" s="379"/>
      <c r="P86" s="379"/>
      <c r="Q86" s="379"/>
      <c r="R86" s="379"/>
      <c r="S86" s="440"/>
      <c r="T86" s="379"/>
      <c r="U86" s="441">
        <v>0</v>
      </c>
      <c r="V86" s="410"/>
      <c r="W86" s="6"/>
      <c r="X86" s="64"/>
    </row>
    <row r="87" spans="1:24" ht="15.6">
      <c r="A87" s="444"/>
      <c r="B87" s="379" t="s">
        <v>35</v>
      </c>
      <c r="C87" s="379"/>
      <c r="D87" s="379"/>
      <c r="E87" s="379"/>
      <c r="F87" s="379"/>
      <c r="G87" s="379"/>
      <c r="H87" s="379"/>
      <c r="I87" s="379"/>
      <c r="J87" s="379"/>
      <c r="K87" s="379"/>
      <c r="L87" s="379"/>
      <c r="M87" s="379"/>
      <c r="N87" s="379"/>
      <c r="O87" s="379"/>
      <c r="P87" s="379"/>
      <c r="Q87" s="379"/>
      <c r="R87" s="379"/>
      <c r="S87" s="440"/>
      <c r="T87" s="379"/>
      <c r="U87" s="441">
        <f>SUM(U83:U86)</f>
        <v>48656</v>
      </c>
      <c r="V87" s="410"/>
      <c r="W87" s="6"/>
      <c r="X87" s="64"/>
    </row>
    <row r="88" spans="1:24" ht="15.6">
      <c r="A88" s="444"/>
      <c r="B88" s="379"/>
      <c r="C88" s="379"/>
      <c r="D88" s="379"/>
      <c r="E88" s="379"/>
      <c r="F88" s="379"/>
      <c r="G88" s="379"/>
      <c r="H88" s="379"/>
      <c r="I88" s="379"/>
      <c r="J88" s="379"/>
      <c r="K88" s="379"/>
      <c r="L88" s="379"/>
      <c r="M88" s="379"/>
      <c r="N88" s="379"/>
      <c r="O88" s="379"/>
      <c r="P88" s="379"/>
      <c r="Q88" s="379"/>
      <c r="R88" s="379"/>
      <c r="S88" s="440"/>
      <c r="T88" s="379"/>
      <c r="U88" s="440"/>
      <c r="V88" s="410"/>
      <c r="W88" s="6"/>
    </row>
    <row r="89" spans="1:24" ht="15.6">
      <c r="A89" s="444"/>
      <c r="B89" s="446" t="s">
        <v>36</v>
      </c>
      <c r="C89" s="446"/>
      <c r="D89" s="446"/>
      <c r="E89" s="446"/>
      <c r="F89" s="446"/>
      <c r="G89" s="446"/>
      <c r="H89" s="446"/>
      <c r="I89" s="446"/>
      <c r="J89" s="446"/>
      <c r="K89" s="446"/>
      <c r="L89" s="446"/>
      <c r="M89" s="379"/>
      <c r="N89" s="379"/>
      <c r="O89" s="379"/>
      <c r="P89" s="379"/>
      <c r="Q89" s="379"/>
      <c r="R89" s="379"/>
      <c r="S89" s="440"/>
      <c r="T89" s="379"/>
      <c r="U89" s="441"/>
      <c r="V89" s="410"/>
      <c r="W89" s="6"/>
      <c r="X89" s="64"/>
    </row>
    <row r="90" spans="1:24" ht="15.6">
      <c r="A90" s="444">
        <v>1</v>
      </c>
      <c r="B90" s="379" t="s">
        <v>37</v>
      </c>
      <c r="C90" s="379"/>
      <c r="D90" s="379"/>
      <c r="E90" s="379"/>
      <c r="F90" s="379"/>
      <c r="G90" s="379"/>
      <c r="H90" s="379"/>
      <c r="I90" s="379"/>
      <c r="J90" s="379"/>
      <c r="K90" s="379"/>
      <c r="L90" s="379"/>
      <c r="M90" s="379"/>
      <c r="N90" s="379"/>
      <c r="O90" s="379"/>
      <c r="P90" s="379"/>
      <c r="Q90" s="379"/>
      <c r="R90" s="379"/>
      <c r="S90" s="379"/>
      <c r="T90" s="379"/>
      <c r="U90" s="441">
        <v>-2</v>
      </c>
      <c r="V90" s="410"/>
      <c r="W90" s="6"/>
    </row>
    <row r="91" spans="1:24" ht="15.6">
      <c r="A91" s="444">
        <f>A90+1</f>
        <v>2</v>
      </c>
      <c r="B91" s="379" t="s">
        <v>168</v>
      </c>
      <c r="C91" s="379"/>
      <c r="D91" s="379"/>
      <c r="E91" s="379"/>
      <c r="F91" s="379"/>
      <c r="G91" s="379"/>
      <c r="H91" s="379"/>
      <c r="I91" s="379"/>
      <c r="J91" s="379"/>
      <c r="K91" s="379"/>
      <c r="L91" s="379"/>
      <c r="M91" s="379"/>
      <c r="N91" s="379"/>
      <c r="O91" s="379"/>
      <c r="P91" s="379"/>
      <c r="Q91" s="379"/>
      <c r="R91" s="379"/>
      <c r="S91" s="379"/>
      <c r="T91" s="379"/>
      <c r="U91" s="441">
        <f>-114-50-1</f>
        <v>-165</v>
      </c>
      <c r="V91" s="410"/>
      <c r="W91" s="6"/>
      <c r="X91" s="64"/>
    </row>
    <row r="92" spans="1:24" ht="15.6">
      <c r="A92" s="444">
        <v>3</v>
      </c>
      <c r="B92" s="379" t="s">
        <v>38</v>
      </c>
      <c r="C92" s="379"/>
      <c r="D92" s="379"/>
      <c r="E92" s="379"/>
      <c r="F92" s="379"/>
      <c r="G92" s="379"/>
      <c r="H92" s="379"/>
      <c r="I92" s="379"/>
      <c r="J92" s="379"/>
      <c r="K92" s="379"/>
      <c r="L92" s="379"/>
      <c r="M92" s="379"/>
      <c r="N92" s="379"/>
      <c r="O92" s="379"/>
      <c r="P92" s="379"/>
      <c r="Q92" s="379"/>
      <c r="R92" s="379"/>
      <c r="S92" s="379"/>
      <c r="T92" s="379"/>
      <c r="U92" s="441">
        <v>-25</v>
      </c>
      <c r="V92" s="410"/>
      <c r="W92" s="6"/>
      <c r="X92" s="64"/>
    </row>
    <row r="93" spans="1:24" ht="15.6">
      <c r="A93" s="447" t="s">
        <v>190</v>
      </c>
      <c r="B93" s="379" t="s">
        <v>169</v>
      </c>
      <c r="C93" s="379"/>
      <c r="D93" s="379"/>
      <c r="E93" s="379"/>
      <c r="F93" s="379"/>
      <c r="G93" s="379"/>
      <c r="H93" s="379"/>
      <c r="I93" s="379"/>
      <c r="J93" s="379"/>
      <c r="K93" s="379"/>
      <c r="L93" s="379"/>
      <c r="M93" s="379"/>
      <c r="N93" s="379"/>
      <c r="O93" s="379"/>
      <c r="P93" s="379"/>
      <c r="Q93" s="379"/>
      <c r="R93" s="379"/>
      <c r="S93" s="379"/>
      <c r="T93" s="379"/>
      <c r="U93" s="441">
        <v>-56</v>
      </c>
      <c r="V93" s="410"/>
      <c r="W93" s="6"/>
      <c r="X93" s="64"/>
    </row>
    <row r="94" spans="1:24" ht="15.6">
      <c r="A94" s="447" t="s">
        <v>191</v>
      </c>
      <c r="B94" s="379" t="s">
        <v>170</v>
      </c>
      <c r="C94" s="379"/>
      <c r="D94" s="379"/>
      <c r="E94" s="379"/>
      <c r="F94" s="379"/>
      <c r="G94" s="379"/>
      <c r="H94" s="379"/>
      <c r="I94" s="379"/>
      <c r="J94" s="379"/>
      <c r="K94" s="379"/>
      <c r="L94" s="379"/>
      <c r="M94" s="379"/>
      <c r="N94" s="379"/>
      <c r="O94" s="379"/>
      <c r="P94" s="379"/>
      <c r="Q94" s="379"/>
      <c r="R94" s="379"/>
      <c r="S94" s="379"/>
      <c r="T94" s="379"/>
      <c r="U94" s="441">
        <v>-73</v>
      </c>
      <c r="V94" s="410"/>
      <c r="W94" s="6"/>
      <c r="X94" s="182"/>
    </row>
    <row r="95" spans="1:24" ht="15.6">
      <c r="A95" s="444">
        <v>5</v>
      </c>
      <c r="B95" s="379" t="s">
        <v>171</v>
      </c>
      <c r="C95" s="379"/>
      <c r="D95" s="379"/>
      <c r="E95" s="379"/>
      <c r="F95" s="379"/>
      <c r="G95" s="379"/>
      <c r="H95" s="379"/>
      <c r="I95" s="379"/>
      <c r="J95" s="379"/>
      <c r="K95" s="379"/>
      <c r="L95" s="379"/>
      <c r="M95" s="379"/>
      <c r="N95" s="379"/>
      <c r="O95" s="379"/>
      <c r="P95" s="379"/>
      <c r="Q95" s="379"/>
      <c r="R95" s="379"/>
      <c r="S95" s="379"/>
      <c r="T95" s="379"/>
      <c r="U95" s="441">
        <v>-8</v>
      </c>
      <c r="V95" s="410"/>
      <c r="W95" s="6"/>
    </row>
    <row r="96" spans="1:24" ht="15.6">
      <c r="A96" s="447" t="s">
        <v>174</v>
      </c>
      <c r="B96" s="379" t="s">
        <v>172</v>
      </c>
      <c r="C96" s="379"/>
      <c r="D96" s="379"/>
      <c r="E96" s="379"/>
      <c r="F96" s="379"/>
      <c r="G96" s="379"/>
      <c r="H96" s="379"/>
      <c r="I96" s="379"/>
      <c r="J96" s="379"/>
      <c r="K96" s="379"/>
      <c r="L96" s="379"/>
      <c r="M96" s="379"/>
      <c r="N96" s="379"/>
      <c r="O96" s="379"/>
      <c r="P96" s="379"/>
      <c r="Q96" s="379"/>
      <c r="R96" s="379"/>
      <c r="S96" s="379"/>
      <c r="T96" s="379"/>
      <c r="U96" s="441">
        <v>-25</v>
      </c>
      <c r="V96" s="410"/>
      <c r="W96" s="6"/>
      <c r="X96" s="182"/>
    </row>
    <row r="97" spans="1:24" ht="15.6">
      <c r="A97" s="447" t="s">
        <v>176</v>
      </c>
      <c r="B97" s="379" t="s">
        <v>173</v>
      </c>
      <c r="C97" s="379"/>
      <c r="D97" s="379"/>
      <c r="E97" s="379"/>
      <c r="F97" s="379"/>
      <c r="G97" s="379"/>
      <c r="H97" s="379"/>
      <c r="I97" s="379"/>
      <c r="J97" s="379"/>
      <c r="K97" s="379"/>
      <c r="L97" s="379"/>
      <c r="M97" s="379"/>
      <c r="N97" s="379"/>
      <c r="O97" s="379"/>
      <c r="P97" s="379"/>
      <c r="Q97" s="379"/>
      <c r="R97" s="379"/>
      <c r="S97" s="379"/>
      <c r="T97" s="379"/>
      <c r="U97" s="441">
        <v>-40</v>
      </c>
      <c r="V97" s="410"/>
      <c r="W97" s="119"/>
      <c r="X97" s="182"/>
    </row>
    <row r="98" spans="1:24" ht="15.6">
      <c r="A98" s="447" t="s">
        <v>178</v>
      </c>
      <c r="B98" s="379" t="s">
        <v>175</v>
      </c>
      <c r="C98" s="379"/>
      <c r="D98" s="379"/>
      <c r="E98" s="379"/>
      <c r="F98" s="379"/>
      <c r="G98" s="379"/>
      <c r="H98" s="379"/>
      <c r="I98" s="379"/>
      <c r="J98" s="379"/>
      <c r="K98" s="379"/>
      <c r="L98" s="379"/>
      <c r="M98" s="379"/>
      <c r="N98" s="379"/>
      <c r="O98" s="379"/>
      <c r="P98" s="379"/>
      <c r="Q98" s="379"/>
      <c r="R98" s="379"/>
      <c r="S98" s="379"/>
      <c r="T98" s="379"/>
      <c r="U98" s="441">
        <v>-40</v>
      </c>
      <c r="V98" s="410"/>
      <c r="W98" s="6"/>
      <c r="X98" s="182"/>
    </row>
    <row r="99" spans="1:24" ht="15.6">
      <c r="A99" s="447" t="s">
        <v>180</v>
      </c>
      <c r="B99" s="379" t="s">
        <v>177</v>
      </c>
      <c r="C99" s="379"/>
      <c r="D99" s="379"/>
      <c r="E99" s="379"/>
      <c r="F99" s="379"/>
      <c r="G99" s="379"/>
      <c r="H99" s="379"/>
      <c r="I99" s="379"/>
      <c r="J99" s="379"/>
      <c r="K99" s="379"/>
      <c r="L99" s="379"/>
      <c r="M99" s="379"/>
      <c r="N99" s="379"/>
      <c r="O99" s="379"/>
      <c r="P99" s="379"/>
      <c r="Q99" s="379"/>
      <c r="R99" s="379"/>
      <c r="S99" s="379"/>
      <c r="T99" s="379"/>
      <c r="U99" s="441">
        <v>-52</v>
      </c>
      <c r="V99" s="410"/>
      <c r="W99" s="119"/>
      <c r="X99" s="182"/>
    </row>
    <row r="100" spans="1:24" ht="15.6">
      <c r="A100" s="447" t="s">
        <v>192</v>
      </c>
      <c r="B100" s="379" t="s">
        <v>179</v>
      </c>
      <c r="C100" s="379"/>
      <c r="D100" s="379"/>
      <c r="E100" s="379"/>
      <c r="F100" s="379"/>
      <c r="G100" s="379"/>
      <c r="H100" s="379"/>
      <c r="I100" s="379"/>
      <c r="J100" s="379"/>
      <c r="K100" s="379"/>
      <c r="L100" s="379"/>
      <c r="M100" s="379"/>
      <c r="N100" s="379"/>
      <c r="O100" s="379"/>
      <c r="P100" s="379"/>
      <c r="Q100" s="379"/>
      <c r="R100" s="379"/>
      <c r="S100" s="379"/>
      <c r="T100" s="379"/>
      <c r="U100" s="441">
        <v>-77</v>
      </c>
      <c r="V100" s="410"/>
      <c r="W100" s="6"/>
      <c r="X100" s="182"/>
    </row>
    <row r="101" spans="1:24" ht="15.6">
      <c r="A101" s="447" t="s">
        <v>193</v>
      </c>
      <c r="B101" s="379" t="s">
        <v>181</v>
      </c>
      <c r="C101" s="379"/>
      <c r="D101" s="379"/>
      <c r="E101" s="379"/>
      <c r="F101" s="379"/>
      <c r="G101" s="379"/>
      <c r="H101" s="379"/>
      <c r="I101" s="379"/>
      <c r="J101" s="379"/>
      <c r="K101" s="379"/>
      <c r="L101" s="379"/>
      <c r="M101" s="379"/>
      <c r="N101" s="379"/>
      <c r="O101" s="379"/>
      <c r="P101" s="379"/>
      <c r="Q101" s="379"/>
      <c r="R101" s="379"/>
      <c r="S101" s="379"/>
      <c r="T101" s="379"/>
      <c r="U101" s="441">
        <v>-66</v>
      </c>
      <c r="V101" s="410"/>
      <c r="W101" s="119"/>
      <c r="X101" s="182"/>
    </row>
    <row r="102" spans="1:24" ht="15.6">
      <c r="A102" s="444">
        <v>9</v>
      </c>
      <c r="B102" s="379" t="s">
        <v>257</v>
      </c>
      <c r="C102" s="379"/>
      <c r="D102" s="379"/>
      <c r="E102" s="379"/>
      <c r="F102" s="379"/>
      <c r="G102" s="379"/>
      <c r="H102" s="379"/>
      <c r="I102" s="379"/>
      <c r="J102" s="379"/>
      <c r="K102" s="379"/>
      <c r="L102" s="379"/>
      <c r="M102" s="379"/>
      <c r="N102" s="379"/>
      <c r="O102" s="379"/>
      <c r="P102" s="379"/>
      <c r="Q102" s="379"/>
      <c r="R102" s="379"/>
      <c r="S102" s="379"/>
      <c r="T102" s="379"/>
      <c r="U102" s="441">
        <f>+S219-U32</f>
        <v>-5369.6111999999848</v>
      </c>
      <c r="V102" s="410"/>
      <c r="W102" s="6"/>
      <c r="X102" s="182"/>
    </row>
    <row r="103" spans="1:24" ht="15.6">
      <c r="A103" s="444">
        <v>10</v>
      </c>
      <c r="B103" s="379" t="s">
        <v>234</v>
      </c>
      <c r="C103" s="379"/>
      <c r="D103" s="379"/>
      <c r="E103" s="379"/>
      <c r="F103" s="379"/>
      <c r="G103" s="379"/>
      <c r="H103" s="379"/>
      <c r="I103" s="379"/>
      <c r="J103" s="379"/>
      <c r="K103" s="379"/>
      <c r="L103" s="379"/>
      <c r="M103" s="379"/>
      <c r="N103" s="379"/>
      <c r="O103" s="379"/>
      <c r="P103" s="379"/>
      <c r="Q103" s="379"/>
      <c r="R103" s="379"/>
      <c r="S103" s="379"/>
      <c r="T103" s="379"/>
      <c r="U103" s="441">
        <v>-40500</v>
      </c>
      <c r="V103" s="410"/>
      <c r="W103" s="6"/>
      <c r="X103" s="64"/>
    </row>
    <row r="104" spans="1:24" ht="15.6">
      <c r="A104" s="444">
        <v>11</v>
      </c>
      <c r="B104" s="379" t="s">
        <v>183</v>
      </c>
      <c r="C104" s="379"/>
      <c r="D104" s="379"/>
      <c r="E104" s="379"/>
      <c r="F104" s="379"/>
      <c r="G104" s="379"/>
      <c r="H104" s="379"/>
      <c r="I104" s="379"/>
      <c r="J104" s="379"/>
      <c r="K104" s="379"/>
      <c r="L104" s="379"/>
      <c r="M104" s="379"/>
      <c r="N104" s="379"/>
      <c r="O104" s="379"/>
      <c r="P104" s="379"/>
      <c r="Q104" s="379"/>
      <c r="R104" s="379"/>
      <c r="S104" s="379"/>
      <c r="T104" s="379"/>
      <c r="U104" s="441">
        <v>0</v>
      </c>
      <c r="V104" s="410"/>
      <c r="W104" s="6"/>
      <c r="X104" s="64"/>
    </row>
    <row r="105" spans="1:24" ht="15.6">
      <c r="A105" s="444">
        <v>12</v>
      </c>
      <c r="B105" s="379" t="s">
        <v>184</v>
      </c>
      <c r="C105" s="379"/>
      <c r="D105" s="379"/>
      <c r="E105" s="379"/>
      <c r="F105" s="379"/>
      <c r="G105" s="379"/>
      <c r="H105" s="379"/>
      <c r="I105" s="379"/>
      <c r="J105" s="379"/>
      <c r="K105" s="379"/>
      <c r="L105" s="379"/>
      <c r="M105" s="379"/>
      <c r="N105" s="379"/>
      <c r="O105" s="379"/>
      <c r="P105" s="379"/>
      <c r="Q105" s="379"/>
      <c r="R105" s="379"/>
      <c r="S105" s="379"/>
      <c r="T105" s="379"/>
      <c r="U105" s="441">
        <v>-129</v>
      </c>
      <c r="V105" s="410"/>
      <c r="W105" s="6"/>
      <c r="X105" s="182"/>
    </row>
    <row r="106" spans="1:24" ht="15.6">
      <c r="A106" s="444">
        <v>13</v>
      </c>
      <c r="B106" s="379" t="s">
        <v>40</v>
      </c>
      <c r="C106" s="379"/>
      <c r="D106" s="379"/>
      <c r="E106" s="379"/>
      <c r="F106" s="379"/>
      <c r="G106" s="379"/>
      <c r="H106" s="379"/>
      <c r="I106" s="379"/>
      <c r="J106" s="379"/>
      <c r="K106" s="379"/>
      <c r="L106" s="379"/>
      <c r="M106" s="379"/>
      <c r="N106" s="379"/>
      <c r="O106" s="379"/>
      <c r="P106" s="379"/>
      <c r="Q106" s="379"/>
      <c r="R106" s="379"/>
      <c r="S106" s="379"/>
      <c r="T106" s="379"/>
      <c r="U106" s="441">
        <f>-SUM(U87:V105)</f>
        <v>-2028.3888000000152</v>
      </c>
      <c r="V106" s="410"/>
      <c r="W106" s="6"/>
      <c r="X106" s="182"/>
    </row>
    <row r="107" spans="1:24" ht="15.6">
      <c r="A107" s="316"/>
      <c r="B107" s="443"/>
      <c r="C107" s="364"/>
      <c r="D107" s="364"/>
      <c r="E107" s="364"/>
      <c r="F107" s="364"/>
      <c r="G107" s="364"/>
      <c r="H107" s="364"/>
      <c r="I107" s="364"/>
      <c r="J107" s="364"/>
      <c r="K107" s="364"/>
      <c r="L107" s="364"/>
      <c r="M107" s="364"/>
      <c r="N107" s="364"/>
      <c r="O107" s="364"/>
      <c r="P107" s="364"/>
      <c r="Q107" s="364"/>
      <c r="R107" s="364"/>
      <c r="S107" s="360"/>
      <c r="T107" s="360"/>
      <c r="U107" s="360"/>
      <c r="V107" s="303"/>
      <c r="W107" s="6"/>
      <c r="X107" s="182"/>
    </row>
    <row r="108" spans="1:24" ht="15.6">
      <c r="A108" s="316"/>
      <c r="B108" s="317"/>
      <c r="C108" s="288"/>
      <c r="D108" s="288"/>
      <c r="E108" s="288"/>
      <c r="F108" s="288"/>
      <c r="G108" s="288"/>
      <c r="H108" s="288"/>
      <c r="I108" s="288"/>
      <c r="J108" s="288"/>
      <c r="K108" s="288"/>
      <c r="L108" s="288"/>
      <c r="M108" s="288"/>
      <c r="N108" s="288"/>
      <c r="O108" s="288"/>
      <c r="P108" s="288"/>
      <c r="Q108" s="288"/>
      <c r="R108" s="288"/>
      <c r="S108" s="318"/>
      <c r="T108" s="318"/>
      <c r="U108" s="318"/>
      <c r="V108" s="303"/>
      <c r="W108" s="6"/>
    </row>
    <row r="109" spans="1:24" ht="16.2" thickBot="1">
      <c r="A109" s="319"/>
      <c r="B109" s="304" t="str">
        <f>+B59</f>
        <v>PPAF3 INVESTOR REPORT QUARTER ENDING SEPTEMBER 2014</v>
      </c>
      <c r="C109" s="305"/>
      <c r="D109" s="305"/>
      <c r="E109" s="305"/>
      <c r="F109" s="305"/>
      <c r="G109" s="305"/>
      <c r="H109" s="305"/>
      <c r="I109" s="305"/>
      <c r="J109" s="305"/>
      <c r="K109" s="305"/>
      <c r="L109" s="305"/>
      <c r="M109" s="305"/>
      <c r="N109" s="305"/>
      <c r="O109" s="305"/>
      <c r="P109" s="305"/>
      <c r="Q109" s="305"/>
      <c r="R109" s="305"/>
      <c r="S109" s="320"/>
      <c r="T109" s="320"/>
      <c r="U109" s="320"/>
      <c r="V109" s="307"/>
      <c r="W109" s="6"/>
    </row>
    <row r="110" spans="1:24" ht="15.6">
      <c r="A110" s="238"/>
      <c r="B110" s="240"/>
      <c r="C110" s="240"/>
      <c r="D110" s="240"/>
      <c r="E110" s="240"/>
      <c r="F110" s="240"/>
      <c r="G110" s="240"/>
      <c r="H110" s="240"/>
      <c r="I110" s="240"/>
      <c r="J110" s="240"/>
      <c r="K110" s="240"/>
      <c r="L110" s="240"/>
      <c r="M110" s="240"/>
      <c r="N110" s="240"/>
      <c r="O110" s="240"/>
      <c r="P110" s="240"/>
      <c r="Q110" s="240"/>
      <c r="R110" s="240"/>
      <c r="S110" s="269"/>
      <c r="T110" s="269"/>
      <c r="U110" s="269"/>
      <c r="V110" s="241"/>
      <c r="W110" s="6"/>
    </row>
    <row r="111" spans="1:24" ht="15.6">
      <c r="A111" s="321"/>
      <c r="B111" s="517" t="s">
        <v>41</v>
      </c>
      <c r="C111" s="322"/>
      <c r="D111" s="322"/>
      <c r="E111" s="322"/>
      <c r="F111" s="322"/>
      <c r="G111" s="322"/>
      <c r="H111" s="322"/>
      <c r="I111" s="322"/>
      <c r="J111" s="322"/>
      <c r="K111" s="322"/>
      <c r="L111" s="322"/>
      <c r="M111" s="322"/>
      <c r="N111" s="322"/>
      <c r="O111" s="322"/>
      <c r="P111" s="322"/>
      <c r="Q111" s="322"/>
      <c r="R111" s="322"/>
      <c r="S111" s="322"/>
      <c r="T111" s="322"/>
      <c r="U111" s="323"/>
      <c r="V111" s="324"/>
      <c r="W111" s="6"/>
    </row>
    <row r="112" spans="1:24" ht="15.6">
      <c r="A112" s="270"/>
      <c r="B112" s="271"/>
      <c r="C112" s="271"/>
      <c r="D112" s="271"/>
      <c r="E112" s="271"/>
      <c r="F112" s="271"/>
      <c r="G112" s="271"/>
      <c r="H112" s="271"/>
      <c r="I112" s="271"/>
      <c r="J112" s="271"/>
      <c r="K112" s="271"/>
      <c r="L112" s="271"/>
      <c r="M112" s="271"/>
      <c r="N112" s="271"/>
      <c r="O112" s="271"/>
      <c r="P112" s="271"/>
      <c r="Q112" s="271"/>
      <c r="R112" s="271"/>
      <c r="S112" s="271"/>
      <c r="T112" s="271"/>
      <c r="U112" s="272"/>
      <c r="V112" s="273"/>
      <c r="W112" s="6"/>
    </row>
    <row r="113" spans="1:24" ht="15.6">
      <c r="A113" s="242"/>
      <c r="B113" s="274" t="s">
        <v>42</v>
      </c>
      <c r="C113" s="252"/>
      <c r="D113" s="252"/>
      <c r="E113" s="252"/>
      <c r="F113" s="252"/>
      <c r="G113" s="252"/>
      <c r="H113" s="252"/>
      <c r="I113" s="252"/>
      <c r="J113" s="252"/>
      <c r="K113" s="252"/>
      <c r="L113" s="252"/>
      <c r="M113" s="244"/>
      <c r="N113" s="244"/>
      <c r="O113" s="244"/>
      <c r="P113" s="244"/>
      <c r="Q113" s="244"/>
      <c r="R113" s="244"/>
      <c r="S113" s="244"/>
      <c r="T113" s="244"/>
      <c r="U113" s="263"/>
      <c r="V113" s="245"/>
      <c r="W113" s="6"/>
    </row>
    <row r="114" spans="1:24" ht="15.6">
      <c r="A114" s="378"/>
      <c r="B114" s="379" t="s">
        <v>43</v>
      </c>
      <c r="C114" s="379"/>
      <c r="D114" s="379"/>
      <c r="E114" s="379"/>
      <c r="F114" s="379"/>
      <c r="G114" s="379"/>
      <c r="H114" s="379"/>
      <c r="I114" s="379"/>
      <c r="J114" s="379"/>
      <c r="K114" s="379"/>
      <c r="L114" s="379"/>
      <c r="M114" s="379"/>
      <c r="N114" s="379"/>
      <c r="O114" s="379"/>
      <c r="P114" s="379"/>
      <c r="Q114" s="379"/>
      <c r="R114" s="379"/>
      <c r="S114" s="379"/>
      <c r="T114" s="379"/>
      <c r="U114" s="441">
        <v>40500</v>
      </c>
      <c r="V114" s="410"/>
      <c r="W114" s="6"/>
    </row>
    <row r="115" spans="1:24" ht="15.6">
      <c r="A115" s="378"/>
      <c r="B115" s="379" t="s">
        <v>240</v>
      </c>
      <c r="C115" s="379"/>
      <c r="D115" s="379"/>
      <c r="E115" s="379"/>
      <c r="F115" s="379"/>
      <c r="G115" s="379"/>
      <c r="H115" s="379"/>
      <c r="I115" s="379"/>
      <c r="J115" s="379"/>
      <c r="K115" s="379"/>
      <c r="L115" s="379"/>
      <c r="M115" s="379"/>
      <c r="N115" s="379"/>
      <c r="O115" s="379"/>
      <c r="P115" s="379"/>
      <c r="Q115" s="379"/>
      <c r="R115" s="379"/>
      <c r="S115" s="379"/>
      <c r="T115" s="379"/>
      <c r="U115" s="441">
        <v>40500</v>
      </c>
      <c r="V115" s="410"/>
      <c r="W115" s="6"/>
    </row>
    <row r="116" spans="1:24" ht="15.6">
      <c r="A116" s="378"/>
      <c r="B116" s="379" t="s">
        <v>241</v>
      </c>
      <c r="C116" s="379"/>
      <c r="D116" s="379"/>
      <c r="E116" s="379"/>
      <c r="F116" s="379"/>
      <c r="G116" s="379"/>
      <c r="H116" s="379"/>
      <c r="I116" s="379"/>
      <c r="J116" s="379"/>
      <c r="K116" s="379"/>
      <c r="L116" s="379"/>
      <c r="M116" s="379"/>
      <c r="N116" s="379"/>
      <c r="O116" s="379"/>
      <c r="P116" s="379"/>
      <c r="Q116" s="379"/>
      <c r="R116" s="379"/>
      <c r="S116" s="379"/>
      <c r="T116" s="379"/>
      <c r="U116" s="441">
        <v>0</v>
      </c>
      <c r="V116" s="410"/>
      <c r="W116" s="6"/>
    </row>
    <row r="117" spans="1:24" ht="15.6">
      <c r="A117" s="378"/>
      <c r="B117" s="379" t="s">
        <v>209</v>
      </c>
      <c r="C117" s="379"/>
      <c r="D117" s="379"/>
      <c r="E117" s="379"/>
      <c r="F117" s="379"/>
      <c r="G117" s="379"/>
      <c r="H117" s="379"/>
      <c r="I117" s="379"/>
      <c r="J117" s="379"/>
      <c r="K117" s="379"/>
      <c r="L117" s="379"/>
      <c r="M117" s="379"/>
      <c r="N117" s="379"/>
      <c r="O117" s="379"/>
      <c r="P117" s="379"/>
      <c r="Q117" s="379"/>
      <c r="R117" s="379"/>
      <c r="S117" s="379"/>
      <c r="T117" s="379"/>
      <c r="U117" s="441">
        <v>0</v>
      </c>
      <c r="V117" s="410"/>
      <c r="W117" s="6"/>
    </row>
    <row r="118" spans="1:24" ht="15.6">
      <c r="A118" s="378"/>
      <c r="B118" s="379" t="s">
        <v>210</v>
      </c>
      <c r="C118" s="379"/>
      <c r="D118" s="379"/>
      <c r="E118" s="379"/>
      <c r="F118" s="379"/>
      <c r="G118" s="379"/>
      <c r="H118" s="379"/>
      <c r="I118" s="379"/>
      <c r="J118" s="379"/>
      <c r="K118" s="379"/>
      <c r="L118" s="379"/>
      <c r="M118" s="379"/>
      <c r="N118" s="379"/>
      <c r="O118" s="379"/>
      <c r="P118" s="379"/>
      <c r="Q118" s="379"/>
      <c r="R118" s="379"/>
      <c r="S118" s="379"/>
      <c r="T118" s="379"/>
      <c r="U118" s="441">
        <v>0</v>
      </c>
      <c r="V118" s="410"/>
      <c r="W118" s="6"/>
    </row>
    <row r="119" spans="1:24" ht="15.6">
      <c r="A119" s="378"/>
      <c r="B119" s="379" t="s">
        <v>211</v>
      </c>
      <c r="C119" s="379"/>
      <c r="D119" s="379"/>
      <c r="E119" s="379"/>
      <c r="F119" s="379"/>
      <c r="G119" s="379"/>
      <c r="H119" s="379"/>
      <c r="I119" s="379"/>
      <c r="J119" s="379"/>
      <c r="K119" s="379"/>
      <c r="L119" s="379"/>
      <c r="M119" s="379"/>
      <c r="N119" s="379"/>
      <c r="O119" s="379"/>
      <c r="P119" s="379"/>
      <c r="Q119" s="379"/>
      <c r="R119" s="379"/>
      <c r="S119" s="379"/>
      <c r="T119" s="379"/>
      <c r="U119" s="441">
        <v>0</v>
      </c>
      <c r="V119" s="410"/>
      <c r="W119" s="6"/>
    </row>
    <row r="120" spans="1:24" ht="15.6">
      <c r="A120" s="378"/>
      <c r="B120" s="379" t="s">
        <v>212</v>
      </c>
      <c r="C120" s="379"/>
      <c r="D120" s="379"/>
      <c r="E120" s="379"/>
      <c r="F120" s="379"/>
      <c r="G120" s="379"/>
      <c r="H120" s="379"/>
      <c r="I120" s="379"/>
      <c r="J120" s="379"/>
      <c r="K120" s="379"/>
      <c r="L120" s="379"/>
      <c r="M120" s="379"/>
      <c r="N120" s="379"/>
      <c r="O120" s="379"/>
      <c r="P120" s="379"/>
      <c r="Q120" s="379"/>
      <c r="R120" s="379"/>
      <c r="S120" s="379"/>
      <c r="T120" s="379"/>
      <c r="U120" s="441">
        <v>0</v>
      </c>
      <c r="V120" s="410"/>
      <c r="W120" s="6"/>
    </row>
    <row r="121" spans="1:24" ht="15.6">
      <c r="A121" s="378"/>
      <c r="B121" s="379" t="s">
        <v>242</v>
      </c>
      <c r="C121" s="379"/>
      <c r="D121" s="379"/>
      <c r="E121" s="379"/>
      <c r="F121" s="379"/>
      <c r="G121" s="379"/>
      <c r="H121" s="379"/>
      <c r="I121" s="379"/>
      <c r="J121" s="379"/>
      <c r="K121" s="379"/>
      <c r="L121" s="379"/>
      <c r="M121" s="379"/>
      <c r="N121" s="379"/>
      <c r="O121" s="379"/>
      <c r="P121" s="379"/>
      <c r="Q121" s="379"/>
      <c r="R121" s="379"/>
      <c r="S121" s="379"/>
      <c r="T121" s="379"/>
      <c r="U121" s="441">
        <v>0</v>
      </c>
      <c r="V121" s="410"/>
      <c r="W121" s="6"/>
    </row>
    <row r="122" spans="1:24" ht="15.6">
      <c r="A122" s="378"/>
      <c r="B122" s="379" t="s">
        <v>45</v>
      </c>
      <c r="C122" s="379"/>
      <c r="D122" s="379"/>
      <c r="E122" s="379"/>
      <c r="F122" s="379"/>
      <c r="G122" s="379"/>
      <c r="H122" s="379"/>
      <c r="I122" s="379"/>
      <c r="J122" s="379"/>
      <c r="K122" s="379"/>
      <c r="L122" s="379"/>
      <c r="M122" s="379"/>
      <c r="N122" s="379"/>
      <c r="O122" s="379"/>
      <c r="P122" s="379"/>
      <c r="Q122" s="379"/>
      <c r="R122" s="379"/>
      <c r="S122" s="379"/>
      <c r="T122" s="379"/>
      <c r="U122" s="441">
        <f>SUM(U115:U121)</f>
        <v>40500</v>
      </c>
      <c r="V122" s="410"/>
      <c r="W122" s="6"/>
    </row>
    <row r="123" spans="1:24" ht="15.6">
      <c r="A123" s="242"/>
      <c r="B123" s="438"/>
      <c r="C123" s="438"/>
      <c r="D123" s="438"/>
      <c r="E123" s="438"/>
      <c r="F123" s="438"/>
      <c r="G123" s="438"/>
      <c r="H123" s="438"/>
      <c r="I123" s="438"/>
      <c r="J123" s="438"/>
      <c r="K123" s="438"/>
      <c r="L123" s="438"/>
      <c r="M123" s="438"/>
      <c r="N123" s="438"/>
      <c r="O123" s="438"/>
      <c r="P123" s="438"/>
      <c r="Q123" s="438"/>
      <c r="R123" s="438"/>
      <c r="S123" s="438"/>
      <c r="T123" s="438"/>
      <c r="U123" s="448"/>
      <c r="V123" s="245"/>
      <c r="W123" s="6"/>
    </row>
    <row r="124" spans="1:24" ht="15.6">
      <c r="A124" s="242"/>
      <c r="B124" s="274" t="s">
        <v>46</v>
      </c>
      <c r="C124" s="252"/>
      <c r="D124" s="252"/>
      <c r="E124" s="252"/>
      <c r="F124" s="252"/>
      <c r="G124" s="252"/>
      <c r="H124" s="252"/>
      <c r="I124" s="252"/>
      <c r="J124" s="252"/>
      <c r="K124" s="252"/>
      <c r="L124" s="252"/>
      <c r="M124" s="244"/>
      <c r="N124" s="244"/>
      <c r="O124" s="244"/>
      <c r="P124" s="275"/>
      <c r="Q124" s="244"/>
      <c r="R124" s="244"/>
      <c r="S124" s="244"/>
      <c r="T124" s="244"/>
      <c r="U124" s="276"/>
      <c r="V124" s="245"/>
      <c r="W124" s="6"/>
    </row>
    <row r="125" spans="1:24" ht="15.6">
      <c r="A125" s="230"/>
      <c r="B125" s="511"/>
      <c r="C125" s="232" t="s">
        <v>185</v>
      </c>
      <c r="D125" s="232"/>
      <c r="E125" s="232" t="s">
        <v>99</v>
      </c>
      <c r="F125" s="232"/>
      <c r="G125" s="232" t="s">
        <v>102</v>
      </c>
      <c r="H125" s="232"/>
      <c r="I125" s="232" t="s">
        <v>108</v>
      </c>
      <c r="J125" s="232"/>
      <c r="K125" s="232"/>
      <c r="L125" s="232"/>
      <c r="M125" s="232"/>
      <c r="N125" s="232"/>
      <c r="O125" s="232"/>
      <c r="P125" s="326"/>
      <c r="Q125" s="326"/>
      <c r="R125" s="231"/>
      <c r="S125" s="231"/>
      <c r="T125" s="231"/>
      <c r="U125" s="309"/>
      <c r="V125" s="237"/>
      <c r="W125" s="6"/>
    </row>
    <row r="126" spans="1:24" ht="15.6">
      <c r="A126" s="257"/>
      <c r="B126" s="294" t="s">
        <v>122</v>
      </c>
      <c r="C126" s="310">
        <f>+N199-'June 14'!N199</f>
        <v>-57</v>
      </c>
      <c r="D126" s="294"/>
      <c r="E126" s="310">
        <f>+S199-'June 14'!S199</f>
        <v>-22</v>
      </c>
      <c r="F126" s="294"/>
      <c r="G126" s="310">
        <f>+'Sept 14'!N212-'June 14'!N212</f>
        <v>-245</v>
      </c>
      <c r="H126" s="294"/>
      <c r="I126" s="310">
        <f>+S212-'June 14'!S212</f>
        <v>-47</v>
      </c>
      <c r="J126" s="294"/>
      <c r="K126" s="294"/>
      <c r="L126" s="294"/>
      <c r="M126" s="294"/>
      <c r="N126" s="294"/>
      <c r="O126" s="294"/>
      <c r="P126" s="325"/>
      <c r="Q126" s="325"/>
      <c r="R126" s="294"/>
      <c r="S126" s="294"/>
      <c r="T126" s="294"/>
      <c r="U126" s="311">
        <f>SUM(C126:I126)</f>
        <v>-371</v>
      </c>
      <c r="V126" s="298"/>
      <c r="W126" s="6"/>
      <c r="X126" s="182"/>
    </row>
    <row r="127" spans="1:24" ht="15.6">
      <c r="A127" s="378"/>
      <c r="B127" s="379" t="s">
        <v>47</v>
      </c>
      <c r="C127" s="379">
        <v>39</v>
      </c>
      <c r="D127" s="379"/>
      <c r="E127" s="379">
        <v>0</v>
      </c>
      <c r="F127" s="379"/>
      <c r="G127" s="379">
        <v>569</v>
      </c>
      <c r="H127" s="379"/>
      <c r="I127" s="440">
        <v>45</v>
      </c>
      <c r="J127" s="379"/>
      <c r="K127" s="379"/>
      <c r="L127" s="379"/>
      <c r="M127" s="379"/>
      <c r="N127" s="379"/>
      <c r="O127" s="379"/>
      <c r="P127" s="450"/>
      <c r="Q127" s="450"/>
      <c r="R127" s="379"/>
      <c r="S127" s="379"/>
      <c r="T127" s="379"/>
      <c r="U127" s="441">
        <f>SUM(C127:I127)</f>
        <v>653</v>
      </c>
      <c r="V127" s="410"/>
      <c r="W127" s="6"/>
    </row>
    <row r="128" spans="1:24" ht="15.6">
      <c r="A128" s="242"/>
      <c r="B128" s="364" t="s">
        <v>48</v>
      </c>
      <c r="C128" s="364"/>
      <c r="D128" s="364"/>
      <c r="E128" s="364"/>
      <c r="F128" s="364"/>
      <c r="G128" s="364"/>
      <c r="H128" s="364"/>
      <c r="I128" s="364"/>
      <c r="J128" s="364"/>
      <c r="K128" s="364"/>
      <c r="L128" s="364"/>
      <c r="M128" s="364"/>
      <c r="N128" s="364"/>
      <c r="O128" s="364"/>
      <c r="P128" s="364"/>
      <c r="Q128" s="364"/>
      <c r="R128" s="364"/>
      <c r="S128" s="364"/>
      <c r="T128" s="364"/>
      <c r="U128" s="449">
        <f>SUM(U126:U127)</f>
        <v>282</v>
      </c>
      <c r="V128" s="303"/>
      <c r="W128" s="6"/>
      <c r="X128" s="182"/>
    </row>
    <row r="129" spans="1:25" ht="15.6">
      <c r="A129" s="242"/>
      <c r="B129" s="274" t="s">
        <v>49</v>
      </c>
      <c r="C129" s="252"/>
      <c r="D129" s="252"/>
      <c r="E129" s="252"/>
      <c r="F129" s="252"/>
      <c r="G129" s="252"/>
      <c r="H129" s="252"/>
      <c r="I129" s="252"/>
      <c r="J129" s="252"/>
      <c r="K129" s="252"/>
      <c r="L129" s="252"/>
      <c r="M129" s="244"/>
      <c r="N129" s="244"/>
      <c r="O129" s="244"/>
      <c r="P129" s="244"/>
      <c r="Q129" s="244"/>
      <c r="R129" s="244"/>
      <c r="S129" s="244"/>
      <c r="T129" s="244"/>
      <c r="U129" s="263"/>
      <c r="V129" s="245"/>
      <c r="W129" s="6"/>
    </row>
    <row r="130" spans="1:25" ht="15.6">
      <c r="A130" s="444"/>
      <c r="B130" s="379" t="s">
        <v>50</v>
      </c>
      <c r="C130" s="386"/>
      <c r="D130" s="386"/>
      <c r="E130" s="386"/>
      <c r="F130" s="386"/>
      <c r="G130" s="386"/>
      <c r="H130" s="386"/>
      <c r="I130" s="386"/>
      <c r="J130" s="386"/>
      <c r="K130" s="386"/>
      <c r="L130" s="386"/>
      <c r="M130" s="379"/>
      <c r="N130" s="379"/>
      <c r="O130" s="379"/>
      <c r="P130" s="379"/>
      <c r="Q130" s="379"/>
      <c r="R130" s="379"/>
      <c r="S130" s="379"/>
      <c r="T130" s="379"/>
      <c r="U130" s="441">
        <f>U75+U77</f>
        <v>108092</v>
      </c>
      <c r="V130" s="410"/>
      <c r="W130" s="6"/>
      <c r="X130" s="182"/>
    </row>
    <row r="131" spans="1:25" ht="15.6">
      <c r="A131" s="444"/>
      <c r="B131" s="379" t="s">
        <v>51</v>
      </c>
      <c r="C131" s="386"/>
      <c r="D131" s="386"/>
      <c r="E131" s="386"/>
      <c r="F131" s="386"/>
      <c r="G131" s="386"/>
      <c r="H131" s="386"/>
      <c r="I131" s="386"/>
      <c r="J131" s="386"/>
      <c r="K131" s="386"/>
      <c r="L131" s="386"/>
      <c r="M131" s="379"/>
      <c r="N131" s="379"/>
      <c r="O131" s="379"/>
      <c r="P131" s="379"/>
      <c r="Q131" s="379"/>
      <c r="R131" s="379"/>
      <c r="S131" s="379"/>
      <c r="T131" s="379"/>
      <c r="U131" s="441">
        <v>0</v>
      </c>
      <c r="V131" s="410"/>
      <c r="W131" s="6"/>
      <c r="Y131" s="182"/>
    </row>
    <row r="132" spans="1:25" ht="15.6">
      <c r="A132" s="444"/>
      <c r="B132" s="379" t="s">
        <v>52</v>
      </c>
      <c r="C132" s="386"/>
      <c r="D132" s="386"/>
      <c r="E132" s="386"/>
      <c r="F132" s="386"/>
      <c r="G132" s="386"/>
      <c r="H132" s="386"/>
      <c r="I132" s="386"/>
      <c r="J132" s="386"/>
      <c r="K132" s="386"/>
      <c r="L132" s="386"/>
      <c r="M132" s="379"/>
      <c r="N132" s="379"/>
      <c r="O132" s="379"/>
      <c r="P132" s="379"/>
      <c r="Q132" s="379"/>
      <c r="R132" s="379"/>
      <c r="S132" s="379"/>
      <c r="T132" s="379"/>
      <c r="U132" s="441">
        <f>+U130+U131</f>
        <v>108092</v>
      </c>
      <c r="V132" s="410"/>
      <c r="W132" s="6"/>
    </row>
    <row r="133" spans="1:25" ht="15.6">
      <c r="A133" s="444"/>
      <c r="B133" s="379" t="s">
        <v>53</v>
      </c>
      <c r="C133" s="386"/>
      <c r="D133" s="386"/>
      <c r="E133" s="386"/>
      <c r="F133" s="386"/>
      <c r="G133" s="386"/>
      <c r="H133" s="386"/>
      <c r="I133" s="386"/>
      <c r="J133" s="386"/>
      <c r="K133" s="386"/>
      <c r="L133" s="386"/>
      <c r="M133" s="379"/>
      <c r="N133" s="379"/>
      <c r="O133" s="379"/>
      <c r="P133" s="379"/>
      <c r="Q133" s="379"/>
      <c r="R133" s="379"/>
      <c r="S133" s="379"/>
      <c r="T133" s="379"/>
      <c r="U133" s="441">
        <f>U80</f>
        <v>108092</v>
      </c>
      <c r="V133" s="410"/>
      <c r="W133" s="6"/>
      <c r="X133" s="64"/>
    </row>
    <row r="134" spans="1:25" ht="15.6">
      <c r="A134" s="242"/>
      <c r="B134" s="438"/>
      <c r="C134" s="438"/>
      <c r="D134" s="438"/>
      <c r="E134" s="438"/>
      <c r="F134" s="438"/>
      <c r="G134" s="438"/>
      <c r="H134" s="438"/>
      <c r="I134" s="438"/>
      <c r="J134" s="438"/>
      <c r="K134" s="438"/>
      <c r="L134" s="438"/>
      <c r="M134" s="438"/>
      <c r="N134" s="438"/>
      <c r="O134" s="438"/>
      <c r="P134" s="438"/>
      <c r="Q134" s="438"/>
      <c r="R134" s="438"/>
      <c r="S134" s="438"/>
      <c r="T134" s="438"/>
      <c r="U134" s="451"/>
      <c r="V134" s="245"/>
      <c r="W134" s="6"/>
    </row>
    <row r="135" spans="1:25" ht="15.6">
      <c r="A135" s="242"/>
      <c r="B135" s="274" t="s">
        <v>54</v>
      </c>
      <c r="C135" s="247"/>
      <c r="D135" s="247"/>
      <c r="E135" s="247"/>
      <c r="F135" s="247"/>
      <c r="G135" s="247"/>
      <c r="H135" s="247"/>
      <c r="I135" s="247"/>
      <c r="J135" s="247"/>
      <c r="K135" s="247"/>
      <c r="L135" s="247"/>
      <c r="M135" s="247"/>
      <c r="N135" s="247"/>
      <c r="O135" s="247"/>
      <c r="P135" s="247"/>
      <c r="Q135" s="277" t="s">
        <v>112</v>
      </c>
      <c r="R135" s="278"/>
      <c r="S135" s="277" t="s">
        <v>114</v>
      </c>
      <c r="T135" s="247"/>
      <c r="U135" s="279" t="s">
        <v>90</v>
      </c>
      <c r="V135" s="245"/>
      <c r="W135" s="6"/>
    </row>
    <row r="136" spans="1:25" ht="15.6">
      <c r="A136" s="378"/>
      <c r="B136" s="379" t="s">
        <v>55</v>
      </c>
      <c r="C136" s="379"/>
      <c r="D136" s="379"/>
      <c r="E136" s="379"/>
      <c r="F136" s="379"/>
      <c r="G136" s="379"/>
      <c r="H136" s="379"/>
      <c r="I136" s="379"/>
      <c r="J136" s="379"/>
      <c r="K136" s="379"/>
      <c r="L136" s="379"/>
      <c r="M136" s="379"/>
      <c r="N136" s="379"/>
      <c r="O136" s="379"/>
      <c r="P136" s="379"/>
      <c r="Q136" s="441">
        <v>0</v>
      </c>
      <c r="R136" s="379"/>
      <c r="S136" s="453" t="s">
        <v>115</v>
      </c>
      <c r="T136" s="379"/>
      <c r="U136" s="441">
        <f>Q136</f>
        <v>0</v>
      </c>
      <c r="V136" s="385"/>
      <c r="W136" s="6"/>
    </row>
    <row r="137" spans="1:25" ht="15.6">
      <c r="A137" s="378"/>
      <c r="B137" s="379" t="s">
        <v>56</v>
      </c>
      <c r="C137" s="379"/>
      <c r="D137" s="379"/>
      <c r="E137" s="379"/>
      <c r="F137" s="379"/>
      <c r="G137" s="379"/>
      <c r="H137" s="379"/>
      <c r="I137" s="379"/>
      <c r="J137" s="379"/>
      <c r="K137" s="379"/>
      <c r="L137" s="379"/>
      <c r="M137" s="379"/>
      <c r="N137" s="379"/>
      <c r="O137" s="379"/>
      <c r="P137" s="379"/>
      <c r="Q137" s="441">
        <f>+'June 14'!Q139</f>
        <v>4229</v>
      </c>
      <c r="R137" s="379"/>
      <c r="S137" s="453" t="s">
        <v>115</v>
      </c>
      <c r="T137" s="379"/>
      <c r="U137" s="441">
        <f>Q137</f>
        <v>4229</v>
      </c>
      <c r="V137" s="385"/>
      <c r="W137" s="6"/>
    </row>
    <row r="138" spans="1:25" ht="15.6">
      <c r="A138" s="378"/>
      <c r="B138" s="379" t="s">
        <v>57</v>
      </c>
      <c r="C138" s="379"/>
      <c r="D138" s="379"/>
      <c r="E138" s="379"/>
      <c r="F138" s="379"/>
      <c r="G138" s="379"/>
      <c r="H138" s="379"/>
      <c r="I138" s="379"/>
      <c r="J138" s="379"/>
      <c r="K138" s="379"/>
      <c r="L138" s="379"/>
      <c r="M138" s="379"/>
      <c r="N138" s="379"/>
      <c r="O138" s="379"/>
      <c r="P138" s="379"/>
      <c r="Q138" s="441">
        <v>0</v>
      </c>
      <c r="R138" s="379"/>
      <c r="S138" s="453" t="s">
        <v>115</v>
      </c>
      <c r="T138" s="379"/>
      <c r="U138" s="441">
        <f>Q138</f>
        <v>0</v>
      </c>
      <c r="V138" s="385"/>
      <c r="W138" s="6"/>
    </row>
    <row r="139" spans="1:25" ht="15.6">
      <c r="A139" s="378"/>
      <c r="B139" s="379" t="s">
        <v>58</v>
      </c>
      <c r="C139" s="379"/>
      <c r="D139" s="379"/>
      <c r="E139" s="379"/>
      <c r="F139" s="379"/>
      <c r="G139" s="379"/>
      <c r="H139" s="379"/>
      <c r="I139" s="379"/>
      <c r="J139" s="379"/>
      <c r="K139" s="379"/>
      <c r="L139" s="379"/>
      <c r="M139" s="379"/>
      <c r="N139" s="379"/>
      <c r="O139" s="379"/>
      <c r="P139" s="379"/>
      <c r="Q139" s="441">
        <f>SUM(Q137:Q138)</f>
        <v>4229</v>
      </c>
      <c r="R139" s="379"/>
      <c r="S139" s="453" t="s">
        <v>115</v>
      </c>
      <c r="T139" s="379"/>
      <c r="U139" s="441">
        <f>Q139</f>
        <v>4229</v>
      </c>
      <c r="V139" s="385"/>
      <c r="W139" s="6"/>
    </row>
    <row r="140" spans="1:25" ht="15.6">
      <c r="A140" s="378"/>
      <c r="B140" s="379" t="s">
        <v>215</v>
      </c>
      <c r="C140" s="379"/>
      <c r="D140" s="379"/>
      <c r="E140" s="379"/>
      <c r="F140" s="379"/>
      <c r="G140" s="379"/>
      <c r="H140" s="379"/>
      <c r="I140" s="379"/>
      <c r="J140" s="379"/>
      <c r="K140" s="379"/>
      <c r="L140" s="379"/>
      <c r="M140" s="379"/>
      <c r="N140" s="379"/>
      <c r="O140" s="379"/>
      <c r="P140" s="379"/>
      <c r="Q140" s="441"/>
      <c r="R140" s="379"/>
      <c r="S140" s="453"/>
      <c r="T140" s="379"/>
      <c r="U140" s="441"/>
      <c r="V140" s="385"/>
      <c r="W140" s="6"/>
    </row>
    <row r="141" spans="1:25" ht="15.6">
      <c r="A141" s="378"/>
      <c r="B141" s="454"/>
      <c r="C141" s="454"/>
      <c r="D141" s="454"/>
      <c r="E141" s="454"/>
      <c r="F141" s="454"/>
      <c r="G141" s="454"/>
      <c r="H141" s="454"/>
      <c r="I141" s="454"/>
      <c r="J141" s="454"/>
      <c r="K141" s="454"/>
      <c r="L141" s="454"/>
      <c r="M141" s="454"/>
      <c r="N141" s="454"/>
      <c r="O141" s="454"/>
      <c r="P141" s="454"/>
      <c r="Q141" s="454"/>
      <c r="R141" s="454"/>
      <c r="S141" s="454"/>
      <c r="T141" s="454"/>
      <c r="U141" s="454"/>
      <c r="V141" s="385"/>
      <c r="W141" s="6"/>
    </row>
    <row r="142" spans="1:25" ht="15.6">
      <c r="A142" s="242"/>
      <c r="B142" s="452"/>
      <c r="C142" s="452"/>
      <c r="D142" s="452"/>
      <c r="E142" s="452"/>
      <c r="F142" s="452"/>
      <c r="G142" s="452"/>
      <c r="H142" s="452"/>
      <c r="I142" s="452"/>
      <c r="J142" s="452"/>
      <c r="K142" s="452"/>
      <c r="L142" s="452"/>
      <c r="M142" s="452"/>
      <c r="N142" s="452"/>
      <c r="O142" s="452"/>
      <c r="P142" s="452"/>
      <c r="Q142" s="452"/>
      <c r="R142" s="452"/>
      <c r="S142" s="452"/>
      <c r="T142" s="452"/>
      <c r="U142" s="452"/>
      <c r="V142" s="284"/>
      <c r="W142" s="6"/>
    </row>
    <row r="143" spans="1:25" ht="15.6">
      <c r="A143" s="230"/>
      <c r="B143" s="511" t="s">
        <v>59</v>
      </c>
      <c r="C143" s="518"/>
      <c r="D143" s="518"/>
      <c r="E143" s="518"/>
      <c r="F143" s="518"/>
      <c r="G143" s="518"/>
      <c r="H143" s="518"/>
      <c r="I143" s="518"/>
      <c r="J143" s="518"/>
      <c r="K143" s="518"/>
      <c r="L143" s="518"/>
      <c r="M143" s="518"/>
      <c r="N143" s="518"/>
      <c r="O143" s="518"/>
      <c r="P143" s="519"/>
      <c r="Q143" s="519"/>
      <c r="R143" s="519"/>
      <c r="S143" s="519">
        <v>41912</v>
      </c>
      <c r="T143" s="231"/>
      <c r="U143" s="231"/>
      <c r="V143" s="237"/>
      <c r="W143" s="6"/>
    </row>
    <row r="144" spans="1:25" ht="15.6">
      <c r="A144" s="281"/>
      <c r="B144" s="294" t="s">
        <v>60</v>
      </c>
      <c r="C144" s="329"/>
      <c r="D144" s="329"/>
      <c r="E144" s="329"/>
      <c r="F144" s="329"/>
      <c r="G144" s="329"/>
      <c r="H144" s="329"/>
      <c r="I144" s="329"/>
      <c r="J144" s="329"/>
      <c r="K144" s="329"/>
      <c r="L144" s="329"/>
      <c r="M144" s="329"/>
      <c r="N144" s="329"/>
      <c r="O144" s="329"/>
      <c r="P144" s="300"/>
      <c r="Q144" s="300"/>
      <c r="R144" s="300"/>
      <c r="S144" s="299">
        <v>0.10630000000000001</v>
      </c>
      <c r="T144" s="294"/>
      <c r="U144" s="294"/>
      <c r="V144" s="260"/>
      <c r="W144" s="6"/>
    </row>
    <row r="145" spans="1:23" ht="15.6">
      <c r="A145" s="458"/>
      <c r="B145" s="379" t="s">
        <v>61</v>
      </c>
      <c r="C145" s="459"/>
      <c r="D145" s="459"/>
      <c r="E145" s="459"/>
      <c r="F145" s="459"/>
      <c r="G145" s="459"/>
      <c r="H145" s="459"/>
      <c r="I145" s="459"/>
      <c r="J145" s="459"/>
      <c r="K145" s="459"/>
      <c r="L145" s="459"/>
      <c r="M145" s="459"/>
      <c r="N145" s="459"/>
      <c r="O145" s="459"/>
      <c r="P145" s="433"/>
      <c r="Q145" s="433"/>
      <c r="R145" s="433"/>
      <c r="S145" s="427">
        <v>5.2200000000000003E-2</v>
      </c>
      <c r="T145" s="427"/>
      <c r="U145" s="379"/>
      <c r="V145" s="385"/>
      <c r="W145" s="6"/>
    </row>
    <row r="146" spans="1:23" ht="15.6">
      <c r="A146" s="458"/>
      <c r="B146" s="379" t="s">
        <v>62</v>
      </c>
      <c r="C146" s="459"/>
      <c r="D146" s="459"/>
      <c r="E146" s="459"/>
      <c r="F146" s="459"/>
      <c r="G146" s="459"/>
      <c r="H146" s="459"/>
      <c r="I146" s="459"/>
      <c r="J146" s="459"/>
      <c r="K146" s="459"/>
      <c r="L146" s="459"/>
      <c r="M146" s="459"/>
      <c r="N146" s="459"/>
      <c r="O146" s="459"/>
      <c r="P146" s="433"/>
      <c r="Q146" s="433"/>
      <c r="R146" s="433"/>
      <c r="S146" s="427">
        <f>S144-S145</f>
        <v>5.4100000000000002E-2</v>
      </c>
      <c r="T146" s="379"/>
      <c r="U146" s="379"/>
      <c r="V146" s="385"/>
      <c r="W146" s="6"/>
    </row>
    <row r="147" spans="1:23" ht="15.6">
      <c r="A147" s="458"/>
      <c r="B147" s="379" t="s">
        <v>63</v>
      </c>
      <c r="C147" s="459"/>
      <c r="D147" s="459"/>
      <c r="E147" s="459"/>
      <c r="F147" s="459"/>
      <c r="G147" s="459"/>
      <c r="H147" s="459"/>
      <c r="I147" s="459"/>
      <c r="J147" s="459"/>
      <c r="K147" s="459"/>
      <c r="L147" s="459"/>
      <c r="M147" s="459"/>
      <c r="N147" s="459"/>
      <c r="O147" s="459"/>
      <c r="P147" s="433"/>
      <c r="Q147" s="433"/>
      <c r="R147" s="433"/>
      <c r="S147" s="427">
        <v>9.0980000000000005E-2</v>
      </c>
      <c r="T147" s="379"/>
      <c r="U147" s="379"/>
      <c r="V147" s="385"/>
      <c r="W147" s="6"/>
    </row>
    <row r="148" spans="1:23" ht="15.6">
      <c r="A148" s="458"/>
      <c r="B148" s="379" t="s">
        <v>64</v>
      </c>
      <c r="C148" s="459"/>
      <c r="D148" s="459"/>
      <c r="E148" s="459"/>
      <c r="F148" s="459"/>
      <c r="G148" s="459"/>
      <c r="H148" s="459"/>
      <c r="I148" s="459"/>
      <c r="J148" s="459"/>
      <c r="K148" s="459"/>
      <c r="L148" s="459"/>
      <c r="M148" s="459"/>
      <c r="N148" s="459"/>
      <c r="O148" s="459"/>
      <c r="P148" s="433"/>
      <c r="Q148" s="433"/>
      <c r="R148" s="433"/>
      <c r="S148" s="427">
        <f>+U40</f>
        <v>1.5011592086719813E-2</v>
      </c>
      <c r="T148" s="379"/>
      <c r="U148" s="379"/>
      <c r="V148" s="385"/>
      <c r="W148" s="6"/>
    </row>
    <row r="149" spans="1:23" ht="15.6">
      <c r="A149" s="458"/>
      <c r="B149" s="379" t="s">
        <v>65</v>
      </c>
      <c r="C149" s="459"/>
      <c r="D149" s="459"/>
      <c r="E149" s="459"/>
      <c r="F149" s="459"/>
      <c r="G149" s="459"/>
      <c r="H149" s="459"/>
      <c r="I149" s="459"/>
      <c r="J149" s="459"/>
      <c r="K149" s="459"/>
      <c r="L149" s="459"/>
      <c r="M149" s="459"/>
      <c r="N149" s="459"/>
      <c r="O149" s="459"/>
      <c r="P149" s="433"/>
      <c r="Q149" s="433"/>
      <c r="R149" s="433"/>
      <c r="S149" s="427">
        <f>S147-S148</f>
        <v>7.5968407913280189E-2</v>
      </c>
      <c r="T149" s="379"/>
      <c r="U149" s="379"/>
      <c r="V149" s="385"/>
      <c r="W149" s="6"/>
    </row>
    <row r="150" spans="1:23" ht="15.6">
      <c r="A150" s="458"/>
      <c r="B150" s="379" t="s">
        <v>204</v>
      </c>
      <c r="C150" s="459"/>
      <c r="D150" s="459"/>
      <c r="E150" s="459"/>
      <c r="F150" s="459"/>
      <c r="G150" s="459"/>
      <c r="H150" s="459"/>
      <c r="I150" s="459"/>
      <c r="J150" s="459"/>
      <c r="K150" s="459"/>
      <c r="L150" s="459"/>
      <c r="M150" s="459"/>
      <c r="N150" s="459"/>
      <c r="O150" s="459"/>
      <c r="P150" s="433"/>
      <c r="Q150" s="433"/>
      <c r="R150" s="433"/>
      <c r="S150" s="429">
        <v>49780</v>
      </c>
      <c r="T150" s="379"/>
      <c r="U150" s="379"/>
      <c r="V150" s="385"/>
      <c r="W150" s="6"/>
    </row>
    <row r="151" spans="1:23" ht="15.6">
      <c r="A151" s="458"/>
      <c r="B151" s="379" t="s">
        <v>205</v>
      </c>
      <c r="C151" s="459"/>
      <c r="D151" s="459"/>
      <c r="E151" s="459"/>
      <c r="F151" s="459"/>
      <c r="G151" s="459"/>
      <c r="H151" s="459"/>
      <c r="I151" s="459"/>
      <c r="J151" s="459"/>
      <c r="K151" s="459"/>
      <c r="L151" s="459"/>
      <c r="M151" s="459"/>
      <c r="N151" s="459"/>
      <c r="O151" s="459"/>
      <c r="P151" s="433"/>
      <c r="Q151" s="433"/>
      <c r="R151" s="433"/>
      <c r="S151" s="429">
        <v>49780</v>
      </c>
      <c r="T151" s="379"/>
      <c r="U151" s="379"/>
      <c r="V151" s="385"/>
      <c r="W151" s="6"/>
    </row>
    <row r="152" spans="1:23" ht="15.6">
      <c r="A152" s="458"/>
      <c r="B152" s="379" t="s">
        <v>206</v>
      </c>
      <c r="C152" s="459"/>
      <c r="D152" s="459"/>
      <c r="E152" s="459"/>
      <c r="F152" s="459"/>
      <c r="G152" s="459"/>
      <c r="H152" s="459"/>
      <c r="I152" s="459"/>
      <c r="J152" s="459"/>
      <c r="K152" s="459"/>
      <c r="L152" s="459"/>
      <c r="M152" s="459"/>
      <c r="N152" s="459"/>
      <c r="O152" s="459"/>
      <c r="P152" s="433"/>
      <c r="Q152" s="433"/>
      <c r="R152" s="433"/>
      <c r="S152" s="429">
        <v>49780</v>
      </c>
      <c r="T152" s="379"/>
      <c r="U152" s="379"/>
      <c r="V152" s="385"/>
      <c r="W152" s="6"/>
    </row>
    <row r="153" spans="1:23" ht="15.6">
      <c r="A153" s="458"/>
      <c r="B153" s="379" t="s">
        <v>207</v>
      </c>
      <c r="C153" s="459"/>
      <c r="D153" s="459"/>
      <c r="E153" s="459"/>
      <c r="F153" s="459"/>
      <c r="G153" s="459"/>
      <c r="H153" s="459"/>
      <c r="I153" s="459"/>
      <c r="J153" s="459"/>
      <c r="K153" s="459"/>
      <c r="L153" s="459"/>
      <c r="M153" s="459"/>
      <c r="N153" s="459"/>
      <c r="O153" s="459"/>
      <c r="P153" s="433"/>
      <c r="Q153" s="433"/>
      <c r="R153" s="433"/>
      <c r="S153" s="429">
        <v>49780</v>
      </c>
      <c r="T153" s="379"/>
      <c r="U153" s="379"/>
      <c r="V153" s="385"/>
      <c r="W153" s="6"/>
    </row>
    <row r="154" spans="1:23" ht="15.6">
      <c r="A154" s="458"/>
      <c r="B154" s="379" t="s">
        <v>221</v>
      </c>
      <c r="C154" s="459"/>
      <c r="D154" s="459"/>
      <c r="E154" s="459"/>
      <c r="F154" s="459"/>
      <c r="G154" s="459"/>
      <c r="H154" s="459"/>
      <c r="I154" s="459"/>
      <c r="J154" s="459"/>
      <c r="K154" s="459"/>
      <c r="L154" s="459"/>
      <c r="M154" s="459"/>
      <c r="N154" s="459"/>
      <c r="O154" s="459"/>
      <c r="P154" s="433"/>
      <c r="Q154" s="433"/>
      <c r="R154" s="433"/>
      <c r="S154" s="432">
        <v>111.34</v>
      </c>
      <c r="T154" s="379"/>
      <c r="U154" s="379"/>
      <c r="V154" s="385"/>
      <c r="W154" s="6"/>
    </row>
    <row r="155" spans="1:23" ht="15.6">
      <c r="A155" s="458"/>
      <c r="B155" s="379" t="s">
        <v>222</v>
      </c>
      <c r="C155" s="459"/>
      <c r="D155" s="459"/>
      <c r="E155" s="459"/>
      <c r="F155" s="459"/>
      <c r="G155" s="459"/>
      <c r="H155" s="459"/>
      <c r="I155" s="459"/>
      <c r="J155" s="459"/>
      <c r="K155" s="459"/>
      <c r="L155" s="459"/>
      <c r="M155" s="459"/>
      <c r="N155" s="459"/>
      <c r="O155" s="459"/>
      <c r="P155" s="433"/>
      <c r="Q155" s="433"/>
      <c r="R155" s="433"/>
      <c r="S155" s="432">
        <v>143.09</v>
      </c>
      <c r="T155" s="379"/>
      <c r="U155" s="379"/>
      <c r="V155" s="385"/>
      <c r="W155" s="6"/>
    </row>
    <row r="156" spans="1:23" ht="15.6">
      <c r="A156" s="458" t="s">
        <v>223</v>
      </c>
      <c r="B156" s="379" t="s">
        <v>66</v>
      </c>
      <c r="C156" s="459"/>
      <c r="D156" s="459"/>
      <c r="E156" s="459"/>
      <c r="F156" s="459"/>
      <c r="G156" s="459"/>
      <c r="H156" s="459"/>
      <c r="I156" s="459"/>
      <c r="J156" s="459"/>
      <c r="K156" s="459"/>
      <c r="L156" s="459"/>
      <c r="M156" s="459"/>
      <c r="N156" s="459"/>
      <c r="O156" s="459"/>
      <c r="P156" s="433"/>
      <c r="Q156" s="433"/>
      <c r="R156" s="433"/>
      <c r="S156" s="427">
        <v>4.48E-2</v>
      </c>
      <c r="T156" s="379"/>
      <c r="U156" s="379"/>
      <c r="V156" s="385"/>
      <c r="W156" s="6"/>
    </row>
    <row r="157" spans="1:23" ht="15.6">
      <c r="A157" s="458"/>
      <c r="B157" s="379" t="s">
        <v>67</v>
      </c>
      <c r="C157" s="459"/>
      <c r="D157" s="459"/>
      <c r="E157" s="459"/>
      <c r="F157" s="459"/>
      <c r="G157" s="459"/>
      <c r="H157" s="459"/>
      <c r="I157" s="459"/>
      <c r="J157" s="459"/>
      <c r="K157" s="459"/>
      <c r="L157" s="459"/>
      <c r="M157" s="459"/>
      <c r="N157" s="459"/>
      <c r="O157" s="459"/>
      <c r="P157" s="433"/>
      <c r="Q157" s="433"/>
      <c r="R157" s="433"/>
      <c r="S157" s="427">
        <v>0.2671</v>
      </c>
      <c r="T157" s="379"/>
      <c r="U157" s="379"/>
      <c r="V157" s="385"/>
      <c r="W157" s="6"/>
    </row>
    <row r="158" spans="1:23" ht="15.6">
      <c r="A158" s="280"/>
      <c r="B158" s="364"/>
      <c r="C158" s="364"/>
      <c r="D158" s="364"/>
      <c r="E158" s="364"/>
      <c r="F158" s="364"/>
      <c r="G158" s="364"/>
      <c r="H158" s="364"/>
      <c r="I158" s="364"/>
      <c r="J158" s="364"/>
      <c r="K158" s="364"/>
      <c r="L158" s="364"/>
      <c r="M158" s="364"/>
      <c r="N158" s="364"/>
      <c r="O158" s="364"/>
      <c r="P158" s="364"/>
      <c r="Q158" s="364"/>
      <c r="R158" s="455"/>
      <c r="S158" s="456"/>
      <c r="T158" s="364"/>
      <c r="U158" s="457"/>
      <c r="V158" s="245"/>
      <c r="W158" s="6"/>
    </row>
    <row r="159" spans="1:23" ht="15.6">
      <c r="A159" s="280"/>
      <c r="B159" s="288"/>
      <c r="C159" s="288"/>
      <c r="D159" s="288"/>
      <c r="E159" s="288"/>
      <c r="F159" s="288"/>
      <c r="G159" s="288"/>
      <c r="H159" s="288"/>
      <c r="I159" s="288"/>
      <c r="J159" s="288"/>
      <c r="K159" s="288"/>
      <c r="L159" s="288"/>
      <c r="M159" s="288"/>
      <c r="N159" s="288"/>
      <c r="O159" s="288"/>
      <c r="P159" s="288"/>
      <c r="Q159" s="288"/>
      <c r="R159" s="331"/>
      <c r="S159" s="332"/>
      <c r="T159" s="288"/>
      <c r="U159" s="333"/>
      <c r="V159" s="245"/>
      <c r="W159" s="6"/>
    </row>
    <row r="160" spans="1:23" ht="16.2" thickBot="1">
      <c r="A160" s="282"/>
      <c r="B160" s="304" t="str">
        <f>+B109</f>
        <v>PPAF3 INVESTOR REPORT QUARTER ENDING SEPTEMBER 2014</v>
      </c>
      <c r="C160" s="305"/>
      <c r="D160" s="305"/>
      <c r="E160" s="305"/>
      <c r="F160" s="305"/>
      <c r="G160" s="305"/>
      <c r="H160" s="305"/>
      <c r="I160" s="305"/>
      <c r="J160" s="305"/>
      <c r="K160" s="305"/>
      <c r="L160" s="305"/>
      <c r="M160" s="305"/>
      <c r="N160" s="305"/>
      <c r="O160" s="305"/>
      <c r="P160" s="305"/>
      <c r="Q160" s="305"/>
      <c r="R160" s="334"/>
      <c r="S160" s="335"/>
      <c r="T160" s="305"/>
      <c r="U160" s="336"/>
      <c r="V160" s="262"/>
      <c r="W160" s="6"/>
    </row>
    <row r="161" spans="1:23" ht="15.6">
      <c r="A161" s="337"/>
      <c r="B161" s="520" t="s">
        <v>68</v>
      </c>
      <c r="C161" s="521"/>
      <c r="D161" s="521"/>
      <c r="E161" s="521"/>
      <c r="F161" s="521"/>
      <c r="G161" s="521"/>
      <c r="H161" s="521"/>
      <c r="I161" s="521"/>
      <c r="J161" s="521"/>
      <c r="K161" s="521"/>
      <c r="L161" s="521"/>
      <c r="M161" s="522"/>
      <c r="N161" s="521"/>
      <c r="O161" s="522"/>
      <c r="P161" s="521"/>
      <c r="Q161" s="522"/>
      <c r="R161" s="521" t="s">
        <v>94</v>
      </c>
      <c r="S161" s="522" t="s">
        <v>116</v>
      </c>
      <c r="T161" s="340"/>
      <c r="U161" s="340"/>
      <c r="V161" s="341"/>
      <c r="W161" s="6"/>
    </row>
    <row r="162" spans="1:23" ht="15.6">
      <c r="A162" s="283"/>
      <c r="B162" s="294" t="s">
        <v>216</v>
      </c>
      <c r="C162" s="310"/>
      <c r="D162" s="310"/>
      <c r="E162" s="310"/>
      <c r="F162" s="310"/>
      <c r="G162" s="310"/>
      <c r="H162" s="310"/>
      <c r="I162" s="310"/>
      <c r="J162" s="310"/>
      <c r="K162" s="310"/>
      <c r="L162" s="310"/>
      <c r="M162" s="310"/>
      <c r="N162" s="310"/>
      <c r="O162" s="294"/>
      <c r="P162" s="294"/>
      <c r="Q162" s="294"/>
      <c r="R162" s="310">
        <v>581</v>
      </c>
      <c r="S162" s="311">
        <v>13834</v>
      </c>
      <c r="T162" s="311"/>
      <c r="U162" s="330"/>
      <c r="V162" s="342"/>
      <c r="W162" s="6"/>
    </row>
    <row r="163" spans="1:23" ht="15.6">
      <c r="A163" s="465"/>
      <c r="B163" s="379" t="s">
        <v>217</v>
      </c>
      <c r="C163" s="440"/>
      <c r="D163" s="440"/>
      <c r="E163" s="440"/>
      <c r="F163" s="440"/>
      <c r="G163" s="440"/>
      <c r="H163" s="440"/>
      <c r="I163" s="440"/>
      <c r="J163" s="440"/>
      <c r="K163" s="440"/>
      <c r="L163" s="440"/>
      <c r="M163" s="440"/>
      <c r="N163" s="440"/>
      <c r="O163" s="379"/>
      <c r="P163" s="379"/>
      <c r="Q163" s="379"/>
      <c r="R163" s="545">
        <v>5</v>
      </c>
      <c r="S163" s="546">
        <v>23</v>
      </c>
      <c r="T163" s="441"/>
      <c r="U163" s="466"/>
      <c r="V163" s="467"/>
      <c r="W163" s="6"/>
    </row>
    <row r="164" spans="1:23" ht="15.6">
      <c r="A164" s="465"/>
      <c r="B164" s="379" t="s">
        <v>218</v>
      </c>
      <c r="C164" s="440"/>
      <c r="D164" s="440"/>
      <c r="E164" s="440"/>
      <c r="F164" s="440"/>
      <c r="G164" s="440"/>
      <c r="H164" s="440"/>
      <c r="I164" s="440"/>
      <c r="J164" s="440"/>
      <c r="K164" s="440"/>
      <c r="L164" s="440"/>
      <c r="M164" s="440"/>
      <c r="N164" s="440"/>
      <c r="O164" s="379"/>
      <c r="P164" s="379"/>
      <c r="Q164" s="379"/>
      <c r="R164" s="545">
        <v>100</v>
      </c>
      <c r="S164" s="546">
        <v>84</v>
      </c>
      <c r="T164" s="441"/>
      <c r="U164" s="466"/>
      <c r="V164" s="467"/>
      <c r="W164" s="6"/>
    </row>
    <row r="165" spans="1:23" ht="15.6">
      <c r="A165" s="465"/>
      <c r="B165" s="379" t="s">
        <v>219</v>
      </c>
      <c r="C165" s="440"/>
      <c r="D165" s="440"/>
      <c r="E165" s="440"/>
      <c r="F165" s="440"/>
      <c r="G165" s="440"/>
      <c r="H165" s="440"/>
      <c r="I165" s="440"/>
      <c r="J165" s="440"/>
      <c r="K165" s="440"/>
      <c r="L165" s="440"/>
      <c r="M165" s="440"/>
      <c r="N165" s="440"/>
      <c r="O165" s="379"/>
      <c r="P165" s="379"/>
      <c r="Q165" s="379"/>
      <c r="R165" s="545">
        <v>87</v>
      </c>
      <c r="S165" s="546">
        <v>189</v>
      </c>
      <c r="T165" s="441"/>
      <c r="U165" s="466"/>
      <c r="V165" s="467"/>
      <c r="W165" s="6"/>
    </row>
    <row r="166" spans="1:23" ht="15.6">
      <c r="A166" s="465"/>
      <c r="B166" s="379" t="s">
        <v>90</v>
      </c>
      <c r="C166" s="440"/>
      <c r="D166" s="440"/>
      <c r="E166" s="440"/>
      <c r="F166" s="440"/>
      <c r="G166" s="440"/>
      <c r="H166" s="440"/>
      <c r="I166" s="440"/>
      <c r="J166" s="440"/>
      <c r="K166" s="440"/>
      <c r="L166" s="440"/>
      <c r="M166" s="440"/>
      <c r="N166" s="440"/>
      <c r="O166" s="379"/>
      <c r="P166" s="379"/>
      <c r="Q166" s="379"/>
      <c r="R166" s="547">
        <f>SUM(R162:R165)</f>
        <v>773</v>
      </c>
      <c r="S166" s="546">
        <f>SUM(S162:S165)</f>
        <v>14130</v>
      </c>
      <c r="T166" s="441"/>
      <c r="U166" s="466"/>
      <c r="V166" s="467"/>
      <c r="W166" s="6"/>
    </row>
    <row r="167" spans="1:23" ht="15.6">
      <c r="A167" s="465"/>
      <c r="B167" s="379"/>
      <c r="C167" s="440"/>
      <c r="D167" s="440"/>
      <c r="E167" s="440"/>
      <c r="F167" s="440"/>
      <c r="G167" s="440"/>
      <c r="H167" s="440"/>
      <c r="I167" s="440"/>
      <c r="J167" s="440"/>
      <c r="K167" s="440"/>
      <c r="L167" s="440"/>
      <c r="M167" s="440"/>
      <c r="N167" s="440"/>
      <c r="O167" s="379"/>
      <c r="P167" s="379"/>
      <c r="Q167" s="379"/>
      <c r="R167" s="545"/>
      <c r="S167" s="546"/>
      <c r="T167" s="441"/>
      <c r="U167" s="466"/>
      <c r="V167" s="467"/>
      <c r="W167" s="6"/>
    </row>
    <row r="168" spans="1:23" ht="15.6">
      <c r="A168" s="465"/>
      <c r="B168" s="379" t="s">
        <v>220</v>
      </c>
      <c r="C168" s="440"/>
      <c r="D168" s="440"/>
      <c r="E168" s="440"/>
      <c r="F168" s="440"/>
      <c r="G168" s="440"/>
      <c r="H168" s="440"/>
      <c r="I168" s="440"/>
      <c r="J168" s="440"/>
      <c r="K168" s="440"/>
      <c r="L168" s="440"/>
      <c r="M168" s="440"/>
      <c r="N168" s="440"/>
      <c r="O168" s="379"/>
      <c r="P168" s="379"/>
      <c r="Q168" s="379"/>
      <c r="R168" s="545">
        <v>0</v>
      </c>
      <c r="S168" s="546">
        <v>0</v>
      </c>
      <c r="T168" s="441"/>
      <c r="U168" s="466"/>
      <c r="V168" s="467"/>
      <c r="W168" s="6"/>
    </row>
    <row r="169" spans="1:23" ht="15.6">
      <c r="A169" s="465"/>
      <c r="B169" s="379" t="s">
        <v>224</v>
      </c>
      <c r="C169" s="440"/>
      <c r="D169" s="440"/>
      <c r="E169" s="440"/>
      <c r="F169" s="440"/>
      <c r="G169" s="440"/>
      <c r="H169" s="440"/>
      <c r="I169" s="440"/>
      <c r="J169" s="440"/>
      <c r="K169" s="440"/>
      <c r="L169" s="440"/>
      <c r="M169" s="440"/>
      <c r="N169" s="440"/>
      <c r="O169" s="379"/>
      <c r="P169" s="379"/>
      <c r="Q169" s="379"/>
      <c r="R169" s="545">
        <v>9</v>
      </c>
      <c r="S169" s="546">
        <v>298</v>
      </c>
      <c r="T169" s="441"/>
      <c r="U169" s="466"/>
      <c r="V169" s="467"/>
      <c r="W169" s="6"/>
    </row>
    <row r="170" spans="1:23" ht="15.6">
      <c r="A170" s="465"/>
      <c r="B170" s="468" t="s">
        <v>69</v>
      </c>
      <c r="C170" s="469"/>
      <c r="D170" s="469"/>
      <c r="E170" s="469"/>
      <c r="F170" s="469"/>
      <c r="G170" s="469"/>
      <c r="H170" s="469"/>
      <c r="I170" s="469"/>
      <c r="J170" s="469"/>
      <c r="K170" s="469"/>
      <c r="L170" s="469"/>
      <c r="M170" s="469"/>
      <c r="N170" s="469"/>
      <c r="O170" s="454"/>
      <c r="P170" s="454"/>
      <c r="Q170" s="454"/>
      <c r="R170" s="539"/>
      <c r="S170" s="540">
        <v>0</v>
      </c>
      <c r="T170" s="454"/>
      <c r="U170" s="470"/>
      <c r="V170" s="471"/>
      <c r="W170" s="6"/>
    </row>
    <row r="171" spans="1:23" ht="15.6">
      <c r="A171" s="465"/>
      <c r="B171" s="468" t="s">
        <v>70</v>
      </c>
      <c r="C171" s="469"/>
      <c r="D171" s="469"/>
      <c r="E171" s="469"/>
      <c r="F171" s="469"/>
      <c r="G171" s="469"/>
      <c r="H171" s="469"/>
      <c r="I171" s="469"/>
      <c r="J171" s="469"/>
      <c r="K171" s="469"/>
      <c r="L171" s="469"/>
      <c r="M171" s="469"/>
      <c r="N171" s="469"/>
      <c r="O171" s="454"/>
      <c r="P171" s="454"/>
      <c r="Q171" s="454"/>
      <c r="R171" s="539"/>
      <c r="S171" s="540">
        <f>Q75</f>
        <v>0</v>
      </c>
      <c r="T171" s="454"/>
      <c r="U171" s="470"/>
      <c r="V171" s="471"/>
      <c r="W171" s="6"/>
    </row>
    <row r="172" spans="1:23" ht="15.6">
      <c r="A172" s="472"/>
      <c r="B172" s="468" t="s">
        <v>71</v>
      </c>
      <c r="C172" s="469"/>
      <c r="D172" s="469"/>
      <c r="E172" s="469"/>
      <c r="F172" s="469"/>
      <c r="G172" s="469"/>
      <c r="H172" s="469"/>
      <c r="I172" s="469"/>
      <c r="J172" s="469"/>
      <c r="K172" s="469"/>
      <c r="L172" s="469"/>
      <c r="M172" s="473"/>
      <c r="N172" s="473"/>
      <c r="O172" s="473"/>
      <c r="P172" s="454"/>
      <c r="Q172" s="454"/>
      <c r="R172" s="379"/>
      <c r="S172" s="500"/>
      <c r="T172" s="454"/>
      <c r="U172" s="470"/>
      <c r="V172" s="474"/>
      <c r="W172" s="6"/>
    </row>
    <row r="173" spans="1:23" ht="15.6">
      <c r="A173" s="465"/>
      <c r="B173" s="379" t="s">
        <v>72</v>
      </c>
      <c r="C173" s="469"/>
      <c r="D173" s="469"/>
      <c r="E173" s="469"/>
      <c r="F173" s="469"/>
      <c r="G173" s="469"/>
      <c r="H173" s="469"/>
      <c r="I173" s="469"/>
      <c r="J173" s="469"/>
      <c r="K173" s="469"/>
      <c r="L173" s="469"/>
      <c r="M173" s="469"/>
      <c r="N173" s="469"/>
      <c r="O173" s="469"/>
      <c r="P173" s="454"/>
      <c r="Q173" s="454"/>
      <c r="R173" s="379"/>
      <c r="S173" s="546">
        <f>U128</f>
        <v>282</v>
      </c>
      <c r="T173" s="454"/>
      <c r="U173" s="470"/>
      <c r="V173" s="474"/>
      <c r="W173" s="6"/>
    </row>
    <row r="174" spans="1:23" ht="15.6">
      <c r="A174" s="465"/>
      <c r="B174" s="379" t="s">
        <v>73</v>
      </c>
      <c r="C174" s="469"/>
      <c r="D174" s="469"/>
      <c r="E174" s="469"/>
      <c r="F174" s="469"/>
      <c r="G174" s="469"/>
      <c r="H174" s="469"/>
      <c r="I174" s="469"/>
      <c r="J174" s="469"/>
      <c r="K174" s="469"/>
      <c r="L174" s="469"/>
      <c r="M174" s="469"/>
      <c r="N174" s="469"/>
      <c r="O174" s="469"/>
      <c r="P174" s="454"/>
      <c r="Q174" s="454"/>
      <c r="R174" s="379"/>
      <c r="S174" s="546">
        <f>'June 14'!S174+S173</f>
        <v>88674</v>
      </c>
      <c r="T174" s="454"/>
      <c r="U174" s="470"/>
      <c r="V174" s="474"/>
      <c r="W174" s="6"/>
    </row>
    <row r="175" spans="1:23" ht="15.6">
      <c r="A175" s="465"/>
      <c r="B175" s="379" t="s">
        <v>74</v>
      </c>
      <c r="C175" s="469"/>
      <c r="D175" s="469"/>
      <c r="E175" s="469"/>
      <c r="F175" s="469"/>
      <c r="G175" s="469"/>
      <c r="H175" s="469"/>
      <c r="I175" s="469"/>
      <c r="J175" s="469"/>
      <c r="K175" s="469"/>
      <c r="L175" s="469"/>
      <c r="M175" s="469"/>
      <c r="N175" s="469"/>
      <c r="O175" s="469"/>
      <c r="P175" s="454"/>
      <c r="Q175" s="454"/>
      <c r="R175" s="379"/>
      <c r="S175" s="546">
        <f>'June 14'!S175+845</f>
        <v>24617</v>
      </c>
      <c r="T175" s="454"/>
      <c r="U175" s="470"/>
      <c r="V175" s="474"/>
      <c r="W175" s="6"/>
    </row>
    <row r="176" spans="1:23" ht="15.6">
      <c r="A176" s="465"/>
      <c r="B176" s="473"/>
      <c r="C176" s="469"/>
      <c r="D176" s="469"/>
      <c r="E176" s="469"/>
      <c r="F176" s="469"/>
      <c r="G176" s="469"/>
      <c r="H176" s="469"/>
      <c r="I176" s="469"/>
      <c r="J176" s="469"/>
      <c r="K176" s="469"/>
      <c r="L176" s="469"/>
      <c r="M176" s="469"/>
      <c r="N176" s="469"/>
      <c r="O176" s="469"/>
      <c r="P176" s="454"/>
      <c r="Q176" s="454"/>
      <c r="R176" s="379"/>
      <c r="S176" s="546"/>
      <c r="T176" s="454"/>
      <c r="U176" s="470"/>
      <c r="V176" s="474"/>
      <c r="W176" s="6"/>
    </row>
    <row r="177" spans="1:23" ht="15.6">
      <c r="A177" s="472"/>
      <c r="B177" s="468" t="s">
        <v>259</v>
      </c>
      <c r="C177" s="469"/>
      <c r="D177" s="469"/>
      <c r="E177" s="469"/>
      <c r="F177" s="469"/>
      <c r="G177" s="469"/>
      <c r="H177" s="469"/>
      <c r="I177" s="469"/>
      <c r="J177" s="469"/>
      <c r="K177" s="469"/>
      <c r="L177" s="469"/>
      <c r="M177" s="473"/>
      <c r="N177" s="473"/>
      <c r="O177" s="473"/>
      <c r="P177" s="454"/>
      <c r="Q177" s="454"/>
      <c r="R177" s="379"/>
      <c r="S177" s="548"/>
      <c r="T177" s="454"/>
      <c r="U177" s="470"/>
      <c r="V177" s="474"/>
      <c r="W177" s="6"/>
    </row>
    <row r="178" spans="1:23" ht="15.6">
      <c r="A178" s="472"/>
      <c r="B178" s="379" t="s">
        <v>254</v>
      </c>
      <c r="C178" s="469"/>
      <c r="D178" s="469"/>
      <c r="E178" s="469"/>
      <c r="F178" s="469"/>
      <c r="G178" s="469"/>
      <c r="H178" s="469"/>
      <c r="I178" s="469"/>
      <c r="J178" s="469"/>
      <c r="K178" s="469"/>
      <c r="L178" s="469"/>
      <c r="M178" s="473"/>
      <c r="N178" s="473"/>
      <c r="O178" s="473"/>
      <c r="P178" s="454"/>
      <c r="Q178" s="454"/>
      <c r="R178" s="379"/>
      <c r="S178" s="548">
        <v>2</v>
      </c>
      <c r="T178" s="454"/>
      <c r="U178" s="470"/>
      <c r="V178" s="474"/>
      <c r="W178" s="6"/>
    </row>
    <row r="179" spans="1:23" ht="15.6">
      <c r="A179" s="465"/>
      <c r="B179" s="379" t="s">
        <v>75</v>
      </c>
      <c r="C179" s="469"/>
      <c r="D179" s="469"/>
      <c r="E179" s="469"/>
      <c r="F179" s="469"/>
      <c r="G179" s="469"/>
      <c r="H179" s="469"/>
      <c r="I179" s="469"/>
      <c r="J179" s="469"/>
      <c r="K179" s="469"/>
      <c r="L179" s="469"/>
      <c r="M179" s="475"/>
      <c r="N179" s="475"/>
      <c r="O179" s="476"/>
      <c r="P179" s="454"/>
      <c r="Q179" s="454"/>
      <c r="R179" s="379"/>
      <c r="S179" s="549">
        <v>22.27</v>
      </c>
      <c r="T179" s="454"/>
      <c r="U179" s="470"/>
      <c r="V179" s="474"/>
      <c r="W179" s="6"/>
    </row>
    <row r="180" spans="1:23" ht="15.6">
      <c r="A180" s="465"/>
      <c r="B180" s="379" t="s">
        <v>76</v>
      </c>
      <c r="C180" s="469"/>
      <c r="D180" s="469"/>
      <c r="E180" s="469"/>
      <c r="F180" s="469"/>
      <c r="G180" s="469"/>
      <c r="H180" s="469"/>
      <c r="I180" s="469"/>
      <c r="J180" s="469"/>
      <c r="K180" s="469"/>
      <c r="L180" s="469"/>
      <c r="M180" s="475"/>
      <c r="N180" s="475"/>
      <c r="O180" s="476"/>
      <c r="P180" s="454"/>
      <c r="Q180" s="454"/>
      <c r="R180" s="379"/>
      <c r="S180" s="548">
        <v>159</v>
      </c>
      <c r="T180" s="454"/>
      <c r="U180" s="470"/>
      <c r="V180" s="474"/>
      <c r="W180" s="6"/>
    </row>
    <row r="181" spans="1:23" ht="15.6">
      <c r="A181" s="465"/>
      <c r="B181" s="473"/>
      <c r="C181" s="469"/>
      <c r="D181" s="469"/>
      <c r="E181" s="469"/>
      <c r="F181" s="469"/>
      <c r="G181" s="469"/>
      <c r="H181" s="469"/>
      <c r="I181" s="469"/>
      <c r="J181" s="469"/>
      <c r="K181" s="469"/>
      <c r="L181" s="469"/>
      <c r="M181" s="477"/>
      <c r="N181" s="475"/>
      <c r="O181" s="476"/>
      <c r="P181" s="454"/>
      <c r="Q181" s="454"/>
      <c r="R181" s="379"/>
      <c r="S181" s="537"/>
      <c r="T181" s="454"/>
      <c r="U181" s="470"/>
      <c r="V181" s="474"/>
      <c r="W181" s="6"/>
    </row>
    <row r="182" spans="1:23" ht="15.6">
      <c r="A182" s="465"/>
      <c r="B182" s="468" t="s">
        <v>77</v>
      </c>
      <c r="C182" s="469"/>
      <c r="D182" s="469"/>
      <c r="E182" s="469"/>
      <c r="F182" s="469"/>
      <c r="G182" s="469"/>
      <c r="H182" s="469"/>
      <c r="I182" s="469"/>
      <c r="J182" s="469"/>
      <c r="K182" s="469"/>
      <c r="L182" s="469"/>
      <c r="M182" s="469"/>
      <c r="N182" s="477"/>
      <c r="O182" s="475"/>
      <c r="P182" s="476"/>
      <c r="Q182" s="454"/>
      <c r="R182" s="380"/>
      <c r="S182" s="538"/>
      <c r="T182" s="478"/>
      <c r="U182" s="390"/>
      <c r="V182" s="479"/>
      <c r="W182" s="6"/>
    </row>
    <row r="183" spans="1:23" ht="15.6">
      <c r="A183" s="465"/>
      <c r="B183" s="379" t="s">
        <v>78</v>
      </c>
      <c r="C183" s="469"/>
      <c r="D183" s="469"/>
      <c r="E183" s="469"/>
      <c r="F183" s="469"/>
      <c r="G183" s="469"/>
      <c r="H183" s="469"/>
      <c r="I183" s="469"/>
      <c r="J183" s="469"/>
      <c r="K183" s="469"/>
      <c r="L183" s="469"/>
      <c r="M183" s="469"/>
      <c r="N183" s="477"/>
      <c r="O183" s="475"/>
      <c r="P183" s="476"/>
      <c r="Q183" s="454"/>
      <c r="R183" s="380"/>
      <c r="S183" s="550">
        <v>0</v>
      </c>
      <c r="T183" s="480"/>
      <c r="U183" s="390"/>
      <c r="V183" s="479"/>
      <c r="W183" s="6"/>
    </row>
    <row r="184" spans="1:23" ht="15.6">
      <c r="A184" s="465"/>
      <c r="B184" s="379" t="s">
        <v>75</v>
      </c>
      <c r="C184" s="469"/>
      <c r="D184" s="469"/>
      <c r="E184" s="469"/>
      <c r="F184" s="469"/>
      <c r="G184" s="469"/>
      <c r="H184" s="469"/>
      <c r="I184" s="469"/>
      <c r="J184" s="469"/>
      <c r="K184" s="469"/>
      <c r="L184" s="469"/>
      <c r="M184" s="469"/>
      <c r="N184" s="477"/>
      <c r="O184" s="475"/>
      <c r="P184" s="476"/>
      <c r="Q184" s="454"/>
      <c r="R184" s="380"/>
      <c r="S184" s="550">
        <v>0</v>
      </c>
      <c r="T184" s="480"/>
      <c r="U184" s="390"/>
      <c r="V184" s="479"/>
      <c r="W184" s="6"/>
    </row>
    <row r="185" spans="1:23" ht="15.6">
      <c r="A185" s="465"/>
      <c r="B185" s="379" t="s">
        <v>79</v>
      </c>
      <c r="C185" s="469"/>
      <c r="D185" s="469"/>
      <c r="E185" s="469"/>
      <c r="F185" s="469"/>
      <c r="G185" s="469"/>
      <c r="H185" s="469"/>
      <c r="I185" s="469"/>
      <c r="J185" s="469"/>
      <c r="K185" s="469"/>
      <c r="L185" s="469"/>
      <c r="M185" s="469"/>
      <c r="N185" s="477"/>
      <c r="O185" s="475"/>
      <c r="P185" s="476"/>
      <c r="Q185" s="454"/>
      <c r="R185" s="380"/>
      <c r="S185" s="550">
        <v>0</v>
      </c>
      <c r="T185" s="480"/>
      <c r="U185" s="390"/>
      <c r="V185" s="479"/>
      <c r="W185" s="6"/>
    </row>
    <row r="186" spans="1:23" ht="15.6">
      <c r="A186" s="465"/>
      <c r="B186" s="473"/>
      <c r="C186" s="469"/>
      <c r="D186" s="469"/>
      <c r="E186" s="469"/>
      <c r="F186" s="469"/>
      <c r="G186" s="469"/>
      <c r="H186" s="469"/>
      <c r="I186" s="469"/>
      <c r="J186" s="469"/>
      <c r="K186" s="469"/>
      <c r="L186" s="469"/>
      <c r="M186" s="477"/>
      <c r="N186" s="475"/>
      <c r="O186" s="476"/>
      <c r="P186" s="454"/>
      <c r="Q186" s="454"/>
      <c r="R186" s="454"/>
      <c r="S186" s="537"/>
      <c r="T186" s="454"/>
      <c r="U186" s="470"/>
      <c r="V186" s="474"/>
      <c r="W186" s="6"/>
    </row>
    <row r="187" spans="1:23" ht="17.399999999999999">
      <c r="A187" s="465"/>
      <c r="B187" s="482" t="s">
        <v>196</v>
      </c>
      <c r="C187" s="469"/>
      <c r="D187" s="469"/>
      <c r="E187" s="469"/>
      <c r="F187" s="469"/>
      <c r="G187" s="469"/>
      <c r="H187" s="469"/>
      <c r="I187" s="469"/>
      <c r="J187" s="469"/>
      <c r="K187" s="483" t="s">
        <v>195</v>
      </c>
      <c r="L187" s="469"/>
      <c r="M187" s="477"/>
      <c r="N187" s="475"/>
      <c r="O187" s="476"/>
      <c r="P187" s="454"/>
      <c r="Q187" s="454"/>
      <c r="R187" s="454"/>
      <c r="S187" s="481"/>
      <c r="T187" s="454"/>
      <c r="U187" s="470"/>
      <c r="V187" s="474"/>
      <c r="W187" s="6"/>
    </row>
    <row r="188" spans="1:23" ht="15.6">
      <c r="A188" s="242"/>
      <c r="B188" s="460"/>
      <c r="C188" s="461"/>
      <c r="D188" s="461"/>
      <c r="E188" s="461"/>
      <c r="F188" s="461"/>
      <c r="G188" s="461"/>
      <c r="H188" s="461"/>
      <c r="I188" s="461"/>
      <c r="J188" s="461"/>
      <c r="K188" s="461"/>
      <c r="L188" s="461"/>
      <c r="M188" s="462"/>
      <c r="N188" s="461"/>
      <c r="O188" s="462"/>
      <c r="P188" s="461"/>
      <c r="Q188" s="462"/>
      <c r="R188" s="461"/>
      <c r="S188" s="462"/>
      <c r="T188" s="461"/>
      <c r="U188" s="463"/>
      <c r="V188" s="464"/>
      <c r="W188" s="6"/>
    </row>
    <row r="189" spans="1:23" ht="15.6">
      <c r="A189" s="348"/>
      <c r="B189" s="525" t="s">
        <v>80</v>
      </c>
      <c r="C189" s="343"/>
      <c r="D189" s="343"/>
      <c r="E189" s="343"/>
      <c r="F189" s="343"/>
      <c r="G189" s="343"/>
      <c r="H189" s="343"/>
      <c r="I189" s="343"/>
      <c r="J189" s="343"/>
      <c r="K189" s="343"/>
      <c r="L189" s="343"/>
      <c r="M189" s="525" t="s">
        <v>100</v>
      </c>
      <c r="N189" s="526"/>
      <c r="O189" s="527"/>
      <c r="P189" s="526"/>
      <c r="Q189" s="525"/>
      <c r="R189" s="525" t="s">
        <v>26</v>
      </c>
      <c r="S189" s="527"/>
      <c r="T189" s="526"/>
      <c r="U189" s="346"/>
      <c r="V189" s="528"/>
      <c r="W189" s="6"/>
    </row>
    <row r="190" spans="1:23" ht="15.6">
      <c r="A190" s="365"/>
      <c r="B190" s="366"/>
      <c r="C190" s="529"/>
      <c r="D190" s="529"/>
      <c r="E190" s="529"/>
      <c r="F190" s="529"/>
      <c r="G190" s="529"/>
      <c r="H190" s="529"/>
      <c r="I190" s="529"/>
      <c r="J190" s="529"/>
      <c r="K190" s="529"/>
      <c r="L190" s="529" t="s">
        <v>94</v>
      </c>
      <c r="M190" s="530" t="s">
        <v>101</v>
      </c>
      <c r="N190" s="529" t="s">
        <v>103</v>
      </c>
      <c r="O190" s="530" t="s">
        <v>101</v>
      </c>
      <c r="P190" s="530"/>
      <c r="Q190" s="529" t="s">
        <v>94</v>
      </c>
      <c r="R190" s="530" t="s">
        <v>101</v>
      </c>
      <c r="S190" s="529" t="s">
        <v>103</v>
      </c>
      <c r="T190" s="530" t="s">
        <v>101</v>
      </c>
      <c r="U190" s="369"/>
      <c r="V190" s="531"/>
      <c r="W190" s="6"/>
    </row>
    <row r="191" spans="1:23" ht="15.6">
      <c r="A191" s="316"/>
      <c r="B191" s="360" t="s">
        <v>81</v>
      </c>
      <c r="C191" s="361"/>
      <c r="D191" s="361"/>
      <c r="E191" s="361"/>
      <c r="F191" s="361"/>
      <c r="G191" s="361"/>
      <c r="H191" s="361"/>
      <c r="I191" s="361"/>
      <c r="J191" s="361"/>
      <c r="K191" s="361"/>
      <c r="L191" s="361">
        <v>300</v>
      </c>
      <c r="M191" s="362">
        <f t="shared" ref="M191:M197" si="0">+L191/$L$198</f>
        <v>0.68337129840546695</v>
      </c>
      <c r="N191" s="361">
        <v>1075</v>
      </c>
      <c r="O191" s="362">
        <f t="shared" ref="O191:O197" si="1">N191/$N$198</f>
        <v>0.80887885628291945</v>
      </c>
      <c r="P191" s="363"/>
      <c r="Q191" s="361">
        <v>58</v>
      </c>
      <c r="R191" s="362">
        <f t="shared" ref="R191:R197" si="2">+Q191/$Q$198</f>
        <v>0.25327510917030566</v>
      </c>
      <c r="S191" s="552">
        <v>89</v>
      </c>
      <c r="T191" s="362">
        <f>+S191/$S$198</f>
        <v>0.40454545454545454</v>
      </c>
      <c r="U191" s="364"/>
      <c r="V191" s="312"/>
      <c r="W191" s="6"/>
    </row>
    <row r="192" spans="1:23" ht="15.6">
      <c r="A192" s="444"/>
      <c r="B192" s="440" t="s">
        <v>82</v>
      </c>
      <c r="C192" s="489"/>
      <c r="D192" s="489"/>
      <c r="E192" s="489"/>
      <c r="F192" s="489"/>
      <c r="G192" s="489"/>
      <c r="H192" s="489"/>
      <c r="I192" s="489"/>
      <c r="J192" s="489"/>
      <c r="K192" s="489"/>
      <c r="L192" s="489">
        <v>6</v>
      </c>
      <c r="M192" s="427">
        <f t="shared" si="0"/>
        <v>1.366742596810934E-2</v>
      </c>
      <c r="N192" s="553">
        <v>5</v>
      </c>
      <c r="O192" s="427">
        <f t="shared" si="1"/>
        <v>3.7622272385252069E-3</v>
      </c>
      <c r="P192" s="381"/>
      <c r="Q192" s="489">
        <v>14</v>
      </c>
      <c r="R192" s="427">
        <f t="shared" si="2"/>
        <v>6.1135371179039298E-2</v>
      </c>
      <c r="S192" s="553">
        <v>10</v>
      </c>
      <c r="T192" s="427">
        <f t="shared" ref="T192:T197" si="3">+S192/$S$198</f>
        <v>4.5454545454545456E-2</v>
      </c>
      <c r="U192" s="379"/>
      <c r="V192" s="435"/>
      <c r="W192" s="6"/>
    </row>
    <row r="193" spans="1:24" ht="15.6">
      <c r="A193" s="444"/>
      <c r="B193" s="440" t="s">
        <v>83</v>
      </c>
      <c r="C193" s="489"/>
      <c r="D193" s="489"/>
      <c r="E193" s="489"/>
      <c r="F193" s="489"/>
      <c r="G193" s="489"/>
      <c r="H193" s="489"/>
      <c r="I193" s="489"/>
      <c r="J193" s="489"/>
      <c r="K193" s="489"/>
      <c r="L193" s="489">
        <v>13</v>
      </c>
      <c r="M193" s="427">
        <f t="shared" si="0"/>
        <v>2.9612756264236904E-2</v>
      </c>
      <c r="N193" s="489">
        <v>26</v>
      </c>
      <c r="O193" s="427">
        <f t="shared" si="1"/>
        <v>1.9563581640331076E-2</v>
      </c>
      <c r="P193" s="381"/>
      <c r="Q193" s="489">
        <v>12</v>
      </c>
      <c r="R193" s="427">
        <f t="shared" si="2"/>
        <v>5.2401746724890827E-2</v>
      </c>
      <c r="S193" s="553">
        <v>3</v>
      </c>
      <c r="T193" s="427">
        <f t="shared" si="3"/>
        <v>1.3636363636363636E-2</v>
      </c>
      <c r="U193" s="379"/>
      <c r="V193" s="435"/>
      <c r="W193" s="6"/>
    </row>
    <row r="194" spans="1:24" ht="15.6">
      <c r="A194" s="444"/>
      <c r="B194" s="440" t="s">
        <v>186</v>
      </c>
      <c r="C194" s="489"/>
      <c r="D194" s="489"/>
      <c r="E194" s="489"/>
      <c r="F194" s="489"/>
      <c r="G194" s="489"/>
      <c r="H194" s="489"/>
      <c r="I194" s="489"/>
      <c r="J194" s="489"/>
      <c r="K194" s="489"/>
      <c r="L194" s="489">
        <v>12</v>
      </c>
      <c r="M194" s="427">
        <f t="shared" si="0"/>
        <v>2.7334851936218679E-2</v>
      </c>
      <c r="N194" s="489">
        <v>10</v>
      </c>
      <c r="O194" s="427">
        <f t="shared" si="1"/>
        <v>7.5244544770504138E-3</v>
      </c>
      <c r="P194" s="381"/>
      <c r="Q194" s="489">
        <v>14</v>
      </c>
      <c r="R194" s="551">
        <f t="shared" si="2"/>
        <v>6.1135371179039298E-2</v>
      </c>
      <c r="S194" s="489">
        <v>14</v>
      </c>
      <c r="T194" s="427">
        <f t="shared" si="3"/>
        <v>6.363636363636363E-2</v>
      </c>
      <c r="U194" s="379"/>
      <c r="V194" s="435"/>
      <c r="W194" s="6"/>
    </row>
    <row r="195" spans="1:24" ht="15.6">
      <c r="A195" s="444"/>
      <c r="B195" s="440" t="s">
        <v>187</v>
      </c>
      <c r="C195" s="489"/>
      <c r="D195" s="489"/>
      <c r="E195" s="489"/>
      <c r="F195" s="489"/>
      <c r="G195" s="489"/>
      <c r="H195" s="489"/>
      <c r="I195" s="489"/>
      <c r="J195" s="489"/>
      <c r="K195" s="489"/>
      <c r="L195" s="489">
        <v>12</v>
      </c>
      <c r="M195" s="427">
        <f t="shared" si="0"/>
        <v>2.7334851936218679E-2</v>
      </c>
      <c r="N195" s="489">
        <v>17</v>
      </c>
      <c r="O195" s="427">
        <f t="shared" si="1"/>
        <v>1.2791572610985704E-2</v>
      </c>
      <c r="P195" s="381"/>
      <c r="Q195" s="489">
        <v>13</v>
      </c>
      <c r="R195" s="427">
        <f t="shared" si="2"/>
        <v>5.6768558951965066E-2</v>
      </c>
      <c r="S195" s="489">
        <v>10</v>
      </c>
      <c r="T195" s="427">
        <f t="shared" si="3"/>
        <v>4.5454545454545456E-2</v>
      </c>
      <c r="U195" s="379"/>
      <c r="V195" s="435"/>
      <c r="W195" s="6"/>
    </row>
    <row r="196" spans="1:24" ht="15.6">
      <c r="A196" s="444"/>
      <c r="B196" s="440" t="s">
        <v>188</v>
      </c>
      <c r="C196" s="489"/>
      <c r="D196" s="489"/>
      <c r="E196" s="489"/>
      <c r="F196" s="489"/>
      <c r="G196" s="489"/>
      <c r="H196" s="489"/>
      <c r="I196" s="489"/>
      <c r="J196" s="489"/>
      <c r="K196" s="489"/>
      <c r="L196" s="489">
        <v>10</v>
      </c>
      <c r="M196" s="427">
        <f t="shared" si="0"/>
        <v>2.2779043280182234E-2</v>
      </c>
      <c r="N196" s="489">
        <v>14</v>
      </c>
      <c r="O196" s="427">
        <f t="shared" si="1"/>
        <v>1.0534236267870579E-2</v>
      </c>
      <c r="P196" s="381"/>
      <c r="Q196" s="489">
        <v>18</v>
      </c>
      <c r="R196" s="427">
        <f t="shared" si="2"/>
        <v>7.8602620087336247E-2</v>
      </c>
      <c r="S196" s="489">
        <v>11</v>
      </c>
      <c r="T196" s="427">
        <f t="shared" si="3"/>
        <v>0.05</v>
      </c>
      <c r="U196" s="379"/>
      <c r="V196" s="435"/>
      <c r="W196" s="6"/>
    </row>
    <row r="197" spans="1:24" ht="15.6">
      <c r="A197" s="444"/>
      <c r="B197" s="440" t="s">
        <v>189</v>
      </c>
      <c r="C197" s="489"/>
      <c r="D197" s="489"/>
      <c r="E197" s="489"/>
      <c r="F197" s="489"/>
      <c r="G197" s="489"/>
      <c r="H197" s="489"/>
      <c r="I197" s="489"/>
      <c r="J197" s="489"/>
      <c r="K197" s="489"/>
      <c r="L197" s="489">
        <v>86</v>
      </c>
      <c r="M197" s="427">
        <f t="shared" si="0"/>
        <v>0.1958997722095672</v>
      </c>
      <c r="N197" s="489">
        <v>182</v>
      </c>
      <c r="O197" s="427">
        <f t="shared" si="1"/>
        <v>0.13694507148231752</v>
      </c>
      <c r="P197" s="381"/>
      <c r="Q197" s="489">
        <v>100</v>
      </c>
      <c r="R197" s="427">
        <f t="shared" si="2"/>
        <v>0.4366812227074236</v>
      </c>
      <c r="S197" s="489">
        <v>83</v>
      </c>
      <c r="T197" s="427">
        <f t="shared" si="3"/>
        <v>0.37727272727272726</v>
      </c>
      <c r="U197" s="379"/>
      <c r="V197" s="435"/>
      <c r="W197" s="6"/>
    </row>
    <row r="198" spans="1:24" ht="15.6">
      <c r="A198" s="444"/>
      <c r="B198" s="440" t="s">
        <v>84</v>
      </c>
      <c r="C198" s="489"/>
      <c r="D198" s="489"/>
      <c r="E198" s="489"/>
      <c r="F198" s="489"/>
      <c r="G198" s="489"/>
      <c r="H198" s="489"/>
      <c r="I198" s="489"/>
      <c r="J198" s="489"/>
      <c r="K198" s="489"/>
      <c r="L198" s="489">
        <f>SUM(L191:L197)</f>
        <v>439</v>
      </c>
      <c r="M198" s="427">
        <f>SUM(M191:M197)</f>
        <v>0.99999999999999989</v>
      </c>
      <c r="N198" s="489">
        <f>SUM(N191:N197)</f>
        <v>1329</v>
      </c>
      <c r="O198" s="427">
        <f>SUM(O191:O197)</f>
        <v>1</v>
      </c>
      <c r="P198" s="381"/>
      <c r="Q198" s="489">
        <f>SUM(Q191:Q197)</f>
        <v>229</v>
      </c>
      <c r="R198" s="427">
        <f>SUM(R191:R197)</f>
        <v>1</v>
      </c>
      <c r="S198" s="489">
        <f>SUM(S191:S197)</f>
        <v>220</v>
      </c>
      <c r="T198" s="427">
        <f>SUM(T191:T197)</f>
        <v>1</v>
      </c>
      <c r="U198" s="379"/>
      <c r="V198" s="435"/>
      <c r="W198" s="6"/>
      <c r="X198" s="64"/>
    </row>
    <row r="199" spans="1:24" ht="15.6">
      <c r="A199" s="444"/>
      <c r="B199" s="440" t="s">
        <v>85</v>
      </c>
      <c r="C199" s="489"/>
      <c r="D199" s="489"/>
      <c r="E199" s="489"/>
      <c r="F199" s="489"/>
      <c r="G199" s="489"/>
      <c r="H199" s="489"/>
      <c r="I199" s="489"/>
      <c r="J199" s="489"/>
      <c r="K199" s="489"/>
      <c r="L199" s="489">
        <v>843</v>
      </c>
      <c r="M199" s="380"/>
      <c r="N199" s="489">
        <v>4887</v>
      </c>
      <c r="O199" s="380"/>
      <c r="P199" s="381"/>
      <c r="Q199" s="489">
        <v>516</v>
      </c>
      <c r="R199" s="380"/>
      <c r="S199" s="489">
        <v>1139</v>
      </c>
      <c r="T199" s="380"/>
      <c r="U199" s="379"/>
      <c r="V199" s="435"/>
      <c r="W199" s="6"/>
      <c r="X199" s="64"/>
    </row>
    <row r="200" spans="1:24" ht="15.6">
      <c r="A200" s="444"/>
      <c r="B200" s="440" t="s">
        <v>86</v>
      </c>
      <c r="C200" s="489"/>
      <c r="D200" s="489"/>
      <c r="E200" s="489"/>
      <c r="F200" s="489"/>
      <c r="G200" s="489"/>
      <c r="H200" s="489"/>
      <c r="I200" s="489"/>
      <c r="J200" s="489"/>
      <c r="K200" s="489"/>
      <c r="L200" s="489">
        <f>SUM(L198:L199)</f>
        <v>1282</v>
      </c>
      <c r="M200" s="450"/>
      <c r="N200" s="489">
        <f>SUM(N198:N199)</f>
        <v>6216</v>
      </c>
      <c r="O200" s="490"/>
      <c r="P200" s="450"/>
      <c r="Q200" s="489">
        <f>SUM(Q198:Q199)</f>
        <v>745</v>
      </c>
      <c r="R200" s="450"/>
      <c r="S200" s="489">
        <f>SUM(S198:S199)</f>
        <v>1359</v>
      </c>
      <c r="T200" s="450"/>
      <c r="U200" s="450"/>
      <c r="V200" s="435"/>
      <c r="W200" s="6"/>
      <c r="X200" s="64"/>
    </row>
    <row r="201" spans="1:24" ht="15.6">
      <c r="A201" s="242"/>
      <c r="B201" s="484"/>
      <c r="C201" s="485"/>
      <c r="D201" s="485"/>
      <c r="E201" s="485"/>
      <c r="F201" s="485"/>
      <c r="G201" s="485"/>
      <c r="H201" s="485"/>
      <c r="I201" s="485"/>
      <c r="J201" s="485"/>
      <c r="K201" s="485"/>
      <c r="L201" s="532"/>
      <c r="M201" s="533"/>
      <c r="N201" s="532"/>
      <c r="O201" s="533"/>
      <c r="P201" s="488"/>
      <c r="Q201" s="532"/>
      <c r="R201" s="533"/>
      <c r="S201" s="532"/>
      <c r="T201" s="533"/>
      <c r="U201" s="463"/>
      <c r="V201" s="464"/>
      <c r="W201" s="6"/>
    </row>
    <row r="202" spans="1:24" ht="15.6">
      <c r="A202" s="349"/>
      <c r="B202" s="525" t="s">
        <v>80</v>
      </c>
      <c r="C202" s="526"/>
      <c r="D202" s="526"/>
      <c r="E202" s="526"/>
      <c r="F202" s="526"/>
      <c r="G202" s="526"/>
      <c r="H202" s="526"/>
      <c r="I202" s="526"/>
      <c r="J202" s="526"/>
      <c r="K202" s="526"/>
      <c r="L202" s="526"/>
      <c r="M202" s="525" t="s">
        <v>27</v>
      </c>
      <c r="N202" s="526"/>
      <c r="O202" s="527"/>
      <c r="P202" s="526"/>
      <c r="Q202" s="525"/>
      <c r="R202" s="525" t="s">
        <v>28</v>
      </c>
      <c r="S202" s="527"/>
      <c r="T202" s="526"/>
      <c r="U202" s="346"/>
      <c r="V202" s="528"/>
      <c r="W202" s="6"/>
    </row>
    <row r="203" spans="1:24" ht="15.6">
      <c r="A203" s="371"/>
      <c r="B203" s="372"/>
      <c r="C203" s="534"/>
      <c r="D203" s="534"/>
      <c r="E203" s="534"/>
      <c r="F203" s="534"/>
      <c r="G203" s="534"/>
      <c r="H203" s="534"/>
      <c r="I203" s="534"/>
      <c r="J203" s="534"/>
      <c r="K203" s="534"/>
      <c r="L203" s="534" t="s">
        <v>94</v>
      </c>
      <c r="M203" s="535" t="s">
        <v>101</v>
      </c>
      <c r="N203" s="534" t="s">
        <v>103</v>
      </c>
      <c r="O203" s="535" t="s">
        <v>101</v>
      </c>
      <c r="P203" s="535"/>
      <c r="Q203" s="534" t="s">
        <v>94</v>
      </c>
      <c r="R203" s="535" t="s">
        <v>101</v>
      </c>
      <c r="S203" s="534" t="s">
        <v>103</v>
      </c>
      <c r="T203" s="535" t="s">
        <v>101</v>
      </c>
      <c r="U203" s="375"/>
      <c r="V203" s="536"/>
      <c r="W203" s="6"/>
    </row>
    <row r="204" spans="1:24" ht="15.6">
      <c r="A204" s="315"/>
      <c r="B204" s="310" t="s">
        <v>81</v>
      </c>
      <c r="C204" s="351"/>
      <c r="D204" s="351"/>
      <c r="E204" s="351"/>
      <c r="F204" s="351"/>
      <c r="G204" s="351"/>
      <c r="H204" s="351"/>
      <c r="I204" s="351"/>
      <c r="J204" s="351"/>
      <c r="K204" s="351"/>
      <c r="L204" s="351">
        <v>4233</v>
      </c>
      <c r="M204" s="299">
        <f t="shared" ref="M204:M210" si="4">+L204/$L$211</f>
        <v>0.87931034482758619</v>
      </c>
      <c r="N204" s="351">
        <v>92179</v>
      </c>
      <c r="O204" s="299">
        <f t="shared" ref="O204:O210" si="5">+N204/$N$211</f>
        <v>0.86950656994896858</v>
      </c>
      <c r="P204" s="296"/>
      <c r="Q204" s="351">
        <v>63</v>
      </c>
      <c r="R204" s="299">
        <f t="shared" ref="R204:R210" si="6">Q204/$Q$211</f>
        <v>0.86301369863013699</v>
      </c>
      <c r="S204" s="351">
        <v>439</v>
      </c>
      <c r="T204" s="299">
        <f t="shared" ref="T204:T210" si="7">+S204/$S$211</f>
        <v>0.82830188679245287</v>
      </c>
      <c r="U204" s="294"/>
      <c r="V204" s="301"/>
      <c r="W204" s="6"/>
    </row>
    <row r="205" spans="1:24" ht="15.6">
      <c r="A205" s="444"/>
      <c r="B205" s="440" t="s">
        <v>82</v>
      </c>
      <c r="C205" s="489"/>
      <c r="D205" s="489"/>
      <c r="E205" s="489"/>
      <c r="F205" s="489"/>
      <c r="G205" s="489"/>
      <c r="H205" s="489"/>
      <c r="I205" s="489"/>
      <c r="J205" s="489"/>
      <c r="K205" s="489"/>
      <c r="L205" s="489">
        <v>116</v>
      </c>
      <c r="M205" s="427">
        <f t="shared" si="4"/>
        <v>2.4096385542168676E-2</v>
      </c>
      <c r="N205" s="489">
        <v>2596</v>
      </c>
      <c r="O205" s="427">
        <f t="shared" si="5"/>
        <v>2.4487562846066048E-2</v>
      </c>
      <c r="P205" s="381"/>
      <c r="Q205" s="489">
        <v>5</v>
      </c>
      <c r="R205" s="427">
        <f t="shared" si="6"/>
        <v>6.8493150684931503E-2</v>
      </c>
      <c r="S205" s="489">
        <v>61</v>
      </c>
      <c r="T205" s="427">
        <f t="shared" si="7"/>
        <v>0.11509433962264151</v>
      </c>
      <c r="U205" s="379"/>
      <c r="V205" s="435"/>
      <c r="W205" s="6"/>
    </row>
    <row r="206" spans="1:24" ht="15.6">
      <c r="A206" s="444"/>
      <c r="B206" s="440" t="s">
        <v>83</v>
      </c>
      <c r="C206" s="489"/>
      <c r="D206" s="489"/>
      <c r="E206" s="489"/>
      <c r="F206" s="489"/>
      <c r="G206" s="489"/>
      <c r="H206" s="489"/>
      <c r="I206" s="489"/>
      <c r="J206" s="489"/>
      <c r="K206" s="489"/>
      <c r="L206" s="489">
        <v>83</v>
      </c>
      <c r="M206" s="427">
        <f t="shared" si="4"/>
        <v>1.7241379310344827E-2</v>
      </c>
      <c r="N206" s="489">
        <v>1899</v>
      </c>
      <c r="O206" s="427">
        <f t="shared" si="5"/>
        <v>1.7912897474837992E-2</v>
      </c>
      <c r="P206" s="381"/>
      <c r="Q206" s="489">
        <v>0</v>
      </c>
      <c r="R206" s="427">
        <f t="shared" si="6"/>
        <v>0</v>
      </c>
      <c r="S206" s="489">
        <v>0</v>
      </c>
      <c r="T206" s="427">
        <f t="shared" si="7"/>
        <v>0</v>
      </c>
      <c r="U206" s="379"/>
      <c r="V206" s="435"/>
      <c r="W206" s="6"/>
      <c r="X206" s="182"/>
    </row>
    <row r="207" spans="1:24" ht="15.6">
      <c r="A207" s="444"/>
      <c r="B207" s="440" t="s">
        <v>186</v>
      </c>
      <c r="C207" s="489"/>
      <c r="D207" s="489"/>
      <c r="E207" s="489"/>
      <c r="F207" s="489"/>
      <c r="G207" s="489"/>
      <c r="H207" s="489"/>
      <c r="I207" s="489"/>
      <c r="J207" s="489"/>
      <c r="K207" s="489"/>
      <c r="L207" s="489">
        <v>59</v>
      </c>
      <c r="M207" s="427">
        <f t="shared" si="4"/>
        <v>1.2255920232654757E-2</v>
      </c>
      <c r="N207" s="489">
        <v>1581</v>
      </c>
      <c r="O207" s="427">
        <f t="shared" si="5"/>
        <v>1.4913265354249007E-2</v>
      </c>
      <c r="P207" s="381"/>
      <c r="Q207" s="489">
        <v>0</v>
      </c>
      <c r="R207" s="427">
        <f t="shared" si="6"/>
        <v>0</v>
      </c>
      <c r="S207" s="489">
        <v>0</v>
      </c>
      <c r="T207" s="427">
        <f t="shared" si="7"/>
        <v>0</v>
      </c>
      <c r="U207" s="379"/>
      <c r="V207" s="435"/>
      <c r="W207" s="6"/>
    </row>
    <row r="208" spans="1:24" ht="15.6">
      <c r="A208" s="444"/>
      <c r="B208" s="440" t="s">
        <v>187</v>
      </c>
      <c r="C208" s="489"/>
      <c r="D208" s="489"/>
      <c r="E208" s="489"/>
      <c r="F208" s="489"/>
      <c r="G208" s="489"/>
      <c r="H208" s="489"/>
      <c r="I208" s="489"/>
      <c r="J208" s="489"/>
      <c r="K208" s="489"/>
      <c r="L208" s="489">
        <v>57</v>
      </c>
      <c r="M208" s="427">
        <f t="shared" si="4"/>
        <v>1.1840465309513918E-2</v>
      </c>
      <c r="N208" s="489">
        <v>1345</v>
      </c>
      <c r="O208" s="427">
        <f t="shared" si="5"/>
        <v>1.2687123277333913E-2</v>
      </c>
      <c r="P208" s="381"/>
      <c r="Q208" s="489">
        <v>0</v>
      </c>
      <c r="R208" s="427">
        <f t="shared" si="6"/>
        <v>0</v>
      </c>
      <c r="S208" s="489">
        <v>0</v>
      </c>
      <c r="T208" s="427">
        <f t="shared" si="7"/>
        <v>0</v>
      </c>
      <c r="U208" s="379"/>
      <c r="V208" s="435"/>
      <c r="W208" s="6"/>
    </row>
    <row r="209" spans="1:24" ht="15.6">
      <c r="A209" s="444"/>
      <c r="B209" s="440" t="s">
        <v>188</v>
      </c>
      <c r="C209" s="489"/>
      <c r="D209" s="489"/>
      <c r="E209" s="489"/>
      <c r="F209" s="489"/>
      <c r="G209" s="489"/>
      <c r="H209" s="489"/>
      <c r="I209" s="489"/>
      <c r="J209" s="489"/>
      <c r="K209" s="489"/>
      <c r="L209" s="489">
        <v>48</v>
      </c>
      <c r="M209" s="427">
        <f t="shared" si="4"/>
        <v>9.9709181553801415E-3</v>
      </c>
      <c r="N209" s="489">
        <v>1103</v>
      </c>
      <c r="O209" s="427">
        <f t="shared" si="5"/>
        <v>1.0404384367954874E-2</v>
      </c>
      <c r="P209" s="381"/>
      <c r="Q209" s="489">
        <v>2</v>
      </c>
      <c r="R209" s="427">
        <f t="shared" si="6"/>
        <v>2.7397260273972601E-2</v>
      </c>
      <c r="S209" s="489">
        <v>23</v>
      </c>
      <c r="T209" s="427">
        <f t="shared" si="7"/>
        <v>4.3396226415094337E-2</v>
      </c>
      <c r="U209" s="379"/>
      <c r="V209" s="435"/>
      <c r="W209" s="6"/>
    </row>
    <row r="210" spans="1:24" ht="15.6">
      <c r="A210" s="444"/>
      <c r="B210" s="440" t="s">
        <v>189</v>
      </c>
      <c r="C210" s="489"/>
      <c r="D210" s="489"/>
      <c r="E210" s="489"/>
      <c r="F210" s="489"/>
      <c r="G210" s="489"/>
      <c r="H210" s="489"/>
      <c r="I210" s="489"/>
      <c r="J210" s="489"/>
      <c r="K210" s="489"/>
      <c r="L210" s="489">
        <v>218</v>
      </c>
      <c r="M210" s="427">
        <f t="shared" si="4"/>
        <v>4.5284586622351478E-2</v>
      </c>
      <c r="N210" s="489">
        <v>5310</v>
      </c>
      <c r="O210" s="427">
        <f t="shared" si="5"/>
        <v>5.0088196730589646E-2</v>
      </c>
      <c r="P210" s="381"/>
      <c r="Q210" s="489">
        <v>3</v>
      </c>
      <c r="R210" s="427">
        <f t="shared" si="6"/>
        <v>4.1095890410958902E-2</v>
      </c>
      <c r="S210" s="489">
        <v>7</v>
      </c>
      <c r="T210" s="427">
        <f t="shared" si="7"/>
        <v>1.3207547169811321E-2</v>
      </c>
      <c r="U210" s="379"/>
      <c r="V210" s="435"/>
      <c r="W210" s="6"/>
    </row>
    <row r="211" spans="1:24" ht="15.6">
      <c r="A211" s="444"/>
      <c r="B211" s="440" t="str">
        <f>B198</f>
        <v>Total Performing  Assets</v>
      </c>
      <c r="C211" s="489"/>
      <c r="D211" s="489"/>
      <c r="E211" s="489"/>
      <c r="F211" s="489"/>
      <c r="G211" s="489"/>
      <c r="H211" s="489"/>
      <c r="I211" s="489"/>
      <c r="J211" s="489"/>
      <c r="K211" s="489"/>
      <c r="L211" s="489">
        <f>SUM(L204:L210)</f>
        <v>4814</v>
      </c>
      <c r="M211" s="427">
        <f>SUM(M204:M210)</f>
        <v>0.99999999999999989</v>
      </c>
      <c r="N211" s="489">
        <f>SUM(N204:N210)</f>
        <v>106013</v>
      </c>
      <c r="O211" s="427">
        <f>SUM(O204:O210)</f>
        <v>1</v>
      </c>
      <c r="P211" s="381"/>
      <c r="Q211" s="489">
        <f>SUM(Q204:Q210)</f>
        <v>73</v>
      </c>
      <c r="R211" s="427">
        <f>SUM(R204:R210)</f>
        <v>1</v>
      </c>
      <c r="S211" s="489">
        <f>SUM(S204:S210)</f>
        <v>530</v>
      </c>
      <c r="T211" s="427">
        <f>SUM(T204:T210)</f>
        <v>1</v>
      </c>
      <c r="U211" s="379"/>
      <c r="V211" s="435"/>
      <c r="W211" s="6"/>
    </row>
    <row r="212" spans="1:24" ht="15.6">
      <c r="A212" s="444"/>
      <c r="B212" s="440" t="s">
        <v>85</v>
      </c>
      <c r="C212" s="489"/>
      <c r="D212" s="489"/>
      <c r="E212" s="489"/>
      <c r="F212" s="489"/>
      <c r="G212" s="489"/>
      <c r="H212" s="489"/>
      <c r="I212" s="489"/>
      <c r="J212" s="489"/>
      <c r="K212" s="489"/>
      <c r="L212" s="489">
        <v>281</v>
      </c>
      <c r="M212" s="381"/>
      <c r="N212" s="489">
        <v>8233</v>
      </c>
      <c r="O212" s="380"/>
      <c r="P212" s="381"/>
      <c r="Q212" s="489">
        <v>17</v>
      </c>
      <c r="R212" s="381"/>
      <c r="S212" s="489">
        <v>341</v>
      </c>
      <c r="T212" s="381"/>
      <c r="U212" s="379"/>
      <c r="V212" s="435"/>
      <c r="W212" s="6"/>
    </row>
    <row r="213" spans="1:24" ht="15.6">
      <c r="A213" s="444"/>
      <c r="B213" s="440" t="s">
        <v>86</v>
      </c>
      <c r="C213" s="489"/>
      <c r="D213" s="489"/>
      <c r="E213" s="489"/>
      <c r="F213" s="489"/>
      <c r="G213" s="489"/>
      <c r="H213" s="489"/>
      <c r="I213" s="489"/>
      <c r="J213" s="489"/>
      <c r="K213" s="489"/>
      <c r="L213" s="489">
        <f>SUM(L211:L212)</f>
        <v>5095</v>
      </c>
      <c r="M213" s="450"/>
      <c r="N213" s="489">
        <f>SUM(N211:N212)</f>
        <v>114246</v>
      </c>
      <c r="O213" s="427"/>
      <c r="P213" s="450"/>
      <c r="Q213" s="489">
        <f>SUM(Q211:Q212)</f>
        <v>90</v>
      </c>
      <c r="R213" s="450"/>
      <c r="S213" s="489">
        <f>SUM(S211:S212)</f>
        <v>871</v>
      </c>
      <c r="T213" s="450"/>
      <c r="U213" s="450"/>
      <c r="V213" s="492"/>
    </row>
    <row r="214" spans="1:24" ht="15.6">
      <c r="A214" s="444"/>
      <c r="B214" s="440"/>
      <c r="C214" s="381"/>
      <c r="D214" s="381"/>
      <c r="E214" s="381"/>
      <c r="F214" s="381"/>
      <c r="G214" s="381"/>
      <c r="H214" s="381"/>
      <c r="I214" s="381"/>
      <c r="J214" s="381"/>
      <c r="K214" s="381"/>
      <c r="L214" s="381"/>
      <c r="M214" s="493"/>
      <c r="N214" s="381"/>
      <c r="O214" s="493"/>
      <c r="P214" s="381"/>
      <c r="Q214" s="493"/>
      <c r="R214" s="381"/>
      <c r="S214" s="489"/>
      <c r="T214" s="381"/>
      <c r="U214" s="379"/>
      <c r="V214" s="435"/>
      <c r="W214" s="6"/>
    </row>
    <row r="215" spans="1:24" ht="15.6">
      <c r="A215" s="444"/>
      <c r="B215" s="440" t="s">
        <v>86</v>
      </c>
      <c r="C215" s="381"/>
      <c r="D215" s="381"/>
      <c r="E215" s="381"/>
      <c r="F215" s="381"/>
      <c r="G215" s="381"/>
      <c r="H215" s="381"/>
      <c r="I215" s="381"/>
      <c r="J215" s="381"/>
      <c r="K215" s="381"/>
      <c r="L215" s="493"/>
      <c r="M215" s="493"/>
      <c r="N215" s="493"/>
      <c r="O215" s="493"/>
      <c r="P215" s="381"/>
      <c r="Q215" s="493"/>
      <c r="R215" s="381"/>
      <c r="S215" s="489">
        <f>+N200+S200+N213+S213</f>
        <v>122692</v>
      </c>
      <c r="T215" s="490"/>
      <c r="U215" s="379"/>
      <c r="V215" s="435"/>
      <c r="W215" s="6"/>
      <c r="X215" s="182"/>
    </row>
    <row r="216" spans="1:24" ht="15.6">
      <c r="A216" s="316"/>
      <c r="B216" s="360"/>
      <c r="C216" s="363"/>
      <c r="D216" s="363"/>
      <c r="E216" s="363"/>
      <c r="F216" s="363"/>
      <c r="G216" s="363"/>
      <c r="H216" s="363"/>
      <c r="I216" s="363"/>
      <c r="J216" s="363"/>
      <c r="K216" s="363"/>
      <c r="L216" s="491"/>
      <c r="M216" s="491"/>
      <c r="N216" s="491"/>
      <c r="O216" s="491"/>
      <c r="P216" s="363"/>
      <c r="Q216" s="491"/>
      <c r="R216" s="363"/>
      <c r="S216" s="361"/>
      <c r="T216" s="363"/>
      <c r="U216" s="364"/>
      <c r="V216" s="312"/>
      <c r="W216" s="6"/>
    </row>
    <row r="217" spans="1:24" ht="15.6">
      <c r="A217" s="349"/>
      <c r="B217" s="357" t="s">
        <v>87</v>
      </c>
      <c r="C217" s="526"/>
      <c r="D217" s="526"/>
      <c r="E217" s="526"/>
      <c r="F217" s="526"/>
      <c r="G217" s="526"/>
      <c r="H217" s="526"/>
      <c r="I217" s="526"/>
      <c r="J217" s="526"/>
      <c r="K217" s="526"/>
      <c r="L217" s="526"/>
      <c r="M217" s="527"/>
      <c r="N217" s="526"/>
      <c r="O217" s="527"/>
      <c r="P217" s="526"/>
      <c r="Q217" s="527"/>
      <c r="R217" s="526"/>
      <c r="S217" s="358"/>
      <c r="T217" s="526"/>
      <c r="U217" s="350"/>
      <c r="V217" s="528"/>
      <c r="W217" s="6"/>
    </row>
    <row r="218" spans="1:24" ht="15.6">
      <c r="A218" s="315"/>
      <c r="B218" s="310"/>
      <c r="C218" s="296"/>
      <c r="D218" s="296"/>
      <c r="E218" s="296"/>
      <c r="F218" s="296"/>
      <c r="G218" s="296"/>
      <c r="H218" s="296"/>
      <c r="I218" s="296"/>
      <c r="J218" s="296"/>
      <c r="K218" s="296"/>
      <c r="L218" s="296"/>
      <c r="M218" s="352"/>
      <c r="N218" s="296"/>
      <c r="O218" s="352"/>
      <c r="P218" s="296"/>
      <c r="Q218" s="352"/>
      <c r="R218" s="296"/>
      <c r="S218" s="351"/>
      <c r="T218" s="296"/>
      <c r="U218" s="294"/>
      <c r="V218" s="301"/>
      <c r="W218" s="6"/>
    </row>
    <row r="219" spans="1:24" ht="15.6">
      <c r="A219" s="444"/>
      <c r="B219" s="440" t="s">
        <v>88</v>
      </c>
      <c r="C219" s="381"/>
      <c r="D219" s="381"/>
      <c r="E219" s="381"/>
      <c r="F219" s="381"/>
      <c r="G219" s="381"/>
      <c r="H219" s="381"/>
      <c r="I219" s="381"/>
      <c r="J219" s="381"/>
      <c r="K219" s="381"/>
      <c r="L219" s="381"/>
      <c r="M219" s="493"/>
      <c r="N219" s="381"/>
      <c r="O219" s="493"/>
      <c r="P219" s="381"/>
      <c r="Q219" s="493"/>
      <c r="R219" s="381"/>
      <c r="S219" s="489">
        <f>+N198+S198+N211+S211</f>
        <v>108092</v>
      </c>
      <c r="T219" s="381"/>
      <c r="U219" s="379"/>
      <c r="V219" s="435"/>
      <c r="W219" s="6"/>
      <c r="X219" s="182"/>
    </row>
    <row r="220" spans="1:24" ht="15.6">
      <c r="A220" s="444"/>
      <c r="B220" s="440" t="s">
        <v>89</v>
      </c>
      <c r="C220" s="381"/>
      <c r="D220" s="381"/>
      <c r="E220" s="381"/>
      <c r="F220" s="381"/>
      <c r="G220" s="381"/>
      <c r="H220" s="381"/>
      <c r="I220" s="381"/>
      <c r="J220" s="381"/>
      <c r="K220" s="381"/>
      <c r="L220" s="381"/>
      <c r="M220" s="493"/>
      <c r="N220" s="381"/>
      <c r="O220" s="493"/>
      <c r="P220" s="381"/>
      <c r="Q220" s="493"/>
      <c r="R220" s="381"/>
      <c r="S220" s="489">
        <f>+U78</f>
        <v>0</v>
      </c>
      <c r="T220" s="381"/>
      <c r="U220" s="379"/>
      <c r="V220" s="435"/>
      <c r="W220" s="119"/>
    </row>
    <row r="221" spans="1:24" ht="15.6">
      <c r="A221" s="444"/>
      <c r="B221" s="440" t="s">
        <v>90</v>
      </c>
      <c r="C221" s="381"/>
      <c r="D221" s="381"/>
      <c r="E221" s="381"/>
      <c r="F221" s="381"/>
      <c r="G221" s="381"/>
      <c r="H221" s="381"/>
      <c r="I221" s="381"/>
      <c r="J221" s="381"/>
      <c r="K221" s="381"/>
      <c r="L221" s="381"/>
      <c r="M221" s="493"/>
      <c r="N221" s="381"/>
      <c r="O221" s="493"/>
      <c r="P221" s="381"/>
      <c r="Q221" s="493"/>
      <c r="R221" s="381"/>
      <c r="S221" s="489">
        <f>SUM(S219:S220)</f>
        <v>108092</v>
      </c>
      <c r="T221" s="381"/>
      <c r="U221" s="379"/>
      <c r="V221" s="435"/>
      <c r="W221" s="6"/>
    </row>
    <row r="222" spans="1:24" ht="15.6">
      <c r="A222" s="444"/>
      <c r="B222" s="440"/>
      <c r="C222" s="381"/>
      <c r="D222" s="381"/>
      <c r="E222" s="381"/>
      <c r="F222" s="381"/>
      <c r="G222" s="381"/>
      <c r="H222" s="381"/>
      <c r="I222" s="381"/>
      <c r="J222" s="381"/>
      <c r="K222" s="381"/>
      <c r="L222" s="381"/>
      <c r="M222" s="493"/>
      <c r="N222" s="381"/>
      <c r="O222" s="493"/>
      <c r="P222" s="381"/>
      <c r="Q222" s="493"/>
      <c r="R222" s="381"/>
      <c r="S222" s="489"/>
      <c r="T222" s="381"/>
      <c r="U222" s="379"/>
      <c r="V222" s="435"/>
      <c r="W222" s="6"/>
    </row>
    <row r="223" spans="1:24" ht="15.6">
      <c r="A223" s="444"/>
      <c r="B223" s="440" t="s">
        <v>91</v>
      </c>
      <c r="C223" s="381"/>
      <c r="D223" s="381"/>
      <c r="E223" s="381"/>
      <c r="F223" s="381"/>
      <c r="G223" s="381"/>
      <c r="H223" s="381"/>
      <c r="I223" s="381"/>
      <c r="J223" s="381"/>
      <c r="K223" s="381"/>
      <c r="L223" s="381"/>
      <c r="M223" s="493"/>
      <c r="N223" s="381"/>
      <c r="O223" s="493"/>
      <c r="P223" s="381"/>
      <c r="Q223" s="493"/>
      <c r="R223" s="381"/>
      <c r="S223" s="489">
        <f>U33</f>
        <v>108092.46959999998</v>
      </c>
      <c r="T223" s="381"/>
      <c r="U223" s="379"/>
      <c r="V223" s="435"/>
      <c r="W223" s="6"/>
    </row>
    <row r="224" spans="1:24" ht="15.6">
      <c r="A224" s="444"/>
      <c r="B224" s="440"/>
      <c r="C224" s="381"/>
      <c r="D224" s="381"/>
      <c r="E224" s="381"/>
      <c r="F224" s="381"/>
      <c r="G224" s="381"/>
      <c r="H224" s="381"/>
      <c r="I224" s="381"/>
      <c r="J224" s="381"/>
      <c r="K224" s="381"/>
      <c r="L224" s="381"/>
      <c r="M224" s="493"/>
      <c r="N224" s="381"/>
      <c r="O224" s="493"/>
      <c r="P224" s="381"/>
      <c r="Q224" s="493"/>
      <c r="R224" s="381"/>
      <c r="S224" s="489"/>
      <c r="T224" s="381"/>
      <c r="U224" s="379"/>
      <c r="V224" s="435"/>
      <c r="W224" s="6"/>
    </row>
    <row r="225" spans="1:23" ht="15.6">
      <c r="A225" s="444"/>
      <c r="B225" s="440" t="s">
        <v>92</v>
      </c>
      <c r="C225" s="381"/>
      <c r="D225" s="381"/>
      <c r="E225" s="381"/>
      <c r="F225" s="381"/>
      <c r="G225" s="381"/>
      <c r="H225" s="381"/>
      <c r="I225" s="381"/>
      <c r="J225" s="381"/>
      <c r="K225" s="381"/>
      <c r="L225" s="381"/>
      <c r="M225" s="493"/>
      <c r="N225" s="381"/>
      <c r="O225" s="493"/>
      <c r="P225" s="381"/>
      <c r="Q225" s="493"/>
      <c r="R225" s="381"/>
      <c r="S225" s="489">
        <f>S221/S223</f>
        <v>0.99999565557155168</v>
      </c>
      <c r="T225" s="381"/>
      <c r="U225" s="379"/>
      <c r="V225" s="435"/>
      <c r="W225" s="6"/>
    </row>
    <row r="226" spans="1:23" ht="15.6">
      <c r="A226" s="444"/>
      <c r="B226" s="379"/>
      <c r="C226" s="379"/>
      <c r="D226" s="379"/>
      <c r="E226" s="379"/>
      <c r="F226" s="379"/>
      <c r="G226" s="379"/>
      <c r="H226" s="379"/>
      <c r="I226" s="379"/>
      <c r="J226" s="379"/>
      <c r="K226" s="379"/>
      <c r="L226" s="379"/>
      <c r="M226" s="380"/>
      <c r="N226" s="379"/>
      <c r="O226" s="379"/>
      <c r="P226" s="379"/>
      <c r="Q226" s="440"/>
      <c r="R226" s="497"/>
      <c r="S226" s="441"/>
      <c r="T226" s="497"/>
      <c r="U226" s="466"/>
      <c r="V226" s="410"/>
      <c r="W226" s="6"/>
    </row>
    <row r="227" spans="1:23" ht="15.6">
      <c r="A227" s="353"/>
      <c r="B227" s="494" t="s">
        <v>127</v>
      </c>
      <c r="C227" s="495"/>
      <c r="D227" s="495"/>
      <c r="E227" s="495"/>
      <c r="F227" s="495"/>
      <c r="G227" s="495"/>
      <c r="H227" s="495"/>
      <c r="I227" s="495"/>
      <c r="J227" s="495"/>
      <c r="K227" s="495"/>
      <c r="L227" s="495"/>
      <c r="M227" s="363"/>
      <c r="N227" s="364"/>
      <c r="O227" s="494"/>
      <c r="P227" s="443"/>
      <c r="Q227" s="443"/>
      <c r="R227" s="443"/>
      <c r="S227" s="496"/>
      <c r="T227" s="443"/>
      <c r="U227" s="443"/>
      <c r="V227" s="355"/>
      <c r="W227" s="6"/>
    </row>
    <row r="228" spans="1:23" ht="15.6">
      <c r="A228" s="353"/>
      <c r="B228" s="287" t="s">
        <v>128</v>
      </c>
      <c r="C228" s="354"/>
      <c r="D228" s="354"/>
      <c r="E228" s="354"/>
      <c r="F228" s="354"/>
      <c r="G228" s="354"/>
      <c r="H228" s="354"/>
      <c r="I228" s="354"/>
      <c r="J228" s="354"/>
      <c r="K228" s="354"/>
      <c r="L228" s="354"/>
      <c r="M228" s="290"/>
      <c r="N228" s="287"/>
      <c r="O228" s="287"/>
      <c r="P228" s="354"/>
      <c r="Q228" s="354"/>
      <c r="R228" s="317"/>
      <c r="S228" s="317"/>
      <c r="T228" s="317"/>
      <c r="U228" s="317"/>
      <c r="V228" s="355"/>
      <c r="W228" s="6"/>
    </row>
    <row r="229" spans="1:23" ht="15.6">
      <c r="A229" s="353"/>
      <c r="B229" s="287" t="s">
        <v>246</v>
      </c>
      <c r="C229" s="287"/>
      <c r="D229" s="287"/>
      <c r="E229" s="287"/>
      <c r="F229" s="287"/>
      <c r="G229" s="287"/>
      <c r="H229" s="287"/>
      <c r="I229" s="287"/>
      <c r="J229" s="287"/>
      <c r="K229" s="287"/>
      <c r="L229" s="287"/>
      <c r="M229" s="287"/>
      <c r="N229" s="287"/>
      <c r="O229" s="287"/>
      <c r="P229" s="287"/>
      <c r="Q229" s="287"/>
      <c r="R229" s="287"/>
      <c r="S229" s="287"/>
      <c r="T229" s="287"/>
      <c r="U229" s="287"/>
      <c r="V229" s="355"/>
      <c r="W229" s="6"/>
    </row>
    <row r="230" spans="1:23" ht="15.6">
      <c r="A230" s="353"/>
      <c r="B230" s="287" t="s">
        <v>129</v>
      </c>
      <c r="C230" s="354"/>
      <c r="D230" s="354"/>
      <c r="E230" s="354"/>
      <c r="F230" s="354"/>
      <c r="G230" s="354"/>
      <c r="H230" s="354"/>
      <c r="I230" s="354"/>
      <c r="J230" s="354"/>
      <c r="K230" s="354"/>
      <c r="L230" s="354"/>
      <c r="M230" s="290"/>
      <c r="N230" s="287"/>
      <c r="O230" s="287"/>
      <c r="P230" s="354"/>
      <c r="Q230" s="354"/>
      <c r="R230" s="317"/>
      <c r="S230" s="317"/>
      <c r="T230" s="317"/>
      <c r="U230" s="317"/>
      <c r="V230" s="355"/>
      <c r="W230" s="6"/>
    </row>
    <row r="231" spans="1:23" ht="15.6">
      <c r="A231" s="353"/>
      <c r="B231" s="287"/>
      <c r="C231" s="354"/>
      <c r="D231" s="354"/>
      <c r="E231" s="354"/>
      <c r="F231" s="354"/>
      <c r="G231" s="354"/>
      <c r="H231" s="354"/>
      <c r="I231" s="354"/>
      <c r="J231" s="354"/>
      <c r="K231" s="354"/>
      <c r="L231" s="354"/>
      <c r="M231" s="290"/>
      <c r="N231" s="287"/>
      <c r="O231" s="287"/>
      <c r="P231" s="354"/>
      <c r="Q231" s="354"/>
      <c r="R231" s="317"/>
      <c r="S231" s="317"/>
      <c r="T231" s="317"/>
      <c r="U231" s="317"/>
      <c r="V231" s="355"/>
      <c r="W231" s="6"/>
    </row>
    <row r="232" spans="1:23" ht="15.6">
      <c r="A232" s="353"/>
      <c r="B232" s="287"/>
      <c r="C232" s="354"/>
      <c r="D232" s="354"/>
      <c r="E232" s="354"/>
      <c r="F232" s="354"/>
      <c r="G232" s="354"/>
      <c r="H232" s="354"/>
      <c r="I232" s="354"/>
      <c r="J232" s="354"/>
      <c r="K232" s="354"/>
      <c r="L232" s="354"/>
      <c r="M232" s="290"/>
      <c r="N232" s="287"/>
      <c r="O232" s="287"/>
      <c r="P232" s="354"/>
      <c r="Q232" s="354"/>
      <c r="R232" s="317"/>
      <c r="S232" s="317"/>
      <c r="T232" s="317"/>
      <c r="U232" s="317"/>
      <c r="V232" s="355"/>
      <c r="W232" s="6"/>
    </row>
    <row r="233" spans="1:23" ht="16.2" thickBot="1">
      <c r="A233" s="353"/>
      <c r="B233" s="287" t="str">
        <f>+B160</f>
        <v>PPAF3 INVESTOR REPORT QUARTER ENDING SEPTEMBER 2014</v>
      </c>
      <c r="C233" s="354"/>
      <c r="D233" s="354"/>
      <c r="E233" s="354"/>
      <c r="F233" s="354"/>
      <c r="G233" s="354"/>
      <c r="H233" s="354"/>
      <c r="I233" s="354"/>
      <c r="J233" s="354"/>
      <c r="K233" s="354"/>
      <c r="L233" s="354"/>
      <c r="M233" s="290"/>
      <c r="N233" s="287"/>
      <c r="O233" s="287"/>
      <c r="P233" s="354"/>
      <c r="Q233" s="354"/>
      <c r="R233" s="317"/>
      <c r="S233" s="317"/>
      <c r="T233" s="317"/>
      <c r="U233" s="317"/>
      <c r="V233" s="356"/>
      <c r="W233" s="6"/>
    </row>
    <row r="234" spans="1:2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row>
  </sheetData>
  <hyperlinks>
    <hyperlink ref="I9" r:id="rId1"/>
    <hyperlink ref="K187"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21" man="1"/>
    <brk id="109" max="16383" man="1"/>
    <brk id="160" max="21" man="1"/>
    <brk id="239" man="1"/>
  </rowBreaks>
  <colBreaks count="1" manualBreakCount="1">
    <brk id="23" max="1048575" man="1"/>
  </colBreaks>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000099"/>
  </sheetPr>
  <dimension ref="A1:Y234"/>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38" t="s">
        <v>223</v>
      </c>
      <c r="B1" s="285" t="s">
        <v>123</v>
      </c>
      <c r="C1" s="239"/>
      <c r="D1" s="239"/>
      <c r="E1" s="239"/>
      <c r="F1" s="239"/>
      <c r="G1" s="239"/>
      <c r="H1" s="239"/>
      <c r="I1" s="239"/>
      <c r="J1" s="239"/>
      <c r="K1" s="239"/>
      <c r="L1" s="239"/>
      <c r="M1" s="240"/>
      <c r="N1" s="240"/>
      <c r="O1" s="240"/>
      <c r="P1" s="240"/>
      <c r="Q1" s="240"/>
      <c r="R1" s="240"/>
      <c r="S1" s="240"/>
      <c r="T1" s="240"/>
      <c r="U1" s="240"/>
      <c r="V1" s="241"/>
      <c r="W1" s="6"/>
    </row>
    <row r="2" spans="1:23" ht="15.6">
      <c r="A2" s="242"/>
      <c r="B2" s="243"/>
      <c r="C2" s="243"/>
      <c r="D2" s="243"/>
      <c r="E2" s="243"/>
      <c r="F2" s="243"/>
      <c r="G2" s="243"/>
      <c r="H2" s="243"/>
      <c r="I2" s="243"/>
      <c r="J2" s="243"/>
      <c r="K2" s="243"/>
      <c r="L2" s="243"/>
      <c r="M2" s="244"/>
      <c r="N2" s="244"/>
      <c r="O2" s="244"/>
      <c r="P2" s="244"/>
      <c r="Q2" s="244"/>
      <c r="R2" s="244"/>
      <c r="S2" s="244"/>
      <c r="T2" s="244"/>
      <c r="U2" s="244"/>
      <c r="V2" s="245"/>
      <c r="W2" s="6"/>
    </row>
    <row r="3" spans="1:23" ht="15.6">
      <c r="A3" s="246"/>
      <c r="B3" s="247" t="s">
        <v>125</v>
      </c>
      <c r="C3" s="244"/>
      <c r="D3" s="244"/>
      <c r="E3" s="244"/>
      <c r="F3" s="244"/>
      <c r="G3" s="244"/>
      <c r="H3" s="244"/>
      <c r="I3" s="244"/>
      <c r="J3" s="244"/>
      <c r="K3" s="244"/>
      <c r="L3" s="244"/>
      <c r="M3" s="244"/>
      <c r="N3" s="244"/>
      <c r="O3" s="244"/>
      <c r="P3" s="244"/>
      <c r="Q3" s="244"/>
      <c r="R3" s="244"/>
      <c r="S3" s="244"/>
      <c r="T3" s="244"/>
      <c r="U3" s="244"/>
      <c r="V3" s="245"/>
      <c r="W3" s="6"/>
    </row>
    <row r="4" spans="1:23" ht="15.6">
      <c r="A4" s="242"/>
      <c r="B4" s="243"/>
      <c r="C4" s="243"/>
      <c r="D4" s="243"/>
      <c r="E4" s="243"/>
      <c r="F4" s="243"/>
      <c r="G4" s="243"/>
      <c r="H4" s="243"/>
      <c r="I4" s="243"/>
      <c r="J4" s="243"/>
      <c r="K4" s="243"/>
      <c r="L4" s="243"/>
      <c r="M4" s="244"/>
      <c r="N4" s="244"/>
      <c r="O4" s="244"/>
      <c r="P4" s="244"/>
      <c r="Q4" s="244"/>
      <c r="R4" s="244"/>
      <c r="S4" s="244"/>
      <c r="T4" s="244"/>
      <c r="U4" s="244"/>
      <c r="V4" s="245"/>
      <c r="W4" s="6"/>
    </row>
    <row r="5" spans="1:23" ht="16.2">
      <c r="A5" s="242"/>
      <c r="B5" s="286" t="s">
        <v>0</v>
      </c>
      <c r="C5" s="248"/>
      <c r="D5" s="248"/>
      <c r="E5" s="248"/>
      <c r="F5" s="248"/>
      <c r="G5" s="248"/>
      <c r="H5" s="248"/>
      <c r="I5" s="248"/>
      <c r="J5" s="248"/>
      <c r="K5" s="248"/>
      <c r="L5" s="248"/>
      <c r="M5" s="244"/>
      <c r="N5" s="244"/>
      <c r="O5" s="244"/>
      <c r="P5" s="244"/>
      <c r="Q5" s="244"/>
      <c r="R5" s="244"/>
      <c r="S5" s="244"/>
      <c r="T5" s="244"/>
      <c r="U5" s="244"/>
      <c r="V5" s="245"/>
      <c r="W5" s="6"/>
    </row>
    <row r="6" spans="1:23" ht="16.2">
      <c r="A6" s="242"/>
      <c r="B6" s="286" t="s">
        <v>1</v>
      </c>
      <c r="C6" s="248"/>
      <c r="D6" s="248"/>
      <c r="E6" s="248"/>
      <c r="F6" s="248"/>
      <c r="G6" s="248"/>
      <c r="H6" s="248"/>
      <c r="I6" s="248"/>
      <c r="J6" s="248"/>
      <c r="K6" s="248"/>
      <c r="L6" s="248"/>
      <c r="M6" s="244"/>
      <c r="N6" s="244"/>
      <c r="O6" s="244"/>
      <c r="P6" s="244"/>
      <c r="Q6" s="244"/>
      <c r="R6" s="244"/>
      <c r="S6" s="244"/>
      <c r="T6" s="244"/>
      <c r="U6" s="244"/>
      <c r="V6" s="245"/>
      <c r="W6" s="6"/>
    </row>
    <row r="7" spans="1:23" ht="16.2">
      <c r="A7" s="242"/>
      <c r="B7" s="286" t="s">
        <v>2</v>
      </c>
      <c r="C7" s="248"/>
      <c r="D7" s="248"/>
      <c r="E7" s="248"/>
      <c r="F7" s="248"/>
      <c r="G7" s="248"/>
      <c r="H7" s="248"/>
      <c r="I7" s="248"/>
      <c r="J7" s="248"/>
      <c r="K7" s="248"/>
      <c r="L7" s="248"/>
      <c r="M7" s="244"/>
      <c r="N7" s="244"/>
      <c r="O7" s="244"/>
      <c r="P7" s="244"/>
      <c r="Q7" s="244"/>
      <c r="R7" s="244"/>
      <c r="S7" s="244"/>
      <c r="T7" s="244"/>
      <c r="U7" s="244"/>
      <c r="V7" s="245"/>
      <c r="W7" s="6"/>
    </row>
    <row r="8" spans="1:23" ht="16.2">
      <c r="A8" s="242"/>
      <c r="B8" s="249"/>
      <c r="C8" s="248"/>
      <c r="D8" s="248"/>
      <c r="E8" s="248"/>
      <c r="F8" s="248"/>
      <c r="G8" s="248"/>
      <c r="H8" s="248"/>
      <c r="I8" s="248"/>
      <c r="J8" s="248"/>
      <c r="K8" s="248"/>
      <c r="L8" s="248"/>
      <c r="M8" s="244"/>
      <c r="N8" s="244"/>
      <c r="O8" s="244"/>
      <c r="P8" s="244"/>
      <c r="Q8" s="244"/>
      <c r="R8" s="244"/>
      <c r="S8" s="244"/>
      <c r="T8" s="244"/>
      <c r="U8" s="244"/>
      <c r="V8" s="245"/>
      <c r="W8" s="6"/>
    </row>
    <row r="9" spans="1:23" ht="18">
      <c r="A9" s="242"/>
      <c r="B9" s="250" t="s">
        <v>194</v>
      </c>
      <c r="C9" s="248"/>
      <c r="D9" s="248"/>
      <c r="E9" s="248"/>
      <c r="F9" s="248"/>
      <c r="G9" s="248"/>
      <c r="H9" s="248"/>
      <c r="I9" s="251" t="s">
        <v>195</v>
      </c>
      <c r="J9" s="248"/>
      <c r="K9" s="248"/>
      <c r="L9" s="248"/>
      <c r="M9" s="244"/>
      <c r="N9" s="244"/>
      <c r="O9" s="244"/>
      <c r="P9" s="244"/>
      <c r="Q9" s="244"/>
      <c r="R9" s="244"/>
      <c r="S9" s="244"/>
      <c r="T9" s="244"/>
      <c r="U9" s="244"/>
      <c r="V9" s="245"/>
      <c r="W9" s="6"/>
    </row>
    <row r="10" spans="1:23" ht="16.2">
      <c r="A10" s="242"/>
      <c r="B10" s="248"/>
      <c r="C10" s="248"/>
      <c r="D10" s="248"/>
      <c r="E10" s="248"/>
      <c r="F10" s="248"/>
      <c r="G10" s="248"/>
      <c r="H10" s="248"/>
      <c r="I10" s="248"/>
      <c r="J10" s="248"/>
      <c r="K10" s="248"/>
      <c r="L10" s="248"/>
      <c r="M10" s="252"/>
      <c r="N10" s="252"/>
      <c r="O10" s="244"/>
      <c r="P10" s="244"/>
      <c r="Q10" s="244"/>
      <c r="R10" s="244"/>
      <c r="S10" s="244"/>
      <c r="T10" s="244"/>
      <c r="U10" s="244"/>
      <c r="V10" s="245"/>
      <c r="W10" s="6"/>
    </row>
    <row r="11" spans="1:23" ht="15.6">
      <c r="A11" s="242"/>
      <c r="B11" s="287" t="s">
        <v>3</v>
      </c>
      <c r="C11" s="252"/>
      <c r="D11" s="252"/>
      <c r="E11" s="252"/>
      <c r="F11" s="252"/>
      <c r="G11" s="252"/>
      <c r="H11" s="252"/>
      <c r="I11" s="252"/>
      <c r="J11" s="252"/>
      <c r="K11" s="252"/>
      <c r="L11" s="252"/>
      <c r="M11" s="244"/>
      <c r="N11" s="244"/>
      <c r="O11" s="244"/>
      <c r="P11" s="244"/>
      <c r="Q11" s="244"/>
      <c r="R11" s="244"/>
      <c r="S11" s="244"/>
      <c r="T11" s="244"/>
      <c r="U11" s="244"/>
      <c r="V11" s="245"/>
      <c r="W11" s="6"/>
    </row>
    <row r="12" spans="1:23" ht="16.2" thickBot="1">
      <c r="A12" s="242"/>
      <c r="B12" s="252"/>
      <c r="C12" s="252"/>
      <c r="D12" s="252"/>
      <c r="E12" s="252"/>
      <c r="F12" s="252"/>
      <c r="G12" s="252"/>
      <c r="H12" s="252"/>
      <c r="I12" s="252"/>
      <c r="J12" s="252"/>
      <c r="K12" s="252"/>
      <c r="L12" s="252"/>
      <c r="M12" s="244"/>
      <c r="N12" s="244"/>
      <c r="O12" s="244"/>
      <c r="P12" s="244"/>
      <c r="Q12" s="244"/>
      <c r="R12" s="244"/>
      <c r="S12" s="244"/>
      <c r="T12" s="244"/>
      <c r="U12" s="244"/>
      <c r="V12" s="245"/>
      <c r="W12" s="6"/>
    </row>
    <row r="13" spans="1:23" ht="15.6">
      <c r="A13" s="238"/>
      <c r="B13" s="240"/>
      <c r="C13" s="240"/>
      <c r="D13" s="240"/>
      <c r="E13" s="240"/>
      <c r="F13" s="240"/>
      <c r="G13" s="240"/>
      <c r="H13" s="240"/>
      <c r="I13" s="240"/>
      <c r="J13" s="240"/>
      <c r="K13" s="240"/>
      <c r="L13" s="240"/>
      <c r="M13" s="240"/>
      <c r="N13" s="240"/>
      <c r="O13" s="240"/>
      <c r="P13" s="240"/>
      <c r="Q13" s="240"/>
      <c r="R13" s="240"/>
      <c r="S13" s="240"/>
      <c r="T13" s="240"/>
      <c r="U13" s="240"/>
      <c r="V13" s="241"/>
      <c r="W13" s="6"/>
    </row>
    <row r="14" spans="1:23" ht="15.6">
      <c r="A14" s="242"/>
      <c r="B14" s="287" t="s">
        <v>4</v>
      </c>
      <c r="C14" s="253"/>
      <c r="D14" s="253"/>
      <c r="E14" s="253"/>
      <c r="F14" s="253"/>
      <c r="G14" s="253"/>
      <c r="H14" s="253"/>
      <c r="I14" s="253"/>
      <c r="J14" s="253"/>
      <c r="K14" s="253"/>
      <c r="L14" s="253"/>
      <c r="M14" s="288"/>
      <c r="N14" s="288"/>
      <c r="O14" s="288"/>
      <c r="P14" s="288"/>
      <c r="Q14" s="288"/>
      <c r="R14" s="288"/>
      <c r="S14" s="288"/>
      <c r="T14" s="288"/>
      <c r="U14" s="289" t="s">
        <v>126</v>
      </c>
      <c r="V14" s="245"/>
      <c r="W14" s="6"/>
    </row>
    <row r="15" spans="1:23" ht="15.6">
      <c r="A15" s="242"/>
      <c r="B15" s="287" t="s">
        <v>5</v>
      </c>
      <c r="C15" s="253"/>
      <c r="D15" s="253"/>
      <c r="E15" s="253"/>
      <c r="F15" s="253"/>
      <c r="G15" s="253"/>
      <c r="H15" s="253"/>
      <c r="I15" s="253"/>
      <c r="J15" s="253"/>
      <c r="K15" s="253"/>
      <c r="L15" s="253"/>
      <c r="M15" s="290" t="s">
        <v>93</v>
      </c>
      <c r="N15" s="291">
        <v>0.1492</v>
      </c>
      <c r="O15" s="290" t="s">
        <v>99</v>
      </c>
      <c r="P15" s="291">
        <v>5.4399999999999997E-2</v>
      </c>
      <c r="Q15" s="290" t="s">
        <v>102</v>
      </c>
      <c r="R15" s="291">
        <v>0.48899999999999999</v>
      </c>
      <c r="S15" s="290" t="s">
        <v>108</v>
      </c>
      <c r="T15" s="291">
        <v>0.30740000000000001</v>
      </c>
      <c r="U15" s="289"/>
      <c r="V15" s="254"/>
      <c r="W15" s="6"/>
    </row>
    <row r="16" spans="1:23" ht="15.6">
      <c r="A16" s="242"/>
      <c r="B16" s="287" t="s">
        <v>6</v>
      </c>
      <c r="C16" s="253"/>
      <c r="D16" s="253"/>
      <c r="E16" s="253"/>
      <c r="F16" s="253"/>
      <c r="G16" s="253"/>
      <c r="H16" s="253"/>
      <c r="I16" s="253"/>
      <c r="J16" s="253"/>
      <c r="K16" s="253"/>
      <c r="L16" s="253"/>
      <c r="M16" s="290" t="s">
        <v>93</v>
      </c>
      <c r="N16" s="291">
        <f>+N198/S221</f>
        <v>1.1590171534538712E-2</v>
      </c>
      <c r="O16" s="290" t="s">
        <v>99</v>
      </c>
      <c r="P16" s="291">
        <f>+S198/S221</f>
        <v>2.0089630659867099E-3</v>
      </c>
      <c r="Q16" s="290" t="s">
        <v>102</v>
      </c>
      <c r="R16" s="291">
        <f>+N211/S221</f>
        <v>0.98190001545356209</v>
      </c>
      <c r="S16" s="290" t="s">
        <v>108</v>
      </c>
      <c r="T16" s="291">
        <f>+S211/S221</f>
        <v>4.5008499459125327E-3</v>
      </c>
      <c r="U16" s="289"/>
      <c r="V16" s="254"/>
      <c r="W16" s="6"/>
    </row>
    <row r="17" spans="1:23" ht="15.6">
      <c r="A17" s="242"/>
      <c r="B17" s="287" t="s">
        <v>7</v>
      </c>
      <c r="C17" s="253"/>
      <c r="D17" s="253"/>
      <c r="E17" s="253"/>
      <c r="F17" s="253"/>
      <c r="G17" s="253"/>
      <c r="H17" s="253"/>
      <c r="I17" s="253"/>
      <c r="J17" s="253"/>
      <c r="K17" s="253"/>
      <c r="L17" s="253"/>
      <c r="M17" s="288"/>
      <c r="N17" s="288"/>
      <c r="O17" s="288"/>
      <c r="P17" s="288"/>
      <c r="Q17" s="288"/>
      <c r="R17" s="288"/>
      <c r="S17" s="288"/>
      <c r="T17" s="288"/>
      <c r="U17" s="292">
        <v>38491</v>
      </c>
      <c r="V17" s="245"/>
      <c r="W17" s="6"/>
    </row>
    <row r="18" spans="1:23" ht="15.6">
      <c r="A18" s="242"/>
      <c r="B18" s="287" t="s">
        <v>8</v>
      </c>
      <c r="C18" s="253"/>
      <c r="D18" s="253"/>
      <c r="E18" s="253"/>
      <c r="F18" s="253"/>
      <c r="G18" s="253"/>
      <c r="H18" s="253"/>
      <c r="I18" s="253"/>
      <c r="J18" s="253"/>
      <c r="K18" s="253"/>
      <c r="L18" s="253"/>
      <c r="M18" s="288"/>
      <c r="N18" s="288"/>
      <c r="O18" s="288"/>
      <c r="P18" s="288"/>
      <c r="Q18" s="288"/>
      <c r="R18" s="288"/>
      <c r="S18" s="288"/>
      <c r="T18" s="288"/>
      <c r="U18" s="292">
        <v>42026</v>
      </c>
      <c r="V18" s="245"/>
      <c r="W18" s="6"/>
    </row>
    <row r="19" spans="1:23" ht="15.6">
      <c r="A19" s="242"/>
      <c r="B19" s="288"/>
      <c r="C19" s="244"/>
      <c r="D19" s="244"/>
      <c r="E19" s="244"/>
      <c r="F19" s="244"/>
      <c r="G19" s="244"/>
      <c r="H19" s="244"/>
      <c r="I19" s="244"/>
      <c r="J19" s="244"/>
      <c r="K19" s="244"/>
      <c r="L19" s="244"/>
      <c r="M19" s="244"/>
      <c r="N19" s="244"/>
      <c r="O19" s="244"/>
      <c r="P19" s="244"/>
      <c r="Q19" s="244"/>
      <c r="R19" s="244"/>
      <c r="S19" s="244"/>
      <c r="T19" s="244"/>
      <c r="U19" s="255"/>
      <c r="V19" s="245"/>
      <c r="W19" s="6"/>
    </row>
    <row r="20" spans="1:23" ht="15.6">
      <c r="A20" s="242"/>
      <c r="B20" s="293" t="s">
        <v>9</v>
      </c>
      <c r="C20" s="244"/>
      <c r="D20" s="244"/>
      <c r="E20" s="244"/>
      <c r="F20" s="244"/>
      <c r="G20" s="244"/>
      <c r="H20" s="244"/>
      <c r="I20" s="244"/>
      <c r="J20" s="244"/>
      <c r="K20" s="244"/>
      <c r="L20" s="244"/>
      <c r="M20" s="244"/>
      <c r="N20" s="244"/>
      <c r="O20" s="244"/>
      <c r="P20" s="244"/>
      <c r="Q20" s="244"/>
      <c r="R20" s="244"/>
      <c r="S20" s="255"/>
      <c r="T20" s="244"/>
      <c r="U20" s="249"/>
      <c r="V20" s="245"/>
      <c r="W20" s="6"/>
    </row>
    <row r="21" spans="1:23" ht="15.6">
      <c r="A21" s="242"/>
      <c r="B21" s="244"/>
      <c r="C21" s="244"/>
      <c r="D21" s="244"/>
      <c r="E21" s="244"/>
      <c r="F21" s="244"/>
      <c r="G21" s="244"/>
      <c r="H21" s="244"/>
      <c r="I21" s="244"/>
      <c r="J21" s="244"/>
      <c r="K21" s="244"/>
      <c r="L21" s="244"/>
      <c r="M21" s="244"/>
      <c r="N21" s="244"/>
      <c r="O21" s="244"/>
      <c r="P21" s="244"/>
      <c r="Q21" s="244"/>
      <c r="R21" s="244"/>
      <c r="S21" s="244"/>
      <c r="T21" s="244"/>
      <c r="U21" s="256"/>
      <c r="V21" s="245"/>
      <c r="W21" s="6"/>
    </row>
    <row r="22" spans="1:23" ht="15.6">
      <c r="A22" s="230"/>
      <c r="B22" s="231"/>
      <c r="C22" s="232" t="s">
        <v>130</v>
      </c>
      <c r="D22" s="232"/>
      <c r="E22" s="232" t="s">
        <v>131</v>
      </c>
      <c r="F22" s="232"/>
      <c r="G22" s="232" t="s">
        <v>132</v>
      </c>
      <c r="H22" s="232"/>
      <c r="I22" s="232" t="s">
        <v>133</v>
      </c>
      <c r="J22" s="232"/>
      <c r="K22" s="232" t="s">
        <v>134</v>
      </c>
      <c r="L22" s="232"/>
      <c r="M22" s="233" t="s">
        <v>135</v>
      </c>
      <c r="N22" s="233"/>
      <c r="O22" s="233" t="s">
        <v>136</v>
      </c>
      <c r="P22" s="233"/>
      <c r="Q22" s="233" t="s">
        <v>137</v>
      </c>
      <c r="R22" s="233"/>
      <c r="S22" s="235"/>
      <c r="T22" s="236"/>
      <c r="U22" s="236"/>
      <c r="V22" s="237"/>
      <c r="W22" s="6"/>
    </row>
    <row r="23" spans="1:23" ht="15.6">
      <c r="A23" s="257"/>
      <c r="B23" s="294" t="s">
        <v>10</v>
      </c>
      <c r="C23" s="295" t="s">
        <v>96</v>
      </c>
      <c r="D23" s="295"/>
      <c r="E23" s="295" t="s">
        <v>96</v>
      </c>
      <c r="F23" s="295"/>
      <c r="G23" s="295" t="s">
        <v>138</v>
      </c>
      <c r="H23" s="295"/>
      <c r="I23" s="295" t="s">
        <v>138</v>
      </c>
      <c r="J23" s="295"/>
      <c r="K23" s="295" t="s">
        <v>104</v>
      </c>
      <c r="L23" s="296"/>
      <c r="M23" s="297" t="s">
        <v>104</v>
      </c>
      <c r="N23" s="297"/>
      <c r="O23" s="297" t="s">
        <v>109</v>
      </c>
      <c r="P23" s="297"/>
      <c r="Q23" s="297" t="s">
        <v>109</v>
      </c>
      <c r="R23" s="258"/>
      <c r="S23" s="258"/>
      <c r="T23" s="259"/>
      <c r="U23" s="259"/>
      <c r="V23" s="260"/>
      <c r="W23" s="6"/>
    </row>
    <row r="24" spans="1:23" ht="15.6">
      <c r="A24" s="378"/>
      <c r="B24" s="379" t="s">
        <v>11</v>
      </c>
      <c r="C24" s="380" t="s">
        <v>97</v>
      </c>
      <c r="D24" s="380"/>
      <c r="E24" s="380" t="s">
        <v>97</v>
      </c>
      <c r="F24" s="380"/>
      <c r="G24" s="380" t="s">
        <v>139</v>
      </c>
      <c r="H24" s="380"/>
      <c r="I24" s="380" t="s">
        <v>139</v>
      </c>
      <c r="J24" s="380"/>
      <c r="K24" s="380" t="s">
        <v>105</v>
      </c>
      <c r="L24" s="381"/>
      <c r="M24" s="382" t="s">
        <v>105</v>
      </c>
      <c r="N24" s="382"/>
      <c r="O24" s="382" t="s">
        <v>110</v>
      </c>
      <c r="P24" s="382"/>
      <c r="Q24" s="382" t="s">
        <v>110</v>
      </c>
      <c r="R24" s="383"/>
      <c r="S24" s="383"/>
      <c r="T24" s="384"/>
      <c r="U24" s="384"/>
      <c r="V24" s="385"/>
      <c r="W24" s="6"/>
    </row>
    <row r="25" spans="1:23" ht="15.6">
      <c r="A25" s="378"/>
      <c r="B25" s="386" t="s">
        <v>12</v>
      </c>
      <c r="C25" s="381" t="s">
        <v>284</v>
      </c>
      <c r="D25" s="381"/>
      <c r="E25" s="381" t="s">
        <v>284</v>
      </c>
      <c r="F25" s="381"/>
      <c r="G25" s="381" t="s">
        <v>284</v>
      </c>
      <c r="H25" s="381"/>
      <c r="I25" s="381" t="s">
        <v>284</v>
      </c>
      <c r="J25" s="386"/>
      <c r="K25" s="381" t="s">
        <v>138</v>
      </c>
      <c r="L25" s="386"/>
      <c r="M25" s="387" t="s">
        <v>138</v>
      </c>
      <c r="N25" s="382"/>
      <c r="O25" s="387" t="s">
        <v>288</v>
      </c>
      <c r="P25" s="382"/>
      <c r="Q25" s="387" t="s">
        <v>288</v>
      </c>
      <c r="R25" s="388"/>
      <c r="S25" s="388"/>
      <c r="T25" s="389"/>
      <c r="U25" s="384"/>
      <c r="V25" s="385"/>
      <c r="W25" s="6"/>
    </row>
    <row r="26" spans="1:23" ht="15.6">
      <c r="A26" s="378"/>
      <c r="B26" s="386" t="s">
        <v>13</v>
      </c>
      <c r="C26" s="381" t="s">
        <v>139</v>
      </c>
      <c r="D26" s="381"/>
      <c r="E26" s="381" t="s">
        <v>139</v>
      </c>
      <c r="F26" s="381"/>
      <c r="G26" s="381" t="s">
        <v>139</v>
      </c>
      <c r="H26" s="381"/>
      <c r="I26" s="381" t="s">
        <v>139</v>
      </c>
      <c r="J26" s="386"/>
      <c r="K26" s="381" t="s">
        <v>280</v>
      </c>
      <c r="L26" s="386"/>
      <c r="M26" s="387" t="s">
        <v>280</v>
      </c>
      <c r="N26" s="382"/>
      <c r="O26" s="387" t="s">
        <v>110</v>
      </c>
      <c r="P26" s="382"/>
      <c r="Q26" s="387" t="s">
        <v>110</v>
      </c>
      <c r="R26" s="388"/>
      <c r="S26" s="388"/>
      <c r="T26" s="389"/>
      <c r="U26" s="384"/>
      <c r="V26" s="385"/>
      <c r="W26" s="6"/>
    </row>
    <row r="27" spans="1:23" ht="15.6">
      <c r="A27" s="378"/>
      <c r="B27" s="379" t="s">
        <v>14</v>
      </c>
      <c r="C27" s="380" t="s">
        <v>140</v>
      </c>
      <c r="D27" s="379"/>
      <c r="E27" s="380" t="s">
        <v>141</v>
      </c>
      <c r="F27" s="379"/>
      <c r="G27" s="380" t="s">
        <v>142</v>
      </c>
      <c r="H27" s="379"/>
      <c r="I27" s="380" t="s">
        <v>258</v>
      </c>
      <c r="J27" s="379"/>
      <c r="K27" s="380" t="s">
        <v>143</v>
      </c>
      <c r="L27" s="379"/>
      <c r="M27" s="379" t="s">
        <v>144</v>
      </c>
      <c r="N27" s="382"/>
      <c r="O27" s="379" t="s">
        <v>145</v>
      </c>
      <c r="P27" s="382"/>
      <c r="Q27" s="379" t="s">
        <v>146</v>
      </c>
      <c r="R27" s="383"/>
      <c r="S27" s="390"/>
      <c r="T27" s="384"/>
      <c r="U27" s="384"/>
      <c r="V27" s="385"/>
      <c r="W27" s="6"/>
    </row>
    <row r="28" spans="1:23" ht="15.6">
      <c r="A28" s="378"/>
      <c r="B28" s="379" t="s">
        <v>147</v>
      </c>
      <c r="C28" s="391">
        <v>146000</v>
      </c>
      <c r="D28" s="380"/>
      <c r="E28" s="392">
        <v>259500</v>
      </c>
      <c r="F28" s="380"/>
      <c r="G28" s="391">
        <v>16000</v>
      </c>
      <c r="H28" s="380"/>
      <c r="I28" s="392">
        <v>35500</v>
      </c>
      <c r="J28" s="379"/>
      <c r="K28" s="391">
        <v>18000</v>
      </c>
      <c r="L28" s="379"/>
      <c r="M28" s="392">
        <v>33000</v>
      </c>
      <c r="N28" s="393"/>
      <c r="O28" s="394">
        <v>24500</v>
      </c>
      <c r="P28" s="394"/>
      <c r="Q28" s="392">
        <v>30000</v>
      </c>
      <c r="R28" s="395"/>
      <c r="S28" s="395"/>
      <c r="T28" s="396"/>
      <c r="U28" s="395"/>
      <c r="V28" s="397"/>
      <c r="W28" s="6"/>
    </row>
    <row r="29" spans="1:23" ht="15.6">
      <c r="A29" s="378"/>
      <c r="B29" s="379" t="s">
        <v>15</v>
      </c>
      <c r="C29" s="391">
        <f>C28*C35</f>
        <v>21419.572399999997</v>
      </c>
      <c r="D29" s="398"/>
      <c r="E29" s="392">
        <f>E28*E35</f>
        <v>38071.0893</v>
      </c>
      <c r="F29" s="398"/>
      <c r="G29" s="391">
        <f>G28*G35</f>
        <v>7689.9840000000004</v>
      </c>
      <c r="H29" s="398"/>
      <c r="I29" s="392">
        <f>I28*I35</f>
        <v>17062.151999999998</v>
      </c>
      <c r="J29" s="399"/>
      <c r="K29" s="391">
        <f>K28*K35</f>
        <v>8651.232</v>
      </c>
      <c r="L29" s="399"/>
      <c r="M29" s="392">
        <f>M28*M35</f>
        <v>15860.592000000001</v>
      </c>
      <c r="N29" s="393"/>
      <c r="O29" s="391">
        <f>O28*O35</f>
        <v>11775.288</v>
      </c>
      <c r="P29" s="394"/>
      <c r="Q29" s="392">
        <f>Q28*Q35</f>
        <v>14418.72</v>
      </c>
      <c r="R29" s="400"/>
      <c r="S29" s="395"/>
      <c r="T29" s="396"/>
      <c r="U29" s="395"/>
      <c r="V29" s="397"/>
      <c r="W29" s="6"/>
    </row>
    <row r="30" spans="1:23" ht="15.6">
      <c r="A30" s="401"/>
      <c r="B30" s="386" t="s">
        <v>148</v>
      </c>
      <c r="C30" s="415">
        <f>C34*C28</f>
        <v>20516.562399999999</v>
      </c>
      <c r="D30" s="505"/>
      <c r="E30" s="406">
        <f>E34*E28</f>
        <v>36466.0818</v>
      </c>
      <c r="F30" s="505"/>
      <c r="G30" s="415">
        <f>G34*G28</f>
        <v>7365.8463999999994</v>
      </c>
      <c r="H30" s="505"/>
      <c r="I30" s="406">
        <f>I34*I28</f>
        <v>16342.9717</v>
      </c>
      <c r="J30" s="506"/>
      <c r="K30" s="415">
        <f>K34*K28</f>
        <v>8286.5771999999997</v>
      </c>
      <c r="L30" s="399"/>
      <c r="M30" s="406">
        <f>M34*M28</f>
        <v>15192.058199999999</v>
      </c>
      <c r="N30" s="407"/>
      <c r="O30" s="415">
        <f>O34*O28</f>
        <v>11278.952299999999</v>
      </c>
      <c r="P30" s="408"/>
      <c r="Q30" s="406">
        <f>Q34*Q28</f>
        <v>13810.962</v>
      </c>
      <c r="R30" s="408"/>
      <c r="S30" s="408"/>
      <c r="T30" s="409"/>
      <c r="U30" s="408"/>
      <c r="V30" s="410"/>
      <c r="W30" s="6"/>
    </row>
    <row r="31" spans="1:23" ht="15.6">
      <c r="A31" s="401"/>
      <c r="B31" s="379" t="s">
        <v>260</v>
      </c>
      <c r="C31" s="391">
        <v>146000</v>
      </c>
      <c r="D31" s="398"/>
      <c r="E31" s="391">
        <v>178000</v>
      </c>
      <c r="F31" s="391"/>
      <c r="G31" s="391">
        <v>16000</v>
      </c>
      <c r="H31" s="391"/>
      <c r="I31" s="391">
        <v>24500</v>
      </c>
      <c r="J31" s="412"/>
      <c r="K31" s="391">
        <v>18000</v>
      </c>
      <c r="L31" s="412"/>
      <c r="M31" s="391">
        <v>22500</v>
      </c>
      <c r="N31" s="414"/>
      <c r="O31" s="391">
        <v>24500</v>
      </c>
      <c r="P31" s="415"/>
      <c r="Q31" s="391">
        <v>20500</v>
      </c>
      <c r="R31" s="408"/>
      <c r="S31" s="408"/>
      <c r="T31" s="409"/>
      <c r="U31" s="394">
        <f>+Q31+O31+M31+K31+I31+G31+E31+C31</f>
        <v>450000</v>
      </c>
      <c r="V31" s="410"/>
      <c r="W31" s="6"/>
    </row>
    <row r="32" spans="1:23" ht="15.6">
      <c r="A32" s="401"/>
      <c r="B32" s="379" t="s">
        <v>261</v>
      </c>
      <c r="C32" s="391">
        <f>C28*C35</f>
        <v>21419.572399999997</v>
      </c>
      <c r="D32" s="398"/>
      <c r="E32" s="391">
        <f>E31*E35</f>
        <v>26114.2732</v>
      </c>
      <c r="F32" s="391"/>
      <c r="G32" s="391">
        <f>G28*G35</f>
        <v>7689.9840000000004</v>
      </c>
      <c r="H32" s="391"/>
      <c r="I32" s="391">
        <f>I31*I35</f>
        <v>11775.288</v>
      </c>
      <c r="J32" s="412"/>
      <c r="K32" s="391">
        <f>K28*K35</f>
        <v>8651.232</v>
      </c>
      <c r="L32" s="412"/>
      <c r="M32" s="391">
        <f>M31*M35</f>
        <v>10814.039999999999</v>
      </c>
      <c r="N32" s="414"/>
      <c r="O32" s="391">
        <f>O28*O35</f>
        <v>11775.288</v>
      </c>
      <c r="P32" s="415"/>
      <c r="Q32" s="391">
        <f>Q31*Q35</f>
        <v>9852.7919999999995</v>
      </c>
      <c r="R32" s="391"/>
      <c r="S32" s="408"/>
      <c r="T32" s="409"/>
      <c r="U32" s="394">
        <f>+Q32+O32+M32+K32+I32+G32+E32+C32</f>
        <v>108092.46959999998</v>
      </c>
      <c r="V32" s="410"/>
      <c r="W32" s="6"/>
    </row>
    <row r="33" spans="1:23" ht="15.6">
      <c r="A33" s="401"/>
      <c r="B33" s="386" t="s">
        <v>262</v>
      </c>
      <c r="C33" s="415">
        <f>C34*C28</f>
        <v>20516.562399999999</v>
      </c>
      <c r="D33" s="415"/>
      <c r="E33" s="415">
        <f>E34*E31</f>
        <v>25013.343199999999</v>
      </c>
      <c r="F33" s="415"/>
      <c r="G33" s="415">
        <f>G34*G28</f>
        <v>7365.8463999999994</v>
      </c>
      <c r="H33" s="415"/>
      <c r="I33" s="415">
        <f>I34*I31</f>
        <v>11278.952299999999</v>
      </c>
      <c r="J33" s="414"/>
      <c r="K33" s="415">
        <f>K34*K28</f>
        <v>8286.5771999999997</v>
      </c>
      <c r="L33" s="414"/>
      <c r="M33" s="415">
        <f>M34*M31</f>
        <v>10358.2215</v>
      </c>
      <c r="N33" s="414"/>
      <c r="O33" s="415">
        <f>O34*O28</f>
        <v>11278.952299999999</v>
      </c>
      <c r="P33" s="415"/>
      <c r="Q33" s="415">
        <f>Q34*Q31</f>
        <v>9437.4907000000003</v>
      </c>
      <c r="R33" s="408"/>
      <c r="S33" s="408"/>
      <c r="T33" s="409"/>
      <c r="U33" s="408">
        <f>+Q33+O33+M33+K33+I33+G33+E33+C33</f>
        <v>103535.946</v>
      </c>
      <c r="V33" s="410"/>
      <c r="W33" s="6"/>
    </row>
    <row r="34" spans="1:23" ht="15.6">
      <c r="A34" s="401"/>
      <c r="B34" s="468" t="s">
        <v>149</v>
      </c>
      <c r="C34" s="507">
        <v>0.14052439999999999</v>
      </c>
      <c r="D34" s="507"/>
      <c r="E34" s="507">
        <v>0.14052439999999999</v>
      </c>
      <c r="F34" s="507"/>
      <c r="G34" s="507">
        <v>0.46036539999999998</v>
      </c>
      <c r="H34" s="507"/>
      <c r="I34" s="507">
        <v>0.46036539999999998</v>
      </c>
      <c r="J34" s="507"/>
      <c r="K34" s="507">
        <v>0.46036539999999998</v>
      </c>
      <c r="L34" s="507"/>
      <c r="M34" s="507">
        <v>0.46036539999999998</v>
      </c>
      <c r="N34" s="507"/>
      <c r="O34" s="507">
        <v>0.46036539999999998</v>
      </c>
      <c r="P34" s="507"/>
      <c r="Q34" s="507">
        <v>0.46036539999999998</v>
      </c>
      <c r="R34" s="508"/>
      <c r="S34" s="420"/>
      <c r="T34" s="421"/>
      <c r="U34" s="420"/>
      <c r="V34" s="385"/>
      <c r="W34" s="6"/>
    </row>
    <row r="35" spans="1:23" ht="15.6">
      <c r="A35" s="401"/>
      <c r="B35" s="468" t="s">
        <v>150</v>
      </c>
      <c r="C35" s="507">
        <v>0.14670939999999999</v>
      </c>
      <c r="D35" s="507"/>
      <c r="E35" s="507">
        <v>0.14670939999999999</v>
      </c>
      <c r="F35" s="507"/>
      <c r="G35" s="507">
        <v>0.480624</v>
      </c>
      <c r="H35" s="507"/>
      <c r="I35" s="507">
        <v>0.480624</v>
      </c>
      <c r="J35" s="507"/>
      <c r="K35" s="507">
        <v>0.480624</v>
      </c>
      <c r="L35" s="507"/>
      <c r="M35" s="507">
        <v>0.480624</v>
      </c>
      <c r="N35" s="507"/>
      <c r="O35" s="507">
        <v>0.480624</v>
      </c>
      <c r="P35" s="507"/>
      <c r="Q35" s="507">
        <v>0.480624</v>
      </c>
      <c r="R35" s="508"/>
      <c r="S35" s="420"/>
      <c r="T35" s="421"/>
      <c r="U35" s="420"/>
      <c r="V35" s="385"/>
      <c r="W35" s="6"/>
    </row>
    <row r="36" spans="1:23" ht="15.6">
      <c r="A36" s="378"/>
      <c r="B36" s="379" t="s">
        <v>153</v>
      </c>
      <c r="C36" s="380" t="s">
        <v>163</v>
      </c>
      <c r="D36" s="380"/>
      <c r="E36" s="380" t="s">
        <v>163</v>
      </c>
      <c r="F36" s="380"/>
      <c r="G36" s="380" t="s">
        <v>164</v>
      </c>
      <c r="H36" s="380"/>
      <c r="I36" s="380" t="s">
        <v>164</v>
      </c>
      <c r="J36" s="380"/>
      <c r="K36" s="380" t="s">
        <v>106</v>
      </c>
      <c r="L36" s="380"/>
      <c r="M36" s="380" t="s">
        <v>165</v>
      </c>
      <c r="N36" s="380"/>
      <c r="O36" s="380" t="s">
        <v>166</v>
      </c>
      <c r="P36" s="380"/>
      <c r="Q36" s="380" t="s">
        <v>167</v>
      </c>
      <c r="R36" s="380"/>
      <c r="S36" s="380"/>
      <c r="T36" s="379"/>
      <c r="U36" s="424"/>
      <c r="V36" s="410"/>
      <c r="W36" s="6"/>
    </row>
    <row r="37" spans="1:23" ht="15.6">
      <c r="A37" s="378"/>
      <c r="B37" s="379" t="s">
        <v>151</v>
      </c>
      <c r="C37" s="509">
        <v>9.9962999999999996E-3</v>
      </c>
      <c r="D37" s="509"/>
      <c r="E37" s="509">
        <v>5.2199999999999998E-3</v>
      </c>
      <c r="F37" s="509"/>
      <c r="G37" s="509">
        <v>1.21963E-2</v>
      </c>
      <c r="H37" s="509"/>
      <c r="I37" s="509">
        <v>7.4200000000000004E-3</v>
      </c>
      <c r="J37" s="509"/>
      <c r="K37" s="509">
        <v>1.7596299999999999E-2</v>
      </c>
      <c r="L37" s="509"/>
      <c r="M37" s="509">
        <v>1.222E-2</v>
      </c>
      <c r="N37" s="509"/>
      <c r="O37" s="509">
        <v>2.4596300000000001E-2</v>
      </c>
      <c r="P37" s="509"/>
      <c r="Q37" s="509">
        <v>1.882E-2</v>
      </c>
      <c r="R37" s="427"/>
      <c r="S37" s="509"/>
      <c r="T37" s="379"/>
      <c r="U37" s="380"/>
      <c r="V37" s="410"/>
      <c r="W37" s="6"/>
    </row>
    <row r="38" spans="1:23" ht="15.6">
      <c r="A38" s="378"/>
      <c r="B38" s="379" t="s">
        <v>152</v>
      </c>
      <c r="C38" s="509">
        <v>9.9749999999999995E-3</v>
      </c>
      <c r="D38" s="509"/>
      <c r="E38" s="509">
        <v>6.43E-3</v>
      </c>
      <c r="F38" s="509"/>
      <c r="G38" s="509">
        <v>1.2175E-2</v>
      </c>
      <c r="H38" s="509"/>
      <c r="I38" s="509">
        <v>8.6300000000000005E-3</v>
      </c>
      <c r="J38" s="509"/>
      <c r="K38" s="509">
        <v>1.7575E-2</v>
      </c>
      <c r="L38" s="509"/>
      <c r="M38" s="509">
        <v>1.3429999999999999E-2</v>
      </c>
      <c r="N38" s="509"/>
      <c r="O38" s="509">
        <v>2.4575E-2</v>
      </c>
      <c r="P38" s="509"/>
      <c r="Q38" s="509">
        <v>2.0029999999999999E-2</v>
      </c>
      <c r="R38" s="427"/>
      <c r="S38" s="509"/>
      <c r="T38" s="379"/>
      <c r="U38" s="424"/>
      <c r="V38" s="410"/>
      <c r="W38" s="6"/>
    </row>
    <row r="39" spans="1:23" ht="15.6">
      <c r="A39" s="378"/>
      <c r="B39" s="379" t="s">
        <v>263</v>
      </c>
      <c r="C39" s="380" t="s">
        <v>163</v>
      </c>
      <c r="D39" s="379"/>
      <c r="E39" s="380" t="s">
        <v>228</v>
      </c>
      <c r="F39" s="379"/>
      <c r="G39" s="380" t="s">
        <v>164</v>
      </c>
      <c r="H39" s="379"/>
      <c r="I39" s="380" t="s">
        <v>226</v>
      </c>
      <c r="J39" s="379"/>
      <c r="K39" s="380" t="s">
        <v>106</v>
      </c>
      <c r="L39" s="379"/>
      <c r="M39" s="380" t="s">
        <v>227</v>
      </c>
      <c r="N39" s="379"/>
      <c r="O39" s="380" t="s">
        <v>166</v>
      </c>
      <c r="P39" s="380"/>
      <c r="Q39" s="380" t="s">
        <v>229</v>
      </c>
      <c r="R39" s="427"/>
      <c r="S39" s="509"/>
      <c r="T39" s="379"/>
      <c r="U39" s="424"/>
      <c r="V39" s="410"/>
      <c r="W39" s="6"/>
    </row>
    <row r="40" spans="1:23" ht="15.6">
      <c r="A40" s="378"/>
      <c r="B40" s="379" t="s">
        <v>264</v>
      </c>
      <c r="C40" s="509">
        <f>+C37</f>
        <v>9.9962999999999996E-3</v>
      </c>
      <c r="D40" s="509"/>
      <c r="E40" s="509">
        <v>1.05723E-2</v>
      </c>
      <c r="F40" s="509"/>
      <c r="G40" s="509">
        <f>+G37</f>
        <v>1.21963E-2</v>
      </c>
      <c r="H40" s="509"/>
      <c r="I40" s="509">
        <v>1.2929299999999999E-2</v>
      </c>
      <c r="J40" s="509"/>
      <c r="K40" s="509">
        <f>+K37</f>
        <v>1.7596299999999999E-2</v>
      </c>
      <c r="L40" s="510"/>
      <c r="M40" s="509">
        <v>1.8156700000000001E-2</v>
      </c>
      <c r="N40" s="510"/>
      <c r="O40" s="509">
        <f>+O37</f>
        <v>2.4596300000000001E-2</v>
      </c>
      <c r="P40" s="509"/>
      <c r="Q40" s="509">
        <v>2.5422699999999999E-2</v>
      </c>
      <c r="R40" s="427"/>
      <c r="S40" s="509"/>
      <c r="T40" s="379"/>
      <c r="U40" s="427">
        <f>SUMPRODUCT(C40:Q40,C32:Q32)/U32</f>
        <v>1.5032777364302908E-2</v>
      </c>
      <c r="V40" s="410"/>
      <c r="W40" s="6"/>
    </row>
    <row r="41" spans="1:23" ht="15.6">
      <c r="A41" s="378"/>
      <c r="B41" s="379" t="s">
        <v>265</v>
      </c>
      <c r="C41" s="509">
        <f>+C38</f>
        <v>9.9749999999999995E-3</v>
      </c>
      <c r="D41" s="509"/>
      <c r="E41" s="509">
        <v>1.0551E-2</v>
      </c>
      <c r="F41" s="509"/>
      <c r="G41" s="509">
        <f>+G38</f>
        <v>1.2175E-2</v>
      </c>
      <c r="H41" s="509"/>
      <c r="I41" s="509">
        <v>1.2907999999999999E-2</v>
      </c>
      <c r="J41" s="509"/>
      <c r="K41" s="509">
        <f>+K38</f>
        <v>1.7575E-2</v>
      </c>
      <c r="L41" s="510"/>
      <c r="M41" s="509">
        <v>1.8135399999999999E-2</v>
      </c>
      <c r="N41" s="510"/>
      <c r="O41" s="509">
        <f>+O38</f>
        <v>2.4575E-2</v>
      </c>
      <c r="P41" s="509"/>
      <c r="Q41" s="509">
        <v>2.5401400000000001E-2</v>
      </c>
      <c r="R41" s="427"/>
      <c r="S41" s="509"/>
      <c r="T41" s="379"/>
      <c r="U41" s="424"/>
      <c r="V41" s="410"/>
      <c r="W41" s="6"/>
    </row>
    <row r="42" spans="1:23" ht="15.6">
      <c r="A42" s="378"/>
      <c r="B42" s="379" t="s">
        <v>17</v>
      </c>
      <c r="C42" s="429">
        <v>39918</v>
      </c>
      <c r="D42" s="429"/>
      <c r="E42" s="429">
        <v>39918</v>
      </c>
      <c r="F42" s="429"/>
      <c r="G42" s="429">
        <v>39918</v>
      </c>
      <c r="H42" s="429"/>
      <c r="I42" s="429">
        <v>39918</v>
      </c>
      <c r="J42" s="429"/>
      <c r="K42" s="429">
        <v>39918</v>
      </c>
      <c r="L42" s="429"/>
      <c r="M42" s="429">
        <v>39918</v>
      </c>
      <c r="N42" s="429"/>
      <c r="O42" s="429">
        <v>39918</v>
      </c>
      <c r="P42" s="429"/>
      <c r="Q42" s="429">
        <v>39918</v>
      </c>
      <c r="R42" s="380"/>
      <c r="S42" s="380"/>
      <c r="T42" s="379"/>
      <c r="U42" s="424"/>
      <c r="V42" s="410"/>
      <c r="W42" s="6"/>
    </row>
    <row r="43" spans="1:23" ht="15.6">
      <c r="A43" s="378"/>
      <c r="B43" s="379" t="s">
        <v>18</v>
      </c>
      <c r="C43" s="429">
        <v>40283</v>
      </c>
      <c r="D43" s="430"/>
      <c r="E43" s="429">
        <v>40283</v>
      </c>
      <c r="F43" s="430"/>
      <c r="G43" s="429">
        <v>40283</v>
      </c>
      <c r="H43" s="430"/>
      <c r="I43" s="429">
        <v>40283</v>
      </c>
      <c r="J43" s="430"/>
      <c r="K43" s="429">
        <v>40283</v>
      </c>
      <c r="L43" s="430"/>
      <c r="M43" s="429">
        <v>40283</v>
      </c>
      <c r="N43" s="430"/>
      <c r="O43" s="429">
        <v>40283</v>
      </c>
      <c r="P43" s="429"/>
      <c r="Q43" s="429">
        <v>40283</v>
      </c>
      <c r="R43" s="380"/>
      <c r="S43" s="380"/>
      <c r="T43" s="424"/>
      <c r="U43" s="424"/>
      <c r="V43" s="410"/>
      <c r="W43" s="6"/>
    </row>
    <row r="44" spans="1:23" ht="15.6">
      <c r="A44" s="378"/>
      <c r="B44" s="379" t="s">
        <v>154</v>
      </c>
      <c r="C44" s="380" t="s">
        <v>163</v>
      </c>
      <c r="D44" s="380"/>
      <c r="E44" s="380" t="s">
        <v>163</v>
      </c>
      <c r="F44" s="380"/>
      <c r="G44" s="380" t="s">
        <v>164</v>
      </c>
      <c r="H44" s="380"/>
      <c r="I44" s="380" t="s">
        <v>164</v>
      </c>
      <c r="J44" s="380"/>
      <c r="K44" s="380" t="s">
        <v>106</v>
      </c>
      <c r="L44" s="380"/>
      <c r="M44" s="380" t="s">
        <v>165</v>
      </c>
      <c r="N44" s="380"/>
      <c r="O44" s="380" t="s">
        <v>166</v>
      </c>
      <c r="P44" s="380"/>
      <c r="Q44" s="380" t="s">
        <v>167</v>
      </c>
      <c r="R44" s="380"/>
      <c r="S44" s="380"/>
      <c r="T44" s="424"/>
      <c r="U44" s="424"/>
      <c r="V44" s="410"/>
      <c r="W44" s="6"/>
    </row>
    <row r="45" spans="1:23" ht="15.6">
      <c r="A45" s="378"/>
      <c r="B45" s="379" t="s">
        <v>266</v>
      </c>
      <c r="C45" s="380" t="s">
        <v>163</v>
      </c>
      <c r="D45" s="379"/>
      <c r="E45" s="380" t="s">
        <v>228</v>
      </c>
      <c r="F45" s="379"/>
      <c r="G45" s="380" t="s">
        <v>164</v>
      </c>
      <c r="H45" s="379"/>
      <c r="I45" s="380" t="s">
        <v>226</v>
      </c>
      <c r="J45" s="379"/>
      <c r="K45" s="380" t="s">
        <v>106</v>
      </c>
      <c r="L45" s="379"/>
      <c r="M45" s="380" t="s">
        <v>227</v>
      </c>
      <c r="N45" s="379"/>
      <c r="O45" s="380" t="s">
        <v>166</v>
      </c>
      <c r="P45" s="380"/>
      <c r="Q45" s="380" t="s">
        <v>229</v>
      </c>
      <c r="R45" s="380"/>
      <c r="S45" s="380"/>
      <c r="T45" s="424"/>
      <c r="U45" s="424"/>
      <c r="V45" s="410"/>
      <c r="W45" s="6"/>
    </row>
    <row r="46" spans="1:23" ht="15.6">
      <c r="A46" s="378"/>
      <c r="B46" s="379"/>
      <c r="C46" s="379"/>
      <c r="D46" s="379"/>
      <c r="E46" s="379"/>
      <c r="F46" s="379"/>
      <c r="G46" s="379"/>
      <c r="H46" s="379"/>
      <c r="I46" s="379"/>
      <c r="J46" s="379"/>
      <c r="K46" s="379"/>
      <c r="L46" s="379"/>
      <c r="M46" s="431"/>
      <c r="N46" s="431"/>
      <c r="O46" s="379"/>
      <c r="P46" s="431"/>
      <c r="Q46" s="431"/>
      <c r="R46" s="431"/>
      <c r="S46" s="431"/>
      <c r="T46" s="431"/>
      <c r="U46" s="431"/>
      <c r="V46" s="410"/>
      <c r="W46" s="6"/>
    </row>
    <row r="47" spans="1:23" ht="15.6">
      <c r="A47" s="378"/>
      <c r="B47" s="379" t="s">
        <v>201</v>
      </c>
      <c r="C47" s="379"/>
      <c r="D47" s="379"/>
      <c r="E47" s="379"/>
      <c r="F47" s="379"/>
      <c r="G47" s="379"/>
      <c r="H47" s="379"/>
      <c r="I47" s="379"/>
      <c r="J47" s="379"/>
      <c r="K47" s="379"/>
      <c r="L47" s="379"/>
      <c r="M47" s="379"/>
      <c r="N47" s="379"/>
      <c r="O47" s="379"/>
      <c r="P47" s="379"/>
      <c r="Q47" s="379"/>
      <c r="R47" s="379"/>
      <c r="S47" s="379"/>
      <c r="T47" s="379"/>
      <c r="U47" s="427">
        <f>SUM(G31:Q31)/(C31+E31)</f>
        <v>0.3888888888888889</v>
      </c>
      <c r="V47" s="410"/>
      <c r="W47" s="6"/>
    </row>
    <row r="48" spans="1:23" ht="15.6">
      <c r="A48" s="378"/>
      <c r="B48" s="379" t="s">
        <v>202</v>
      </c>
      <c r="C48" s="379"/>
      <c r="D48" s="379"/>
      <c r="E48" s="379"/>
      <c r="F48" s="379"/>
      <c r="G48" s="379"/>
      <c r="H48" s="379"/>
      <c r="I48" s="379"/>
      <c r="J48" s="379"/>
      <c r="K48" s="379"/>
      <c r="L48" s="379"/>
      <c r="M48" s="379"/>
      <c r="N48" s="379"/>
      <c r="O48" s="379"/>
      <c r="P48" s="379"/>
      <c r="Q48" s="379"/>
      <c r="R48" s="379"/>
      <c r="S48" s="379"/>
      <c r="T48" s="379"/>
      <c r="U48" s="427">
        <f>SUM(F33:Q33)/(C33+E33)</f>
        <v>1.2740206603898603</v>
      </c>
      <c r="V48" s="410"/>
      <c r="W48" s="6"/>
    </row>
    <row r="49" spans="1:25" ht="15.6">
      <c r="A49" s="378"/>
      <c r="B49" s="379" t="s">
        <v>203</v>
      </c>
      <c r="C49" s="379"/>
      <c r="D49" s="379"/>
      <c r="E49" s="379"/>
      <c r="F49" s="379"/>
      <c r="G49" s="379"/>
      <c r="H49" s="379"/>
      <c r="I49" s="379"/>
      <c r="J49" s="379"/>
      <c r="K49" s="379"/>
      <c r="L49" s="379"/>
      <c r="M49" s="379"/>
      <c r="N49" s="379"/>
      <c r="O49" s="379"/>
      <c r="P49" s="379"/>
      <c r="Q49" s="379"/>
      <c r="R49" s="379"/>
      <c r="S49" s="380" t="s">
        <v>95</v>
      </c>
      <c r="T49" s="380" t="s">
        <v>117</v>
      </c>
      <c r="U49" s="394">
        <v>99000</v>
      </c>
      <c r="V49" s="410"/>
      <c r="W49" s="6"/>
    </row>
    <row r="50" spans="1:25" ht="15.6">
      <c r="A50" s="378"/>
      <c r="B50" s="379"/>
      <c r="C50" s="379"/>
      <c r="D50" s="379"/>
      <c r="E50" s="379"/>
      <c r="F50" s="379"/>
      <c r="G50" s="379"/>
      <c r="H50" s="379"/>
      <c r="I50" s="379"/>
      <c r="J50" s="379"/>
      <c r="K50" s="379"/>
      <c r="L50" s="379"/>
      <c r="M50" s="379"/>
      <c r="N50" s="379"/>
      <c r="O50" s="379"/>
      <c r="P50" s="379"/>
      <c r="Q50" s="379"/>
      <c r="R50" s="379"/>
      <c r="S50" s="379" t="s">
        <v>213</v>
      </c>
      <c r="T50" s="379"/>
      <c r="U50" s="432"/>
      <c r="V50" s="410"/>
      <c r="W50" s="6"/>
    </row>
    <row r="51" spans="1:25" ht="15.6">
      <c r="A51" s="378"/>
      <c r="B51" s="379" t="s">
        <v>19</v>
      </c>
      <c r="C51" s="379"/>
      <c r="D51" s="379"/>
      <c r="E51" s="379"/>
      <c r="F51" s="379"/>
      <c r="G51" s="379"/>
      <c r="H51" s="379"/>
      <c r="I51" s="379"/>
      <c r="J51" s="379"/>
      <c r="K51" s="379"/>
      <c r="L51" s="379"/>
      <c r="M51" s="379"/>
      <c r="N51" s="379"/>
      <c r="O51" s="379"/>
      <c r="P51" s="379"/>
      <c r="Q51" s="379"/>
      <c r="R51" s="379"/>
      <c r="S51" s="380"/>
      <c r="T51" s="380"/>
      <c r="U51" s="380" t="s">
        <v>118</v>
      </c>
      <c r="V51" s="410"/>
      <c r="W51" s="6"/>
    </row>
    <row r="52" spans="1:25" ht="15.6">
      <c r="A52" s="401"/>
      <c r="B52" s="386" t="s">
        <v>20</v>
      </c>
      <c r="C52" s="386"/>
      <c r="D52" s="386"/>
      <c r="E52" s="386"/>
      <c r="F52" s="386"/>
      <c r="G52" s="386"/>
      <c r="H52" s="386"/>
      <c r="I52" s="386"/>
      <c r="J52" s="386"/>
      <c r="K52" s="386"/>
      <c r="L52" s="386"/>
      <c r="M52" s="386"/>
      <c r="N52" s="386"/>
      <c r="O52" s="386"/>
      <c r="P52" s="386"/>
      <c r="Q52" s="386"/>
      <c r="R52" s="386"/>
      <c r="S52" s="433"/>
      <c r="T52" s="433"/>
      <c r="U52" s="434">
        <v>42019</v>
      </c>
      <c r="V52" s="435"/>
      <c r="W52" s="6"/>
    </row>
    <row r="53" spans="1:25" ht="15.6">
      <c r="A53" s="378"/>
      <c r="B53" s="379" t="s">
        <v>155</v>
      </c>
      <c r="C53" s="379"/>
      <c r="D53" s="379"/>
      <c r="E53" s="379"/>
      <c r="F53" s="379"/>
      <c r="G53" s="379"/>
      <c r="H53" s="379"/>
      <c r="I53" s="379"/>
      <c r="J53" s="379"/>
      <c r="K53" s="379"/>
      <c r="L53" s="379"/>
      <c r="M53" s="379"/>
      <c r="N53" s="379"/>
      <c r="O53" s="379"/>
      <c r="P53" s="379"/>
      <c r="Q53" s="424"/>
      <c r="R53" s="379">
        <f>U53-S53+1</f>
        <v>92</v>
      </c>
      <c r="S53" s="436">
        <v>41835</v>
      </c>
      <c r="T53" s="429"/>
      <c r="U53" s="436">
        <v>41926</v>
      </c>
      <c r="V53" s="410"/>
      <c r="W53" s="6"/>
    </row>
    <row r="54" spans="1:25" ht="15.6">
      <c r="A54" s="378"/>
      <c r="B54" s="379" t="s">
        <v>156</v>
      </c>
      <c r="C54" s="379"/>
      <c r="D54" s="379"/>
      <c r="E54" s="379"/>
      <c r="F54" s="379"/>
      <c r="G54" s="379"/>
      <c r="H54" s="379"/>
      <c r="I54" s="379"/>
      <c r="J54" s="379"/>
      <c r="K54" s="379"/>
      <c r="L54" s="379"/>
      <c r="M54" s="379"/>
      <c r="N54" s="379"/>
      <c r="O54" s="379"/>
      <c r="P54" s="379"/>
      <c r="Q54" s="424"/>
      <c r="R54" s="379">
        <f>U54-S54+1</f>
        <v>92</v>
      </c>
      <c r="S54" s="436">
        <v>41927</v>
      </c>
      <c r="T54" s="429"/>
      <c r="U54" s="436">
        <v>42018</v>
      </c>
      <c r="V54" s="410"/>
      <c r="W54" s="6"/>
    </row>
    <row r="55" spans="1:25" ht="15.6">
      <c r="A55" s="378"/>
      <c r="B55" s="379" t="s">
        <v>21</v>
      </c>
      <c r="C55" s="379"/>
      <c r="D55" s="379"/>
      <c r="E55" s="379"/>
      <c r="F55" s="379"/>
      <c r="G55" s="379"/>
      <c r="H55" s="379"/>
      <c r="I55" s="379"/>
      <c r="J55" s="379"/>
      <c r="K55" s="379"/>
      <c r="L55" s="379"/>
      <c r="M55" s="379"/>
      <c r="N55" s="379"/>
      <c r="O55" s="379"/>
      <c r="P55" s="379"/>
      <c r="Q55" s="379"/>
      <c r="R55" s="379"/>
      <c r="S55" s="436"/>
      <c r="T55" s="429"/>
      <c r="U55" s="436" t="s">
        <v>119</v>
      </c>
      <c r="V55" s="410"/>
      <c r="W55" s="6"/>
    </row>
    <row r="56" spans="1:25" ht="15.6">
      <c r="A56" s="378"/>
      <c r="B56" s="379" t="s">
        <v>22</v>
      </c>
      <c r="C56" s="379"/>
      <c r="D56" s="379"/>
      <c r="E56" s="379"/>
      <c r="F56" s="379"/>
      <c r="G56" s="379"/>
      <c r="H56" s="379"/>
      <c r="I56" s="379"/>
      <c r="J56" s="379"/>
      <c r="K56" s="379"/>
      <c r="L56" s="379"/>
      <c r="M56" s="379"/>
      <c r="N56" s="379"/>
      <c r="O56" s="379"/>
      <c r="P56" s="379"/>
      <c r="Q56" s="379"/>
      <c r="R56" s="379"/>
      <c r="S56" s="436"/>
      <c r="T56" s="429"/>
      <c r="U56" s="436">
        <v>42006</v>
      </c>
      <c r="V56" s="410"/>
      <c r="W56" s="6"/>
    </row>
    <row r="57" spans="1:25" ht="15.6">
      <c r="A57" s="242"/>
      <c r="B57" s="364"/>
      <c r="C57" s="364"/>
      <c r="D57" s="364"/>
      <c r="E57" s="364"/>
      <c r="F57" s="364"/>
      <c r="G57" s="364"/>
      <c r="H57" s="364"/>
      <c r="I57" s="364"/>
      <c r="J57" s="364"/>
      <c r="K57" s="364"/>
      <c r="L57" s="364"/>
      <c r="M57" s="364"/>
      <c r="N57" s="364"/>
      <c r="O57" s="364"/>
      <c r="P57" s="364"/>
      <c r="Q57" s="364"/>
      <c r="R57" s="364"/>
      <c r="S57" s="364"/>
      <c r="T57" s="364"/>
      <c r="U57" s="377"/>
      <c r="V57" s="303"/>
      <c r="W57" s="6"/>
    </row>
    <row r="58" spans="1:25" ht="15.6">
      <c r="A58" s="242"/>
      <c r="B58" s="288"/>
      <c r="C58" s="288"/>
      <c r="D58" s="288"/>
      <c r="E58" s="288"/>
      <c r="F58" s="288"/>
      <c r="G58" s="288"/>
      <c r="H58" s="288"/>
      <c r="I58" s="288"/>
      <c r="J58" s="288"/>
      <c r="K58" s="288"/>
      <c r="L58" s="288"/>
      <c r="M58" s="288"/>
      <c r="N58" s="288"/>
      <c r="O58" s="288"/>
      <c r="P58" s="288"/>
      <c r="Q58" s="288"/>
      <c r="R58" s="288"/>
      <c r="S58" s="288"/>
      <c r="T58" s="288"/>
      <c r="U58" s="302"/>
      <c r="V58" s="303"/>
      <c r="W58" s="6"/>
    </row>
    <row r="59" spans="1:25" ht="16.2" thickBot="1">
      <c r="A59" s="261"/>
      <c r="B59" s="304" t="s">
        <v>292</v>
      </c>
      <c r="C59" s="305"/>
      <c r="D59" s="305"/>
      <c r="E59" s="305"/>
      <c r="F59" s="305"/>
      <c r="G59" s="305"/>
      <c r="H59" s="305"/>
      <c r="I59" s="305"/>
      <c r="J59" s="305"/>
      <c r="K59" s="305"/>
      <c r="L59" s="305"/>
      <c r="M59" s="305"/>
      <c r="N59" s="305"/>
      <c r="O59" s="305"/>
      <c r="P59" s="305"/>
      <c r="Q59" s="305"/>
      <c r="R59" s="305"/>
      <c r="S59" s="305"/>
      <c r="T59" s="305"/>
      <c r="U59" s="306"/>
      <c r="V59" s="307"/>
      <c r="W59" s="6"/>
    </row>
    <row r="60" spans="1:25" ht="15.6">
      <c r="A60" s="230"/>
      <c r="B60" s="511" t="s">
        <v>23</v>
      </c>
      <c r="C60" s="511"/>
      <c r="D60" s="511"/>
      <c r="E60" s="511"/>
      <c r="F60" s="511"/>
      <c r="G60" s="511"/>
      <c r="H60" s="511"/>
      <c r="I60" s="511"/>
      <c r="J60" s="511"/>
      <c r="K60" s="511"/>
      <c r="L60" s="511"/>
      <c r="M60" s="231"/>
      <c r="N60" s="231"/>
      <c r="O60" s="231"/>
      <c r="P60" s="231"/>
      <c r="Q60" s="231"/>
      <c r="R60" s="231"/>
      <c r="S60" s="231"/>
      <c r="T60" s="231"/>
      <c r="U60" s="309"/>
      <c r="V60" s="237"/>
      <c r="W60" s="6"/>
    </row>
    <row r="61" spans="1:25" ht="15.6">
      <c r="A61" s="242"/>
      <c r="B61" s="252"/>
      <c r="C61" s="252"/>
      <c r="D61" s="252"/>
      <c r="E61" s="252"/>
      <c r="F61" s="252"/>
      <c r="G61" s="252"/>
      <c r="H61" s="252"/>
      <c r="I61" s="252"/>
      <c r="J61" s="252"/>
      <c r="K61" s="252"/>
      <c r="L61" s="252"/>
      <c r="M61" s="244"/>
      <c r="N61" s="244"/>
      <c r="O61" s="244"/>
      <c r="P61" s="244"/>
      <c r="Q61" s="244"/>
      <c r="R61" s="244"/>
      <c r="S61" s="244"/>
      <c r="T61" s="244"/>
      <c r="U61" s="263"/>
      <c r="V61" s="245"/>
      <c r="W61" s="6"/>
    </row>
    <row r="62" spans="1:25" s="151" customFormat="1" ht="46.8">
      <c r="A62" s="264"/>
      <c r="B62" s="512"/>
      <c r="C62" s="513"/>
      <c r="D62" s="513"/>
      <c r="E62" s="513"/>
      <c r="F62" s="513"/>
      <c r="G62" s="513"/>
      <c r="H62" s="513"/>
      <c r="I62" s="513"/>
      <c r="J62" s="513"/>
      <c r="K62" s="513" t="s">
        <v>197</v>
      </c>
      <c r="L62" s="513"/>
      <c r="M62" s="513" t="s">
        <v>98</v>
      </c>
      <c r="N62" s="513"/>
      <c r="O62" s="513" t="s">
        <v>107</v>
      </c>
      <c r="P62" s="513"/>
      <c r="Q62" s="513" t="s">
        <v>111</v>
      </c>
      <c r="R62" s="513"/>
      <c r="S62" s="513" t="s">
        <v>113</v>
      </c>
      <c r="T62" s="513"/>
      <c r="U62" s="514" t="s">
        <v>120</v>
      </c>
      <c r="V62" s="515"/>
      <c r="W62" s="150"/>
    </row>
    <row r="63" spans="1:25" ht="15.6">
      <c r="A63" s="378"/>
      <c r="B63" s="379" t="s">
        <v>24</v>
      </c>
      <c r="C63" s="440"/>
      <c r="D63" s="440"/>
      <c r="E63" s="440"/>
      <c r="F63" s="440"/>
      <c r="G63" s="440"/>
      <c r="H63" s="440"/>
      <c r="I63" s="440"/>
      <c r="J63" s="440"/>
      <c r="K63" s="440">
        <f>265+63566+3306</f>
        <v>67137</v>
      </c>
      <c r="L63" s="440"/>
      <c r="M63" s="440">
        <v>6215</v>
      </c>
      <c r="N63" s="440"/>
      <c r="O63" s="440">
        <f>104+2+31</f>
        <v>137</v>
      </c>
      <c r="P63" s="440"/>
      <c r="Q63" s="440">
        <v>0</v>
      </c>
      <c r="R63" s="440"/>
      <c r="S63" s="440">
        <v>0</v>
      </c>
      <c r="T63" s="440"/>
      <c r="U63" s="441">
        <f>+M63-O63+Q63-S63</f>
        <v>6078</v>
      </c>
      <c r="V63" s="410"/>
      <c r="W63" s="6"/>
      <c r="Y63" s="182"/>
    </row>
    <row r="64" spans="1:25" ht="15.6">
      <c r="A64" s="378"/>
      <c r="B64" s="379" t="s">
        <v>25</v>
      </c>
      <c r="C64" s="440"/>
      <c r="D64" s="440"/>
      <c r="E64" s="440"/>
      <c r="F64" s="440"/>
      <c r="G64" s="440"/>
      <c r="H64" s="440"/>
      <c r="I64" s="440"/>
      <c r="J64" s="440"/>
      <c r="K64" s="440"/>
      <c r="L64" s="440"/>
      <c r="M64" s="440"/>
      <c r="N64" s="440"/>
      <c r="O64" s="440"/>
      <c r="P64" s="440"/>
      <c r="Q64" s="440">
        <v>0</v>
      </c>
      <c r="R64" s="440"/>
      <c r="S64" s="440">
        <v>0</v>
      </c>
      <c r="T64" s="440"/>
      <c r="U64" s="441">
        <f>M64-O64</f>
        <v>0</v>
      </c>
      <c r="V64" s="410"/>
      <c r="W64" s="6"/>
    </row>
    <row r="65" spans="1:25" ht="15.6">
      <c r="A65" s="378"/>
      <c r="B65" s="379"/>
      <c r="C65" s="440"/>
      <c r="D65" s="440"/>
      <c r="E65" s="440"/>
      <c r="F65" s="440"/>
      <c r="G65" s="440"/>
      <c r="H65" s="440"/>
      <c r="I65" s="440"/>
      <c r="J65" s="440"/>
      <c r="K65" s="440"/>
      <c r="L65" s="440"/>
      <c r="M65" s="440"/>
      <c r="N65" s="440"/>
      <c r="O65" s="440"/>
      <c r="P65" s="440"/>
      <c r="Q65" s="440"/>
      <c r="R65" s="440"/>
      <c r="S65" s="440"/>
      <c r="T65" s="440"/>
      <c r="U65" s="441"/>
      <c r="V65" s="410"/>
      <c r="W65" s="6"/>
    </row>
    <row r="66" spans="1:25" ht="15.6">
      <c r="A66" s="378"/>
      <c r="B66" s="379" t="s">
        <v>26</v>
      </c>
      <c r="C66" s="440"/>
      <c r="D66" s="440"/>
      <c r="E66" s="440"/>
      <c r="F66" s="440"/>
      <c r="G66" s="440"/>
      <c r="H66" s="440"/>
      <c r="I66" s="440"/>
      <c r="J66" s="440"/>
      <c r="K66" s="440">
        <v>24470</v>
      </c>
      <c r="L66" s="440"/>
      <c r="M66" s="440">
        <v>1359</v>
      </c>
      <c r="N66" s="440"/>
      <c r="O66" s="440">
        <v>40</v>
      </c>
      <c r="P66" s="440"/>
      <c r="Q66" s="440">
        <v>0</v>
      </c>
      <c r="R66" s="440"/>
      <c r="S66" s="440">
        <f>SUM(S63:S65)</f>
        <v>0</v>
      </c>
      <c r="T66" s="440"/>
      <c r="U66" s="441">
        <f>+M66-O66+Q66-S66</f>
        <v>1319</v>
      </c>
      <c r="V66" s="410"/>
      <c r="W66" s="6"/>
      <c r="Y66" s="182"/>
    </row>
    <row r="67" spans="1:25" ht="15.6">
      <c r="A67" s="378"/>
      <c r="B67" s="379" t="s">
        <v>25</v>
      </c>
      <c r="C67" s="440"/>
      <c r="D67" s="440"/>
      <c r="E67" s="440"/>
      <c r="F67" s="440"/>
      <c r="G67" s="440"/>
      <c r="H67" s="440"/>
      <c r="I67" s="440"/>
      <c r="J67" s="440"/>
      <c r="K67" s="440"/>
      <c r="L67" s="440"/>
      <c r="M67" s="440"/>
      <c r="N67" s="440"/>
      <c r="O67" s="440"/>
      <c r="P67" s="440"/>
      <c r="Q67" s="440">
        <v>0</v>
      </c>
      <c r="R67" s="440"/>
      <c r="S67" s="440">
        <v>0</v>
      </c>
      <c r="T67" s="440"/>
      <c r="U67" s="440"/>
      <c r="V67" s="410"/>
      <c r="W67" s="6"/>
    </row>
    <row r="68" spans="1:25" ht="15.6">
      <c r="A68" s="378"/>
      <c r="B68" s="386"/>
      <c r="C68" s="440"/>
      <c r="D68" s="440"/>
      <c r="E68" s="440"/>
      <c r="F68" s="440"/>
      <c r="G68" s="440"/>
      <c r="H68" s="440"/>
      <c r="I68" s="440"/>
      <c r="J68" s="440"/>
      <c r="K68" s="440"/>
      <c r="L68" s="440"/>
      <c r="M68" s="440"/>
      <c r="N68" s="440"/>
      <c r="O68" s="442"/>
      <c r="P68" s="440"/>
      <c r="Q68" s="440"/>
      <c r="R68" s="440"/>
      <c r="S68" s="440"/>
      <c r="T68" s="440"/>
      <c r="U68" s="440"/>
      <c r="V68" s="410"/>
      <c r="W68" s="6"/>
    </row>
    <row r="69" spans="1:25" ht="15.6">
      <c r="A69" s="378"/>
      <c r="B69" s="379" t="s">
        <v>27</v>
      </c>
      <c r="C69" s="440"/>
      <c r="D69" s="440"/>
      <c r="E69" s="440"/>
      <c r="F69" s="440"/>
      <c r="G69" s="440"/>
      <c r="H69" s="440"/>
      <c r="I69" s="440"/>
      <c r="J69" s="440"/>
      <c r="K69" s="440">
        <v>220072</v>
      </c>
      <c r="L69" s="440"/>
      <c r="M69" s="440">
        <v>114247</v>
      </c>
      <c r="N69" s="440"/>
      <c r="O69" s="440">
        <f>3911+261</f>
        <v>4172</v>
      </c>
      <c r="P69" s="440"/>
      <c r="Q69" s="440">
        <v>0</v>
      </c>
      <c r="R69" s="440"/>
      <c r="S69" s="440">
        <v>0</v>
      </c>
      <c r="T69" s="440"/>
      <c r="U69" s="441">
        <f>+M69-O69+Q69-S69</f>
        <v>110075</v>
      </c>
      <c r="V69" s="410"/>
      <c r="W69" s="6"/>
      <c r="Y69" s="182"/>
    </row>
    <row r="70" spans="1:25" ht="15.6">
      <c r="A70" s="378"/>
      <c r="B70" s="379" t="s">
        <v>25</v>
      </c>
      <c r="C70" s="440"/>
      <c r="D70" s="440"/>
      <c r="E70" s="440"/>
      <c r="F70" s="440"/>
      <c r="G70" s="440"/>
      <c r="H70" s="440"/>
      <c r="I70" s="440"/>
      <c r="J70" s="440"/>
      <c r="K70" s="440"/>
      <c r="L70" s="440"/>
      <c r="M70" s="440"/>
      <c r="N70" s="440"/>
      <c r="O70" s="440"/>
      <c r="P70" s="440"/>
      <c r="Q70" s="440">
        <v>0</v>
      </c>
      <c r="R70" s="440"/>
      <c r="S70" s="440">
        <v>0</v>
      </c>
      <c r="T70" s="440"/>
      <c r="U70" s="441">
        <f>M70-O70+Q70-S70</f>
        <v>0</v>
      </c>
      <c r="V70" s="410"/>
      <c r="W70" s="6"/>
    </row>
    <row r="71" spans="1:25" ht="15.6">
      <c r="A71" s="378"/>
      <c r="B71" s="379"/>
      <c r="C71" s="440"/>
      <c r="D71" s="440"/>
      <c r="E71" s="440"/>
      <c r="F71" s="440"/>
      <c r="G71" s="440"/>
      <c r="H71" s="440"/>
      <c r="I71" s="440"/>
      <c r="J71" s="440"/>
      <c r="K71" s="440"/>
      <c r="L71" s="440"/>
      <c r="M71" s="440"/>
      <c r="N71" s="440"/>
      <c r="O71" s="440"/>
      <c r="P71" s="440"/>
      <c r="Q71" s="440"/>
      <c r="R71" s="440"/>
      <c r="S71" s="440"/>
      <c r="T71" s="440"/>
      <c r="U71" s="441"/>
      <c r="V71" s="410"/>
      <c r="W71" s="6"/>
    </row>
    <row r="72" spans="1:25" ht="15.6">
      <c r="A72" s="378"/>
      <c r="B72" s="379" t="s">
        <v>28</v>
      </c>
      <c r="C72" s="440"/>
      <c r="D72" s="440"/>
      <c r="E72" s="440"/>
      <c r="F72" s="440"/>
      <c r="G72" s="440"/>
      <c r="H72" s="440"/>
      <c r="I72" s="440"/>
      <c r="J72" s="440"/>
      <c r="K72" s="440">
        <v>138321</v>
      </c>
      <c r="L72" s="440"/>
      <c r="M72" s="440">
        <v>871</v>
      </c>
      <c r="N72" s="440"/>
      <c r="O72" s="440">
        <f>65+131</f>
        <v>196</v>
      </c>
      <c r="P72" s="440"/>
      <c r="Q72" s="440">
        <v>0</v>
      </c>
      <c r="R72" s="440"/>
      <c r="S72" s="440">
        <v>0</v>
      </c>
      <c r="T72" s="440"/>
      <c r="U72" s="441">
        <f>+M72-O72+Q72-S72</f>
        <v>675</v>
      </c>
      <c r="V72" s="410"/>
      <c r="W72" s="6"/>
      <c r="X72" s="182"/>
      <c r="Y72" s="182"/>
    </row>
    <row r="73" spans="1:25" ht="15.6">
      <c r="A73" s="378"/>
      <c r="B73" s="379" t="s">
        <v>25</v>
      </c>
      <c r="C73" s="440"/>
      <c r="D73" s="440"/>
      <c r="E73" s="440"/>
      <c r="F73" s="440"/>
      <c r="G73" s="440"/>
      <c r="H73" s="440"/>
      <c r="I73" s="440"/>
      <c r="J73" s="440"/>
      <c r="K73" s="440"/>
      <c r="L73" s="440"/>
      <c r="M73" s="440"/>
      <c r="N73" s="440"/>
      <c r="O73" s="440"/>
      <c r="P73" s="440"/>
      <c r="Q73" s="440">
        <v>0</v>
      </c>
      <c r="R73" s="440"/>
      <c r="S73" s="440">
        <v>0</v>
      </c>
      <c r="T73" s="440"/>
      <c r="U73" s="441"/>
      <c r="V73" s="410"/>
      <c r="W73" s="6"/>
    </row>
    <row r="74" spans="1:25" ht="15.6">
      <c r="A74" s="378"/>
      <c r="B74" s="440"/>
      <c r="C74" s="440"/>
      <c r="D74" s="440"/>
      <c r="E74" s="440"/>
      <c r="F74" s="440"/>
      <c r="G74" s="440"/>
      <c r="H74" s="440"/>
      <c r="I74" s="440"/>
      <c r="J74" s="440"/>
      <c r="K74" s="440"/>
      <c r="L74" s="440"/>
      <c r="M74" s="440"/>
      <c r="N74" s="440"/>
      <c r="O74" s="440"/>
      <c r="P74" s="440"/>
      <c r="Q74" s="440"/>
      <c r="R74" s="440"/>
      <c r="S74" s="440"/>
      <c r="T74" s="440"/>
      <c r="U74" s="441"/>
      <c r="V74" s="410"/>
      <c r="W74" s="6"/>
    </row>
    <row r="75" spans="1:25" ht="15.6">
      <c r="A75" s="378"/>
      <c r="B75" s="379" t="s">
        <v>29</v>
      </c>
      <c r="C75" s="440"/>
      <c r="D75" s="440"/>
      <c r="E75" s="440"/>
      <c r="F75" s="440"/>
      <c r="G75" s="440"/>
      <c r="H75" s="440"/>
      <c r="I75" s="440"/>
      <c r="J75" s="440"/>
      <c r="K75" s="440">
        <f>SUM(K63:K72)</f>
        <v>450000</v>
      </c>
      <c r="L75" s="440"/>
      <c r="M75" s="440">
        <f>SUM(M63:M72)</f>
        <v>122692</v>
      </c>
      <c r="N75" s="440"/>
      <c r="O75" s="440">
        <f>SUM(O63:O73)</f>
        <v>4545</v>
      </c>
      <c r="P75" s="440"/>
      <c r="Q75" s="440">
        <f>SUM(Q63:Q73)</f>
        <v>0</v>
      </c>
      <c r="R75" s="440"/>
      <c r="S75" s="440">
        <f>SUM(S70:S74)</f>
        <v>0</v>
      </c>
      <c r="T75" s="440"/>
      <c r="U75" s="440">
        <f>SUM(U63:U73)</f>
        <v>118147</v>
      </c>
      <c r="V75" s="410"/>
      <c r="W75" s="6"/>
      <c r="X75" s="182"/>
      <c r="Y75" s="182"/>
    </row>
    <row r="76" spans="1:25" ht="15.6">
      <c r="A76" s="378"/>
      <c r="B76" s="379"/>
      <c r="C76" s="440"/>
      <c r="D76" s="440"/>
      <c r="E76" s="440"/>
      <c r="F76" s="440"/>
      <c r="G76" s="440"/>
      <c r="H76" s="440"/>
      <c r="I76" s="440"/>
      <c r="J76" s="440"/>
      <c r="K76" s="440"/>
      <c r="L76" s="440"/>
      <c r="M76" s="440"/>
      <c r="N76" s="440"/>
      <c r="O76" s="440"/>
      <c r="P76" s="440"/>
      <c r="Q76" s="440"/>
      <c r="R76" s="440"/>
      <c r="S76" s="440"/>
      <c r="T76" s="440"/>
      <c r="U76" s="440"/>
      <c r="V76" s="410"/>
      <c r="W76" s="6"/>
    </row>
    <row r="77" spans="1:25" ht="15.6">
      <c r="A77" s="378"/>
      <c r="B77" s="379" t="s">
        <v>214</v>
      </c>
      <c r="C77" s="440"/>
      <c r="D77" s="440"/>
      <c r="E77" s="440"/>
      <c r="F77" s="440"/>
      <c r="G77" s="440"/>
      <c r="H77" s="440"/>
      <c r="I77" s="440"/>
      <c r="J77" s="440"/>
      <c r="K77" s="440">
        <v>0</v>
      </c>
      <c r="L77" s="440"/>
      <c r="M77" s="440">
        <v>-14600</v>
      </c>
      <c r="N77" s="440"/>
      <c r="O77" s="440">
        <v>11</v>
      </c>
      <c r="P77" s="440"/>
      <c r="Q77" s="440"/>
      <c r="R77" s="440"/>
      <c r="S77" s="440"/>
      <c r="T77" s="440"/>
      <c r="U77" s="441">
        <f>+M77-O77</f>
        <v>-14611</v>
      </c>
      <c r="V77" s="410"/>
      <c r="W77" s="6"/>
      <c r="Y77" s="182"/>
    </row>
    <row r="78" spans="1:25" ht="15.6">
      <c r="A78" s="378"/>
      <c r="B78" s="379" t="s">
        <v>30</v>
      </c>
      <c r="C78" s="440"/>
      <c r="D78" s="440"/>
      <c r="E78" s="440"/>
      <c r="F78" s="440"/>
      <c r="G78" s="440"/>
      <c r="H78" s="440"/>
      <c r="I78" s="440"/>
      <c r="J78" s="440"/>
      <c r="K78" s="440">
        <v>0</v>
      </c>
      <c r="L78" s="440"/>
      <c r="M78" s="440">
        <v>0</v>
      </c>
      <c r="N78" s="440"/>
      <c r="O78" s="440">
        <v>0</v>
      </c>
      <c r="P78" s="440"/>
      <c r="Q78" s="440">
        <v>0</v>
      </c>
      <c r="R78" s="440"/>
      <c r="S78" s="440"/>
      <c r="T78" s="440"/>
      <c r="U78" s="440">
        <v>0</v>
      </c>
      <c r="V78" s="410"/>
      <c r="W78" s="6"/>
      <c r="X78" s="182"/>
    </row>
    <row r="79" spans="1:25" ht="15.6">
      <c r="A79" s="378"/>
      <c r="B79" s="379" t="s">
        <v>31</v>
      </c>
      <c r="C79" s="440"/>
      <c r="D79" s="440"/>
      <c r="E79" s="440"/>
      <c r="F79" s="440"/>
      <c r="G79" s="440"/>
      <c r="H79" s="440"/>
      <c r="I79" s="440"/>
      <c r="J79" s="440"/>
      <c r="K79" s="440">
        <v>0</v>
      </c>
      <c r="L79" s="440"/>
      <c r="M79" s="440">
        <v>0</v>
      </c>
      <c r="N79" s="440"/>
      <c r="O79" s="440"/>
      <c r="P79" s="440"/>
      <c r="Q79" s="440">
        <v>0</v>
      </c>
      <c r="R79" s="440"/>
      <c r="S79" s="440"/>
      <c r="T79" s="440"/>
      <c r="U79" s="440">
        <f>Q79+M79</f>
        <v>0</v>
      </c>
      <c r="V79" s="410"/>
      <c r="W79" s="6"/>
    </row>
    <row r="80" spans="1:25" ht="15.6">
      <c r="A80" s="378"/>
      <c r="B80" s="379" t="s">
        <v>16</v>
      </c>
      <c r="C80" s="440"/>
      <c r="D80" s="440"/>
      <c r="E80" s="440"/>
      <c r="F80" s="440"/>
      <c r="G80" s="440"/>
      <c r="H80" s="440"/>
      <c r="I80" s="440"/>
      <c r="J80" s="440"/>
      <c r="K80" s="440">
        <f>SUM(K75:K79)</f>
        <v>450000</v>
      </c>
      <c r="L80" s="440"/>
      <c r="M80" s="440">
        <f>SUM(M75:M79)</f>
        <v>108092</v>
      </c>
      <c r="N80" s="440"/>
      <c r="O80" s="440">
        <f>O78-O79</f>
        <v>0</v>
      </c>
      <c r="P80" s="440"/>
      <c r="Q80" s="440"/>
      <c r="R80" s="440"/>
      <c r="S80" s="440"/>
      <c r="T80" s="440"/>
      <c r="U80" s="440">
        <f>SUM(U75:U79)</f>
        <v>103536</v>
      </c>
      <c r="V80" s="410"/>
      <c r="W80" s="6"/>
      <c r="X80" s="182"/>
      <c r="Y80" s="182"/>
    </row>
    <row r="81" spans="1:24" ht="15.6">
      <c r="A81" s="242"/>
      <c r="B81" s="437"/>
      <c r="C81" s="438"/>
      <c r="D81" s="438"/>
      <c r="E81" s="438"/>
      <c r="F81" s="438"/>
      <c r="G81" s="438"/>
      <c r="H81" s="438"/>
      <c r="I81" s="438"/>
      <c r="J81" s="438"/>
      <c r="K81" s="438"/>
      <c r="L81" s="438"/>
      <c r="M81" s="438"/>
      <c r="N81" s="438"/>
      <c r="O81" s="438"/>
      <c r="P81" s="438"/>
      <c r="Q81" s="438"/>
      <c r="R81" s="438"/>
      <c r="S81" s="439"/>
      <c r="T81" s="438"/>
      <c r="U81" s="439"/>
      <c r="V81" s="245"/>
      <c r="W81" s="6"/>
    </row>
    <row r="82" spans="1:24" ht="15.6">
      <c r="A82" s="230"/>
      <c r="B82" s="511" t="s">
        <v>32</v>
      </c>
      <c r="C82" s="511"/>
      <c r="D82" s="511"/>
      <c r="E82" s="511"/>
      <c r="F82" s="511"/>
      <c r="G82" s="511"/>
      <c r="H82" s="511"/>
      <c r="I82" s="511"/>
      <c r="J82" s="511"/>
      <c r="K82" s="511"/>
      <c r="L82" s="511"/>
      <c r="M82" s="511"/>
      <c r="N82" s="511"/>
      <c r="O82" s="511"/>
      <c r="P82" s="511"/>
      <c r="Q82" s="511"/>
      <c r="R82" s="232"/>
      <c r="S82" s="232"/>
      <c r="T82" s="232"/>
      <c r="U82" s="232" t="s">
        <v>121</v>
      </c>
      <c r="V82" s="516"/>
      <c r="W82" s="6"/>
    </row>
    <row r="83" spans="1:24" ht="15.6">
      <c r="A83" s="315"/>
      <c r="B83" s="294" t="s">
        <v>33</v>
      </c>
      <c r="C83" s="294"/>
      <c r="D83" s="294"/>
      <c r="E83" s="294"/>
      <c r="F83" s="294"/>
      <c r="G83" s="294"/>
      <c r="H83" s="294"/>
      <c r="I83" s="294"/>
      <c r="J83" s="294"/>
      <c r="K83" s="294"/>
      <c r="L83" s="294"/>
      <c r="M83" s="294"/>
      <c r="N83" s="294"/>
      <c r="O83" s="310"/>
      <c r="P83" s="294"/>
      <c r="Q83" s="294"/>
      <c r="R83" s="294"/>
      <c r="S83" s="310"/>
      <c r="T83" s="294"/>
      <c r="U83" s="311">
        <f>47498</f>
        <v>47498</v>
      </c>
      <c r="V83" s="298"/>
      <c r="W83" s="6"/>
    </row>
    <row r="84" spans="1:24" ht="15.6">
      <c r="A84" s="444"/>
      <c r="B84" s="379" t="s">
        <v>34</v>
      </c>
      <c r="C84" s="431"/>
      <c r="D84" s="431"/>
      <c r="E84" s="431"/>
      <c r="F84" s="431"/>
      <c r="G84" s="431"/>
      <c r="H84" s="431"/>
      <c r="I84" s="431"/>
      <c r="J84" s="431"/>
      <c r="K84" s="431"/>
      <c r="L84" s="431"/>
      <c r="M84" s="430"/>
      <c r="N84" s="379"/>
      <c r="O84" s="379"/>
      <c r="P84" s="379"/>
      <c r="Q84" s="379"/>
      <c r="R84" s="379"/>
      <c r="S84" s="440"/>
      <c r="T84" s="379"/>
      <c r="U84" s="441">
        <f>-35+104+50+2-1</f>
        <v>120</v>
      </c>
      <c r="V84" s="410"/>
      <c r="W84" s="6"/>
    </row>
    <row r="85" spans="1:24" ht="15.6">
      <c r="A85" s="444"/>
      <c r="B85" s="379" t="s">
        <v>230</v>
      </c>
      <c r="C85" s="379"/>
      <c r="D85" s="379"/>
      <c r="E85" s="379"/>
      <c r="F85" s="379"/>
      <c r="G85" s="379"/>
      <c r="H85" s="379"/>
      <c r="I85" s="379"/>
      <c r="J85" s="379"/>
      <c r="K85" s="379"/>
      <c r="L85" s="379"/>
      <c r="M85" s="379"/>
      <c r="N85" s="379"/>
      <c r="O85" s="379"/>
      <c r="P85" s="379"/>
      <c r="Q85" s="379"/>
      <c r="R85" s="379"/>
      <c r="S85" s="440"/>
      <c r="T85" s="379"/>
      <c r="U85" s="441">
        <v>0</v>
      </c>
      <c r="V85" s="410"/>
      <c r="W85" s="6"/>
      <c r="X85" s="64"/>
    </row>
    <row r="86" spans="1:24" ht="15.6">
      <c r="A86" s="444"/>
      <c r="B86" s="379" t="s">
        <v>231</v>
      </c>
      <c r="C86" s="379"/>
      <c r="D86" s="379"/>
      <c r="E86" s="379"/>
      <c r="F86" s="379"/>
      <c r="G86" s="379"/>
      <c r="H86" s="379"/>
      <c r="I86" s="379"/>
      <c r="J86" s="379"/>
      <c r="K86" s="379"/>
      <c r="L86" s="379"/>
      <c r="M86" s="379"/>
      <c r="N86" s="379"/>
      <c r="O86" s="379"/>
      <c r="P86" s="379"/>
      <c r="Q86" s="379"/>
      <c r="R86" s="379"/>
      <c r="S86" s="440"/>
      <c r="T86" s="379"/>
      <c r="U86" s="441">
        <v>0</v>
      </c>
      <c r="V86" s="410"/>
      <c r="W86" s="6"/>
      <c r="X86" s="64"/>
    </row>
    <row r="87" spans="1:24" ht="15.6">
      <c r="A87" s="444"/>
      <c r="B87" s="379" t="s">
        <v>35</v>
      </c>
      <c r="C87" s="379"/>
      <c r="D87" s="379"/>
      <c r="E87" s="379"/>
      <c r="F87" s="379"/>
      <c r="G87" s="379"/>
      <c r="H87" s="379"/>
      <c r="I87" s="379"/>
      <c r="J87" s="379"/>
      <c r="K87" s="379"/>
      <c r="L87" s="379"/>
      <c r="M87" s="379"/>
      <c r="N87" s="379"/>
      <c r="O87" s="379"/>
      <c r="P87" s="379"/>
      <c r="Q87" s="379"/>
      <c r="R87" s="379"/>
      <c r="S87" s="440"/>
      <c r="T87" s="379"/>
      <c r="U87" s="441">
        <f>SUM(U83:U86)</f>
        <v>47618</v>
      </c>
      <c r="V87" s="410"/>
      <c r="W87" s="6"/>
      <c r="X87" s="64"/>
    </row>
    <row r="88" spans="1:24" ht="15.6">
      <c r="A88" s="444"/>
      <c r="B88" s="379"/>
      <c r="C88" s="379"/>
      <c r="D88" s="379"/>
      <c r="E88" s="379"/>
      <c r="F88" s="379"/>
      <c r="G88" s="379"/>
      <c r="H88" s="379"/>
      <c r="I88" s="379"/>
      <c r="J88" s="379"/>
      <c r="K88" s="379"/>
      <c r="L88" s="379"/>
      <c r="M88" s="379"/>
      <c r="N88" s="379"/>
      <c r="O88" s="379"/>
      <c r="P88" s="379"/>
      <c r="Q88" s="379"/>
      <c r="R88" s="379"/>
      <c r="S88" s="440"/>
      <c r="T88" s="379"/>
      <c r="U88" s="440"/>
      <c r="V88" s="410"/>
      <c r="W88" s="6"/>
    </row>
    <row r="89" spans="1:24" ht="15.6">
      <c r="A89" s="444"/>
      <c r="B89" s="446" t="s">
        <v>36</v>
      </c>
      <c r="C89" s="446"/>
      <c r="D89" s="446"/>
      <c r="E89" s="446"/>
      <c r="F89" s="446"/>
      <c r="G89" s="446"/>
      <c r="H89" s="446"/>
      <c r="I89" s="446"/>
      <c r="J89" s="446"/>
      <c r="K89" s="446"/>
      <c r="L89" s="446"/>
      <c r="M89" s="379"/>
      <c r="N89" s="379"/>
      <c r="O89" s="379"/>
      <c r="P89" s="379"/>
      <c r="Q89" s="379"/>
      <c r="R89" s="379"/>
      <c r="S89" s="440"/>
      <c r="T89" s="379"/>
      <c r="U89" s="441"/>
      <c r="V89" s="410"/>
      <c r="W89" s="6"/>
      <c r="X89" s="64"/>
    </row>
    <row r="90" spans="1:24" ht="15.6">
      <c r="A90" s="444">
        <v>1</v>
      </c>
      <c r="B90" s="379" t="s">
        <v>37</v>
      </c>
      <c r="C90" s="379"/>
      <c r="D90" s="379"/>
      <c r="E90" s="379"/>
      <c r="F90" s="379"/>
      <c r="G90" s="379"/>
      <c r="H90" s="379"/>
      <c r="I90" s="379"/>
      <c r="J90" s="379"/>
      <c r="K90" s="379"/>
      <c r="L90" s="379"/>
      <c r="M90" s="379"/>
      <c r="N90" s="379"/>
      <c r="O90" s="379"/>
      <c r="P90" s="379"/>
      <c r="Q90" s="379"/>
      <c r="R90" s="379"/>
      <c r="S90" s="379"/>
      <c r="T90" s="379"/>
      <c r="U90" s="441">
        <v>-2</v>
      </c>
      <c r="V90" s="410"/>
      <c r="W90" s="6"/>
    </row>
    <row r="91" spans="1:24" ht="15.6">
      <c r="A91" s="444">
        <f>A90+1</f>
        <v>2</v>
      </c>
      <c r="B91" s="379" t="s">
        <v>168</v>
      </c>
      <c r="C91" s="379"/>
      <c r="D91" s="379"/>
      <c r="E91" s="379"/>
      <c r="F91" s="379"/>
      <c r="G91" s="379"/>
      <c r="H91" s="379"/>
      <c r="I91" s="379"/>
      <c r="J91" s="379"/>
      <c r="K91" s="379"/>
      <c r="L91" s="379"/>
      <c r="M91" s="379"/>
      <c r="N91" s="379"/>
      <c r="O91" s="379"/>
      <c r="P91" s="379"/>
      <c r="Q91" s="379"/>
      <c r="R91" s="379"/>
      <c r="S91" s="379"/>
      <c r="T91" s="379"/>
      <c r="U91" s="441">
        <f>-109-51-1</f>
        <v>-161</v>
      </c>
      <c r="V91" s="410"/>
      <c r="W91" s="6"/>
      <c r="X91" s="64"/>
    </row>
    <row r="92" spans="1:24" ht="15.6">
      <c r="A92" s="444">
        <v>3</v>
      </c>
      <c r="B92" s="379" t="s">
        <v>38</v>
      </c>
      <c r="C92" s="379"/>
      <c r="D92" s="379"/>
      <c r="E92" s="379"/>
      <c r="F92" s="379"/>
      <c r="G92" s="379"/>
      <c r="H92" s="379"/>
      <c r="I92" s="379"/>
      <c r="J92" s="379"/>
      <c r="K92" s="379"/>
      <c r="L92" s="379"/>
      <c r="M92" s="379"/>
      <c r="N92" s="379"/>
      <c r="O92" s="379"/>
      <c r="P92" s="379"/>
      <c r="Q92" s="379"/>
      <c r="R92" s="379"/>
      <c r="S92" s="379"/>
      <c r="T92" s="379"/>
      <c r="U92" s="441">
        <v>-20</v>
      </c>
      <c r="V92" s="410"/>
      <c r="W92" s="6"/>
      <c r="X92" s="64"/>
    </row>
    <row r="93" spans="1:24" ht="15.6">
      <c r="A93" s="447" t="s">
        <v>190</v>
      </c>
      <c r="B93" s="379" t="s">
        <v>169</v>
      </c>
      <c r="C93" s="379"/>
      <c r="D93" s="379"/>
      <c r="E93" s="379"/>
      <c r="F93" s="379"/>
      <c r="G93" s="379"/>
      <c r="H93" s="379"/>
      <c r="I93" s="379"/>
      <c r="J93" s="379"/>
      <c r="K93" s="379"/>
      <c r="L93" s="379"/>
      <c r="M93" s="379"/>
      <c r="N93" s="379"/>
      <c r="O93" s="379"/>
      <c r="P93" s="379"/>
      <c r="Q93" s="379"/>
      <c r="R93" s="379"/>
      <c r="S93" s="379"/>
      <c r="T93" s="379"/>
      <c r="U93" s="441">
        <v>-54</v>
      </c>
      <c r="V93" s="410"/>
      <c r="W93" s="6"/>
      <c r="X93" s="64"/>
    </row>
    <row r="94" spans="1:24" ht="15.6">
      <c r="A94" s="447" t="s">
        <v>191</v>
      </c>
      <c r="B94" s="379" t="s">
        <v>170</v>
      </c>
      <c r="C94" s="379"/>
      <c r="D94" s="379"/>
      <c r="E94" s="379"/>
      <c r="F94" s="379"/>
      <c r="G94" s="379"/>
      <c r="H94" s="379"/>
      <c r="I94" s="379"/>
      <c r="J94" s="379"/>
      <c r="K94" s="379"/>
      <c r="L94" s="379"/>
      <c r="M94" s="379"/>
      <c r="N94" s="379"/>
      <c r="O94" s="379"/>
      <c r="P94" s="379"/>
      <c r="Q94" s="379"/>
      <c r="R94" s="379"/>
      <c r="S94" s="379"/>
      <c r="T94" s="379"/>
      <c r="U94" s="441">
        <v>-70</v>
      </c>
      <c r="V94" s="410"/>
      <c r="W94" s="6"/>
      <c r="X94" s="182"/>
    </row>
    <row r="95" spans="1:24" ht="15.6">
      <c r="A95" s="444">
        <v>5</v>
      </c>
      <c r="B95" s="379" t="s">
        <v>171</v>
      </c>
      <c r="C95" s="379"/>
      <c r="D95" s="379"/>
      <c r="E95" s="379"/>
      <c r="F95" s="379"/>
      <c r="G95" s="379"/>
      <c r="H95" s="379"/>
      <c r="I95" s="379"/>
      <c r="J95" s="379"/>
      <c r="K95" s="379"/>
      <c r="L95" s="379"/>
      <c r="M95" s="379"/>
      <c r="N95" s="379"/>
      <c r="O95" s="379"/>
      <c r="P95" s="379"/>
      <c r="Q95" s="379"/>
      <c r="R95" s="379"/>
      <c r="S95" s="379"/>
      <c r="T95" s="379"/>
      <c r="U95" s="441">
        <v>-8</v>
      </c>
      <c r="V95" s="410"/>
      <c r="W95" s="6"/>
    </row>
    <row r="96" spans="1:24" ht="15.6">
      <c r="A96" s="447" t="s">
        <v>174</v>
      </c>
      <c r="B96" s="379" t="s">
        <v>172</v>
      </c>
      <c r="C96" s="379"/>
      <c r="D96" s="379"/>
      <c r="E96" s="379"/>
      <c r="F96" s="379"/>
      <c r="G96" s="379"/>
      <c r="H96" s="379"/>
      <c r="I96" s="379"/>
      <c r="J96" s="379"/>
      <c r="K96" s="379"/>
      <c r="L96" s="379"/>
      <c r="M96" s="379"/>
      <c r="N96" s="379"/>
      <c r="O96" s="379"/>
      <c r="P96" s="379"/>
      <c r="Q96" s="379"/>
      <c r="R96" s="379"/>
      <c r="S96" s="379"/>
      <c r="T96" s="379"/>
      <c r="U96" s="441">
        <v>-24</v>
      </c>
      <c r="V96" s="410"/>
      <c r="W96" s="6"/>
      <c r="X96" s="182"/>
    </row>
    <row r="97" spans="1:24" ht="15.6">
      <c r="A97" s="447" t="s">
        <v>176</v>
      </c>
      <c r="B97" s="379" t="s">
        <v>173</v>
      </c>
      <c r="C97" s="379"/>
      <c r="D97" s="379"/>
      <c r="E97" s="379"/>
      <c r="F97" s="379"/>
      <c r="G97" s="379"/>
      <c r="H97" s="379"/>
      <c r="I97" s="379"/>
      <c r="J97" s="379"/>
      <c r="K97" s="379"/>
      <c r="L97" s="379"/>
      <c r="M97" s="379"/>
      <c r="N97" s="379"/>
      <c r="O97" s="379"/>
      <c r="P97" s="379"/>
      <c r="Q97" s="379"/>
      <c r="R97" s="379"/>
      <c r="S97" s="379"/>
      <c r="T97" s="379"/>
      <c r="U97" s="441">
        <v>-38</v>
      </c>
      <c r="V97" s="410"/>
      <c r="W97" s="119"/>
      <c r="X97" s="182"/>
    </row>
    <row r="98" spans="1:24" ht="15.6">
      <c r="A98" s="447" t="s">
        <v>178</v>
      </c>
      <c r="B98" s="379" t="s">
        <v>175</v>
      </c>
      <c r="C98" s="379"/>
      <c r="D98" s="379"/>
      <c r="E98" s="379"/>
      <c r="F98" s="379"/>
      <c r="G98" s="379"/>
      <c r="H98" s="379"/>
      <c r="I98" s="379"/>
      <c r="J98" s="379"/>
      <c r="K98" s="379"/>
      <c r="L98" s="379"/>
      <c r="M98" s="379"/>
      <c r="N98" s="379"/>
      <c r="O98" s="379"/>
      <c r="P98" s="379"/>
      <c r="Q98" s="379"/>
      <c r="R98" s="379"/>
      <c r="S98" s="379"/>
      <c r="T98" s="379"/>
      <c r="U98" s="441">
        <v>-38</v>
      </c>
      <c r="V98" s="410"/>
      <c r="W98" s="6"/>
      <c r="X98" s="182"/>
    </row>
    <row r="99" spans="1:24" ht="15.6">
      <c r="A99" s="447" t="s">
        <v>180</v>
      </c>
      <c r="B99" s="379" t="s">
        <v>177</v>
      </c>
      <c r="C99" s="379"/>
      <c r="D99" s="379"/>
      <c r="E99" s="379"/>
      <c r="F99" s="379"/>
      <c r="G99" s="379"/>
      <c r="H99" s="379"/>
      <c r="I99" s="379"/>
      <c r="J99" s="379"/>
      <c r="K99" s="379"/>
      <c r="L99" s="379"/>
      <c r="M99" s="379"/>
      <c r="N99" s="379"/>
      <c r="O99" s="379"/>
      <c r="P99" s="379"/>
      <c r="Q99" s="379"/>
      <c r="R99" s="379"/>
      <c r="S99" s="379"/>
      <c r="T99" s="379"/>
      <c r="U99" s="441">
        <v>-50</v>
      </c>
      <c r="V99" s="410"/>
      <c r="W99" s="119"/>
      <c r="X99" s="182"/>
    </row>
    <row r="100" spans="1:24" ht="15.6">
      <c r="A100" s="447" t="s">
        <v>192</v>
      </c>
      <c r="B100" s="379" t="s">
        <v>179</v>
      </c>
      <c r="C100" s="379"/>
      <c r="D100" s="379"/>
      <c r="E100" s="379"/>
      <c r="F100" s="379"/>
      <c r="G100" s="379"/>
      <c r="H100" s="379"/>
      <c r="I100" s="379"/>
      <c r="J100" s="379"/>
      <c r="K100" s="379"/>
      <c r="L100" s="379"/>
      <c r="M100" s="379"/>
      <c r="N100" s="379"/>
      <c r="O100" s="379"/>
      <c r="P100" s="379"/>
      <c r="Q100" s="379"/>
      <c r="R100" s="379"/>
      <c r="S100" s="379"/>
      <c r="T100" s="379"/>
      <c r="U100" s="441">
        <v>-73</v>
      </c>
      <c r="V100" s="410"/>
      <c r="W100" s="6"/>
      <c r="X100" s="182"/>
    </row>
    <row r="101" spans="1:24" ht="15.6">
      <c r="A101" s="447" t="s">
        <v>193</v>
      </c>
      <c r="B101" s="379" t="s">
        <v>181</v>
      </c>
      <c r="C101" s="379"/>
      <c r="D101" s="379"/>
      <c r="E101" s="379"/>
      <c r="F101" s="379"/>
      <c r="G101" s="379"/>
      <c r="H101" s="379"/>
      <c r="I101" s="379"/>
      <c r="J101" s="379"/>
      <c r="K101" s="379"/>
      <c r="L101" s="379"/>
      <c r="M101" s="379"/>
      <c r="N101" s="379"/>
      <c r="O101" s="379"/>
      <c r="P101" s="379"/>
      <c r="Q101" s="379"/>
      <c r="R101" s="379"/>
      <c r="S101" s="379"/>
      <c r="T101" s="379"/>
      <c r="U101" s="441">
        <v>-63</v>
      </c>
      <c r="V101" s="410"/>
      <c r="W101" s="119"/>
      <c r="X101" s="182"/>
    </row>
    <row r="102" spans="1:24" ht="15.6">
      <c r="A102" s="444">
        <v>9</v>
      </c>
      <c r="B102" s="379" t="s">
        <v>257</v>
      </c>
      <c r="C102" s="379"/>
      <c r="D102" s="379"/>
      <c r="E102" s="379"/>
      <c r="F102" s="379"/>
      <c r="G102" s="379"/>
      <c r="H102" s="379"/>
      <c r="I102" s="379"/>
      <c r="J102" s="379"/>
      <c r="K102" s="379"/>
      <c r="L102" s="379"/>
      <c r="M102" s="379"/>
      <c r="N102" s="379"/>
      <c r="O102" s="379"/>
      <c r="P102" s="379"/>
      <c r="Q102" s="379"/>
      <c r="R102" s="379"/>
      <c r="S102" s="379"/>
      <c r="T102" s="379"/>
      <c r="U102" s="441">
        <f>+S219-U32</f>
        <v>-4556.4695999999822</v>
      </c>
      <c r="V102" s="410"/>
      <c r="W102" s="6"/>
      <c r="X102" s="182"/>
    </row>
    <row r="103" spans="1:24" ht="15.6">
      <c r="A103" s="444">
        <v>10</v>
      </c>
      <c r="B103" s="379" t="s">
        <v>234</v>
      </c>
      <c r="C103" s="379"/>
      <c r="D103" s="379"/>
      <c r="E103" s="379"/>
      <c r="F103" s="379"/>
      <c r="G103" s="379"/>
      <c r="H103" s="379"/>
      <c r="I103" s="379"/>
      <c r="J103" s="379"/>
      <c r="K103" s="379"/>
      <c r="L103" s="379"/>
      <c r="M103" s="379"/>
      <c r="N103" s="379"/>
      <c r="O103" s="379"/>
      <c r="P103" s="379"/>
      <c r="Q103" s="379"/>
      <c r="R103" s="379"/>
      <c r="S103" s="379"/>
      <c r="T103" s="379"/>
      <c r="U103" s="441">
        <v>-40500</v>
      </c>
      <c r="V103" s="410"/>
      <c r="W103" s="6"/>
      <c r="X103" s="64"/>
    </row>
    <row r="104" spans="1:24" ht="15.6">
      <c r="A104" s="444">
        <v>11</v>
      </c>
      <c r="B104" s="379" t="s">
        <v>183</v>
      </c>
      <c r="C104" s="379"/>
      <c r="D104" s="379"/>
      <c r="E104" s="379"/>
      <c r="F104" s="379"/>
      <c r="G104" s="379"/>
      <c r="H104" s="379"/>
      <c r="I104" s="379"/>
      <c r="J104" s="379"/>
      <c r="K104" s="379"/>
      <c r="L104" s="379"/>
      <c r="M104" s="379"/>
      <c r="N104" s="379"/>
      <c r="O104" s="379"/>
      <c r="P104" s="379"/>
      <c r="Q104" s="379"/>
      <c r="R104" s="379"/>
      <c r="S104" s="379"/>
      <c r="T104" s="379"/>
      <c r="U104" s="441">
        <v>0</v>
      </c>
      <c r="V104" s="410"/>
      <c r="W104" s="6"/>
      <c r="X104" s="64"/>
    </row>
    <row r="105" spans="1:24" ht="15.6">
      <c r="A105" s="444">
        <v>12</v>
      </c>
      <c r="B105" s="379" t="s">
        <v>184</v>
      </c>
      <c r="C105" s="379"/>
      <c r="D105" s="379"/>
      <c r="E105" s="379"/>
      <c r="F105" s="379"/>
      <c r="G105" s="379"/>
      <c r="H105" s="379"/>
      <c r="I105" s="379"/>
      <c r="J105" s="379"/>
      <c r="K105" s="379"/>
      <c r="L105" s="379"/>
      <c r="M105" s="379"/>
      <c r="N105" s="379"/>
      <c r="O105" s="379"/>
      <c r="P105" s="379"/>
      <c r="Q105" s="379"/>
      <c r="R105" s="379"/>
      <c r="S105" s="379"/>
      <c r="T105" s="379"/>
      <c r="U105" s="441">
        <v>-123</v>
      </c>
      <c r="V105" s="410"/>
      <c r="W105" s="6"/>
      <c r="X105" s="182"/>
    </row>
    <row r="106" spans="1:24" ht="15.6">
      <c r="A106" s="444">
        <v>13</v>
      </c>
      <c r="B106" s="379" t="s">
        <v>40</v>
      </c>
      <c r="C106" s="379"/>
      <c r="D106" s="379"/>
      <c r="E106" s="379"/>
      <c r="F106" s="379"/>
      <c r="G106" s="379"/>
      <c r="H106" s="379"/>
      <c r="I106" s="379"/>
      <c r="J106" s="379"/>
      <c r="K106" s="379"/>
      <c r="L106" s="379"/>
      <c r="M106" s="379"/>
      <c r="N106" s="379"/>
      <c r="O106" s="379"/>
      <c r="P106" s="379"/>
      <c r="Q106" s="379"/>
      <c r="R106" s="379"/>
      <c r="S106" s="379"/>
      <c r="T106" s="379"/>
      <c r="U106" s="441">
        <f>-SUM(U87:V105)</f>
        <v>-1837.5304000000178</v>
      </c>
      <c r="V106" s="410"/>
      <c r="W106" s="6"/>
      <c r="X106" s="182"/>
    </row>
    <row r="107" spans="1:24" ht="15.6">
      <c r="A107" s="316"/>
      <c r="B107" s="443"/>
      <c r="C107" s="364"/>
      <c r="D107" s="364"/>
      <c r="E107" s="364"/>
      <c r="F107" s="364"/>
      <c r="G107" s="364"/>
      <c r="H107" s="364"/>
      <c r="I107" s="364"/>
      <c r="J107" s="364"/>
      <c r="K107" s="364"/>
      <c r="L107" s="364"/>
      <c r="M107" s="364"/>
      <c r="N107" s="364"/>
      <c r="O107" s="364"/>
      <c r="P107" s="364"/>
      <c r="Q107" s="364"/>
      <c r="R107" s="364"/>
      <c r="S107" s="360"/>
      <c r="T107" s="360"/>
      <c r="U107" s="360"/>
      <c r="V107" s="303"/>
      <c r="W107" s="6"/>
      <c r="X107" s="182"/>
    </row>
    <row r="108" spans="1:24" ht="15.6">
      <c r="A108" s="316"/>
      <c r="B108" s="317"/>
      <c r="C108" s="288"/>
      <c r="D108" s="288"/>
      <c r="E108" s="288"/>
      <c r="F108" s="288"/>
      <c r="G108" s="288"/>
      <c r="H108" s="288"/>
      <c r="I108" s="288"/>
      <c r="J108" s="288"/>
      <c r="K108" s="288"/>
      <c r="L108" s="288"/>
      <c r="M108" s="288"/>
      <c r="N108" s="288"/>
      <c r="O108" s="288"/>
      <c r="P108" s="288"/>
      <c r="Q108" s="288"/>
      <c r="R108" s="288"/>
      <c r="S108" s="318"/>
      <c r="T108" s="318"/>
      <c r="U108" s="318"/>
      <c r="V108" s="303"/>
      <c r="W108" s="6"/>
    </row>
    <row r="109" spans="1:24" ht="16.2" thickBot="1">
      <c r="A109" s="319"/>
      <c r="B109" s="304" t="str">
        <f>+B59</f>
        <v>PPAF3 INVESTOR REPORT QUARTER ENDING DECEMBER 2014</v>
      </c>
      <c r="C109" s="305"/>
      <c r="D109" s="305"/>
      <c r="E109" s="305"/>
      <c r="F109" s="305"/>
      <c r="G109" s="305"/>
      <c r="H109" s="305"/>
      <c r="I109" s="305"/>
      <c r="J109" s="305"/>
      <c r="K109" s="305"/>
      <c r="L109" s="305"/>
      <c r="M109" s="305"/>
      <c r="N109" s="305"/>
      <c r="O109" s="305"/>
      <c r="P109" s="305"/>
      <c r="Q109" s="305"/>
      <c r="R109" s="305"/>
      <c r="S109" s="320"/>
      <c r="T109" s="320"/>
      <c r="U109" s="320"/>
      <c r="V109" s="307"/>
      <c r="W109" s="6"/>
    </row>
    <row r="110" spans="1:24" ht="15.6">
      <c r="A110" s="238"/>
      <c r="B110" s="240"/>
      <c r="C110" s="240"/>
      <c r="D110" s="240"/>
      <c r="E110" s="240"/>
      <c r="F110" s="240"/>
      <c r="G110" s="240"/>
      <c r="H110" s="240"/>
      <c r="I110" s="240"/>
      <c r="J110" s="240"/>
      <c r="K110" s="240"/>
      <c r="L110" s="240"/>
      <c r="M110" s="240"/>
      <c r="N110" s="240"/>
      <c r="O110" s="240"/>
      <c r="P110" s="240"/>
      <c r="Q110" s="240"/>
      <c r="R110" s="240"/>
      <c r="S110" s="269"/>
      <c r="T110" s="269"/>
      <c r="U110" s="269"/>
      <c r="V110" s="241"/>
      <c r="W110" s="6"/>
    </row>
    <row r="111" spans="1:24" ht="15.6">
      <c r="A111" s="321"/>
      <c r="B111" s="517" t="s">
        <v>41</v>
      </c>
      <c r="C111" s="322"/>
      <c r="D111" s="322"/>
      <c r="E111" s="322"/>
      <c r="F111" s="322"/>
      <c r="G111" s="322"/>
      <c r="H111" s="322"/>
      <c r="I111" s="322"/>
      <c r="J111" s="322"/>
      <c r="K111" s="322"/>
      <c r="L111" s="322"/>
      <c r="M111" s="322"/>
      <c r="N111" s="322"/>
      <c r="O111" s="322"/>
      <c r="P111" s="322"/>
      <c r="Q111" s="322"/>
      <c r="R111" s="322"/>
      <c r="S111" s="322"/>
      <c r="T111" s="322"/>
      <c r="U111" s="323"/>
      <c r="V111" s="324"/>
      <c r="W111" s="6"/>
    </row>
    <row r="112" spans="1:24" ht="15.6">
      <c r="A112" s="270"/>
      <c r="B112" s="271"/>
      <c r="C112" s="271"/>
      <c r="D112" s="271"/>
      <c r="E112" s="271"/>
      <c r="F112" s="271"/>
      <c r="G112" s="271"/>
      <c r="H112" s="271"/>
      <c r="I112" s="271"/>
      <c r="J112" s="271"/>
      <c r="K112" s="271"/>
      <c r="L112" s="271"/>
      <c r="M112" s="271"/>
      <c r="N112" s="271"/>
      <c r="O112" s="271"/>
      <c r="P112" s="271"/>
      <c r="Q112" s="271"/>
      <c r="R112" s="271"/>
      <c r="S112" s="271"/>
      <c r="T112" s="271"/>
      <c r="U112" s="272"/>
      <c r="V112" s="273"/>
      <c r="W112" s="6"/>
    </row>
    <row r="113" spans="1:24" ht="15.6">
      <c r="A113" s="242"/>
      <c r="B113" s="274" t="s">
        <v>42</v>
      </c>
      <c r="C113" s="252"/>
      <c r="D113" s="252"/>
      <c r="E113" s="252"/>
      <c r="F113" s="252"/>
      <c r="G113" s="252"/>
      <c r="H113" s="252"/>
      <c r="I113" s="252"/>
      <c r="J113" s="252"/>
      <c r="K113" s="252"/>
      <c r="L113" s="252"/>
      <c r="M113" s="244"/>
      <c r="N113" s="244"/>
      <c r="O113" s="244"/>
      <c r="P113" s="244"/>
      <c r="Q113" s="244"/>
      <c r="R113" s="244"/>
      <c r="S113" s="244"/>
      <c r="T113" s="244"/>
      <c r="U113" s="263"/>
      <c r="V113" s="245"/>
      <c r="W113" s="6"/>
    </row>
    <row r="114" spans="1:24" ht="15.6">
      <c r="A114" s="378"/>
      <c r="B114" s="379" t="s">
        <v>43</v>
      </c>
      <c r="C114" s="379"/>
      <c r="D114" s="379"/>
      <c r="E114" s="379"/>
      <c r="F114" s="379"/>
      <c r="G114" s="379"/>
      <c r="H114" s="379"/>
      <c r="I114" s="379"/>
      <c r="J114" s="379"/>
      <c r="K114" s="379"/>
      <c r="L114" s="379"/>
      <c r="M114" s="379"/>
      <c r="N114" s="379"/>
      <c r="O114" s="379"/>
      <c r="P114" s="379"/>
      <c r="Q114" s="379"/>
      <c r="R114" s="379"/>
      <c r="S114" s="379"/>
      <c r="T114" s="379"/>
      <c r="U114" s="441">
        <v>40500</v>
      </c>
      <c r="V114" s="410"/>
      <c r="W114" s="6"/>
    </row>
    <row r="115" spans="1:24" ht="15.6">
      <c r="A115" s="378"/>
      <c r="B115" s="379" t="s">
        <v>240</v>
      </c>
      <c r="C115" s="379"/>
      <c r="D115" s="379"/>
      <c r="E115" s="379"/>
      <c r="F115" s="379"/>
      <c r="G115" s="379"/>
      <c r="H115" s="379"/>
      <c r="I115" s="379"/>
      <c r="J115" s="379"/>
      <c r="K115" s="379"/>
      <c r="L115" s="379"/>
      <c r="M115" s="379"/>
      <c r="N115" s="379"/>
      <c r="O115" s="379"/>
      <c r="P115" s="379"/>
      <c r="Q115" s="379"/>
      <c r="R115" s="379"/>
      <c r="S115" s="379"/>
      <c r="T115" s="379"/>
      <c r="U115" s="441">
        <v>40500</v>
      </c>
      <c r="V115" s="410"/>
      <c r="W115" s="6"/>
    </row>
    <row r="116" spans="1:24" ht="15.6">
      <c r="A116" s="378"/>
      <c r="B116" s="379" t="s">
        <v>241</v>
      </c>
      <c r="C116" s="379"/>
      <c r="D116" s="379"/>
      <c r="E116" s="379"/>
      <c r="F116" s="379"/>
      <c r="G116" s="379"/>
      <c r="H116" s="379"/>
      <c r="I116" s="379"/>
      <c r="J116" s="379"/>
      <c r="K116" s="379"/>
      <c r="L116" s="379"/>
      <c r="M116" s="379"/>
      <c r="N116" s="379"/>
      <c r="O116" s="379"/>
      <c r="P116" s="379"/>
      <c r="Q116" s="379"/>
      <c r="R116" s="379"/>
      <c r="S116" s="379"/>
      <c r="T116" s="379"/>
      <c r="U116" s="441">
        <v>0</v>
      </c>
      <c r="V116" s="410"/>
      <c r="W116" s="6"/>
    </row>
    <row r="117" spans="1:24" ht="15.6">
      <c r="A117" s="378"/>
      <c r="B117" s="379" t="s">
        <v>209</v>
      </c>
      <c r="C117" s="379"/>
      <c r="D117" s="379"/>
      <c r="E117" s="379"/>
      <c r="F117" s="379"/>
      <c r="G117" s="379"/>
      <c r="H117" s="379"/>
      <c r="I117" s="379"/>
      <c r="J117" s="379"/>
      <c r="K117" s="379"/>
      <c r="L117" s="379"/>
      <c r="M117" s="379"/>
      <c r="N117" s="379"/>
      <c r="O117" s="379"/>
      <c r="P117" s="379"/>
      <c r="Q117" s="379"/>
      <c r="R117" s="379"/>
      <c r="S117" s="379"/>
      <c r="T117" s="379"/>
      <c r="U117" s="441">
        <v>0</v>
      </c>
      <c r="V117" s="410"/>
      <c r="W117" s="6"/>
    </row>
    <row r="118" spans="1:24" ht="15.6">
      <c r="A118" s="378"/>
      <c r="B118" s="379" t="s">
        <v>210</v>
      </c>
      <c r="C118" s="379"/>
      <c r="D118" s="379"/>
      <c r="E118" s="379"/>
      <c r="F118" s="379"/>
      <c r="G118" s="379"/>
      <c r="H118" s="379"/>
      <c r="I118" s="379"/>
      <c r="J118" s="379"/>
      <c r="K118" s="379"/>
      <c r="L118" s="379"/>
      <c r="M118" s="379"/>
      <c r="N118" s="379"/>
      <c r="O118" s="379"/>
      <c r="P118" s="379"/>
      <c r="Q118" s="379"/>
      <c r="R118" s="379"/>
      <c r="S118" s="379"/>
      <c r="T118" s="379"/>
      <c r="U118" s="441">
        <v>0</v>
      </c>
      <c r="V118" s="410"/>
      <c r="W118" s="6"/>
    </row>
    <row r="119" spans="1:24" ht="15.6">
      <c r="A119" s="378"/>
      <c r="B119" s="379" t="s">
        <v>211</v>
      </c>
      <c r="C119" s="379"/>
      <c r="D119" s="379"/>
      <c r="E119" s="379"/>
      <c r="F119" s="379"/>
      <c r="G119" s="379"/>
      <c r="H119" s="379"/>
      <c r="I119" s="379"/>
      <c r="J119" s="379"/>
      <c r="K119" s="379"/>
      <c r="L119" s="379"/>
      <c r="M119" s="379"/>
      <c r="N119" s="379"/>
      <c r="O119" s="379"/>
      <c r="P119" s="379"/>
      <c r="Q119" s="379"/>
      <c r="R119" s="379"/>
      <c r="S119" s="379"/>
      <c r="T119" s="379"/>
      <c r="U119" s="441">
        <v>0</v>
      </c>
      <c r="V119" s="410"/>
      <c r="W119" s="6"/>
    </row>
    <row r="120" spans="1:24" ht="15.6">
      <c r="A120" s="378"/>
      <c r="B120" s="379" t="s">
        <v>212</v>
      </c>
      <c r="C120" s="379"/>
      <c r="D120" s="379"/>
      <c r="E120" s="379"/>
      <c r="F120" s="379"/>
      <c r="G120" s="379"/>
      <c r="H120" s="379"/>
      <c r="I120" s="379"/>
      <c r="J120" s="379"/>
      <c r="K120" s="379"/>
      <c r="L120" s="379"/>
      <c r="M120" s="379"/>
      <c r="N120" s="379"/>
      <c r="O120" s="379"/>
      <c r="P120" s="379"/>
      <c r="Q120" s="379"/>
      <c r="R120" s="379"/>
      <c r="S120" s="379"/>
      <c r="T120" s="379"/>
      <c r="U120" s="441">
        <v>0</v>
      </c>
      <c r="V120" s="410"/>
      <c r="W120" s="6"/>
    </row>
    <row r="121" spans="1:24" ht="15.6">
      <c r="A121" s="378"/>
      <c r="B121" s="379" t="s">
        <v>242</v>
      </c>
      <c r="C121" s="379"/>
      <c r="D121" s="379"/>
      <c r="E121" s="379"/>
      <c r="F121" s="379"/>
      <c r="G121" s="379"/>
      <c r="H121" s="379"/>
      <c r="I121" s="379"/>
      <c r="J121" s="379"/>
      <c r="K121" s="379"/>
      <c r="L121" s="379"/>
      <c r="M121" s="379"/>
      <c r="N121" s="379"/>
      <c r="O121" s="379"/>
      <c r="P121" s="379"/>
      <c r="Q121" s="379"/>
      <c r="R121" s="379"/>
      <c r="S121" s="379"/>
      <c r="T121" s="379"/>
      <c r="U121" s="441">
        <v>0</v>
      </c>
      <c r="V121" s="410"/>
      <c r="W121" s="6"/>
    </row>
    <row r="122" spans="1:24" ht="15.6">
      <c r="A122" s="378"/>
      <c r="B122" s="379" t="s">
        <v>45</v>
      </c>
      <c r="C122" s="379"/>
      <c r="D122" s="379"/>
      <c r="E122" s="379"/>
      <c r="F122" s="379"/>
      <c r="G122" s="379"/>
      <c r="H122" s="379"/>
      <c r="I122" s="379"/>
      <c r="J122" s="379"/>
      <c r="K122" s="379"/>
      <c r="L122" s="379"/>
      <c r="M122" s="379"/>
      <c r="N122" s="379"/>
      <c r="O122" s="379"/>
      <c r="P122" s="379"/>
      <c r="Q122" s="379"/>
      <c r="R122" s="379"/>
      <c r="S122" s="379"/>
      <c r="T122" s="379"/>
      <c r="U122" s="441">
        <f>SUM(U115:U121)</f>
        <v>40500</v>
      </c>
      <c r="V122" s="410"/>
      <c r="W122" s="6"/>
    </row>
    <row r="123" spans="1:24" ht="15.6">
      <c r="A123" s="242"/>
      <c r="B123" s="438"/>
      <c r="C123" s="438"/>
      <c r="D123" s="438"/>
      <c r="E123" s="438"/>
      <c r="F123" s="438"/>
      <c r="G123" s="438"/>
      <c r="H123" s="438"/>
      <c r="I123" s="438"/>
      <c r="J123" s="438"/>
      <c r="K123" s="438"/>
      <c r="L123" s="438"/>
      <c r="M123" s="438"/>
      <c r="N123" s="438"/>
      <c r="O123" s="438"/>
      <c r="P123" s="438"/>
      <c r="Q123" s="438"/>
      <c r="R123" s="438"/>
      <c r="S123" s="438"/>
      <c r="T123" s="438"/>
      <c r="U123" s="448"/>
      <c r="V123" s="245"/>
      <c r="W123" s="6"/>
    </row>
    <row r="124" spans="1:24" ht="15.6">
      <c r="A124" s="242"/>
      <c r="B124" s="274" t="s">
        <v>46</v>
      </c>
      <c r="C124" s="252"/>
      <c r="D124" s="252"/>
      <c r="E124" s="252"/>
      <c r="F124" s="252"/>
      <c r="G124" s="252"/>
      <c r="H124" s="252"/>
      <c r="I124" s="252"/>
      <c r="J124" s="252"/>
      <c r="K124" s="252"/>
      <c r="L124" s="252"/>
      <c r="M124" s="244"/>
      <c r="N124" s="244"/>
      <c r="O124" s="244"/>
      <c r="P124" s="275"/>
      <c r="Q124" s="244"/>
      <c r="R124" s="244"/>
      <c r="S124" s="244"/>
      <c r="T124" s="244"/>
      <c r="U124" s="276"/>
      <c r="V124" s="245"/>
      <c r="W124" s="6"/>
    </row>
    <row r="125" spans="1:24" ht="15.6">
      <c r="A125" s="230"/>
      <c r="B125" s="511"/>
      <c r="C125" s="232" t="s">
        <v>185</v>
      </c>
      <c r="D125" s="232"/>
      <c r="E125" s="232" t="s">
        <v>99</v>
      </c>
      <c r="F125" s="232"/>
      <c r="G125" s="232" t="s">
        <v>102</v>
      </c>
      <c r="H125" s="232"/>
      <c r="I125" s="232" t="s">
        <v>108</v>
      </c>
      <c r="J125" s="232"/>
      <c r="K125" s="232"/>
      <c r="L125" s="232"/>
      <c r="M125" s="232"/>
      <c r="N125" s="232"/>
      <c r="O125" s="232"/>
      <c r="P125" s="326"/>
      <c r="Q125" s="326"/>
      <c r="R125" s="231"/>
      <c r="S125" s="231"/>
      <c r="T125" s="231"/>
      <c r="U125" s="309"/>
      <c r="V125" s="237"/>
      <c r="W125" s="6"/>
    </row>
    <row r="126" spans="1:24" ht="15.6">
      <c r="A126" s="257"/>
      <c r="B126" s="294" t="s">
        <v>122</v>
      </c>
      <c r="C126" s="310">
        <f>+N199-'Sept 14'!N199</f>
        <v>-8</v>
      </c>
      <c r="D126" s="294"/>
      <c r="E126" s="310">
        <f>+S199-'Sept 14'!S199</f>
        <v>-27</v>
      </c>
      <c r="F126" s="294"/>
      <c r="G126" s="310">
        <f>+'Dec 14'!N212-'Sept 14'!N212</f>
        <v>178</v>
      </c>
      <c r="H126" s="294"/>
      <c r="I126" s="310">
        <f>+S212-'Sept 14'!S212</f>
        <v>-132</v>
      </c>
      <c r="J126" s="294"/>
      <c r="K126" s="294"/>
      <c r="L126" s="294"/>
      <c r="M126" s="294"/>
      <c r="N126" s="294"/>
      <c r="O126" s="294"/>
      <c r="P126" s="325"/>
      <c r="Q126" s="325"/>
      <c r="R126" s="294"/>
      <c r="S126" s="294"/>
      <c r="T126" s="294"/>
      <c r="U126" s="311">
        <f>SUM(C126:I126)</f>
        <v>11</v>
      </c>
      <c r="V126" s="298"/>
      <c r="W126" s="6"/>
      <c r="X126" s="182"/>
    </row>
    <row r="127" spans="1:24" ht="15.6">
      <c r="A127" s="378"/>
      <c r="B127" s="379" t="s">
        <v>47</v>
      </c>
      <c r="C127" s="379">
        <v>32</v>
      </c>
      <c r="D127" s="379"/>
      <c r="E127" s="379">
        <v>0</v>
      </c>
      <c r="F127" s="379"/>
      <c r="G127" s="379">
        <v>261</v>
      </c>
      <c r="H127" s="379"/>
      <c r="I127" s="440">
        <v>131</v>
      </c>
      <c r="J127" s="379"/>
      <c r="K127" s="379"/>
      <c r="L127" s="379"/>
      <c r="M127" s="379"/>
      <c r="N127" s="379"/>
      <c r="O127" s="379"/>
      <c r="P127" s="450"/>
      <c r="Q127" s="450"/>
      <c r="R127" s="379"/>
      <c r="S127" s="379"/>
      <c r="T127" s="379"/>
      <c r="U127" s="441">
        <f>SUM(C127:I127)</f>
        <v>424</v>
      </c>
      <c r="V127" s="410"/>
      <c r="W127" s="6"/>
    </row>
    <row r="128" spans="1:24" ht="15.6">
      <c r="A128" s="242"/>
      <c r="B128" s="364" t="s">
        <v>48</v>
      </c>
      <c r="C128" s="364"/>
      <c r="D128" s="364"/>
      <c r="E128" s="364"/>
      <c r="F128" s="364"/>
      <c r="G128" s="364"/>
      <c r="H128" s="364"/>
      <c r="I128" s="364"/>
      <c r="J128" s="364"/>
      <c r="K128" s="364"/>
      <c r="L128" s="364"/>
      <c r="M128" s="364"/>
      <c r="N128" s="364"/>
      <c r="O128" s="364"/>
      <c r="P128" s="364"/>
      <c r="Q128" s="364"/>
      <c r="R128" s="364"/>
      <c r="S128" s="364"/>
      <c r="T128" s="364"/>
      <c r="U128" s="449">
        <f>SUM(U126:U127)</f>
        <v>435</v>
      </c>
      <c r="V128" s="303"/>
      <c r="W128" s="6"/>
      <c r="X128" s="182"/>
    </row>
    <row r="129" spans="1:25" ht="15.6">
      <c r="A129" s="242"/>
      <c r="B129" s="274" t="s">
        <v>49</v>
      </c>
      <c r="C129" s="252"/>
      <c r="D129" s="252"/>
      <c r="E129" s="252"/>
      <c r="F129" s="252"/>
      <c r="G129" s="252"/>
      <c r="H129" s="252"/>
      <c r="I129" s="252"/>
      <c r="J129" s="252"/>
      <c r="K129" s="252"/>
      <c r="L129" s="252"/>
      <c r="M129" s="244"/>
      <c r="N129" s="244"/>
      <c r="O129" s="244"/>
      <c r="P129" s="244"/>
      <c r="Q129" s="244"/>
      <c r="R129" s="244"/>
      <c r="S129" s="244"/>
      <c r="T129" s="244"/>
      <c r="U129" s="263"/>
      <c r="V129" s="245"/>
      <c r="W129" s="6"/>
    </row>
    <row r="130" spans="1:25" ht="15.6">
      <c r="A130" s="444"/>
      <c r="B130" s="379" t="s">
        <v>50</v>
      </c>
      <c r="C130" s="386"/>
      <c r="D130" s="386"/>
      <c r="E130" s="386"/>
      <c r="F130" s="386"/>
      <c r="G130" s="386"/>
      <c r="H130" s="386"/>
      <c r="I130" s="386"/>
      <c r="J130" s="386"/>
      <c r="K130" s="386"/>
      <c r="L130" s="386"/>
      <c r="M130" s="379"/>
      <c r="N130" s="379"/>
      <c r="O130" s="379"/>
      <c r="P130" s="379"/>
      <c r="Q130" s="379"/>
      <c r="R130" s="379"/>
      <c r="S130" s="379"/>
      <c r="T130" s="379"/>
      <c r="U130" s="441">
        <f>U75+U77</f>
        <v>103536</v>
      </c>
      <c r="V130" s="410"/>
      <c r="W130" s="6"/>
      <c r="X130" s="182"/>
    </row>
    <row r="131" spans="1:25" ht="15.6">
      <c r="A131" s="444"/>
      <c r="B131" s="379" t="s">
        <v>51</v>
      </c>
      <c r="C131" s="386"/>
      <c r="D131" s="386"/>
      <c r="E131" s="386"/>
      <c r="F131" s="386"/>
      <c r="G131" s="386"/>
      <c r="H131" s="386"/>
      <c r="I131" s="386"/>
      <c r="J131" s="386"/>
      <c r="K131" s="386"/>
      <c r="L131" s="386"/>
      <c r="M131" s="379"/>
      <c r="N131" s="379"/>
      <c r="O131" s="379"/>
      <c r="P131" s="379"/>
      <c r="Q131" s="379"/>
      <c r="R131" s="379"/>
      <c r="S131" s="379"/>
      <c r="T131" s="379"/>
      <c r="U131" s="441">
        <v>0</v>
      </c>
      <c r="V131" s="410"/>
      <c r="W131" s="6"/>
      <c r="Y131" s="182"/>
    </row>
    <row r="132" spans="1:25" ht="15.6">
      <c r="A132" s="444"/>
      <c r="B132" s="379" t="s">
        <v>52</v>
      </c>
      <c r="C132" s="386"/>
      <c r="D132" s="386"/>
      <c r="E132" s="386"/>
      <c r="F132" s="386"/>
      <c r="G132" s="386"/>
      <c r="H132" s="386"/>
      <c r="I132" s="386"/>
      <c r="J132" s="386"/>
      <c r="K132" s="386"/>
      <c r="L132" s="386"/>
      <c r="M132" s="379"/>
      <c r="N132" s="379"/>
      <c r="O132" s="379"/>
      <c r="P132" s="379"/>
      <c r="Q132" s="379"/>
      <c r="R132" s="379"/>
      <c r="S132" s="379"/>
      <c r="T132" s="379"/>
      <c r="U132" s="441">
        <f>+U130+U131</f>
        <v>103536</v>
      </c>
      <c r="V132" s="410"/>
      <c r="W132" s="6"/>
    </row>
    <row r="133" spans="1:25" ht="15.6">
      <c r="A133" s="444"/>
      <c r="B133" s="379" t="s">
        <v>53</v>
      </c>
      <c r="C133" s="386"/>
      <c r="D133" s="386"/>
      <c r="E133" s="386"/>
      <c r="F133" s="386"/>
      <c r="G133" s="386"/>
      <c r="H133" s="386"/>
      <c r="I133" s="386"/>
      <c r="J133" s="386"/>
      <c r="K133" s="386"/>
      <c r="L133" s="386"/>
      <c r="M133" s="379"/>
      <c r="N133" s="379"/>
      <c r="O133" s="379"/>
      <c r="P133" s="379"/>
      <c r="Q133" s="379"/>
      <c r="R133" s="379"/>
      <c r="S133" s="379"/>
      <c r="T133" s="379"/>
      <c r="U133" s="441">
        <f>U80</f>
        <v>103536</v>
      </c>
      <c r="V133" s="410"/>
      <c r="W133" s="6"/>
      <c r="X133" s="64"/>
    </row>
    <row r="134" spans="1:25" ht="15.6">
      <c r="A134" s="242"/>
      <c r="B134" s="438"/>
      <c r="C134" s="438"/>
      <c r="D134" s="438"/>
      <c r="E134" s="438"/>
      <c r="F134" s="438"/>
      <c r="G134" s="438"/>
      <c r="H134" s="438"/>
      <c r="I134" s="438"/>
      <c r="J134" s="438"/>
      <c r="K134" s="438"/>
      <c r="L134" s="438"/>
      <c r="M134" s="438"/>
      <c r="N134" s="438"/>
      <c r="O134" s="438"/>
      <c r="P134" s="438"/>
      <c r="Q134" s="438"/>
      <c r="R134" s="438"/>
      <c r="S134" s="438"/>
      <c r="T134" s="438"/>
      <c r="U134" s="451"/>
      <c r="V134" s="245"/>
      <c r="W134" s="6"/>
    </row>
    <row r="135" spans="1:25" ht="15.6">
      <c r="A135" s="242"/>
      <c r="B135" s="274" t="s">
        <v>54</v>
      </c>
      <c r="C135" s="247"/>
      <c r="D135" s="247"/>
      <c r="E135" s="247"/>
      <c r="F135" s="247"/>
      <c r="G135" s="247"/>
      <c r="H135" s="247"/>
      <c r="I135" s="247"/>
      <c r="J135" s="247"/>
      <c r="K135" s="247"/>
      <c r="L135" s="247"/>
      <c r="M135" s="247"/>
      <c r="N135" s="247"/>
      <c r="O135" s="247"/>
      <c r="P135" s="247"/>
      <c r="Q135" s="277" t="s">
        <v>112</v>
      </c>
      <c r="R135" s="278"/>
      <c r="S135" s="277" t="s">
        <v>114</v>
      </c>
      <c r="T135" s="247"/>
      <c r="U135" s="279" t="s">
        <v>90</v>
      </c>
      <c r="V135" s="245"/>
      <c r="W135" s="6"/>
    </row>
    <row r="136" spans="1:25" ht="15.6">
      <c r="A136" s="378"/>
      <c r="B136" s="379" t="s">
        <v>55</v>
      </c>
      <c r="C136" s="379"/>
      <c r="D136" s="379"/>
      <c r="E136" s="379"/>
      <c r="F136" s="379"/>
      <c r="G136" s="379"/>
      <c r="H136" s="379"/>
      <c r="I136" s="379"/>
      <c r="J136" s="379"/>
      <c r="K136" s="379"/>
      <c r="L136" s="379"/>
      <c r="M136" s="379"/>
      <c r="N136" s="379"/>
      <c r="O136" s="379"/>
      <c r="P136" s="379"/>
      <c r="Q136" s="441">
        <v>0</v>
      </c>
      <c r="R136" s="379"/>
      <c r="S136" s="453" t="s">
        <v>115</v>
      </c>
      <c r="T136" s="379"/>
      <c r="U136" s="441">
        <f>Q136</f>
        <v>0</v>
      </c>
      <c r="V136" s="385"/>
      <c r="W136" s="6"/>
    </row>
    <row r="137" spans="1:25" ht="15.6">
      <c r="A137" s="378"/>
      <c r="B137" s="379" t="s">
        <v>56</v>
      </c>
      <c r="C137" s="379"/>
      <c r="D137" s="379"/>
      <c r="E137" s="379"/>
      <c r="F137" s="379"/>
      <c r="G137" s="379"/>
      <c r="H137" s="379"/>
      <c r="I137" s="379"/>
      <c r="J137" s="379"/>
      <c r="K137" s="379"/>
      <c r="L137" s="379"/>
      <c r="M137" s="379"/>
      <c r="N137" s="379"/>
      <c r="O137" s="379"/>
      <c r="P137" s="379"/>
      <c r="Q137" s="441">
        <f>+'June 14'!Q139</f>
        <v>4229</v>
      </c>
      <c r="R137" s="379"/>
      <c r="S137" s="453" t="s">
        <v>115</v>
      </c>
      <c r="T137" s="379"/>
      <c r="U137" s="441">
        <f>Q137</f>
        <v>4229</v>
      </c>
      <c r="V137" s="385"/>
      <c r="W137" s="6"/>
    </row>
    <row r="138" spans="1:25" ht="15.6">
      <c r="A138" s="378"/>
      <c r="B138" s="379" t="s">
        <v>57</v>
      </c>
      <c r="C138" s="379"/>
      <c r="D138" s="379"/>
      <c r="E138" s="379"/>
      <c r="F138" s="379"/>
      <c r="G138" s="379"/>
      <c r="H138" s="379"/>
      <c r="I138" s="379"/>
      <c r="J138" s="379"/>
      <c r="K138" s="379"/>
      <c r="L138" s="379"/>
      <c r="M138" s="379"/>
      <c r="N138" s="379"/>
      <c r="O138" s="379"/>
      <c r="P138" s="379"/>
      <c r="Q138" s="441">
        <v>0</v>
      </c>
      <c r="R138" s="379"/>
      <c r="S138" s="453" t="s">
        <v>115</v>
      </c>
      <c r="T138" s="379"/>
      <c r="U138" s="441">
        <f>Q138</f>
        <v>0</v>
      </c>
      <c r="V138" s="385"/>
      <c r="W138" s="6"/>
    </row>
    <row r="139" spans="1:25" ht="15.6">
      <c r="A139" s="378"/>
      <c r="B139" s="379" t="s">
        <v>58</v>
      </c>
      <c r="C139" s="379"/>
      <c r="D139" s="379"/>
      <c r="E139" s="379"/>
      <c r="F139" s="379"/>
      <c r="G139" s="379"/>
      <c r="H139" s="379"/>
      <c r="I139" s="379"/>
      <c r="J139" s="379"/>
      <c r="K139" s="379"/>
      <c r="L139" s="379"/>
      <c r="M139" s="379"/>
      <c r="N139" s="379"/>
      <c r="O139" s="379"/>
      <c r="P139" s="379"/>
      <c r="Q139" s="441">
        <f>SUM(Q137:Q138)</f>
        <v>4229</v>
      </c>
      <c r="R139" s="379"/>
      <c r="S139" s="453" t="s">
        <v>115</v>
      </c>
      <c r="T139" s="379"/>
      <c r="U139" s="441">
        <f>Q139</f>
        <v>4229</v>
      </c>
      <c r="V139" s="385"/>
      <c r="W139" s="6"/>
    </row>
    <row r="140" spans="1:25" ht="15.6">
      <c r="A140" s="378"/>
      <c r="B140" s="379" t="s">
        <v>215</v>
      </c>
      <c r="C140" s="379"/>
      <c r="D140" s="379"/>
      <c r="E140" s="379"/>
      <c r="F140" s="379"/>
      <c r="G140" s="379"/>
      <c r="H140" s="379"/>
      <c r="I140" s="379"/>
      <c r="J140" s="379"/>
      <c r="K140" s="379"/>
      <c r="L140" s="379"/>
      <c r="M140" s="379"/>
      <c r="N140" s="379"/>
      <c r="O140" s="379"/>
      <c r="P140" s="379"/>
      <c r="Q140" s="441"/>
      <c r="R140" s="379"/>
      <c r="S140" s="453"/>
      <c r="T140" s="379"/>
      <c r="U140" s="441"/>
      <c r="V140" s="385"/>
      <c r="W140" s="6"/>
    </row>
    <row r="141" spans="1:25" ht="15.6">
      <c r="A141" s="378"/>
      <c r="B141" s="454"/>
      <c r="C141" s="454"/>
      <c r="D141" s="454"/>
      <c r="E141" s="454"/>
      <c r="F141" s="454"/>
      <c r="G141" s="454"/>
      <c r="H141" s="454"/>
      <c r="I141" s="454"/>
      <c r="J141" s="454"/>
      <c r="K141" s="454"/>
      <c r="L141" s="454"/>
      <c r="M141" s="454"/>
      <c r="N141" s="454"/>
      <c r="O141" s="454"/>
      <c r="P141" s="454"/>
      <c r="Q141" s="454"/>
      <c r="R141" s="454"/>
      <c r="S141" s="454"/>
      <c r="T141" s="454"/>
      <c r="U141" s="454"/>
      <c r="V141" s="385"/>
      <c r="W141" s="6"/>
    </row>
    <row r="142" spans="1:25" ht="15.6">
      <c r="A142" s="242"/>
      <c r="B142" s="452"/>
      <c r="C142" s="452"/>
      <c r="D142" s="452"/>
      <c r="E142" s="452"/>
      <c r="F142" s="452"/>
      <c r="G142" s="452"/>
      <c r="H142" s="452"/>
      <c r="I142" s="452"/>
      <c r="J142" s="452"/>
      <c r="K142" s="452"/>
      <c r="L142" s="452"/>
      <c r="M142" s="452"/>
      <c r="N142" s="452"/>
      <c r="O142" s="452"/>
      <c r="P142" s="452"/>
      <c r="Q142" s="452"/>
      <c r="R142" s="452"/>
      <c r="S142" s="452"/>
      <c r="T142" s="452"/>
      <c r="U142" s="452"/>
      <c r="V142" s="284"/>
      <c r="W142" s="6"/>
    </row>
    <row r="143" spans="1:25" ht="15.6">
      <c r="A143" s="230"/>
      <c r="B143" s="511" t="s">
        <v>59</v>
      </c>
      <c r="C143" s="518"/>
      <c r="D143" s="518"/>
      <c r="E143" s="518"/>
      <c r="F143" s="518"/>
      <c r="G143" s="518"/>
      <c r="H143" s="518"/>
      <c r="I143" s="518"/>
      <c r="J143" s="518"/>
      <c r="K143" s="518"/>
      <c r="L143" s="518"/>
      <c r="M143" s="518"/>
      <c r="N143" s="518"/>
      <c r="O143" s="518"/>
      <c r="P143" s="519"/>
      <c r="Q143" s="519"/>
      <c r="R143" s="519"/>
      <c r="S143" s="519">
        <v>42004</v>
      </c>
      <c r="T143" s="231"/>
      <c r="U143" s="231"/>
      <c r="V143" s="237"/>
      <c r="W143" s="6"/>
    </row>
    <row r="144" spans="1:25" ht="15.6">
      <c r="A144" s="281"/>
      <c r="B144" s="294" t="s">
        <v>60</v>
      </c>
      <c r="C144" s="329"/>
      <c r="D144" s="329"/>
      <c r="E144" s="329"/>
      <c r="F144" s="329"/>
      <c r="G144" s="329"/>
      <c r="H144" s="329"/>
      <c r="I144" s="329"/>
      <c r="J144" s="329"/>
      <c r="K144" s="329"/>
      <c r="L144" s="329"/>
      <c r="M144" s="329"/>
      <c r="N144" s="329"/>
      <c r="O144" s="329"/>
      <c r="P144" s="300"/>
      <c r="Q144" s="300"/>
      <c r="R144" s="300"/>
      <c r="S144" s="299">
        <v>0.10630000000000001</v>
      </c>
      <c r="T144" s="294"/>
      <c r="U144" s="294"/>
      <c r="V144" s="260"/>
      <c r="W144" s="6"/>
    </row>
    <row r="145" spans="1:23" ht="15.6">
      <c r="A145" s="458"/>
      <c r="B145" s="379" t="s">
        <v>61</v>
      </c>
      <c r="C145" s="459"/>
      <c r="D145" s="459"/>
      <c r="E145" s="459"/>
      <c r="F145" s="459"/>
      <c r="G145" s="459"/>
      <c r="H145" s="459"/>
      <c r="I145" s="459"/>
      <c r="J145" s="459"/>
      <c r="K145" s="459"/>
      <c r="L145" s="459"/>
      <c r="M145" s="459"/>
      <c r="N145" s="459"/>
      <c r="O145" s="459"/>
      <c r="P145" s="433"/>
      <c r="Q145" s="433"/>
      <c r="R145" s="433"/>
      <c r="S145" s="427">
        <v>5.2200000000000003E-2</v>
      </c>
      <c r="T145" s="427"/>
      <c r="U145" s="379"/>
      <c r="V145" s="385"/>
      <c r="W145" s="6"/>
    </row>
    <row r="146" spans="1:23" ht="15.6">
      <c r="A146" s="458"/>
      <c r="B146" s="379" t="s">
        <v>62</v>
      </c>
      <c r="C146" s="459"/>
      <c r="D146" s="459"/>
      <c r="E146" s="459"/>
      <c r="F146" s="459"/>
      <c r="G146" s="459"/>
      <c r="H146" s="459"/>
      <c r="I146" s="459"/>
      <c r="J146" s="459"/>
      <c r="K146" s="459"/>
      <c r="L146" s="459"/>
      <c r="M146" s="459"/>
      <c r="N146" s="459"/>
      <c r="O146" s="459"/>
      <c r="P146" s="433"/>
      <c r="Q146" s="433"/>
      <c r="R146" s="433"/>
      <c r="S146" s="427">
        <f>S144-S145</f>
        <v>5.4100000000000002E-2</v>
      </c>
      <c r="T146" s="379"/>
      <c r="U146" s="379"/>
      <c r="V146" s="385"/>
      <c r="W146" s="6"/>
    </row>
    <row r="147" spans="1:23" ht="15.6">
      <c r="A147" s="458"/>
      <c r="B147" s="379" t="s">
        <v>63</v>
      </c>
      <c r="C147" s="459"/>
      <c r="D147" s="459"/>
      <c r="E147" s="459"/>
      <c r="F147" s="459"/>
      <c r="G147" s="459"/>
      <c r="H147" s="459"/>
      <c r="I147" s="459"/>
      <c r="J147" s="459"/>
      <c r="K147" s="459"/>
      <c r="L147" s="459"/>
      <c r="M147" s="459"/>
      <c r="N147" s="459"/>
      <c r="O147" s="459"/>
      <c r="P147" s="433"/>
      <c r="Q147" s="433"/>
      <c r="R147" s="433"/>
      <c r="S147" s="554">
        <v>9.0959999999999999E-2</v>
      </c>
      <c r="T147" s="379"/>
      <c r="U147" s="379"/>
      <c r="V147" s="385"/>
      <c r="W147" s="6"/>
    </row>
    <row r="148" spans="1:23" ht="15.6">
      <c r="A148" s="458"/>
      <c r="B148" s="379" t="s">
        <v>64</v>
      </c>
      <c r="C148" s="459"/>
      <c r="D148" s="459"/>
      <c r="E148" s="459"/>
      <c r="F148" s="459"/>
      <c r="G148" s="459"/>
      <c r="H148" s="459"/>
      <c r="I148" s="459"/>
      <c r="J148" s="459"/>
      <c r="K148" s="459"/>
      <c r="L148" s="459"/>
      <c r="M148" s="459"/>
      <c r="N148" s="459"/>
      <c r="O148" s="459"/>
      <c r="P148" s="433"/>
      <c r="Q148" s="433"/>
      <c r="R148" s="433"/>
      <c r="S148" s="427">
        <f>+U40</f>
        <v>1.5032777364302908E-2</v>
      </c>
      <c r="T148" s="379"/>
      <c r="U148" s="379"/>
      <c r="V148" s="385"/>
      <c r="W148" s="6"/>
    </row>
    <row r="149" spans="1:23" ht="15.6">
      <c r="A149" s="458"/>
      <c r="B149" s="379" t="s">
        <v>65</v>
      </c>
      <c r="C149" s="459"/>
      <c r="D149" s="459"/>
      <c r="E149" s="459"/>
      <c r="F149" s="459"/>
      <c r="G149" s="459"/>
      <c r="H149" s="459"/>
      <c r="I149" s="459"/>
      <c r="J149" s="459"/>
      <c r="K149" s="459"/>
      <c r="L149" s="459"/>
      <c r="M149" s="459"/>
      <c r="N149" s="459"/>
      <c r="O149" s="459"/>
      <c r="P149" s="433"/>
      <c r="Q149" s="433"/>
      <c r="R149" s="433"/>
      <c r="S149" s="427">
        <f>S147-S148</f>
        <v>7.5927222635697095E-2</v>
      </c>
      <c r="T149" s="379"/>
      <c r="U149" s="379"/>
      <c r="V149" s="385"/>
      <c r="W149" s="6"/>
    </row>
    <row r="150" spans="1:23" ht="15.6">
      <c r="A150" s="458"/>
      <c r="B150" s="379" t="s">
        <v>204</v>
      </c>
      <c r="C150" s="459"/>
      <c r="D150" s="459"/>
      <c r="E150" s="459"/>
      <c r="F150" s="459"/>
      <c r="G150" s="459"/>
      <c r="H150" s="459"/>
      <c r="I150" s="459"/>
      <c r="J150" s="459"/>
      <c r="K150" s="459"/>
      <c r="L150" s="459"/>
      <c r="M150" s="459"/>
      <c r="N150" s="459"/>
      <c r="O150" s="459"/>
      <c r="P150" s="433"/>
      <c r="Q150" s="433"/>
      <c r="R150" s="433"/>
      <c r="S150" s="429">
        <v>49780</v>
      </c>
      <c r="T150" s="379"/>
      <c r="U150" s="379"/>
      <c r="V150" s="385"/>
      <c r="W150" s="6"/>
    </row>
    <row r="151" spans="1:23" ht="15.6">
      <c r="A151" s="458"/>
      <c r="B151" s="379" t="s">
        <v>205</v>
      </c>
      <c r="C151" s="459"/>
      <c r="D151" s="459"/>
      <c r="E151" s="459"/>
      <c r="F151" s="459"/>
      <c r="G151" s="459"/>
      <c r="H151" s="459"/>
      <c r="I151" s="459"/>
      <c r="J151" s="459"/>
      <c r="K151" s="459"/>
      <c r="L151" s="459"/>
      <c r="M151" s="459"/>
      <c r="N151" s="459"/>
      <c r="O151" s="459"/>
      <c r="P151" s="433"/>
      <c r="Q151" s="433"/>
      <c r="R151" s="433"/>
      <c r="S151" s="429">
        <v>49780</v>
      </c>
      <c r="T151" s="379"/>
      <c r="U151" s="379"/>
      <c r="V151" s="385"/>
      <c r="W151" s="6"/>
    </row>
    <row r="152" spans="1:23" ht="15.6">
      <c r="A152" s="458"/>
      <c r="B152" s="379" t="s">
        <v>206</v>
      </c>
      <c r="C152" s="459"/>
      <c r="D152" s="459"/>
      <c r="E152" s="459"/>
      <c r="F152" s="459"/>
      <c r="G152" s="459"/>
      <c r="H152" s="459"/>
      <c r="I152" s="459"/>
      <c r="J152" s="459"/>
      <c r="K152" s="459"/>
      <c r="L152" s="459"/>
      <c r="M152" s="459"/>
      <c r="N152" s="459"/>
      <c r="O152" s="459"/>
      <c r="P152" s="433"/>
      <c r="Q152" s="433"/>
      <c r="R152" s="433"/>
      <c r="S152" s="429">
        <v>49780</v>
      </c>
      <c r="T152" s="379"/>
      <c r="U152" s="379"/>
      <c r="V152" s="385"/>
      <c r="W152" s="6"/>
    </row>
    <row r="153" spans="1:23" ht="15.6">
      <c r="A153" s="458"/>
      <c r="B153" s="379" t="s">
        <v>207</v>
      </c>
      <c r="C153" s="459"/>
      <c r="D153" s="459"/>
      <c r="E153" s="459"/>
      <c r="F153" s="459"/>
      <c r="G153" s="459"/>
      <c r="H153" s="459"/>
      <c r="I153" s="459"/>
      <c r="J153" s="459"/>
      <c r="K153" s="459"/>
      <c r="L153" s="459"/>
      <c r="M153" s="459"/>
      <c r="N153" s="459"/>
      <c r="O153" s="459"/>
      <c r="P153" s="433"/>
      <c r="Q153" s="433"/>
      <c r="R153" s="433"/>
      <c r="S153" s="429">
        <v>49780</v>
      </c>
      <c r="T153" s="379"/>
      <c r="U153" s="379"/>
      <c r="V153" s="385"/>
      <c r="W153" s="6"/>
    </row>
    <row r="154" spans="1:23" ht="15.6">
      <c r="A154" s="458"/>
      <c r="B154" s="379" t="s">
        <v>221</v>
      </c>
      <c r="C154" s="459"/>
      <c r="D154" s="459"/>
      <c r="E154" s="459"/>
      <c r="F154" s="459"/>
      <c r="G154" s="459"/>
      <c r="H154" s="459"/>
      <c r="I154" s="459"/>
      <c r="J154" s="459"/>
      <c r="K154" s="459"/>
      <c r="L154" s="459"/>
      <c r="M154" s="459"/>
      <c r="N154" s="459"/>
      <c r="O154" s="459"/>
      <c r="P154" s="433"/>
      <c r="Q154" s="433"/>
      <c r="R154" s="433"/>
      <c r="S154" s="432">
        <v>111.34</v>
      </c>
      <c r="T154" s="379"/>
      <c r="U154" s="379"/>
      <c r="V154" s="385"/>
      <c r="W154" s="6"/>
    </row>
    <row r="155" spans="1:23" ht="15.6">
      <c r="A155" s="458"/>
      <c r="B155" s="379" t="s">
        <v>222</v>
      </c>
      <c r="C155" s="459"/>
      <c r="D155" s="459"/>
      <c r="E155" s="459"/>
      <c r="F155" s="459"/>
      <c r="G155" s="459"/>
      <c r="H155" s="459"/>
      <c r="I155" s="459"/>
      <c r="J155" s="459"/>
      <c r="K155" s="459"/>
      <c r="L155" s="459"/>
      <c r="M155" s="459"/>
      <c r="N155" s="459"/>
      <c r="O155" s="459"/>
      <c r="P155" s="433"/>
      <c r="Q155" s="433"/>
      <c r="R155" s="433"/>
      <c r="S155" s="555">
        <v>141.69</v>
      </c>
      <c r="T155" s="379"/>
      <c r="U155" s="379"/>
      <c r="V155" s="385"/>
      <c r="W155" s="6"/>
    </row>
    <row r="156" spans="1:23" ht="15.6">
      <c r="A156" s="458" t="s">
        <v>223</v>
      </c>
      <c r="B156" s="379" t="s">
        <v>66</v>
      </c>
      <c r="C156" s="459"/>
      <c r="D156" s="459"/>
      <c r="E156" s="459"/>
      <c r="F156" s="459"/>
      <c r="G156" s="459"/>
      <c r="H156" s="459"/>
      <c r="I156" s="459"/>
      <c r="J156" s="459"/>
      <c r="K156" s="459"/>
      <c r="L156" s="459"/>
      <c r="M156" s="459"/>
      <c r="N156" s="459"/>
      <c r="O156" s="459"/>
      <c r="P156" s="433"/>
      <c r="Q156" s="433"/>
      <c r="R156" s="433"/>
      <c r="S156" s="427">
        <v>3.8100000000000002E-2</v>
      </c>
      <c r="T156" s="379"/>
      <c r="U156" s="379"/>
      <c r="V156" s="385"/>
      <c r="W156" s="6"/>
    </row>
    <row r="157" spans="1:23" ht="15.6">
      <c r="A157" s="458"/>
      <c r="B157" s="379" t="s">
        <v>67</v>
      </c>
      <c r="C157" s="459"/>
      <c r="D157" s="459"/>
      <c r="E157" s="459"/>
      <c r="F157" s="459"/>
      <c r="G157" s="459"/>
      <c r="H157" s="459"/>
      <c r="I157" s="459"/>
      <c r="J157" s="459"/>
      <c r="K157" s="459"/>
      <c r="L157" s="459"/>
      <c r="M157" s="459"/>
      <c r="N157" s="459"/>
      <c r="O157" s="459"/>
      <c r="P157" s="433"/>
      <c r="Q157" s="433"/>
      <c r="R157" s="433"/>
      <c r="S157" s="427">
        <v>0.26419999999999999</v>
      </c>
      <c r="T157" s="379"/>
      <c r="U157" s="379"/>
      <c r="V157" s="385"/>
      <c r="W157" s="6"/>
    </row>
    <row r="158" spans="1:23" ht="15.6">
      <c r="A158" s="280"/>
      <c r="B158" s="364"/>
      <c r="C158" s="364"/>
      <c r="D158" s="364"/>
      <c r="E158" s="364"/>
      <c r="F158" s="364"/>
      <c r="G158" s="364"/>
      <c r="H158" s="364"/>
      <c r="I158" s="364"/>
      <c r="J158" s="364"/>
      <c r="K158" s="364"/>
      <c r="L158" s="364"/>
      <c r="M158" s="364"/>
      <c r="N158" s="364"/>
      <c r="O158" s="364"/>
      <c r="P158" s="364"/>
      <c r="Q158" s="364"/>
      <c r="R158" s="455"/>
      <c r="S158" s="456"/>
      <c r="T158" s="364"/>
      <c r="U158" s="457"/>
      <c r="V158" s="245"/>
      <c r="W158" s="6"/>
    </row>
    <row r="159" spans="1:23" ht="15.6">
      <c r="A159" s="280"/>
      <c r="B159" s="288"/>
      <c r="C159" s="288"/>
      <c r="D159" s="288"/>
      <c r="E159" s="288"/>
      <c r="F159" s="288"/>
      <c r="G159" s="288"/>
      <c r="H159" s="288"/>
      <c r="I159" s="288"/>
      <c r="J159" s="288"/>
      <c r="K159" s="288"/>
      <c r="L159" s="288"/>
      <c r="M159" s="288"/>
      <c r="N159" s="288"/>
      <c r="O159" s="288"/>
      <c r="P159" s="288"/>
      <c r="Q159" s="288"/>
      <c r="R159" s="331"/>
      <c r="S159" s="332"/>
      <c r="T159" s="288"/>
      <c r="U159" s="333"/>
      <c r="V159" s="245"/>
      <c r="W159" s="6"/>
    </row>
    <row r="160" spans="1:23" ht="16.2" thickBot="1">
      <c r="A160" s="282"/>
      <c r="B160" s="304" t="str">
        <f>+B109</f>
        <v>PPAF3 INVESTOR REPORT QUARTER ENDING DECEMBER 2014</v>
      </c>
      <c r="C160" s="305"/>
      <c r="D160" s="305"/>
      <c r="E160" s="305"/>
      <c r="F160" s="305"/>
      <c r="G160" s="305"/>
      <c r="H160" s="305"/>
      <c r="I160" s="305"/>
      <c r="J160" s="305"/>
      <c r="K160" s="305"/>
      <c r="L160" s="305"/>
      <c r="M160" s="305"/>
      <c r="N160" s="305"/>
      <c r="O160" s="305"/>
      <c r="P160" s="305"/>
      <c r="Q160" s="305"/>
      <c r="R160" s="334"/>
      <c r="S160" s="335"/>
      <c r="T160" s="305"/>
      <c r="U160" s="336"/>
      <c r="V160" s="262"/>
      <c r="W160" s="6"/>
    </row>
    <row r="161" spans="1:23" ht="15.6">
      <c r="A161" s="337"/>
      <c r="B161" s="520" t="s">
        <v>68</v>
      </c>
      <c r="C161" s="521"/>
      <c r="D161" s="521"/>
      <c r="E161" s="521"/>
      <c r="F161" s="521"/>
      <c r="G161" s="521"/>
      <c r="H161" s="521"/>
      <c r="I161" s="521"/>
      <c r="J161" s="521"/>
      <c r="K161" s="521"/>
      <c r="L161" s="521"/>
      <c r="M161" s="522"/>
      <c r="N161" s="521"/>
      <c r="O161" s="522"/>
      <c r="P161" s="521"/>
      <c r="Q161" s="522"/>
      <c r="R161" s="521" t="s">
        <v>94</v>
      </c>
      <c r="S161" s="522" t="s">
        <v>116</v>
      </c>
      <c r="T161" s="340"/>
      <c r="U161" s="340"/>
      <c r="V161" s="341"/>
      <c r="W161" s="6"/>
    </row>
    <row r="162" spans="1:23" ht="15.6">
      <c r="A162" s="283"/>
      <c r="B162" s="294" t="s">
        <v>216</v>
      </c>
      <c r="C162" s="310"/>
      <c r="D162" s="310"/>
      <c r="E162" s="310"/>
      <c r="F162" s="310"/>
      <c r="G162" s="310"/>
      <c r="H162" s="310"/>
      <c r="I162" s="310"/>
      <c r="J162" s="310"/>
      <c r="K162" s="310"/>
      <c r="L162" s="310"/>
      <c r="M162" s="310"/>
      <c r="N162" s="310"/>
      <c r="O162" s="294"/>
      <c r="P162" s="294"/>
      <c r="Q162" s="294"/>
      <c r="R162" s="310">
        <v>564</v>
      </c>
      <c r="S162" s="311">
        <v>12913</v>
      </c>
      <c r="T162" s="311"/>
      <c r="U162" s="330"/>
      <c r="V162" s="342"/>
      <c r="W162" s="6"/>
    </row>
    <row r="163" spans="1:23" ht="15.6">
      <c r="A163" s="465"/>
      <c r="B163" s="379" t="s">
        <v>217</v>
      </c>
      <c r="C163" s="440"/>
      <c r="D163" s="440"/>
      <c r="E163" s="440"/>
      <c r="F163" s="440"/>
      <c r="G163" s="440"/>
      <c r="H163" s="440"/>
      <c r="I163" s="440"/>
      <c r="J163" s="440"/>
      <c r="K163" s="440"/>
      <c r="L163" s="440"/>
      <c r="M163" s="440"/>
      <c r="N163" s="440"/>
      <c r="O163" s="379"/>
      <c r="P163" s="379"/>
      <c r="Q163" s="379"/>
      <c r="R163" s="545">
        <v>5</v>
      </c>
      <c r="S163" s="546">
        <v>30</v>
      </c>
      <c r="T163" s="441"/>
      <c r="U163" s="466"/>
      <c r="V163" s="467"/>
      <c r="W163" s="6"/>
    </row>
    <row r="164" spans="1:23" ht="15.6">
      <c r="A164" s="465"/>
      <c r="B164" s="379" t="s">
        <v>218</v>
      </c>
      <c r="C164" s="440"/>
      <c r="D164" s="440"/>
      <c r="E164" s="440"/>
      <c r="F164" s="440"/>
      <c r="G164" s="440"/>
      <c r="H164" s="440"/>
      <c r="I164" s="440"/>
      <c r="J164" s="440"/>
      <c r="K164" s="440"/>
      <c r="L164" s="440"/>
      <c r="M164" s="440"/>
      <c r="N164" s="440"/>
      <c r="O164" s="379"/>
      <c r="P164" s="379"/>
      <c r="Q164" s="379"/>
      <c r="R164" s="545">
        <v>107</v>
      </c>
      <c r="S164" s="546">
        <v>87</v>
      </c>
      <c r="T164" s="441"/>
      <c r="U164" s="466"/>
      <c r="V164" s="467"/>
      <c r="W164" s="6"/>
    </row>
    <row r="165" spans="1:23" ht="15.6">
      <c r="A165" s="465"/>
      <c r="B165" s="379" t="s">
        <v>219</v>
      </c>
      <c r="C165" s="440"/>
      <c r="D165" s="440"/>
      <c r="E165" s="440"/>
      <c r="F165" s="440"/>
      <c r="G165" s="440"/>
      <c r="H165" s="440"/>
      <c r="I165" s="440"/>
      <c r="J165" s="440"/>
      <c r="K165" s="440"/>
      <c r="L165" s="440"/>
      <c r="M165" s="440"/>
      <c r="N165" s="440"/>
      <c r="O165" s="379"/>
      <c r="P165" s="379"/>
      <c r="Q165" s="379"/>
      <c r="R165" s="545">
        <v>78</v>
      </c>
      <c r="S165" s="546">
        <v>134</v>
      </c>
      <c r="T165" s="441"/>
      <c r="U165" s="466"/>
      <c r="V165" s="467"/>
      <c r="W165" s="6"/>
    </row>
    <row r="166" spans="1:23" ht="15.6">
      <c r="A166" s="465"/>
      <c r="B166" s="379" t="s">
        <v>90</v>
      </c>
      <c r="C166" s="440"/>
      <c r="D166" s="440"/>
      <c r="E166" s="440"/>
      <c r="F166" s="440"/>
      <c r="G166" s="440"/>
      <c r="H166" s="440"/>
      <c r="I166" s="440"/>
      <c r="J166" s="440"/>
      <c r="K166" s="440"/>
      <c r="L166" s="440"/>
      <c r="M166" s="440"/>
      <c r="N166" s="440"/>
      <c r="O166" s="379"/>
      <c r="P166" s="379"/>
      <c r="Q166" s="379"/>
      <c r="R166" s="547">
        <f>SUM(R162:R165)</f>
        <v>754</v>
      </c>
      <c r="S166" s="546">
        <f>SUM(S162:S165)</f>
        <v>13164</v>
      </c>
      <c r="T166" s="441"/>
      <c r="U166" s="466"/>
      <c r="V166" s="467"/>
      <c r="W166" s="6"/>
    </row>
    <row r="167" spans="1:23" ht="15.6">
      <c r="A167" s="465"/>
      <c r="B167" s="379"/>
      <c r="C167" s="440"/>
      <c r="D167" s="440"/>
      <c r="E167" s="440"/>
      <c r="F167" s="440"/>
      <c r="G167" s="440"/>
      <c r="H167" s="440"/>
      <c r="I167" s="440"/>
      <c r="J167" s="440"/>
      <c r="K167" s="440"/>
      <c r="L167" s="440"/>
      <c r="M167" s="440"/>
      <c r="N167" s="440"/>
      <c r="O167" s="379"/>
      <c r="P167" s="379"/>
      <c r="Q167" s="379"/>
      <c r="R167" s="545"/>
      <c r="S167" s="546"/>
      <c r="T167" s="441"/>
      <c r="U167" s="466"/>
      <c r="V167" s="467"/>
      <c r="W167" s="6"/>
    </row>
    <row r="168" spans="1:23" ht="15.6">
      <c r="A168" s="465"/>
      <c r="B168" s="379" t="s">
        <v>220</v>
      </c>
      <c r="C168" s="440"/>
      <c r="D168" s="440"/>
      <c r="E168" s="440"/>
      <c r="F168" s="440"/>
      <c r="G168" s="440"/>
      <c r="H168" s="440"/>
      <c r="I168" s="440"/>
      <c r="J168" s="440"/>
      <c r="K168" s="440"/>
      <c r="L168" s="440"/>
      <c r="M168" s="440"/>
      <c r="N168" s="440"/>
      <c r="O168" s="379"/>
      <c r="P168" s="379"/>
      <c r="Q168" s="379"/>
      <c r="R168" s="545">
        <v>0</v>
      </c>
      <c r="S168" s="546">
        <v>0</v>
      </c>
      <c r="T168" s="441"/>
      <c r="U168" s="466"/>
      <c r="V168" s="467"/>
      <c r="W168" s="6"/>
    </row>
    <row r="169" spans="1:23" ht="15.6">
      <c r="A169" s="465"/>
      <c r="B169" s="379" t="s">
        <v>224</v>
      </c>
      <c r="C169" s="440"/>
      <c r="D169" s="440"/>
      <c r="E169" s="440"/>
      <c r="F169" s="440"/>
      <c r="G169" s="440"/>
      <c r="H169" s="440"/>
      <c r="I169" s="440"/>
      <c r="J169" s="440"/>
      <c r="K169" s="440"/>
      <c r="L169" s="440"/>
      <c r="M169" s="440"/>
      <c r="N169" s="440"/>
      <c r="O169" s="379"/>
      <c r="P169" s="379"/>
      <c r="Q169" s="379"/>
      <c r="R169" s="545">
        <v>10</v>
      </c>
      <c r="S169" s="546">
        <v>298</v>
      </c>
      <c r="T169" s="441"/>
      <c r="U169" s="466"/>
      <c r="V169" s="467"/>
      <c r="W169" s="6"/>
    </row>
    <row r="170" spans="1:23" ht="15.6">
      <c r="A170" s="465"/>
      <c r="B170" s="468" t="s">
        <v>69</v>
      </c>
      <c r="C170" s="469"/>
      <c r="D170" s="469"/>
      <c r="E170" s="469"/>
      <c r="F170" s="469"/>
      <c r="G170" s="469"/>
      <c r="H170" s="469"/>
      <c r="I170" s="469"/>
      <c r="J170" s="469"/>
      <c r="K170" s="469"/>
      <c r="L170" s="469"/>
      <c r="M170" s="469"/>
      <c r="N170" s="469"/>
      <c r="O170" s="454"/>
      <c r="P170" s="454"/>
      <c r="Q170" s="454"/>
      <c r="R170" s="539"/>
      <c r="S170" s="540">
        <v>0</v>
      </c>
      <c r="T170" s="454"/>
      <c r="U170" s="470"/>
      <c r="V170" s="471"/>
      <c r="W170" s="6"/>
    </row>
    <row r="171" spans="1:23" ht="15.6">
      <c r="A171" s="465"/>
      <c r="B171" s="468" t="s">
        <v>70</v>
      </c>
      <c r="C171" s="469"/>
      <c r="D171" s="469"/>
      <c r="E171" s="469"/>
      <c r="F171" s="469"/>
      <c r="G171" s="469"/>
      <c r="H171" s="469"/>
      <c r="I171" s="469"/>
      <c r="J171" s="469"/>
      <c r="K171" s="469"/>
      <c r="L171" s="469"/>
      <c r="M171" s="469"/>
      <c r="N171" s="469"/>
      <c r="O171" s="454"/>
      <c r="P171" s="454"/>
      <c r="Q171" s="454"/>
      <c r="R171" s="539"/>
      <c r="S171" s="540">
        <f>Q75</f>
        <v>0</v>
      </c>
      <c r="T171" s="454"/>
      <c r="U171" s="470"/>
      <c r="V171" s="471"/>
      <c r="W171" s="6"/>
    </row>
    <row r="172" spans="1:23" ht="15.6">
      <c r="A172" s="472"/>
      <c r="B172" s="468" t="s">
        <v>71</v>
      </c>
      <c r="C172" s="469"/>
      <c r="D172" s="469"/>
      <c r="E172" s="469"/>
      <c r="F172" s="469"/>
      <c r="G172" s="469"/>
      <c r="H172" s="469"/>
      <c r="I172" s="469"/>
      <c r="J172" s="469"/>
      <c r="K172" s="469"/>
      <c r="L172" s="469"/>
      <c r="M172" s="473"/>
      <c r="N172" s="473"/>
      <c r="O172" s="473"/>
      <c r="P172" s="454"/>
      <c r="Q172" s="454"/>
      <c r="R172" s="379"/>
      <c r="S172" s="500"/>
      <c r="T172" s="454"/>
      <c r="U172" s="470"/>
      <c r="V172" s="474"/>
      <c r="W172" s="6"/>
    </row>
    <row r="173" spans="1:23" ht="15.6">
      <c r="A173" s="465"/>
      <c r="B173" s="379" t="s">
        <v>72</v>
      </c>
      <c r="C173" s="469"/>
      <c r="D173" s="469"/>
      <c r="E173" s="469"/>
      <c r="F173" s="469"/>
      <c r="G173" s="469"/>
      <c r="H173" s="469"/>
      <c r="I173" s="469"/>
      <c r="J173" s="469"/>
      <c r="K173" s="469"/>
      <c r="L173" s="469"/>
      <c r="M173" s="469"/>
      <c r="N173" s="469"/>
      <c r="O173" s="469"/>
      <c r="P173" s="454"/>
      <c r="Q173" s="454"/>
      <c r="R173" s="379"/>
      <c r="S173" s="546">
        <f>U128</f>
        <v>435</v>
      </c>
      <c r="T173" s="454"/>
      <c r="U173" s="470"/>
      <c r="V173" s="474"/>
      <c r="W173" s="6"/>
    </row>
    <row r="174" spans="1:23" ht="15.6">
      <c r="A174" s="465"/>
      <c r="B174" s="379" t="s">
        <v>73</v>
      </c>
      <c r="C174" s="469"/>
      <c r="D174" s="469"/>
      <c r="E174" s="469"/>
      <c r="F174" s="469"/>
      <c r="G174" s="469"/>
      <c r="H174" s="469"/>
      <c r="I174" s="469"/>
      <c r="J174" s="469"/>
      <c r="K174" s="469"/>
      <c r="L174" s="469"/>
      <c r="M174" s="469"/>
      <c r="N174" s="469"/>
      <c r="O174" s="469"/>
      <c r="P174" s="454"/>
      <c r="Q174" s="454"/>
      <c r="R174" s="379"/>
      <c r="S174" s="546">
        <f>'Sept 14'!S174+S173</f>
        <v>89109</v>
      </c>
      <c r="T174" s="454"/>
      <c r="U174" s="470"/>
      <c r="V174" s="474"/>
      <c r="W174" s="6"/>
    </row>
    <row r="175" spans="1:23" ht="15.6">
      <c r="A175" s="465"/>
      <c r="B175" s="379" t="s">
        <v>74</v>
      </c>
      <c r="C175" s="469"/>
      <c r="D175" s="469"/>
      <c r="E175" s="469"/>
      <c r="F175" s="469"/>
      <c r="G175" s="469"/>
      <c r="H175" s="469"/>
      <c r="I175" s="469"/>
      <c r="J175" s="469"/>
      <c r="K175" s="469"/>
      <c r="L175" s="469"/>
      <c r="M175" s="469"/>
      <c r="N175" s="469"/>
      <c r="O175" s="469"/>
      <c r="P175" s="454"/>
      <c r="Q175" s="454"/>
      <c r="R175" s="379"/>
      <c r="S175" s="546">
        <f>'Sept 14'!S175+674</f>
        <v>25291</v>
      </c>
      <c r="T175" s="454"/>
      <c r="U175" s="470"/>
      <c r="V175" s="474"/>
      <c r="W175" s="6"/>
    </row>
    <row r="176" spans="1:23" ht="15.6">
      <c r="A176" s="465"/>
      <c r="B176" s="473"/>
      <c r="C176" s="469"/>
      <c r="D176" s="469"/>
      <c r="E176" s="469"/>
      <c r="F176" s="469"/>
      <c r="G176" s="469"/>
      <c r="H176" s="469"/>
      <c r="I176" s="469"/>
      <c r="J176" s="469"/>
      <c r="K176" s="469"/>
      <c r="L176" s="469"/>
      <c r="M176" s="469"/>
      <c r="N176" s="469"/>
      <c r="O176" s="469"/>
      <c r="P176" s="454"/>
      <c r="Q176" s="454"/>
      <c r="R176" s="379"/>
      <c r="S176" s="546"/>
      <c r="T176" s="454"/>
      <c r="U176" s="470"/>
      <c r="V176" s="474"/>
      <c r="W176" s="6"/>
    </row>
    <row r="177" spans="1:23" ht="15.6">
      <c r="A177" s="472"/>
      <c r="B177" s="468" t="s">
        <v>259</v>
      </c>
      <c r="C177" s="469"/>
      <c r="D177" s="469"/>
      <c r="E177" s="469"/>
      <c r="F177" s="469"/>
      <c r="G177" s="469"/>
      <c r="H177" s="469"/>
      <c r="I177" s="469"/>
      <c r="J177" s="469"/>
      <c r="K177" s="469"/>
      <c r="L177" s="469"/>
      <c r="M177" s="473"/>
      <c r="N177" s="473"/>
      <c r="O177" s="473"/>
      <c r="P177" s="454"/>
      <c r="Q177" s="454"/>
      <c r="R177" s="379"/>
      <c r="S177" s="548"/>
      <c r="T177" s="454"/>
      <c r="U177" s="470"/>
      <c r="V177" s="474"/>
      <c r="W177" s="6"/>
    </row>
    <row r="178" spans="1:23" ht="15.6">
      <c r="A178" s="472"/>
      <c r="B178" s="379" t="s">
        <v>254</v>
      </c>
      <c r="C178" s="469"/>
      <c r="D178" s="469"/>
      <c r="E178" s="469"/>
      <c r="F178" s="469"/>
      <c r="G178" s="469"/>
      <c r="H178" s="469"/>
      <c r="I178" s="469"/>
      <c r="J178" s="469"/>
      <c r="K178" s="469"/>
      <c r="L178" s="469"/>
      <c r="M178" s="473"/>
      <c r="N178" s="473"/>
      <c r="O178" s="473"/>
      <c r="P178" s="454"/>
      <c r="Q178" s="454"/>
      <c r="R178" s="379"/>
      <c r="S178" s="548">
        <v>2</v>
      </c>
      <c r="T178" s="454"/>
      <c r="U178" s="470"/>
      <c r="V178" s="474"/>
      <c r="W178" s="6"/>
    </row>
    <row r="179" spans="1:23" ht="15.6">
      <c r="A179" s="465"/>
      <c r="B179" s="379" t="s">
        <v>75</v>
      </c>
      <c r="C179" s="469"/>
      <c r="D179" s="469"/>
      <c r="E179" s="469"/>
      <c r="F179" s="469"/>
      <c r="G179" s="469"/>
      <c r="H179" s="469"/>
      <c r="I179" s="469"/>
      <c r="J179" s="469"/>
      <c r="K179" s="469"/>
      <c r="L179" s="469"/>
      <c r="M179" s="475"/>
      <c r="N179" s="475"/>
      <c r="O179" s="476"/>
      <c r="P179" s="454"/>
      <c r="Q179" s="454"/>
      <c r="R179" s="379"/>
      <c r="S179" s="549">
        <v>24.2</v>
      </c>
      <c r="T179" s="454"/>
      <c r="U179" s="470"/>
      <c r="V179" s="474"/>
      <c r="W179" s="6"/>
    </row>
    <row r="180" spans="1:23" ht="15.6">
      <c r="A180" s="465"/>
      <c r="B180" s="379" t="s">
        <v>76</v>
      </c>
      <c r="C180" s="469"/>
      <c r="D180" s="469"/>
      <c r="E180" s="469"/>
      <c r="F180" s="469"/>
      <c r="G180" s="469"/>
      <c r="H180" s="469"/>
      <c r="I180" s="469"/>
      <c r="J180" s="469"/>
      <c r="K180" s="469"/>
      <c r="L180" s="469"/>
      <c r="M180" s="475"/>
      <c r="N180" s="475"/>
      <c r="O180" s="476"/>
      <c r="P180" s="454"/>
      <c r="Q180" s="454"/>
      <c r="R180" s="379"/>
      <c r="S180" s="548">
        <v>287</v>
      </c>
      <c r="T180" s="454"/>
      <c r="U180" s="470"/>
      <c r="V180" s="474"/>
      <c r="W180" s="6"/>
    </row>
    <row r="181" spans="1:23" ht="15.6">
      <c r="A181" s="465"/>
      <c r="B181" s="473"/>
      <c r="C181" s="469"/>
      <c r="D181" s="469"/>
      <c r="E181" s="469"/>
      <c r="F181" s="469"/>
      <c r="G181" s="469"/>
      <c r="H181" s="469"/>
      <c r="I181" s="469"/>
      <c r="J181" s="469"/>
      <c r="K181" s="469"/>
      <c r="L181" s="469"/>
      <c r="M181" s="477"/>
      <c r="N181" s="475"/>
      <c r="O181" s="476"/>
      <c r="P181" s="454"/>
      <c r="Q181" s="454"/>
      <c r="R181" s="379"/>
      <c r="S181" s="537"/>
      <c r="T181" s="454"/>
      <c r="U181" s="470"/>
      <c r="V181" s="474"/>
      <c r="W181" s="6"/>
    </row>
    <row r="182" spans="1:23" ht="15.6">
      <c r="A182" s="465"/>
      <c r="B182" s="468" t="s">
        <v>77</v>
      </c>
      <c r="C182" s="469"/>
      <c r="D182" s="469"/>
      <c r="E182" s="469"/>
      <c r="F182" s="469"/>
      <c r="G182" s="469"/>
      <c r="H182" s="469"/>
      <c r="I182" s="469"/>
      <c r="J182" s="469"/>
      <c r="K182" s="469"/>
      <c r="L182" s="469"/>
      <c r="M182" s="469"/>
      <c r="N182" s="477"/>
      <c r="O182" s="475"/>
      <c r="P182" s="476"/>
      <c r="Q182" s="454"/>
      <c r="R182" s="380"/>
      <c r="S182" s="538"/>
      <c r="T182" s="478"/>
      <c r="U182" s="390"/>
      <c r="V182" s="479"/>
      <c r="W182" s="6"/>
    </row>
    <row r="183" spans="1:23" ht="15.6">
      <c r="A183" s="465"/>
      <c r="B183" s="379" t="s">
        <v>78</v>
      </c>
      <c r="C183" s="469"/>
      <c r="D183" s="469"/>
      <c r="E183" s="469"/>
      <c r="F183" s="469"/>
      <c r="G183" s="469"/>
      <c r="H183" s="469"/>
      <c r="I183" s="469"/>
      <c r="J183" s="469"/>
      <c r="K183" s="469"/>
      <c r="L183" s="469"/>
      <c r="M183" s="469"/>
      <c r="N183" s="477"/>
      <c r="O183" s="475"/>
      <c r="P183" s="476"/>
      <c r="Q183" s="454"/>
      <c r="R183" s="380"/>
      <c r="S183" s="550">
        <v>0</v>
      </c>
      <c r="T183" s="480"/>
      <c r="U183" s="390"/>
      <c r="V183" s="479"/>
      <c r="W183" s="6"/>
    </row>
    <row r="184" spans="1:23" ht="15.6">
      <c r="A184" s="465"/>
      <c r="B184" s="379" t="s">
        <v>75</v>
      </c>
      <c r="C184" s="469"/>
      <c r="D184" s="469"/>
      <c r="E184" s="469"/>
      <c r="F184" s="469"/>
      <c r="G184" s="469"/>
      <c r="H184" s="469"/>
      <c r="I184" s="469"/>
      <c r="J184" s="469"/>
      <c r="K184" s="469"/>
      <c r="L184" s="469"/>
      <c r="M184" s="469"/>
      <c r="N184" s="477"/>
      <c r="O184" s="475"/>
      <c r="P184" s="476"/>
      <c r="Q184" s="454"/>
      <c r="R184" s="380"/>
      <c r="S184" s="550">
        <v>0</v>
      </c>
      <c r="T184" s="480"/>
      <c r="U184" s="390"/>
      <c r="V184" s="479"/>
      <c r="W184" s="6"/>
    </row>
    <row r="185" spans="1:23" ht="15.6">
      <c r="A185" s="465"/>
      <c r="B185" s="379" t="s">
        <v>79</v>
      </c>
      <c r="C185" s="469"/>
      <c r="D185" s="469"/>
      <c r="E185" s="469"/>
      <c r="F185" s="469"/>
      <c r="G185" s="469"/>
      <c r="H185" s="469"/>
      <c r="I185" s="469"/>
      <c r="J185" s="469"/>
      <c r="K185" s="469"/>
      <c r="L185" s="469"/>
      <c r="M185" s="469"/>
      <c r="N185" s="477"/>
      <c r="O185" s="475"/>
      <c r="P185" s="476"/>
      <c r="Q185" s="454"/>
      <c r="R185" s="380"/>
      <c r="S185" s="550">
        <v>0</v>
      </c>
      <c r="T185" s="480"/>
      <c r="U185" s="390"/>
      <c r="V185" s="479"/>
      <c r="W185" s="6"/>
    </row>
    <row r="186" spans="1:23" ht="15.6">
      <c r="A186" s="465"/>
      <c r="B186" s="473"/>
      <c r="C186" s="469"/>
      <c r="D186" s="469"/>
      <c r="E186" s="469"/>
      <c r="F186" s="469"/>
      <c r="G186" s="469"/>
      <c r="H186" s="469"/>
      <c r="I186" s="469"/>
      <c r="J186" s="469"/>
      <c r="K186" s="469"/>
      <c r="L186" s="469"/>
      <c r="M186" s="477"/>
      <c r="N186" s="475"/>
      <c r="O186" s="476"/>
      <c r="P186" s="454"/>
      <c r="Q186" s="454"/>
      <c r="R186" s="454"/>
      <c r="S186" s="537"/>
      <c r="T186" s="454"/>
      <c r="U186" s="470"/>
      <c r="V186" s="474"/>
      <c r="W186" s="6"/>
    </row>
    <row r="187" spans="1:23" ht="17.399999999999999">
      <c r="A187" s="465"/>
      <c r="B187" s="482" t="s">
        <v>196</v>
      </c>
      <c r="C187" s="469"/>
      <c r="D187" s="469"/>
      <c r="E187" s="469"/>
      <c r="F187" s="469"/>
      <c r="G187" s="469"/>
      <c r="H187" s="469"/>
      <c r="I187" s="469"/>
      <c r="J187" s="469"/>
      <c r="K187" s="483" t="s">
        <v>195</v>
      </c>
      <c r="L187" s="469"/>
      <c r="M187" s="477"/>
      <c r="N187" s="475"/>
      <c r="O187" s="476"/>
      <c r="P187" s="454"/>
      <c r="Q187" s="454"/>
      <c r="R187" s="454"/>
      <c r="S187" s="481"/>
      <c r="T187" s="454"/>
      <c r="U187" s="470"/>
      <c r="V187" s="474"/>
      <c r="W187" s="6"/>
    </row>
    <row r="188" spans="1:23" ht="15.6">
      <c r="A188" s="242"/>
      <c r="B188" s="460"/>
      <c r="C188" s="461"/>
      <c r="D188" s="461"/>
      <c r="E188" s="461"/>
      <c r="F188" s="461"/>
      <c r="G188" s="461"/>
      <c r="H188" s="461"/>
      <c r="I188" s="461"/>
      <c r="J188" s="461"/>
      <c r="K188" s="461"/>
      <c r="L188" s="461"/>
      <c r="M188" s="462"/>
      <c r="N188" s="461"/>
      <c r="O188" s="462"/>
      <c r="P188" s="461"/>
      <c r="Q188" s="462"/>
      <c r="R188" s="461"/>
      <c r="S188" s="462"/>
      <c r="T188" s="461"/>
      <c r="U188" s="463"/>
      <c r="V188" s="464"/>
      <c r="W188" s="6"/>
    </row>
    <row r="189" spans="1:23" ht="15.6">
      <c r="A189" s="348"/>
      <c r="B189" s="525" t="s">
        <v>80</v>
      </c>
      <c r="C189" s="343"/>
      <c r="D189" s="343"/>
      <c r="E189" s="343"/>
      <c r="F189" s="343"/>
      <c r="G189" s="343"/>
      <c r="H189" s="343"/>
      <c r="I189" s="343"/>
      <c r="J189" s="343"/>
      <c r="K189" s="343"/>
      <c r="L189" s="343"/>
      <c r="M189" s="525" t="s">
        <v>100</v>
      </c>
      <c r="N189" s="526"/>
      <c r="O189" s="527"/>
      <c r="P189" s="526"/>
      <c r="Q189" s="525"/>
      <c r="R189" s="525" t="s">
        <v>26</v>
      </c>
      <c r="S189" s="527"/>
      <c r="T189" s="526"/>
      <c r="U189" s="346"/>
      <c r="V189" s="528"/>
      <c r="W189" s="6"/>
    </row>
    <row r="190" spans="1:23" ht="15.6">
      <c r="A190" s="365"/>
      <c r="B190" s="366"/>
      <c r="C190" s="529"/>
      <c r="D190" s="529"/>
      <c r="E190" s="529"/>
      <c r="F190" s="529"/>
      <c r="G190" s="529"/>
      <c r="H190" s="529"/>
      <c r="I190" s="529"/>
      <c r="J190" s="529"/>
      <c r="K190" s="529"/>
      <c r="L190" s="529" t="s">
        <v>94</v>
      </c>
      <c r="M190" s="530" t="s">
        <v>101</v>
      </c>
      <c r="N190" s="529" t="s">
        <v>103</v>
      </c>
      <c r="O190" s="530" t="s">
        <v>101</v>
      </c>
      <c r="P190" s="530"/>
      <c r="Q190" s="529" t="s">
        <v>94</v>
      </c>
      <c r="R190" s="530" t="s">
        <v>101</v>
      </c>
      <c r="S190" s="529" t="s">
        <v>103</v>
      </c>
      <c r="T190" s="530" t="s">
        <v>101</v>
      </c>
      <c r="U190" s="369"/>
      <c r="V190" s="531"/>
      <c r="W190" s="6"/>
    </row>
    <row r="191" spans="1:23" ht="15.6">
      <c r="A191" s="316"/>
      <c r="B191" s="360" t="s">
        <v>81</v>
      </c>
      <c r="C191" s="361"/>
      <c r="D191" s="361"/>
      <c r="E191" s="361"/>
      <c r="F191" s="361"/>
      <c r="G191" s="361"/>
      <c r="H191" s="361"/>
      <c r="I191" s="361"/>
      <c r="J191" s="361"/>
      <c r="K191" s="361"/>
      <c r="L191" s="361">
        <v>285</v>
      </c>
      <c r="M191" s="362">
        <f t="shared" ref="M191:M197" si="0">+L191/$L$198</f>
        <v>0.70895522388059706</v>
      </c>
      <c r="N191" s="361">
        <v>1010</v>
      </c>
      <c r="O191" s="362">
        <f t="shared" ref="O191:O197" si="1">N191/$N$198</f>
        <v>0.84166666666666667</v>
      </c>
      <c r="P191" s="363"/>
      <c r="Q191" s="361">
        <v>54</v>
      </c>
      <c r="R191" s="362">
        <f t="shared" ref="R191:R197" si="2">+Q191/$Q$198</f>
        <v>0.23684210526315788</v>
      </c>
      <c r="S191" s="552">
        <v>74</v>
      </c>
      <c r="T191" s="362">
        <f>+S191/$S$198</f>
        <v>0.35576923076923078</v>
      </c>
      <c r="U191" s="364"/>
      <c r="V191" s="312"/>
      <c r="W191" s="6"/>
    </row>
    <row r="192" spans="1:23" ht="15.6">
      <c r="A192" s="444"/>
      <c r="B192" s="440" t="s">
        <v>82</v>
      </c>
      <c r="C192" s="489"/>
      <c r="D192" s="489"/>
      <c r="E192" s="489"/>
      <c r="F192" s="489"/>
      <c r="G192" s="489"/>
      <c r="H192" s="489"/>
      <c r="I192" s="489"/>
      <c r="J192" s="489"/>
      <c r="K192" s="489"/>
      <c r="L192" s="489">
        <v>4</v>
      </c>
      <c r="M192" s="427">
        <f t="shared" si="0"/>
        <v>9.9502487562189053E-3</v>
      </c>
      <c r="N192" s="553">
        <v>1</v>
      </c>
      <c r="O192" s="427">
        <f t="shared" si="1"/>
        <v>8.3333333333333339E-4</v>
      </c>
      <c r="P192" s="381"/>
      <c r="Q192" s="489">
        <v>13</v>
      </c>
      <c r="R192" s="427">
        <f t="shared" si="2"/>
        <v>5.701754385964912E-2</v>
      </c>
      <c r="S192" s="553">
        <v>7</v>
      </c>
      <c r="T192" s="427">
        <f t="shared" ref="T192:T197" si="3">+S192/$S$198</f>
        <v>3.3653846153846152E-2</v>
      </c>
      <c r="U192" s="379"/>
      <c r="V192" s="435"/>
      <c r="W192" s="6"/>
    </row>
    <row r="193" spans="1:24" ht="15.6">
      <c r="A193" s="444"/>
      <c r="B193" s="440" t="s">
        <v>83</v>
      </c>
      <c r="C193" s="489"/>
      <c r="D193" s="489"/>
      <c r="E193" s="489"/>
      <c r="F193" s="489"/>
      <c r="G193" s="489"/>
      <c r="H193" s="489"/>
      <c r="I193" s="489"/>
      <c r="J193" s="489"/>
      <c r="K193" s="489"/>
      <c r="L193" s="489">
        <v>10</v>
      </c>
      <c r="M193" s="427">
        <f t="shared" si="0"/>
        <v>2.4875621890547265E-2</v>
      </c>
      <c r="N193" s="489">
        <v>24</v>
      </c>
      <c r="O193" s="427">
        <f t="shared" si="1"/>
        <v>0.02</v>
      </c>
      <c r="P193" s="381"/>
      <c r="Q193" s="489">
        <v>10</v>
      </c>
      <c r="R193" s="427">
        <f t="shared" si="2"/>
        <v>4.3859649122807015E-2</v>
      </c>
      <c r="S193" s="553">
        <v>3</v>
      </c>
      <c r="T193" s="427">
        <f t="shared" si="3"/>
        <v>1.4423076923076924E-2</v>
      </c>
      <c r="U193" s="379"/>
      <c r="V193" s="435"/>
      <c r="W193" s="6"/>
    </row>
    <row r="194" spans="1:24" ht="15.6">
      <c r="A194" s="444"/>
      <c r="B194" s="440" t="s">
        <v>186</v>
      </c>
      <c r="C194" s="489"/>
      <c r="D194" s="489"/>
      <c r="E194" s="489"/>
      <c r="F194" s="489"/>
      <c r="G194" s="489"/>
      <c r="H194" s="489"/>
      <c r="I194" s="489"/>
      <c r="J194" s="489"/>
      <c r="K194" s="489"/>
      <c r="L194" s="489">
        <v>9</v>
      </c>
      <c r="M194" s="427">
        <f t="shared" si="0"/>
        <v>2.2388059701492536E-2</v>
      </c>
      <c r="N194" s="489">
        <v>15</v>
      </c>
      <c r="O194" s="427">
        <f t="shared" si="1"/>
        <v>1.2500000000000001E-2</v>
      </c>
      <c r="P194" s="381"/>
      <c r="Q194" s="489">
        <v>11</v>
      </c>
      <c r="R194" s="551">
        <f t="shared" si="2"/>
        <v>4.8245614035087717E-2</v>
      </c>
      <c r="S194" s="489">
        <v>9</v>
      </c>
      <c r="T194" s="427">
        <f t="shared" si="3"/>
        <v>4.3269230769230768E-2</v>
      </c>
      <c r="U194" s="379"/>
      <c r="V194" s="435"/>
      <c r="W194" s="6"/>
    </row>
    <row r="195" spans="1:24" ht="15.6">
      <c r="A195" s="444"/>
      <c r="B195" s="440" t="s">
        <v>187</v>
      </c>
      <c r="C195" s="489"/>
      <c r="D195" s="489"/>
      <c r="E195" s="489"/>
      <c r="F195" s="489"/>
      <c r="G195" s="489"/>
      <c r="H195" s="489"/>
      <c r="I195" s="489"/>
      <c r="J195" s="489"/>
      <c r="K195" s="489"/>
      <c r="L195" s="489">
        <v>10</v>
      </c>
      <c r="M195" s="427">
        <f t="shared" si="0"/>
        <v>2.4875621890547265E-2</v>
      </c>
      <c r="N195" s="489">
        <v>4</v>
      </c>
      <c r="O195" s="427">
        <f t="shared" si="1"/>
        <v>3.3333333333333335E-3</v>
      </c>
      <c r="P195" s="381"/>
      <c r="Q195" s="489">
        <v>13</v>
      </c>
      <c r="R195" s="427">
        <f t="shared" si="2"/>
        <v>5.701754385964912E-2</v>
      </c>
      <c r="S195" s="489">
        <v>11</v>
      </c>
      <c r="T195" s="427">
        <f t="shared" si="3"/>
        <v>5.2884615384615384E-2</v>
      </c>
      <c r="U195" s="379"/>
      <c r="V195" s="435"/>
      <c r="W195" s="6"/>
    </row>
    <row r="196" spans="1:24" ht="15.6">
      <c r="A196" s="444"/>
      <c r="B196" s="440" t="s">
        <v>188</v>
      </c>
      <c r="C196" s="489"/>
      <c r="D196" s="489"/>
      <c r="E196" s="489"/>
      <c r="F196" s="489"/>
      <c r="G196" s="489"/>
      <c r="H196" s="489"/>
      <c r="I196" s="489"/>
      <c r="J196" s="489"/>
      <c r="K196" s="489"/>
      <c r="L196" s="489">
        <v>7</v>
      </c>
      <c r="M196" s="427">
        <f t="shared" si="0"/>
        <v>1.7412935323383085E-2</v>
      </c>
      <c r="N196" s="489">
        <v>19</v>
      </c>
      <c r="O196" s="427">
        <f t="shared" si="1"/>
        <v>1.5833333333333335E-2</v>
      </c>
      <c r="P196" s="381"/>
      <c r="Q196" s="489">
        <v>20</v>
      </c>
      <c r="R196" s="427">
        <f t="shared" si="2"/>
        <v>8.771929824561403E-2</v>
      </c>
      <c r="S196" s="489">
        <v>17</v>
      </c>
      <c r="T196" s="427">
        <f t="shared" si="3"/>
        <v>8.1730769230769232E-2</v>
      </c>
      <c r="U196" s="379"/>
      <c r="V196" s="435"/>
      <c r="W196" s="6"/>
    </row>
    <row r="197" spans="1:24" ht="15.6">
      <c r="A197" s="444"/>
      <c r="B197" s="440" t="s">
        <v>189</v>
      </c>
      <c r="C197" s="489"/>
      <c r="D197" s="489"/>
      <c r="E197" s="489"/>
      <c r="F197" s="489"/>
      <c r="G197" s="489"/>
      <c r="H197" s="489"/>
      <c r="I197" s="489"/>
      <c r="J197" s="489"/>
      <c r="K197" s="489"/>
      <c r="L197" s="489">
        <v>77</v>
      </c>
      <c r="M197" s="427">
        <f t="shared" si="0"/>
        <v>0.19154228855721392</v>
      </c>
      <c r="N197" s="489">
        <v>127</v>
      </c>
      <c r="O197" s="427">
        <f t="shared" si="1"/>
        <v>0.10583333333333333</v>
      </c>
      <c r="P197" s="381"/>
      <c r="Q197" s="489">
        <v>107</v>
      </c>
      <c r="R197" s="427">
        <f t="shared" si="2"/>
        <v>0.4692982456140351</v>
      </c>
      <c r="S197" s="489">
        <v>87</v>
      </c>
      <c r="T197" s="427">
        <f t="shared" si="3"/>
        <v>0.41826923076923078</v>
      </c>
      <c r="U197" s="379"/>
      <c r="V197" s="435"/>
      <c r="W197" s="6"/>
    </row>
    <row r="198" spans="1:24" ht="15.6">
      <c r="A198" s="444"/>
      <c r="B198" s="440" t="s">
        <v>84</v>
      </c>
      <c r="C198" s="489"/>
      <c r="D198" s="489"/>
      <c r="E198" s="489"/>
      <c r="F198" s="489"/>
      <c r="G198" s="489"/>
      <c r="H198" s="489"/>
      <c r="I198" s="489"/>
      <c r="J198" s="489"/>
      <c r="K198" s="489"/>
      <c r="L198" s="489">
        <f>SUM(L191:L197)</f>
        <v>402</v>
      </c>
      <c r="M198" s="427">
        <f>SUM(M191:M197)</f>
        <v>0.99999999999999989</v>
      </c>
      <c r="N198" s="489">
        <f>SUM(N191:N197)</f>
        <v>1200</v>
      </c>
      <c r="O198" s="427">
        <f>SUM(O191:O197)</f>
        <v>1</v>
      </c>
      <c r="P198" s="381"/>
      <c r="Q198" s="489">
        <f>SUM(Q191:Q197)</f>
        <v>228</v>
      </c>
      <c r="R198" s="427">
        <f>SUM(R191:R197)</f>
        <v>1</v>
      </c>
      <c r="S198" s="489">
        <f>SUM(S191:S197)</f>
        <v>208</v>
      </c>
      <c r="T198" s="427">
        <f>SUM(T191:T197)</f>
        <v>1</v>
      </c>
      <c r="U198" s="379"/>
      <c r="V198" s="435"/>
      <c r="W198" s="6"/>
      <c r="X198" s="64"/>
    </row>
    <row r="199" spans="1:24" ht="15.6">
      <c r="A199" s="444"/>
      <c r="B199" s="440" t="s">
        <v>85</v>
      </c>
      <c r="C199" s="489"/>
      <c r="D199" s="489"/>
      <c r="E199" s="489"/>
      <c r="F199" s="489"/>
      <c r="G199" s="489"/>
      <c r="H199" s="489"/>
      <c r="I199" s="489"/>
      <c r="J199" s="489"/>
      <c r="K199" s="489"/>
      <c r="L199" s="489">
        <v>841</v>
      </c>
      <c r="M199" s="380"/>
      <c r="N199" s="489">
        <v>4879</v>
      </c>
      <c r="O199" s="380"/>
      <c r="P199" s="381"/>
      <c r="Q199" s="489">
        <v>498</v>
      </c>
      <c r="R199" s="380"/>
      <c r="S199" s="489">
        <v>1112</v>
      </c>
      <c r="T199" s="380"/>
      <c r="U199" s="379"/>
      <c r="V199" s="435"/>
      <c r="W199" s="6"/>
      <c r="X199" s="64"/>
    </row>
    <row r="200" spans="1:24" ht="15.6">
      <c r="A200" s="444"/>
      <c r="B200" s="440" t="s">
        <v>86</v>
      </c>
      <c r="C200" s="489"/>
      <c r="D200" s="489"/>
      <c r="E200" s="489"/>
      <c r="F200" s="489"/>
      <c r="G200" s="489"/>
      <c r="H200" s="489"/>
      <c r="I200" s="489"/>
      <c r="J200" s="489"/>
      <c r="K200" s="489"/>
      <c r="L200" s="489">
        <f>SUM(L198:L199)</f>
        <v>1243</v>
      </c>
      <c r="M200" s="450"/>
      <c r="N200" s="489">
        <f>SUM(N198:N199)</f>
        <v>6079</v>
      </c>
      <c r="O200" s="490"/>
      <c r="P200" s="450"/>
      <c r="Q200" s="489">
        <f>SUM(Q198:Q199)</f>
        <v>726</v>
      </c>
      <c r="R200" s="450"/>
      <c r="S200" s="489">
        <f>SUM(S198:S199)</f>
        <v>1320</v>
      </c>
      <c r="T200" s="450"/>
      <c r="U200" s="450"/>
      <c r="V200" s="435"/>
      <c r="W200" s="6"/>
      <c r="X200" s="64"/>
    </row>
    <row r="201" spans="1:24" ht="15.6">
      <c r="A201" s="242"/>
      <c r="B201" s="484"/>
      <c r="C201" s="485"/>
      <c r="D201" s="485"/>
      <c r="E201" s="485"/>
      <c r="F201" s="485"/>
      <c r="G201" s="485"/>
      <c r="H201" s="485"/>
      <c r="I201" s="485"/>
      <c r="J201" s="485"/>
      <c r="K201" s="485"/>
      <c r="L201" s="532"/>
      <c r="M201" s="533"/>
      <c r="N201" s="532"/>
      <c r="O201" s="533"/>
      <c r="P201" s="488"/>
      <c r="Q201" s="532"/>
      <c r="R201" s="533"/>
      <c r="S201" s="532"/>
      <c r="T201" s="533"/>
      <c r="U201" s="463"/>
      <c r="V201" s="464"/>
      <c r="W201" s="6"/>
    </row>
    <row r="202" spans="1:24" ht="15.6">
      <c r="A202" s="349"/>
      <c r="B202" s="525" t="s">
        <v>80</v>
      </c>
      <c r="C202" s="526"/>
      <c r="D202" s="526"/>
      <c r="E202" s="526"/>
      <c r="F202" s="526"/>
      <c r="G202" s="526"/>
      <c r="H202" s="526"/>
      <c r="I202" s="526"/>
      <c r="J202" s="526"/>
      <c r="K202" s="526"/>
      <c r="L202" s="526"/>
      <c r="M202" s="525" t="s">
        <v>27</v>
      </c>
      <c r="N202" s="526"/>
      <c r="O202" s="527"/>
      <c r="P202" s="526"/>
      <c r="Q202" s="525"/>
      <c r="R202" s="525" t="s">
        <v>28</v>
      </c>
      <c r="S202" s="527"/>
      <c r="T202" s="526"/>
      <c r="U202" s="346"/>
      <c r="V202" s="528"/>
      <c r="W202" s="6"/>
    </row>
    <row r="203" spans="1:24" ht="15.6">
      <c r="A203" s="371"/>
      <c r="B203" s="372"/>
      <c r="C203" s="534"/>
      <c r="D203" s="534"/>
      <c r="E203" s="534"/>
      <c r="F203" s="534"/>
      <c r="G203" s="534"/>
      <c r="H203" s="534"/>
      <c r="I203" s="534"/>
      <c r="J203" s="534"/>
      <c r="K203" s="534"/>
      <c r="L203" s="534" t="s">
        <v>94</v>
      </c>
      <c r="M203" s="535" t="s">
        <v>101</v>
      </c>
      <c r="N203" s="534" t="s">
        <v>103</v>
      </c>
      <c r="O203" s="535" t="s">
        <v>101</v>
      </c>
      <c r="P203" s="535"/>
      <c r="Q203" s="534" t="s">
        <v>94</v>
      </c>
      <c r="R203" s="535" t="s">
        <v>101</v>
      </c>
      <c r="S203" s="534" t="s">
        <v>103</v>
      </c>
      <c r="T203" s="535" t="s">
        <v>101</v>
      </c>
      <c r="U203" s="375"/>
      <c r="V203" s="536"/>
      <c r="W203" s="6"/>
    </row>
    <row r="204" spans="1:24" ht="15.6">
      <c r="A204" s="315"/>
      <c r="B204" s="310" t="s">
        <v>81</v>
      </c>
      <c r="C204" s="351"/>
      <c r="D204" s="351"/>
      <c r="E204" s="351"/>
      <c r="F204" s="351"/>
      <c r="G204" s="351"/>
      <c r="H204" s="351"/>
      <c r="I204" s="351"/>
      <c r="J204" s="351"/>
      <c r="K204" s="351"/>
      <c r="L204" s="351">
        <v>4094</v>
      </c>
      <c r="M204" s="299">
        <f t="shared" ref="M204:M210" si="4">+L204/$L$211</f>
        <v>0.87891799055388575</v>
      </c>
      <c r="N204" s="351">
        <v>88749</v>
      </c>
      <c r="O204" s="299">
        <f t="shared" ref="O204:O210" si="5">+N204/$N$211</f>
        <v>0.8729810548680923</v>
      </c>
      <c r="P204" s="296"/>
      <c r="Q204" s="351">
        <v>56</v>
      </c>
      <c r="R204" s="299">
        <f t="shared" ref="R204:R210" si="6">Q204/$Q$211</f>
        <v>0.84848484848484851</v>
      </c>
      <c r="S204" s="351">
        <v>377</v>
      </c>
      <c r="T204" s="299">
        <f t="shared" ref="T204:T210" si="7">+S204/$S$211</f>
        <v>0.80901287553648071</v>
      </c>
      <c r="U204" s="294"/>
      <c r="V204" s="301"/>
      <c r="W204" s="6"/>
    </row>
    <row r="205" spans="1:24" ht="15.6">
      <c r="A205" s="444"/>
      <c r="B205" s="440" t="s">
        <v>82</v>
      </c>
      <c r="C205" s="489"/>
      <c r="D205" s="489"/>
      <c r="E205" s="489"/>
      <c r="F205" s="489"/>
      <c r="G205" s="489"/>
      <c r="H205" s="489"/>
      <c r="I205" s="489"/>
      <c r="J205" s="489"/>
      <c r="K205" s="489"/>
      <c r="L205" s="489">
        <v>116</v>
      </c>
      <c r="M205" s="427">
        <f t="shared" si="4"/>
        <v>2.4903392013739801E-2</v>
      </c>
      <c r="N205" s="489">
        <v>2339</v>
      </c>
      <c r="O205" s="427">
        <f t="shared" si="5"/>
        <v>2.3007613464224589E-2</v>
      </c>
      <c r="P205" s="381"/>
      <c r="Q205" s="489">
        <v>5</v>
      </c>
      <c r="R205" s="427">
        <f t="shared" si="6"/>
        <v>7.575757575757576E-2</v>
      </c>
      <c r="S205" s="489">
        <v>60</v>
      </c>
      <c r="T205" s="427">
        <f t="shared" si="7"/>
        <v>0.12875536480686695</v>
      </c>
      <c r="U205" s="379"/>
      <c r="V205" s="435"/>
      <c r="W205" s="6"/>
    </row>
    <row r="206" spans="1:24" ht="15.6">
      <c r="A206" s="444"/>
      <c r="B206" s="440" t="s">
        <v>83</v>
      </c>
      <c r="C206" s="489"/>
      <c r="D206" s="489"/>
      <c r="E206" s="489"/>
      <c r="F206" s="489"/>
      <c r="G206" s="489"/>
      <c r="H206" s="489"/>
      <c r="I206" s="489"/>
      <c r="J206" s="489"/>
      <c r="K206" s="489"/>
      <c r="L206" s="489">
        <v>86</v>
      </c>
      <c r="M206" s="427">
        <f t="shared" si="4"/>
        <v>1.8462859596393301E-2</v>
      </c>
      <c r="N206" s="489">
        <v>2028</v>
      </c>
      <c r="O206" s="427">
        <f t="shared" si="5"/>
        <v>1.9948456650469203E-2</v>
      </c>
      <c r="P206" s="381"/>
      <c r="Q206" s="489">
        <v>0</v>
      </c>
      <c r="R206" s="427">
        <f t="shared" si="6"/>
        <v>0</v>
      </c>
      <c r="S206" s="489">
        <v>0</v>
      </c>
      <c r="T206" s="427">
        <f t="shared" si="7"/>
        <v>0</v>
      </c>
      <c r="U206" s="379"/>
      <c r="V206" s="435"/>
      <c r="W206" s="6"/>
      <c r="X206" s="182"/>
    </row>
    <row r="207" spans="1:24" ht="15.6">
      <c r="A207" s="444"/>
      <c r="B207" s="440" t="s">
        <v>186</v>
      </c>
      <c r="C207" s="489"/>
      <c r="D207" s="489"/>
      <c r="E207" s="489"/>
      <c r="F207" s="489"/>
      <c r="G207" s="489"/>
      <c r="H207" s="489"/>
      <c r="I207" s="489"/>
      <c r="J207" s="489"/>
      <c r="K207" s="489"/>
      <c r="L207" s="489">
        <v>54</v>
      </c>
      <c r="M207" s="427">
        <f t="shared" si="4"/>
        <v>1.1592958351223702E-2</v>
      </c>
      <c r="N207" s="489">
        <v>1252</v>
      </c>
      <c r="O207" s="427">
        <f t="shared" si="5"/>
        <v>1.2315319391709783E-2</v>
      </c>
      <c r="P207" s="381"/>
      <c r="Q207" s="489">
        <v>0</v>
      </c>
      <c r="R207" s="427">
        <f t="shared" si="6"/>
        <v>0</v>
      </c>
      <c r="S207" s="489">
        <v>0</v>
      </c>
      <c r="T207" s="427">
        <f t="shared" si="7"/>
        <v>0</v>
      </c>
      <c r="U207" s="379"/>
      <c r="V207" s="435"/>
      <c r="W207" s="6"/>
    </row>
    <row r="208" spans="1:24" ht="15.6">
      <c r="A208" s="444"/>
      <c r="B208" s="440" t="s">
        <v>187</v>
      </c>
      <c r="C208" s="489"/>
      <c r="D208" s="489"/>
      <c r="E208" s="489"/>
      <c r="F208" s="489"/>
      <c r="G208" s="489"/>
      <c r="H208" s="489"/>
      <c r="I208" s="489"/>
      <c r="J208" s="489"/>
      <c r="K208" s="489"/>
      <c r="L208" s="489">
        <v>60</v>
      </c>
      <c r="M208" s="427">
        <f t="shared" si="4"/>
        <v>1.2881064834693002E-2</v>
      </c>
      <c r="N208" s="489">
        <v>1365</v>
      </c>
      <c r="O208" s="427">
        <f t="shared" si="5"/>
        <v>1.3426845822431194E-2</v>
      </c>
      <c r="P208" s="381"/>
      <c r="Q208" s="489">
        <v>0</v>
      </c>
      <c r="R208" s="427">
        <f t="shared" si="6"/>
        <v>0</v>
      </c>
      <c r="S208" s="489">
        <v>0</v>
      </c>
      <c r="T208" s="427">
        <f t="shared" si="7"/>
        <v>0</v>
      </c>
      <c r="U208" s="379"/>
      <c r="V208" s="435"/>
      <c r="W208" s="6"/>
    </row>
    <row r="209" spans="1:24" ht="15.6">
      <c r="A209" s="444"/>
      <c r="B209" s="440" t="s">
        <v>188</v>
      </c>
      <c r="C209" s="489"/>
      <c r="D209" s="489"/>
      <c r="E209" s="489"/>
      <c r="F209" s="489"/>
      <c r="G209" s="489"/>
      <c r="H209" s="489"/>
      <c r="I209" s="489"/>
      <c r="J209" s="489"/>
      <c r="K209" s="489"/>
      <c r="L209" s="489">
        <v>38</v>
      </c>
      <c r="M209" s="427">
        <f t="shared" si="4"/>
        <v>8.1580077286389011E-3</v>
      </c>
      <c r="N209" s="489">
        <v>850</v>
      </c>
      <c r="O209" s="427">
        <f t="shared" si="5"/>
        <v>8.3610395231256511E-3</v>
      </c>
      <c r="P209" s="381"/>
      <c r="Q209" s="489">
        <v>0</v>
      </c>
      <c r="R209" s="427">
        <f t="shared" si="6"/>
        <v>0</v>
      </c>
      <c r="S209" s="489">
        <v>0</v>
      </c>
      <c r="T209" s="427">
        <f t="shared" si="7"/>
        <v>0</v>
      </c>
      <c r="U209" s="379"/>
      <c r="V209" s="435"/>
      <c r="W209" s="6"/>
    </row>
    <row r="210" spans="1:24" ht="15.6">
      <c r="A210" s="444"/>
      <c r="B210" s="440" t="s">
        <v>189</v>
      </c>
      <c r="C210" s="489"/>
      <c r="D210" s="489"/>
      <c r="E210" s="489"/>
      <c r="F210" s="489"/>
      <c r="G210" s="489"/>
      <c r="H210" s="489"/>
      <c r="I210" s="489"/>
      <c r="J210" s="489"/>
      <c r="K210" s="489"/>
      <c r="L210" s="489">
        <v>210</v>
      </c>
      <c r="M210" s="427">
        <f t="shared" si="4"/>
        <v>4.5083726921425503E-2</v>
      </c>
      <c r="N210" s="489">
        <v>5079</v>
      </c>
      <c r="O210" s="427">
        <f t="shared" si="5"/>
        <v>4.9959670279947278E-2</v>
      </c>
      <c r="P210" s="381"/>
      <c r="Q210" s="489">
        <v>5</v>
      </c>
      <c r="R210" s="427">
        <f t="shared" si="6"/>
        <v>7.575757575757576E-2</v>
      </c>
      <c r="S210" s="489">
        <v>29</v>
      </c>
      <c r="T210" s="427">
        <f t="shared" si="7"/>
        <v>6.2231759656652362E-2</v>
      </c>
      <c r="U210" s="379"/>
      <c r="V210" s="435"/>
      <c r="W210" s="6"/>
    </row>
    <row r="211" spans="1:24" ht="15.6">
      <c r="A211" s="444"/>
      <c r="B211" s="440" t="str">
        <f>B198</f>
        <v>Total Performing  Assets</v>
      </c>
      <c r="C211" s="489"/>
      <c r="D211" s="489"/>
      <c r="E211" s="489"/>
      <c r="F211" s="489"/>
      <c r="G211" s="489"/>
      <c r="H211" s="489"/>
      <c r="I211" s="489"/>
      <c r="J211" s="489"/>
      <c r="K211" s="489"/>
      <c r="L211" s="489">
        <f>SUM(L204:L210)</f>
        <v>4658</v>
      </c>
      <c r="M211" s="427">
        <f>SUM(M204:M210)</f>
        <v>0.99999999999999989</v>
      </c>
      <c r="N211" s="489">
        <f>SUM(N204:N210)</f>
        <v>101662</v>
      </c>
      <c r="O211" s="427">
        <f>SUM(O204:O210)</f>
        <v>1</v>
      </c>
      <c r="P211" s="381"/>
      <c r="Q211" s="489">
        <f>SUM(Q204:Q210)</f>
        <v>66</v>
      </c>
      <c r="R211" s="427">
        <f>SUM(R204:R210)</f>
        <v>1</v>
      </c>
      <c r="S211" s="489">
        <f>SUM(S204:S210)</f>
        <v>466</v>
      </c>
      <c r="T211" s="427">
        <f>SUM(T204:T210)</f>
        <v>1</v>
      </c>
      <c r="U211" s="379"/>
      <c r="V211" s="435"/>
      <c r="W211" s="6"/>
    </row>
    <row r="212" spans="1:24" ht="15.6">
      <c r="A212" s="444"/>
      <c r="B212" s="440" t="s">
        <v>85</v>
      </c>
      <c r="C212" s="489"/>
      <c r="D212" s="489"/>
      <c r="E212" s="489"/>
      <c r="F212" s="489"/>
      <c r="G212" s="489"/>
      <c r="H212" s="489"/>
      <c r="I212" s="489"/>
      <c r="J212" s="489"/>
      <c r="K212" s="489"/>
      <c r="L212" s="489">
        <v>289</v>
      </c>
      <c r="M212" s="381"/>
      <c r="N212" s="489">
        <v>8411</v>
      </c>
      <c r="O212" s="380"/>
      <c r="P212" s="381"/>
      <c r="Q212" s="489">
        <v>12</v>
      </c>
      <c r="R212" s="381"/>
      <c r="S212" s="489">
        <v>209</v>
      </c>
      <c r="T212" s="381"/>
      <c r="U212" s="379"/>
      <c r="V212" s="435"/>
      <c r="W212" s="6"/>
    </row>
    <row r="213" spans="1:24" ht="15.6">
      <c r="A213" s="444"/>
      <c r="B213" s="440" t="s">
        <v>86</v>
      </c>
      <c r="C213" s="489"/>
      <c r="D213" s="489"/>
      <c r="E213" s="489"/>
      <c r="F213" s="489"/>
      <c r="G213" s="489"/>
      <c r="H213" s="489"/>
      <c r="I213" s="489"/>
      <c r="J213" s="489"/>
      <c r="K213" s="489"/>
      <c r="L213" s="489">
        <f>SUM(L211:L212)</f>
        <v>4947</v>
      </c>
      <c r="M213" s="450"/>
      <c r="N213" s="489">
        <f>SUM(N211:N212)</f>
        <v>110073</v>
      </c>
      <c r="O213" s="427"/>
      <c r="P213" s="450"/>
      <c r="Q213" s="489">
        <f>SUM(Q211:Q212)</f>
        <v>78</v>
      </c>
      <c r="R213" s="450"/>
      <c r="S213" s="489">
        <f>SUM(S211:S212)</f>
        <v>675</v>
      </c>
      <c r="T213" s="450"/>
      <c r="U213" s="450"/>
      <c r="V213" s="492"/>
    </row>
    <row r="214" spans="1:24" ht="15.6">
      <c r="A214" s="444"/>
      <c r="B214" s="440"/>
      <c r="C214" s="381"/>
      <c r="D214" s="381"/>
      <c r="E214" s="381"/>
      <c r="F214" s="381"/>
      <c r="G214" s="381"/>
      <c r="H214" s="381"/>
      <c r="I214" s="381"/>
      <c r="J214" s="381"/>
      <c r="K214" s="381"/>
      <c r="L214" s="381"/>
      <c r="M214" s="493"/>
      <c r="N214" s="381"/>
      <c r="O214" s="493"/>
      <c r="P214" s="381"/>
      <c r="Q214" s="493"/>
      <c r="R214" s="381"/>
      <c r="S214" s="489"/>
      <c r="T214" s="381"/>
      <c r="U214" s="379"/>
      <c r="V214" s="435"/>
      <c r="W214" s="6"/>
    </row>
    <row r="215" spans="1:24" ht="15.6">
      <c r="A215" s="444"/>
      <c r="B215" s="440" t="s">
        <v>86</v>
      </c>
      <c r="C215" s="381"/>
      <c r="D215" s="381"/>
      <c r="E215" s="381"/>
      <c r="F215" s="381"/>
      <c r="G215" s="381"/>
      <c r="H215" s="381"/>
      <c r="I215" s="381"/>
      <c r="J215" s="381"/>
      <c r="K215" s="381"/>
      <c r="L215" s="493"/>
      <c r="M215" s="493"/>
      <c r="N215" s="493"/>
      <c r="O215" s="493"/>
      <c r="P215" s="381"/>
      <c r="Q215" s="493"/>
      <c r="R215" s="381"/>
      <c r="S215" s="489">
        <f>+N200+S200+N213+S213</f>
        <v>118147</v>
      </c>
      <c r="T215" s="490"/>
      <c r="U215" s="379"/>
      <c r="V215" s="435"/>
      <c r="W215" s="6"/>
      <c r="X215" s="182"/>
    </row>
    <row r="216" spans="1:24" ht="15.6">
      <c r="A216" s="316"/>
      <c r="B216" s="360"/>
      <c r="C216" s="363"/>
      <c r="D216" s="363"/>
      <c r="E216" s="363"/>
      <c r="F216" s="363"/>
      <c r="G216" s="363"/>
      <c r="H216" s="363"/>
      <c r="I216" s="363"/>
      <c r="J216" s="363"/>
      <c r="K216" s="363"/>
      <c r="L216" s="491"/>
      <c r="M216" s="491"/>
      <c r="N216" s="491"/>
      <c r="O216" s="491"/>
      <c r="P216" s="363"/>
      <c r="Q216" s="491"/>
      <c r="R216" s="363"/>
      <c r="S216" s="361"/>
      <c r="T216" s="363"/>
      <c r="U216" s="364"/>
      <c r="V216" s="312"/>
      <c r="W216" s="6"/>
    </row>
    <row r="217" spans="1:24" ht="15.6">
      <c r="A217" s="349"/>
      <c r="B217" s="357" t="s">
        <v>87</v>
      </c>
      <c r="C217" s="526"/>
      <c r="D217" s="526"/>
      <c r="E217" s="526"/>
      <c r="F217" s="526"/>
      <c r="G217" s="526"/>
      <c r="H217" s="526"/>
      <c r="I217" s="526"/>
      <c r="J217" s="526"/>
      <c r="K217" s="526"/>
      <c r="L217" s="526"/>
      <c r="M217" s="527"/>
      <c r="N217" s="526"/>
      <c r="O217" s="527"/>
      <c r="P217" s="526"/>
      <c r="Q217" s="527"/>
      <c r="R217" s="526"/>
      <c r="S217" s="358"/>
      <c r="T217" s="526"/>
      <c r="U217" s="350"/>
      <c r="V217" s="528"/>
      <c r="W217" s="6"/>
    </row>
    <row r="218" spans="1:24" ht="15.6">
      <c r="A218" s="315"/>
      <c r="B218" s="310"/>
      <c r="C218" s="296"/>
      <c r="D218" s="296"/>
      <c r="E218" s="296"/>
      <c r="F218" s="296"/>
      <c r="G218" s="296"/>
      <c r="H218" s="296"/>
      <c r="I218" s="296"/>
      <c r="J218" s="296"/>
      <c r="K218" s="296"/>
      <c r="L218" s="296"/>
      <c r="M218" s="352"/>
      <c r="N218" s="296"/>
      <c r="O218" s="352"/>
      <c r="P218" s="296"/>
      <c r="Q218" s="352"/>
      <c r="R218" s="296"/>
      <c r="S218" s="351"/>
      <c r="T218" s="296"/>
      <c r="U218" s="294"/>
      <c r="V218" s="301"/>
      <c r="W218" s="6"/>
    </row>
    <row r="219" spans="1:24" ht="15.6">
      <c r="A219" s="444"/>
      <c r="B219" s="440" t="s">
        <v>88</v>
      </c>
      <c r="C219" s="381"/>
      <c r="D219" s="381"/>
      <c r="E219" s="381"/>
      <c r="F219" s="381"/>
      <c r="G219" s="381"/>
      <c r="H219" s="381"/>
      <c r="I219" s="381"/>
      <c r="J219" s="381"/>
      <c r="K219" s="381"/>
      <c r="L219" s="381"/>
      <c r="M219" s="493"/>
      <c r="N219" s="381"/>
      <c r="O219" s="493"/>
      <c r="P219" s="381"/>
      <c r="Q219" s="493"/>
      <c r="R219" s="381"/>
      <c r="S219" s="489">
        <f>+N198+S198+N211+S211</f>
        <v>103536</v>
      </c>
      <c r="T219" s="381"/>
      <c r="U219" s="379"/>
      <c r="V219" s="435"/>
      <c r="W219" s="6"/>
      <c r="X219" s="182"/>
    </row>
    <row r="220" spans="1:24" ht="15.6">
      <c r="A220" s="444"/>
      <c r="B220" s="440" t="s">
        <v>89</v>
      </c>
      <c r="C220" s="381"/>
      <c r="D220" s="381"/>
      <c r="E220" s="381"/>
      <c r="F220" s="381"/>
      <c r="G220" s="381"/>
      <c r="H220" s="381"/>
      <c r="I220" s="381"/>
      <c r="J220" s="381"/>
      <c r="K220" s="381"/>
      <c r="L220" s="381"/>
      <c r="M220" s="493"/>
      <c r="N220" s="381"/>
      <c r="O220" s="493"/>
      <c r="P220" s="381"/>
      <c r="Q220" s="493"/>
      <c r="R220" s="381"/>
      <c r="S220" s="489">
        <f>+U78</f>
        <v>0</v>
      </c>
      <c r="T220" s="381"/>
      <c r="U220" s="379"/>
      <c r="V220" s="435"/>
      <c r="W220" s="119"/>
    </row>
    <row r="221" spans="1:24" ht="15.6">
      <c r="A221" s="444"/>
      <c r="B221" s="440" t="s">
        <v>90</v>
      </c>
      <c r="C221" s="381"/>
      <c r="D221" s="381"/>
      <c r="E221" s="381"/>
      <c r="F221" s="381"/>
      <c r="G221" s="381"/>
      <c r="H221" s="381"/>
      <c r="I221" s="381"/>
      <c r="J221" s="381"/>
      <c r="K221" s="381"/>
      <c r="L221" s="381"/>
      <c r="M221" s="493"/>
      <c r="N221" s="381"/>
      <c r="O221" s="493"/>
      <c r="P221" s="381"/>
      <c r="Q221" s="493"/>
      <c r="R221" s="381"/>
      <c r="S221" s="489">
        <f>SUM(S219:S220)</f>
        <v>103536</v>
      </c>
      <c r="T221" s="381"/>
      <c r="U221" s="379"/>
      <c r="V221" s="435"/>
      <c r="W221" s="6"/>
    </row>
    <row r="222" spans="1:24" ht="15.6">
      <c r="A222" s="444"/>
      <c r="B222" s="440"/>
      <c r="C222" s="381"/>
      <c r="D222" s="381"/>
      <c r="E222" s="381"/>
      <c r="F222" s="381"/>
      <c r="G222" s="381"/>
      <c r="H222" s="381"/>
      <c r="I222" s="381"/>
      <c r="J222" s="381"/>
      <c r="K222" s="381"/>
      <c r="L222" s="381"/>
      <c r="M222" s="493"/>
      <c r="N222" s="493"/>
      <c r="O222" s="493"/>
      <c r="P222" s="381"/>
      <c r="Q222" s="493"/>
      <c r="R222" s="381"/>
      <c r="S222" s="489"/>
      <c r="T222" s="381"/>
      <c r="U222" s="379"/>
      <c r="V222" s="435"/>
      <c r="W222" s="6"/>
    </row>
    <row r="223" spans="1:24" ht="15.6">
      <c r="A223" s="444"/>
      <c r="B223" s="440" t="s">
        <v>91</v>
      </c>
      <c r="C223" s="381"/>
      <c r="D223" s="381"/>
      <c r="E223" s="381"/>
      <c r="F223" s="381"/>
      <c r="G223" s="381"/>
      <c r="H223" s="381"/>
      <c r="I223" s="381"/>
      <c r="J223" s="381"/>
      <c r="K223" s="381"/>
      <c r="L223" s="381"/>
      <c r="M223" s="493"/>
      <c r="N223" s="381"/>
      <c r="O223" s="493"/>
      <c r="P223" s="381"/>
      <c r="Q223" s="493"/>
      <c r="R223" s="381"/>
      <c r="S223" s="489">
        <f>U33</f>
        <v>103535.946</v>
      </c>
      <c r="T223" s="381"/>
      <c r="U223" s="379"/>
      <c r="V223" s="435"/>
      <c r="W223" s="6"/>
    </row>
    <row r="224" spans="1:24" ht="15.6">
      <c r="A224" s="444"/>
      <c r="B224" s="440"/>
      <c r="C224" s="381"/>
      <c r="D224" s="381"/>
      <c r="E224" s="381"/>
      <c r="F224" s="381"/>
      <c r="G224" s="381"/>
      <c r="H224" s="381"/>
      <c r="I224" s="381"/>
      <c r="J224" s="381"/>
      <c r="K224" s="381"/>
      <c r="L224" s="381"/>
      <c r="M224" s="493"/>
      <c r="N224" s="381"/>
      <c r="O224" s="493"/>
      <c r="P224" s="381"/>
      <c r="Q224" s="493"/>
      <c r="R224" s="381"/>
      <c r="S224" s="489"/>
      <c r="T224" s="381"/>
      <c r="U224" s="379"/>
      <c r="V224" s="435"/>
      <c r="W224" s="6"/>
    </row>
    <row r="225" spans="1:23" ht="15.6">
      <c r="A225" s="444"/>
      <c r="B225" s="440" t="s">
        <v>92</v>
      </c>
      <c r="C225" s="381"/>
      <c r="D225" s="381"/>
      <c r="E225" s="381"/>
      <c r="F225" s="381"/>
      <c r="G225" s="381"/>
      <c r="H225" s="381"/>
      <c r="I225" s="381"/>
      <c r="J225" s="381"/>
      <c r="K225" s="381"/>
      <c r="L225" s="381"/>
      <c r="M225" s="493"/>
      <c r="N225" s="381"/>
      <c r="O225" s="493"/>
      <c r="P225" s="381"/>
      <c r="Q225" s="493"/>
      <c r="R225" s="381"/>
      <c r="S225" s="489">
        <f>S221/S223</f>
        <v>1.000000521557991</v>
      </c>
      <c r="T225" s="381"/>
      <c r="U225" s="379"/>
      <c r="V225" s="435"/>
      <c r="W225" s="6"/>
    </row>
    <row r="226" spans="1:23" ht="15.6">
      <c r="A226" s="444"/>
      <c r="B226" s="379"/>
      <c r="C226" s="379"/>
      <c r="D226" s="379"/>
      <c r="E226" s="379"/>
      <c r="F226" s="379"/>
      <c r="G226" s="379"/>
      <c r="H226" s="379"/>
      <c r="I226" s="379"/>
      <c r="J226" s="379"/>
      <c r="K226" s="379"/>
      <c r="L226" s="379"/>
      <c r="M226" s="380"/>
      <c r="N226" s="379"/>
      <c r="O226" s="379"/>
      <c r="P226" s="379"/>
      <c r="Q226" s="440"/>
      <c r="R226" s="497"/>
      <c r="S226" s="441"/>
      <c r="T226" s="497"/>
      <c r="U226" s="466"/>
      <c r="V226" s="410"/>
      <c r="W226" s="6"/>
    </row>
    <row r="227" spans="1:23" ht="15.6">
      <c r="A227" s="353"/>
      <c r="B227" s="494" t="s">
        <v>127</v>
      </c>
      <c r="C227" s="495"/>
      <c r="D227" s="495"/>
      <c r="E227" s="495"/>
      <c r="F227" s="495"/>
      <c r="G227" s="495"/>
      <c r="H227" s="495"/>
      <c r="I227" s="495"/>
      <c r="J227" s="495"/>
      <c r="K227" s="495"/>
      <c r="L227" s="495"/>
      <c r="M227" s="363"/>
      <c r="N227" s="364"/>
      <c r="O227" s="494"/>
      <c r="P227" s="443"/>
      <c r="Q227" s="443"/>
      <c r="R227" s="443"/>
      <c r="S227" s="496"/>
      <c r="T227" s="443"/>
      <c r="U227" s="443"/>
      <c r="V227" s="355"/>
      <c r="W227" s="6"/>
    </row>
    <row r="228" spans="1:23" ht="15.6">
      <c r="A228" s="353"/>
      <c r="B228" s="287" t="s">
        <v>128</v>
      </c>
      <c r="C228" s="354"/>
      <c r="D228" s="354"/>
      <c r="E228" s="354"/>
      <c r="F228" s="354"/>
      <c r="G228" s="354"/>
      <c r="H228" s="354"/>
      <c r="I228" s="354"/>
      <c r="J228" s="354"/>
      <c r="K228" s="354"/>
      <c r="L228" s="354"/>
      <c r="M228" s="290"/>
      <c r="N228" s="287"/>
      <c r="O228" s="287"/>
      <c r="P228" s="354"/>
      <c r="Q228" s="354"/>
      <c r="R228" s="317"/>
      <c r="S228" s="317"/>
      <c r="T228" s="317"/>
      <c r="U228" s="317"/>
      <c r="V228" s="355"/>
      <c r="W228" s="6"/>
    </row>
    <row r="229" spans="1:23" ht="15.6">
      <c r="A229" s="353"/>
      <c r="B229" s="287" t="s">
        <v>246</v>
      </c>
      <c r="C229" s="287"/>
      <c r="D229" s="287"/>
      <c r="E229" s="287"/>
      <c r="F229" s="287"/>
      <c r="G229" s="287"/>
      <c r="H229" s="287"/>
      <c r="I229" s="287"/>
      <c r="J229" s="287"/>
      <c r="K229" s="287"/>
      <c r="L229" s="287"/>
      <c r="M229" s="287"/>
      <c r="N229" s="287"/>
      <c r="O229" s="287"/>
      <c r="P229" s="287"/>
      <c r="Q229" s="287"/>
      <c r="R229" s="287"/>
      <c r="S229" s="287"/>
      <c r="T229" s="287"/>
      <c r="U229" s="287"/>
      <c r="V229" s="355"/>
      <c r="W229" s="6"/>
    </row>
    <row r="230" spans="1:23" ht="15.6">
      <c r="A230" s="353"/>
      <c r="B230" s="287" t="s">
        <v>129</v>
      </c>
      <c r="C230" s="354"/>
      <c r="D230" s="354"/>
      <c r="E230" s="354"/>
      <c r="F230" s="354"/>
      <c r="G230" s="354"/>
      <c r="H230" s="354"/>
      <c r="I230" s="354"/>
      <c r="J230" s="354"/>
      <c r="K230" s="354"/>
      <c r="L230" s="354"/>
      <c r="M230" s="290"/>
      <c r="N230" s="287"/>
      <c r="O230" s="287"/>
      <c r="P230" s="354"/>
      <c r="Q230" s="354"/>
      <c r="R230" s="317"/>
      <c r="S230" s="317"/>
      <c r="T230" s="317"/>
      <c r="U230" s="317"/>
      <c r="V230" s="355"/>
      <c r="W230" s="6"/>
    </row>
    <row r="231" spans="1:23" ht="15.6">
      <c r="A231" s="353"/>
      <c r="B231" s="287"/>
      <c r="C231" s="354"/>
      <c r="D231" s="354"/>
      <c r="E231" s="354"/>
      <c r="F231" s="354"/>
      <c r="G231" s="354"/>
      <c r="H231" s="354"/>
      <c r="I231" s="354"/>
      <c r="J231" s="354"/>
      <c r="K231" s="354"/>
      <c r="L231" s="354"/>
      <c r="M231" s="290"/>
      <c r="N231" s="287"/>
      <c r="O231" s="287"/>
      <c r="P231" s="354"/>
      <c r="Q231" s="354"/>
      <c r="R231" s="317"/>
      <c r="S231" s="317"/>
      <c r="T231" s="317"/>
      <c r="U231" s="317"/>
      <c r="V231" s="355"/>
      <c r="W231" s="6"/>
    </row>
    <row r="232" spans="1:23" ht="15.6">
      <c r="A232" s="353"/>
      <c r="B232" s="287"/>
      <c r="C232" s="354"/>
      <c r="D232" s="354"/>
      <c r="E232" s="354"/>
      <c r="F232" s="354"/>
      <c r="G232" s="354"/>
      <c r="H232" s="354"/>
      <c r="I232" s="354"/>
      <c r="J232" s="354"/>
      <c r="K232" s="354"/>
      <c r="L232" s="354"/>
      <c r="M232" s="290"/>
      <c r="N232" s="287"/>
      <c r="O232" s="287"/>
      <c r="P232" s="354"/>
      <c r="Q232" s="354"/>
      <c r="R232" s="317"/>
      <c r="S232" s="317"/>
      <c r="T232" s="317"/>
      <c r="U232" s="317"/>
      <c r="V232" s="355"/>
      <c r="W232" s="6"/>
    </row>
    <row r="233" spans="1:23" ht="16.2" thickBot="1">
      <c r="A233" s="353"/>
      <c r="B233" s="287" t="str">
        <f>+B160</f>
        <v>PPAF3 INVESTOR REPORT QUARTER ENDING DECEMBER 2014</v>
      </c>
      <c r="C233" s="354"/>
      <c r="D233" s="354"/>
      <c r="E233" s="354"/>
      <c r="F233" s="354"/>
      <c r="G233" s="354"/>
      <c r="H233" s="354"/>
      <c r="I233" s="354"/>
      <c r="J233" s="354"/>
      <c r="K233" s="354"/>
      <c r="L233" s="354"/>
      <c r="M233" s="290"/>
      <c r="N233" s="287"/>
      <c r="O233" s="287"/>
      <c r="P233" s="354"/>
      <c r="Q233" s="354"/>
      <c r="R233" s="317"/>
      <c r="S233" s="317"/>
      <c r="T233" s="317"/>
      <c r="U233" s="317"/>
      <c r="V233" s="356"/>
      <c r="W233" s="6"/>
    </row>
    <row r="234" spans="1:2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row>
  </sheetData>
  <hyperlinks>
    <hyperlink ref="I9" r:id="rId1"/>
    <hyperlink ref="K187"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21" man="1"/>
    <brk id="109" max="16383" man="1"/>
    <brk id="160" max="21" man="1"/>
    <brk id="239" man="1"/>
  </rowBreaks>
  <colBreaks count="1" manualBreakCount="1">
    <brk id="23" max="1048575" man="1"/>
  </colBreaks>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0" tint="-0.499984740745262"/>
  </sheetPr>
  <dimension ref="A1:Y234"/>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38" t="s">
        <v>223</v>
      </c>
      <c r="B1" s="285" t="s">
        <v>123</v>
      </c>
      <c r="C1" s="239"/>
      <c r="D1" s="239"/>
      <c r="E1" s="239"/>
      <c r="F1" s="239"/>
      <c r="G1" s="239"/>
      <c r="H1" s="239"/>
      <c r="I1" s="239"/>
      <c r="J1" s="239"/>
      <c r="K1" s="239"/>
      <c r="L1" s="239"/>
      <c r="M1" s="240"/>
      <c r="N1" s="240"/>
      <c r="O1" s="240"/>
      <c r="P1" s="240"/>
      <c r="Q1" s="240"/>
      <c r="R1" s="240"/>
      <c r="S1" s="240"/>
      <c r="T1" s="240"/>
      <c r="U1" s="240"/>
      <c r="V1" s="241"/>
      <c r="W1" s="6"/>
    </row>
    <row r="2" spans="1:23" ht="15.6">
      <c r="A2" s="242"/>
      <c r="B2" s="243"/>
      <c r="C2" s="243"/>
      <c r="D2" s="243"/>
      <c r="E2" s="243"/>
      <c r="F2" s="243"/>
      <c r="G2" s="243"/>
      <c r="H2" s="243"/>
      <c r="I2" s="243"/>
      <c r="J2" s="243"/>
      <c r="K2" s="243"/>
      <c r="L2" s="243"/>
      <c r="M2" s="244"/>
      <c r="N2" s="244"/>
      <c r="O2" s="244"/>
      <c r="P2" s="244"/>
      <c r="Q2" s="244"/>
      <c r="R2" s="244"/>
      <c r="S2" s="244"/>
      <c r="T2" s="244"/>
      <c r="U2" s="244"/>
      <c r="V2" s="245"/>
      <c r="W2" s="6"/>
    </row>
    <row r="3" spans="1:23" ht="15.6">
      <c r="A3" s="246"/>
      <c r="B3" s="247" t="s">
        <v>125</v>
      </c>
      <c r="C3" s="244"/>
      <c r="D3" s="244"/>
      <c r="E3" s="244"/>
      <c r="F3" s="244"/>
      <c r="G3" s="244"/>
      <c r="H3" s="244"/>
      <c r="I3" s="244"/>
      <c r="J3" s="244"/>
      <c r="K3" s="244"/>
      <c r="L3" s="244"/>
      <c r="M3" s="244"/>
      <c r="N3" s="244"/>
      <c r="O3" s="244"/>
      <c r="P3" s="244"/>
      <c r="Q3" s="244"/>
      <c r="R3" s="244"/>
      <c r="S3" s="244"/>
      <c r="T3" s="244"/>
      <c r="U3" s="244"/>
      <c r="V3" s="245"/>
      <c r="W3" s="6"/>
    </row>
    <row r="4" spans="1:23" ht="15.6">
      <c r="A4" s="242"/>
      <c r="B4" s="243"/>
      <c r="C4" s="243"/>
      <c r="D4" s="243"/>
      <c r="E4" s="243"/>
      <c r="F4" s="243"/>
      <c r="G4" s="243"/>
      <c r="H4" s="243"/>
      <c r="I4" s="243"/>
      <c r="J4" s="243"/>
      <c r="K4" s="243"/>
      <c r="L4" s="243"/>
      <c r="M4" s="244"/>
      <c r="N4" s="244"/>
      <c r="O4" s="244"/>
      <c r="P4" s="244"/>
      <c r="Q4" s="244"/>
      <c r="R4" s="244"/>
      <c r="S4" s="244"/>
      <c r="T4" s="244"/>
      <c r="U4" s="244"/>
      <c r="V4" s="245"/>
      <c r="W4" s="6"/>
    </row>
    <row r="5" spans="1:23" ht="16.2">
      <c r="A5" s="242"/>
      <c r="B5" s="286" t="s">
        <v>0</v>
      </c>
      <c r="C5" s="248"/>
      <c r="D5" s="248"/>
      <c r="E5" s="248"/>
      <c r="F5" s="248"/>
      <c r="G5" s="248"/>
      <c r="H5" s="248"/>
      <c r="I5" s="248"/>
      <c r="J5" s="248"/>
      <c r="K5" s="248"/>
      <c r="L5" s="248"/>
      <c r="M5" s="244"/>
      <c r="N5" s="244"/>
      <c r="O5" s="244"/>
      <c r="P5" s="244"/>
      <c r="Q5" s="244"/>
      <c r="R5" s="244"/>
      <c r="S5" s="244"/>
      <c r="T5" s="244"/>
      <c r="U5" s="244"/>
      <c r="V5" s="245"/>
      <c r="W5" s="6"/>
    </row>
    <row r="6" spans="1:23" ht="16.2">
      <c r="A6" s="242"/>
      <c r="B6" s="286" t="s">
        <v>1</v>
      </c>
      <c r="C6" s="248"/>
      <c r="D6" s="248"/>
      <c r="E6" s="248"/>
      <c r="F6" s="248"/>
      <c r="G6" s="248"/>
      <c r="H6" s="248"/>
      <c r="I6" s="248"/>
      <c r="J6" s="248"/>
      <c r="K6" s="248"/>
      <c r="L6" s="248"/>
      <c r="M6" s="244"/>
      <c r="N6" s="244"/>
      <c r="O6" s="244"/>
      <c r="P6" s="244"/>
      <c r="Q6" s="244"/>
      <c r="R6" s="244"/>
      <c r="S6" s="244"/>
      <c r="T6" s="244"/>
      <c r="U6" s="244"/>
      <c r="V6" s="245"/>
      <c r="W6" s="6"/>
    </row>
    <row r="7" spans="1:23" ht="16.2">
      <c r="A7" s="242"/>
      <c r="B7" s="286" t="s">
        <v>2</v>
      </c>
      <c r="C7" s="248"/>
      <c r="D7" s="248"/>
      <c r="E7" s="248"/>
      <c r="F7" s="248"/>
      <c r="G7" s="248"/>
      <c r="H7" s="248"/>
      <c r="I7" s="248"/>
      <c r="J7" s="248"/>
      <c r="K7" s="248"/>
      <c r="L7" s="248"/>
      <c r="M7" s="244"/>
      <c r="N7" s="244"/>
      <c r="O7" s="244"/>
      <c r="P7" s="244"/>
      <c r="Q7" s="244"/>
      <c r="R7" s="244"/>
      <c r="S7" s="244"/>
      <c r="T7" s="244"/>
      <c r="U7" s="244"/>
      <c r="V7" s="245"/>
      <c r="W7" s="6"/>
    </row>
    <row r="8" spans="1:23" ht="16.2">
      <c r="A8" s="242"/>
      <c r="B8" s="249"/>
      <c r="C8" s="248"/>
      <c r="D8" s="248"/>
      <c r="E8" s="248"/>
      <c r="F8" s="248"/>
      <c r="G8" s="248"/>
      <c r="H8" s="248"/>
      <c r="I8" s="248"/>
      <c r="J8" s="248"/>
      <c r="K8" s="248"/>
      <c r="L8" s="248"/>
      <c r="M8" s="244"/>
      <c r="N8" s="244"/>
      <c r="O8" s="244"/>
      <c r="P8" s="244"/>
      <c r="Q8" s="244"/>
      <c r="R8" s="244"/>
      <c r="S8" s="244"/>
      <c r="T8" s="244"/>
      <c r="U8" s="244"/>
      <c r="V8" s="245"/>
      <c r="W8" s="6"/>
    </row>
    <row r="9" spans="1:23" ht="18">
      <c r="A9" s="242"/>
      <c r="B9" s="250" t="s">
        <v>194</v>
      </c>
      <c r="C9" s="248"/>
      <c r="D9" s="248"/>
      <c r="E9" s="248"/>
      <c r="F9" s="248"/>
      <c r="G9" s="248"/>
      <c r="H9" s="248"/>
      <c r="I9" s="251" t="s">
        <v>195</v>
      </c>
      <c r="J9" s="248"/>
      <c r="K9" s="248"/>
      <c r="L9" s="248"/>
      <c r="M9" s="244"/>
      <c r="N9" s="244"/>
      <c r="O9" s="244"/>
      <c r="P9" s="244"/>
      <c r="Q9" s="244"/>
      <c r="R9" s="244"/>
      <c r="S9" s="244"/>
      <c r="T9" s="244"/>
      <c r="U9" s="244"/>
      <c r="V9" s="245"/>
      <c r="W9" s="6"/>
    </row>
    <row r="10" spans="1:23" ht="16.2">
      <c r="A10" s="242"/>
      <c r="B10" s="248"/>
      <c r="C10" s="248"/>
      <c r="D10" s="248"/>
      <c r="E10" s="248"/>
      <c r="F10" s="248"/>
      <c r="G10" s="248"/>
      <c r="H10" s="248"/>
      <c r="I10" s="248"/>
      <c r="J10" s="248"/>
      <c r="K10" s="248"/>
      <c r="L10" s="248"/>
      <c r="M10" s="252"/>
      <c r="N10" s="252"/>
      <c r="O10" s="244"/>
      <c r="P10" s="244"/>
      <c r="Q10" s="244"/>
      <c r="R10" s="244"/>
      <c r="S10" s="244"/>
      <c r="T10" s="244"/>
      <c r="U10" s="244"/>
      <c r="V10" s="245"/>
      <c r="W10" s="6"/>
    </row>
    <row r="11" spans="1:23" ht="15.6">
      <c r="A11" s="242"/>
      <c r="B11" s="287" t="s">
        <v>3</v>
      </c>
      <c r="C11" s="252"/>
      <c r="D11" s="252"/>
      <c r="E11" s="252"/>
      <c r="F11" s="252"/>
      <c r="G11" s="252"/>
      <c r="H11" s="252"/>
      <c r="I11" s="252"/>
      <c r="J11" s="252"/>
      <c r="K11" s="252"/>
      <c r="L11" s="252"/>
      <c r="M11" s="244"/>
      <c r="N11" s="244"/>
      <c r="O11" s="244"/>
      <c r="P11" s="244"/>
      <c r="Q11" s="244"/>
      <c r="R11" s="244"/>
      <c r="S11" s="244"/>
      <c r="T11" s="244"/>
      <c r="U11" s="244"/>
      <c r="V11" s="245"/>
      <c r="W11" s="6"/>
    </row>
    <row r="12" spans="1:23" ht="16.2" thickBot="1">
      <c r="A12" s="242"/>
      <c r="B12" s="252"/>
      <c r="C12" s="252"/>
      <c r="D12" s="252"/>
      <c r="E12" s="252"/>
      <c r="F12" s="252"/>
      <c r="G12" s="252"/>
      <c r="H12" s="252"/>
      <c r="I12" s="252"/>
      <c r="J12" s="252"/>
      <c r="K12" s="252"/>
      <c r="L12" s="252"/>
      <c r="M12" s="244"/>
      <c r="N12" s="244"/>
      <c r="O12" s="244"/>
      <c r="P12" s="244"/>
      <c r="Q12" s="244"/>
      <c r="R12" s="244"/>
      <c r="S12" s="244"/>
      <c r="T12" s="244"/>
      <c r="U12" s="244"/>
      <c r="V12" s="245"/>
      <c r="W12" s="6"/>
    </row>
    <row r="13" spans="1:23" ht="15.6">
      <c r="A13" s="238"/>
      <c r="B13" s="240"/>
      <c r="C13" s="240"/>
      <c r="D13" s="240"/>
      <c r="E13" s="240"/>
      <c r="F13" s="240"/>
      <c r="G13" s="240"/>
      <c r="H13" s="240"/>
      <c r="I13" s="240"/>
      <c r="J13" s="240"/>
      <c r="K13" s="240"/>
      <c r="L13" s="240"/>
      <c r="M13" s="240"/>
      <c r="N13" s="240"/>
      <c r="O13" s="240"/>
      <c r="P13" s="240"/>
      <c r="Q13" s="240"/>
      <c r="R13" s="240"/>
      <c r="S13" s="240"/>
      <c r="T13" s="240"/>
      <c r="U13" s="240"/>
      <c r="V13" s="241"/>
      <c r="W13" s="6"/>
    </row>
    <row r="14" spans="1:23" ht="15.6">
      <c r="A14" s="242"/>
      <c r="B14" s="287" t="s">
        <v>4</v>
      </c>
      <c r="C14" s="253"/>
      <c r="D14" s="253"/>
      <c r="E14" s="253"/>
      <c r="F14" s="253"/>
      <c r="G14" s="253"/>
      <c r="H14" s="253"/>
      <c r="I14" s="253"/>
      <c r="J14" s="253"/>
      <c r="K14" s="253"/>
      <c r="L14" s="253"/>
      <c r="M14" s="288"/>
      <c r="N14" s="288"/>
      <c r="O14" s="288"/>
      <c r="P14" s="288"/>
      <c r="Q14" s="288"/>
      <c r="R14" s="288"/>
      <c r="S14" s="288"/>
      <c r="T14" s="288"/>
      <c r="U14" s="289" t="s">
        <v>126</v>
      </c>
      <c r="V14" s="245"/>
      <c r="W14" s="6"/>
    </row>
    <row r="15" spans="1:23" ht="15.6">
      <c r="A15" s="242"/>
      <c r="B15" s="287" t="s">
        <v>5</v>
      </c>
      <c r="C15" s="253"/>
      <c r="D15" s="253"/>
      <c r="E15" s="253"/>
      <c r="F15" s="253"/>
      <c r="G15" s="253"/>
      <c r="H15" s="253"/>
      <c r="I15" s="253"/>
      <c r="J15" s="253"/>
      <c r="K15" s="253"/>
      <c r="L15" s="253"/>
      <c r="M15" s="290" t="s">
        <v>93</v>
      </c>
      <c r="N15" s="291">
        <v>0.1492</v>
      </c>
      <c r="O15" s="290" t="s">
        <v>99</v>
      </c>
      <c r="P15" s="291">
        <v>5.4399999999999997E-2</v>
      </c>
      <c r="Q15" s="290" t="s">
        <v>102</v>
      </c>
      <c r="R15" s="291">
        <v>0.48899999999999999</v>
      </c>
      <c r="S15" s="290" t="s">
        <v>108</v>
      </c>
      <c r="T15" s="291">
        <v>0.30740000000000001</v>
      </c>
      <c r="U15" s="289"/>
      <c r="V15" s="254"/>
      <c r="W15" s="6"/>
    </row>
    <row r="16" spans="1:23" ht="15.6">
      <c r="A16" s="242"/>
      <c r="B16" s="287" t="s">
        <v>6</v>
      </c>
      <c r="C16" s="253"/>
      <c r="D16" s="253"/>
      <c r="E16" s="253"/>
      <c r="F16" s="253"/>
      <c r="G16" s="253"/>
      <c r="H16" s="253"/>
      <c r="I16" s="253"/>
      <c r="J16" s="253"/>
      <c r="K16" s="253"/>
      <c r="L16" s="253"/>
      <c r="M16" s="290" t="s">
        <v>93</v>
      </c>
      <c r="N16" s="291">
        <f>+N198/S221</f>
        <v>1.140426393882615E-2</v>
      </c>
      <c r="O16" s="290" t="s">
        <v>99</v>
      </c>
      <c r="P16" s="291">
        <f>+S198/S221</f>
        <v>1.9547273003494201E-3</v>
      </c>
      <c r="Q16" s="290" t="s">
        <v>102</v>
      </c>
      <c r="R16" s="291">
        <f>+N211/S221</f>
        <v>0.98280245100521602</v>
      </c>
      <c r="S16" s="290" t="s">
        <v>108</v>
      </c>
      <c r="T16" s="291">
        <f>+S211/S221</f>
        <v>3.8385577556084467E-3</v>
      </c>
      <c r="U16" s="289"/>
      <c r="V16" s="254"/>
      <c r="W16" s="6"/>
    </row>
    <row r="17" spans="1:23" ht="15.6">
      <c r="A17" s="242"/>
      <c r="B17" s="287" t="s">
        <v>7</v>
      </c>
      <c r="C17" s="253"/>
      <c r="D17" s="253"/>
      <c r="E17" s="253"/>
      <c r="F17" s="253"/>
      <c r="G17" s="253"/>
      <c r="H17" s="253"/>
      <c r="I17" s="253"/>
      <c r="J17" s="253"/>
      <c r="K17" s="253"/>
      <c r="L17" s="253"/>
      <c r="M17" s="288"/>
      <c r="N17" s="288"/>
      <c r="O17" s="288"/>
      <c r="P17" s="288"/>
      <c r="Q17" s="288"/>
      <c r="R17" s="288"/>
      <c r="S17" s="288"/>
      <c r="T17" s="288"/>
      <c r="U17" s="292">
        <v>38491</v>
      </c>
      <c r="V17" s="245"/>
      <c r="W17" s="6"/>
    </row>
    <row r="18" spans="1:23" ht="15.6">
      <c r="A18" s="242"/>
      <c r="B18" s="287" t="s">
        <v>8</v>
      </c>
      <c r="C18" s="253"/>
      <c r="D18" s="253"/>
      <c r="E18" s="253"/>
      <c r="F18" s="253"/>
      <c r="G18" s="253"/>
      <c r="H18" s="253"/>
      <c r="I18" s="253"/>
      <c r="J18" s="253"/>
      <c r="K18" s="253"/>
      <c r="L18" s="253"/>
      <c r="M18" s="288"/>
      <c r="N18" s="288"/>
      <c r="O18" s="288"/>
      <c r="P18" s="288"/>
      <c r="Q18" s="288"/>
      <c r="R18" s="288"/>
      <c r="S18" s="288"/>
      <c r="T18" s="288"/>
      <c r="U18" s="292">
        <v>42116</v>
      </c>
      <c r="V18" s="245"/>
      <c r="W18" s="6"/>
    </row>
    <row r="19" spans="1:23" ht="15.6">
      <c r="A19" s="242"/>
      <c r="B19" s="288"/>
      <c r="C19" s="244"/>
      <c r="D19" s="244"/>
      <c r="E19" s="244"/>
      <c r="F19" s="244"/>
      <c r="G19" s="244"/>
      <c r="H19" s="244"/>
      <c r="I19" s="244"/>
      <c r="J19" s="244"/>
      <c r="K19" s="244"/>
      <c r="L19" s="244"/>
      <c r="M19" s="244"/>
      <c r="N19" s="244"/>
      <c r="O19" s="244"/>
      <c r="P19" s="244"/>
      <c r="Q19" s="244"/>
      <c r="R19" s="244"/>
      <c r="S19" s="244"/>
      <c r="T19" s="244"/>
      <c r="U19" s="255"/>
      <c r="V19" s="245"/>
      <c r="W19" s="6"/>
    </row>
    <row r="20" spans="1:23" ht="15.6">
      <c r="A20" s="242"/>
      <c r="B20" s="293" t="s">
        <v>9</v>
      </c>
      <c r="C20" s="244"/>
      <c r="D20" s="244"/>
      <c r="E20" s="244"/>
      <c r="F20" s="244"/>
      <c r="G20" s="244"/>
      <c r="H20" s="244"/>
      <c r="I20" s="244"/>
      <c r="J20" s="244"/>
      <c r="K20" s="244"/>
      <c r="L20" s="244"/>
      <c r="M20" s="244"/>
      <c r="N20" s="244"/>
      <c r="O20" s="244"/>
      <c r="P20" s="244"/>
      <c r="Q20" s="244"/>
      <c r="R20" s="244"/>
      <c r="S20" s="255"/>
      <c r="T20" s="244"/>
      <c r="U20" s="249"/>
      <c r="V20" s="245"/>
      <c r="W20" s="6"/>
    </row>
    <row r="21" spans="1:23" ht="15.6">
      <c r="A21" s="242"/>
      <c r="B21" s="244"/>
      <c r="C21" s="244"/>
      <c r="D21" s="244"/>
      <c r="E21" s="244"/>
      <c r="F21" s="244"/>
      <c r="G21" s="244"/>
      <c r="H21" s="244"/>
      <c r="I21" s="244"/>
      <c r="J21" s="244"/>
      <c r="K21" s="244"/>
      <c r="L21" s="244"/>
      <c r="M21" s="244"/>
      <c r="N21" s="244"/>
      <c r="O21" s="244"/>
      <c r="P21" s="244"/>
      <c r="Q21" s="244"/>
      <c r="R21" s="244"/>
      <c r="S21" s="244"/>
      <c r="T21" s="244"/>
      <c r="U21" s="256"/>
      <c r="V21" s="245"/>
      <c r="W21" s="6"/>
    </row>
    <row r="22" spans="1:23" ht="15.6">
      <c r="A22" s="230"/>
      <c r="B22" s="231"/>
      <c r="C22" s="232" t="s">
        <v>130</v>
      </c>
      <c r="D22" s="232"/>
      <c r="E22" s="232" t="s">
        <v>131</v>
      </c>
      <c r="F22" s="232"/>
      <c r="G22" s="232" t="s">
        <v>132</v>
      </c>
      <c r="H22" s="232"/>
      <c r="I22" s="232" t="s">
        <v>133</v>
      </c>
      <c r="J22" s="232"/>
      <c r="K22" s="232" t="s">
        <v>134</v>
      </c>
      <c r="L22" s="232"/>
      <c r="M22" s="233" t="s">
        <v>135</v>
      </c>
      <c r="N22" s="233"/>
      <c r="O22" s="233" t="s">
        <v>136</v>
      </c>
      <c r="P22" s="233"/>
      <c r="Q22" s="233" t="s">
        <v>137</v>
      </c>
      <c r="R22" s="233"/>
      <c r="S22" s="235"/>
      <c r="T22" s="236"/>
      <c r="U22" s="236"/>
      <c r="V22" s="237"/>
      <c r="W22" s="6"/>
    </row>
    <row r="23" spans="1:23" ht="15.6">
      <c r="A23" s="257"/>
      <c r="B23" s="294" t="s">
        <v>10</v>
      </c>
      <c r="C23" s="295" t="s">
        <v>96</v>
      </c>
      <c r="D23" s="295"/>
      <c r="E23" s="295" t="s">
        <v>96</v>
      </c>
      <c r="F23" s="295"/>
      <c r="G23" s="295" t="s">
        <v>138</v>
      </c>
      <c r="H23" s="295"/>
      <c r="I23" s="295" t="s">
        <v>138</v>
      </c>
      <c r="J23" s="295"/>
      <c r="K23" s="295" t="s">
        <v>104</v>
      </c>
      <c r="L23" s="296"/>
      <c r="M23" s="297" t="s">
        <v>104</v>
      </c>
      <c r="N23" s="297"/>
      <c r="O23" s="297" t="s">
        <v>109</v>
      </c>
      <c r="P23" s="297"/>
      <c r="Q23" s="297" t="s">
        <v>109</v>
      </c>
      <c r="R23" s="258"/>
      <c r="S23" s="258"/>
      <c r="T23" s="259"/>
      <c r="U23" s="259"/>
      <c r="V23" s="260"/>
      <c r="W23" s="6"/>
    </row>
    <row r="24" spans="1:23" ht="15.6">
      <c r="A24" s="378"/>
      <c r="B24" s="379" t="s">
        <v>11</v>
      </c>
      <c r="C24" s="380" t="s">
        <v>97</v>
      </c>
      <c r="D24" s="380"/>
      <c r="E24" s="380" t="s">
        <v>97</v>
      </c>
      <c r="F24" s="380"/>
      <c r="G24" s="380" t="s">
        <v>139</v>
      </c>
      <c r="H24" s="380"/>
      <c r="I24" s="380" t="s">
        <v>139</v>
      </c>
      <c r="J24" s="380"/>
      <c r="K24" s="380" t="s">
        <v>105</v>
      </c>
      <c r="L24" s="381"/>
      <c r="M24" s="382" t="s">
        <v>105</v>
      </c>
      <c r="N24" s="382"/>
      <c r="O24" s="382" t="s">
        <v>110</v>
      </c>
      <c r="P24" s="382"/>
      <c r="Q24" s="382" t="s">
        <v>110</v>
      </c>
      <c r="R24" s="383"/>
      <c r="S24" s="383"/>
      <c r="T24" s="384"/>
      <c r="U24" s="384"/>
      <c r="V24" s="385"/>
      <c r="W24" s="6"/>
    </row>
    <row r="25" spans="1:23" ht="15.6">
      <c r="A25" s="378"/>
      <c r="B25" s="386" t="s">
        <v>12</v>
      </c>
      <c r="C25" s="381" t="s">
        <v>284</v>
      </c>
      <c r="D25" s="381"/>
      <c r="E25" s="381" t="s">
        <v>284</v>
      </c>
      <c r="F25" s="381"/>
      <c r="G25" s="381" t="s">
        <v>284</v>
      </c>
      <c r="H25" s="381"/>
      <c r="I25" s="381" t="s">
        <v>284</v>
      </c>
      <c r="J25" s="386"/>
      <c r="K25" s="381" t="s">
        <v>138</v>
      </c>
      <c r="L25" s="386"/>
      <c r="M25" s="387" t="s">
        <v>138</v>
      </c>
      <c r="N25" s="382"/>
      <c r="O25" s="387" t="s">
        <v>288</v>
      </c>
      <c r="P25" s="382"/>
      <c r="Q25" s="387" t="s">
        <v>288</v>
      </c>
      <c r="R25" s="388"/>
      <c r="S25" s="388"/>
      <c r="T25" s="389"/>
      <c r="U25" s="384"/>
      <c r="V25" s="385"/>
      <c r="W25" s="6"/>
    </row>
    <row r="26" spans="1:23" ht="15.6">
      <c r="A26" s="378"/>
      <c r="B26" s="386" t="s">
        <v>13</v>
      </c>
      <c r="C26" s="381" t="s">
        <v>139</v>
      </c>
      <c r="D26" s="381"/>
      <c r="E26" s="381" t="s">
        <v>139</v>
      </c>
      <c r="F26" s="381"/>
      <c r="G26" s="381" t="s">
        <v>139</v>
      </c>
      <c r="H26" s="381"/>
      <c r="I26" s="381" t="s">
        <v>139</v>
      </c>
      <c r="J26" s="386"/>
      <c r="K26" s="381" t="s">
        <v>280</v>
      </c>
      <c r="L26" s="386"/>
      <c r="M26" s="387" t="s">
        <v>280</v>
      </c>
      <c r="N26" s="382"/>
      <c r="O26" s="387" t="s">
        <v>110</v>
      </c>
      <c r="P26" s="382"/>
      <c r="Q26" s="387" t="s">
        <v>110</v>
      </c>
      <c r="R26" s="388"/>
      <c r="S26" s="388"/>
      <c r="T26" s="389"/>
      <c r="U26" s="384"/>
      <c r="V26" s="385"/>
      <c r="W26" s="6"/>
    </row>
    <row r="27" spans="1:23" ht="15.6">
      <c r="A27" s="378"/>
      <c r="B27" s="379" t="s">
        <v>14</v>
      </c>
      <c r="C27" s="380" t="s">
        <v>140</v>
      </c>
      <c r="D27" s="379"/>
      <c r="E27" s="380" t="s">
        <v>141</v>
      </c>
      <c r="F27" s="379"/>
      <c r="G27" s="380" t="s">
        <v>142</v>
      </c>
      <c r="H27" s="379"/>
      <c r="I27" s="380" t="s">
        <v>258</v>
      </c>
      <c r="J27" s="379"/>
      <c r="K27" s="380" t="s">
        <v>143</v>
      </c>
      <c r="L27" s="379"/>
      <c r="M27" s="379" t="s">
        <v>144</v>
      </c>
      <c r="N27" s="382"/>
      <c r="O27" s="379" t="s">
        <v>145</v>
      </c>
      <c r="P27" s="382"/>
      <c r="Q27" s="379" t="s">
        <v>146</v>
      </c>
      <c r="R27" s="383"/>
      <c r="S27" s="390"/>
      <c r="T27" s="384"/>
      <c r="U27" s="384"/>
      <c r="V27" s="385"/>
      <c r="W27" s="6"/>
    </row>
    <row r="28" spans="1:23" ht="15.6">
      <c r="A28" s="378"/>
      <c r="B28" s="379" t="s">
        <v>147</v>
      </c>
      <c r="C28" s="391">
        <v>146000</v>
      </c>
      <c r="D28" s="380"/>
      <c r="E28" s="392">
        <v>259500</v>
      </c>
      <c r="F28" s="380"/>
      <c r="G28" s="391">
        <v>16000</v>
      </c>
      <c r="H28" s="380"/>
      <c r="I28" s="392">
        <v>35500</v>
      </c>
      <c r="J28" s="379"/>
      <c r="K28" s="391">
        <v>18000</v>
      </c>
      <c r="L28" s="379"/>
      <c r="M28" s="392">
        <v>33000</v>
      </c>
      <c r="N28" s="393"/>
      <c r="O28" s="394">
        <v>24500</v>
      </c>
      <c r="P28" s="394"/>
      <c r="Q28" s="392">
        <v>30000</v>
      </c>
      <c r="R28" s="395"/>
      <c r="S28" s="395"/>
      <c r="T28" s="396"/>
      <c r="U28" s="395"/>
      <c r="V28" s="397"/>
      <c r="W28" s="6"/>
    </row>
    <row r="29" spans="1:23" ht="15.6">
      <c r="A29" s="378"/>
      <c r="B29" s="379" t="s">
        <v>15</v>
      </c>
      <c r="C29" s="391">
        <f>C28*C35</f>
        <v>20516.562399999999</v>
      </c>
      <c r="D29" s="398"/>
      <c r="E29" s="392">
        <f>E28*E35</f>
        <v>36466.0818</v>
      </c>
      <c r="F29" s="398"/>
      <c r="G29" s="391">
        <f>G28*G35</f>
        <v>7365.8463999999994</v>
      </c>
      <c r="H29" s="398"/>
      <c r="I29" s="392">
        <f>I28*I35</f>
        <v>16342.9717</v>
      </c>
      <c r="J29" s="399"/>
      <c r="K29" s="391">
        <f>K28*K35</f>
        <v>8286.5771999999997</v>
      </c>
      <c r="L29" s="399"/>
      <c r="M29" s="392">
        <f>M28*M35</f>
        <v>15192.058199999999</v>
      </c>
      <c r="N29" s="393"/>
      <c r="O29" s="391">
        <f>O28*O35</f>
        <v>11278.952299999999</v>
      </c>
      <c r="P29" s="394"/>
      <c r="Q29" s="392">
        <f>Q28*Q35</f>
        <v>13810.962</v>
      </c>
      <c r="R29" s="400"/>
      <c r="S29" s="395"/>
      <c r="T29" s="396"/>
      <c r="U29" s="395"/>
      <c r="V29" s="397"/>
      <c r="W29" s="6"/>
    </row>
    <row r="30" spans="1:23" ht="15.6">
      <c r="A30" s="401"/>
      <c r="B30" s="386" t="s">
        <v>148</v>
      </c>
      <c r="C30" s="415">
        <f>C34*C28</f>
        <v>19565.051199999998</v>
      </c>
      <c r="D30" s="505"/>
      <c r="E30" s="406">
        <f>E34*E28</f>
        <v>34774.868399999999</v>
      </c>
      <c r="F30" s="505"/>
      <c r="G30" s="415">
        <f>G34*G28</f>
        <v>7024.3008</v>
      </c>
      <c r="H30" s="505"/>
      <c r="I30" s="406">
        <f>I34*I28</f>
        <v>15585.1674</v>
      </c>
      <c r="J30" s="506"/>
      <c r="K30" s="415">
        <f>K34*K28</f>
        <v>7902.3383999999996</v>
      </c>
      <c r="L30" s="399"/>
      <c r="M30" s="406">
        <f>M34*M28</f>
        <v>14487.6204</v>
      </c>
      <c r="N30" s="407"/>
      <c r="O30" s="415">
        <f>O34*O28</f>
        <v>10755.9606</v>
      </c>
      <c r="P30" s="408"/>
      <c r="Q30" s="406">
        <f>Q34*Q28</f>
        <v>13170.564</v>
      </c>
      <c r="R30" s="408"/>
      <c r="S30" s="408"/>
      <c r="T30" s="409"/>
      <c r="U30" s="408"/>
      <c r="V30" s="410"/>
      <c r="W30" s="6"/>
    </row>
    <row r="31" spans="1:23" ht="15.6">
      <c r="A31" s="401"/>
      <c r="B31" s="379" t="s">
        <v>260</v>
      </c>
      <c r="C31" s="391">
        <v>146000</v>
      </c>
      <c r="D31" s="398"/>
      <c r="E31" s="391">
        <v>178000</v>
      </c>
      <c r="F31" s="391"/>
      <c r="G31" s="391">
        <v>16000</v>
      </c>
      <c r="H31" s="391"/>
      <c r="I31" s="391">
        <v>24500</v>
      </c>
      <c r="J31" s="412"/>
      <c r="K31" s="391">
        <v>18000</v>
      </c>
      <c r="L31" s="412"/>
      <c r="M31" s="391">
        <v>22500</v>
      </c>
      <c r="N31" s="414"/>
      <c r="O31" s="391">
        <v>24500</v>
      </c>
      <c r="P31" s="415"/>
      <c r="Q31" s="391">
        <v>20500</v>
      </c>
      <c r="R31" s="408"/>
      <c r="S31" s="408"/>
      <c r="T31" s="409"/>
      <c r="U31" s="394">
        <f>+Q31+O31+M31+K31+I31+G31+E31+C31</f>
        <v>450000</v>
      </c>
      <c r="V31" s="410"/>
      <c r="W31" s="6"/>
    </row>
    <row r="32" spans="1:23" ht="15.6">
      <c r="A32" s="401"/>
      <c r="B32" s="379" t="s">
        <v>261</v>
      </c>
      <c r="C32" s="391">
        <f>C28*C35</f>
        <v>20516.562399999999</v>
      </c>
      <c r="D32" s="398"/>
      <c r="E32" s="391">
        <f>E31*E35</f>
        <v>25013.343199999999</v>
      </c>
      <c r="F32" s="391"/>
      <c r="G32" s="391">
        <f>G28*G35</f>
        <v>7365.8463999999994</v>
      </c>
      <c r="H32" s="391"/>
      <c r="I32" s="391">
        <f>I31*I35</f>
        <v>11278.952299999999</v>
      </c>
      <c r="J32" s="412"/>
      <c r="K32" s="391">
        <f>K28*K35</f>
        <v>8286.5771999999997</v>
      </c>
      <c r="L32" s="412"/>
      <c r="M32" s="391">
        <f>M31*M35</f>
        <v>10358.2215</v>
      </c>
      <c r="N32" s="414"/>
      <c r="O32" s="391">
        <f>O28*O35</f>
        <v>11278.952299999999</v>
      </c>
      <c r="P32" s="415"/>
      <c r="Q32" s="391">
        <f>Q31*Q35</f>
        <v>9437.4907000000003</v>
      </c>
      <c r="R32" s="391"/>
      <c r="S32" s="408"/>
      <c r="T32" s="409"/>
      <c r="U32" s="394">
        <f>+Q32+O32+M32+K32+I32+G32+E32+C32</f>
        <v>103535.946</v>
      </c>
      <c r="V32" s="410"/>
      <c r="W32" s="6"/>
    </row>
    <row r="33" spans="1:23" ht="15.6">
      <c r="A33" s="401"/>
      <c r="B33" s="386" t="s">
        <v>262</v>
      </c>
      <c r="C33" s="415">
        <f>C34*C28</f>
        <v>19565.051199999998</v>
      </c>
      <c r="D33" s="415"/>
      <c r="E33" s="415">
        <f>E34*E31</f>
        <v>23853.281599999998</v>
      </c>
      <c r="F33" s="415"/>
      <c r="G33" s="415">
        <f>G34*G28</f>
        <v>7024.3008</v>
      </c>
      <c r="H33" s="415"/>
      <c r="I33" s="415">
        <f>I34*I31</f>
        <v>10755.9606</v>
      </c>
      <c r="J33" s="414"/>
      <c r="K33" s="415">
        <f>K34*K28</f>
        <v>7902.3383999999996</v>
      </c>
      <c r="L33" s="414"/>
      <c r="M33" s="415">
        <f>M34*M31</f>
        <v>9877.9229999999989</v>
      </c>
      <c r="N33" s="414"/>
      <c r="O33" s="415">
        <f>O34*O28</f>
        <v>10755.9606</v>
      </c>
      <c r="P33" s="415"/>
      <c r="Q33" s="415">
        <f>Q34*Q31</f>
        <v>8999.8853999999992</v>
      </c>
      <c r="R33" s="408"/>
      <c r="S33" s="408"/>
      <c r="T33" s="409"/>
      <c r="U33" s="408">
        <f>+Q33+O33+M33+K33+I33+G33+E33+C33</f>
        <v>98734.701599999986</v>
      </c>
      <c r="V33" s="410"/>
      <c r="W33" s="6"/>
    </row>
    <row r="34" spans="1:23" ht="15.6">
      <c r="A34" s="401"/>
      <c r="B34" s="468" t="s">
        <v>149</v>
      </c>
      <c r="C34" s="507">
        <v>0.13400719999999999</v>
      </c>
      <c r="D34" s="507"/>
      <c r="E34" s="507">
        <v>0.13400719999999999</v>
      </c>
      <c r="F34" s="507"/>
      <c r="G34" s="507">
        <v>0.43901879999999999</v>
      </c>
      <c r="H34" s="507"/>
      <c r="I34" s="507">
        <v>0.43901879999999999</v>
      </c>
      <c r="J34" s="507"/>
      <c r="K34" s="507">
        <v>0.43901879999999999</v>
      </c>
      <c r="L34" s="507"/>
      <c r="M34" s="507">
        <v>0.43901879999999999</v>
      </c>
      <c r="N34" s="507"/>
      <c r="O34" s="507">
        <v>0.43901879999999999</v>
      </c>
      <c r="P34" s="507"/>
      <c r="Q34" s="507">
        <v>0.43901879999999999</v>
      </c>
      <c r="R34" s="508"/>
      <c r="S34" s="420"/>
      <c r="T34" s="421"/>
      <c r="U34" s="420"/>
      <c r="V34" s="385"/>
      <c r="W34" s="6"/>
    </row>
    <row r="35" spans="1:23" ht="15.6">
      <c r="A35" s="401"/>
      <c r="B35" s="468" t="s">
        <v>150</v>
      </c>
      <c r="C35" s="507">
        <v>0.14052439999999999</v>
      </c>
      <c r="D35" s="507"/>
      <c r="E35" s="507">
        <v>0.14052439999999999</v>
      </c>
      <c r="F35" s="507"/>
      <c r="G35" s="507">
        <v>0.46036539999999998</v>
      </c>
      <c r="H35" s="507"/>
      <c r="I35" s="507">
        <v>0.46036539999999998</v>
      </c>
      <c r="J35" s="507"/>
      <c r="K35" s="507">
        <v>0.46036539999999998</v>
      </c>
      <c r="L35" s="507"/>
      <c r="M35" s="507">
        <v>0.46036539999999998</v>
      </c>
      <c r="N35" s="507"/>
      <c r="O35" s="507">
        <v>0.46036539999999998</v>
      </c>
      <c r="P35" s="507"/>
      <c r="Q35" s="507">
        <v>0.46036539999999998</v>
      </c>
      <c r="R35" s="508"/>
      <c r="S35" s="420"/>
      <c r="T35" s="421"/>
      <c r="U35" s="420"/>
      <c r="V35" s="385"/>
      <c r="W35" s="6"/>
    </row>
    <row r="36" spans="1:23" ht="15.6">
      <c r="A36" s="378"/>
      <c r="B36" s="379" t="s">
        <v>153</v>
      </c>
      <c r="C36" s="380" t="s">
        <v>163</v>
      </c>
      <c r="D36" s="380"/>
      <c r="E36" s="380" t="s">
        <v>163</v>
      </c>
      <c r="F36" s="380"/>
      <c r="G36" s="380" t="s">
        <v>164</v>
      </c>
      <c r="H36" s="380"/>
      <c r="I36" s="380" t="s">
        <v>164</v>
      </c>
      <c r="J36" s="380"/>
      <c r="K36" s="380" t="s">
        <v>106</v>
      </c>
      <c r="L36" s="380"/>
      <c r="M36" s="380" t="s">
        <v>165</v>
      </c>
      <c r="N36" s="380"/>
      <c r="O36" s="380" t="s">
        <v>166</v>
      </c>
      <c r="P36" s="380"/>
      <c r="Q36" s="380" t="s">
        <v>167</v>
      </c>
      <c r="R36" s="380"/>
      <c r="S36" s="380"/>
      <c r="T36" s="379"/>
      <c r="U36" s="424"/>
      <c r="V36" s="410"/>
      <c r="W36" s="6"/>
    </row>
    <row r="37" spans="1:23" ht="15.6">
      <c r="A37" s="378"/>
      <c r="B37" s="379" t="s">
        <v>151</v>
      </c>
      <c r="C37" s="509">
        <v>9.9968999999999995E-3</v>
      </c>
      <c r="D37" s="509"/>
      <c r="E37" s="509">
        <v>5.11E-3</v>
      </c>
      <c r="F37" s="509"/>
      <c r="G37" s="509">
        <v>1.21969E-2</v>
      </c>
      <c r="H37" s="509"/>
      <c r="I37" s="509">
        <v>7.3099999999999997E-3</v>
      </c>
      <c r="J37" s="509"/>
      <c r="K37" s="509">
        <v>1.7596899999999999E-2</v>
      </c>
      <c r="L37" s="509"/>
      <c r="M37" s="509">
        <v>1.2109999999999999E-2</v>
      </c>
      <c r="N37" s="509"/>
      <c r="O37" s="509">
        <v>2.4596900000000001E-2</v>
      </c>
      <c r="P37" s="509"/>
      <c r="Q37" s="509">
        <v>1.8710000000000001E-2</v>
      </c>
      <c r="R37" s="427"/>
      <c r="S37" s="509"/>
      <c r="T37" s="379"/>
      <c r="U37" s="380"/>
      <c r="V37" s="410"/>
      <c r="W37" s="6"/>
    </row>
    <row r="38" spans="1:23" ht="15.6">
      <c r="A38" s="378"/>
      <c r="B38" s="379" t="s">
        <v>152</v>
      </c>
      <c r="C38" s="509">
        <v>9.9962999999999996E-3</v>
      </c>
      <c r="D38" s="509"/>
      <c r="E38" s="509">
        <v>5.2199999999999998E-3</v>
      </c>
      <c r="F38" s="509"/>
      <c r="G38" s="509">
        <v>1.21963E-2</v>
      </c>
      <c r="H38" s="509"/>
      <c r="I38" s="509">
        <v>7.4200000000000004E-3</v>
      </c>
      <c r="J38" s="509"/>
      <c r="K38" s="509">
        <v>1.7596299999999999E-2</v>
      </c>
      <c r="L38" s="509"/>
      <c r="M38" s="509">
        <v>1.222E-2</v>
      </c>
      <c r="N38" s="509"/>
      <c r="O38" s="509">
        <v>2.4596300000000001E-2</v>
      </c>
      <c r="P38" s="509"/>
      <c r="Q38" s="509">
        <v>1.882E-2</v>
      </c>
      <c r="R38" s="427"/>
      <c r="S38" s="509"/>
      <c r="T38" s="379"/>
      <c r="U38" s="424"/>
      <c r="V38" s="410"/>
      <c r="W38" s="6"/>
    </row>
    <row r="39" spans="1:23" ht="15.6">
      <c r="A39" s="378"/>
      <c r="B39" s="379" t="s">
        <v>263</v>
      </c>
      <c r="C39" s="380" t="s">
        <v>163</v>
      </c>
      <c r="D39" s="379"/>
      <c r="E39" s="380" t="s">
        <v>228</v>
      </c>
      <c r="F39" s="379"/>
      <c r="G39" s="380" t="s">
        <v>164</v>
      </c>
      <c r="H39" s="379"/>
      <c r="I39" s="380" t="s">
        <v>226</v>
      </c>
      <c r="J39" s="379"/>
      <c r="K39" s="380" t="s">
        <v>106</v>
      </c>
      <c r="L39" s="379"/>
      <c r="M39" s="380" t="s">
        <v>227</v>
      </c>
      <c r="N39" s="379"/>
      <c r="O39" s="380" t="s">
        <v>166</v>
      </c>
      <c r="P39" s="380"/>
      <c r="Q39" s="380" t="s">
        <v>229</v>
      </c>
      <c r="R39" s="427"/>
      <c r="S39" s="509"/>
      <c r="T39" s="379"/>
      <c r="U39" s="424"/>
      <c r="V39" s="410"/>
      <c r="W39" s="6"/>
    </row>
    <row r="40" spans="1:23" ht="15.6">
      <c r="A40" s="378"/>
      <c r="B40" s="379" t="s">
        <v>264</v>
      </c>
      <c r="C40" s="509">
        <f>+C37</f>
        <v>9.9968999999999995E-3</v>
      </c>
      <c r="D40" s="509"/>
      <c r="E40" s="509">
        <v>1.05729E-2</v>
      </c>
      <c r="F40" s="509"/>
      <c r="G40" s="509">
        <f>+G37</f>
        <v>1.21969E-2</v>
      </c>
      <c r="H40" s="509"/>
      <c r="I40" s="509">
        <v>1.2929899999999999E-2</v>
      </c>
      <c r="J40" s="509"/>
      <c r="K40" s="509">
        <f>+K37</f>
        <v>1.7596899999999999E-2</v>
      </c>
      <c r="L40" s="510"/>
      <c r="M40" s="509">
        <v>1.8157300000000001E-2</v>
      </c>
      <c r="N40" s="510"/>
      <c r="O40" s="509">
        <f>+O37</f>
        <v>2.4596900000000001E-2</v>
      </c>
      <c r="P40" s="509"/>
      <c r="Q40" s="509">
        <v>2.5423299999999999E-2</v>
      </c>
      <c r="R40" s="427"/>
      <c r="S40" s="509"/>
      <c r="T40" s="379"/>
      <c r="U40" s="427">
        <f>SUMPRODUCT(C40:Q40,C32:Q32)/U32</f>
        <v>1.5033393725784666E-2</v>
      </c>
      <c r="V40" s="410"/>
      <c r="W40" s="6"/>
    </row>
    <row r="41" spans="1:23" ht="15.6">
      <c r="A41" s="378"/>
      <c r="B41" s="379" t="s">
        <v>265</v>
      </c>
      <c r="C41" s="509">
        <f>+C38</f>
        <v>9.9962999999999996E-3</v>
      </c>
      <c r="D41" s="509"/>
      <c r="E41" s="509">
        <v>1.05723E-2</v>
      </c>
      <c r="F41" s="509"/>
      <c r="G41" s="509">
        <f>+G38</f>
        <v>1.21963E-2</v>
      </c>
      <c r="H41" s="509"/>
      <c r="I41" s="509">
        <v>1.2929299999999999E-2</v>
      </c>
      <c r="J41" s="509"/>
      <c r="K41" s="509">
        <f>+K38</f>
        <v>1.7596299999999999E-2</v>
      </c>
      <c r="L41" s="510"/>
      <c r="M41" s="509">
        <v>1.8156700000000001E-2</v>
      </c>
      <c r="N41" s="510"/>
      <c r="O41" s="509">
        <f>+O38</f>
        <v>2.4596300000000001E-2</v>
      </c>
      <c r="P41" s="509"/>
      <c r="Q41" s="509">
        <v>2.5422699999999999E-2</v>
      </c>
      <c r="R41" s="427"/>
      <c r="S41" s="509"/>
      <c r="T41" s="379"/>
      <c r="U41" s="424"/>
      <c r="V41" s="410"/>
      <c r="W41" s="6"/>
    </row>
    <row r="42" spans="1:23" ht="15.6">
      <c r="A42" s="378"/>
      <c r="B42" s="379" t="s">
        <v>17</v>
      </c>
      <c r="C42" s="429">
        <v>39918</v>
      </c>
      <c r="D42" s="429"/>
      <c r="E42" s="429">
        <v>39918</v>
      </c>
      <c r="F42" s="429"/>
      <c r="G42" s="429">
        <v>39918</v>
      </c>
      <c r="H42" s="429"/>
      <c r="I42" s="429">
        <v>39918</v>
      </c>
      <c r="J42" s="429"/>
      <c r="K42" s="429">
        <v>39918</v>
      </c>
      <c r="L42" s="429"/>
      <c r="M42" s="429">
        <v>39918</v>
      </c>
      <c r="N42" s="429"/>
      <c r="O42" s="429">
        <v>39918</v>
      </c>
      <c r="P42" s="429"/>
      <c r="Q42" s="429">
        <v>39918</v>
      </c>
      <c r="R42" s="380"/>
      <c r="S42" s="380"/>
      <c r="T42" s="379"/>
      <c r="U42" s="424"/>
      <c r="V42" s="410"/>
      <c r="W42" s="6"/>
    </row>
    <row r="43" spans="1:23" ht="15.6">
      <c r="A43" s="378"/>
      <c r="B43" s="379" t="s">
        <v>18</v>
      </c>
      <c r="C43" s="429">
        <v>40283</v>
      </c>
      <c r="D43" s="430"/>
      <c r="E43" s="429">
        <v>40283</v>
      </c>
      <c r="F43" s="430"/>
      <c r="G43" s="429">
        <v>40283</v>
      </c>
      <c r="H43" s="430"/>
      <c r="I43" s="429">
        <v>40283</v>
      </c>
      <c r="J43" s="430"/>
      <c r="K43" s="429">
        <v>40283</v>
      </c>
      <c r="L43" s="430"/>
      <c r="M43" s="429">
        <v>40283</v>
      </c>
      <c r="N43" s="430"/>
      <c r="O43" s="429">
        <v>40283</v>
      </c>
      <c r="P43" s="429"/>
      <c r="Q43" s="429">
        <v>40283</v>
      </c>
      <c r="R43" s="380"/>
      <c r="S43" s="380"/>
      <c r="T43" s="424"/>
      <c r="U43" s="424"/>
      <c r="V43" s="410"/>
      <c r="W43" s="6"/>
    </row>
    <row r="44" spans="1:23" ht="15.6">
      <c r="A44" s="378"/>
      <c r="B44" s="379" t="s">
        <v>154</v>
      </c>
      <c r="C44" s="380" t="s">
        <v>163</v>
      </c>
      <c r="D44" s="380"/>
      <c r="E44" s="380" t="s">
        <v>163</v>
      </c>
      <c r="F44" s="380"/>
      <c r="G44" s="380" t="s">
        <v>164</v>
      </c>
      <c r="H44" s="380"/>
      <c r="I44" s="380" t="s">
        <v>164</v>
      </c>
      <c r="J44" s="380"/>
      <c r="K44" s="380" t="s">
        <v>106</v>
      </c>
      <c r="L44" s="380"/>
      <c r="M44" s="380" t="s">
        <v>165</v>
      </c>
      <c r="N44" s="380"/>
      <c r="O44" s="380" t="s">
        <v>166</v>
      </c>
      <c r="P44" s="380"/>
      <c r="Q44" s="380" t="s">
        <v>167</v>
      </c>
      <c r="R44" s="380"/>
      <c r="S44" s="380"/>
      <c r="T44" s="424"/>
      <c r="U44" s="424"/>
      <c r="V44" s="410"/>
      <c r="W44" s="6"/>
    </row>
    <row r="45" spans="1:23" ht="15.6">
      <c r="A45" s="378"/>
      <c r="B45" s="379" t="s">
        <v>266</v>
      </c>
      <c r="C45" s="380" t="s">
        <v>163</v>
      </c>
      <c r="D45" s="379"/>
      <c r="E45" s="380" t="s">
        <v>228</v>
      </c>
      <c r="F45" s="379"/>
      <c r="G45" s="380" t="s">
        <v>164</v>
      </c>
      <c r="H45" s="379"/>
      <c r="I45" s="380" t="s">
        <v>226</v>
      </c>
      <c r="J45" s="379"/>
      <c r="K45" s="380" t="s">
        <v>106</v>
      </c>
      <c r="L45" s="379"/>
      <c r="M45" s="380" t="s">
        <v>227</v>
      </c>
      <c r="N45" s="379"/>
      <c r="O45" s="380" t="s">
        <v>166</v>
      </c>
      <c r="P45" s="380"/>
      <c r="Q45" s="380" t="s">
        <v>229</v>
      </c>
      <c r="R45" s="380"/>
      <c r="S45" s="380"/>
      <c r="T45" s="424"/>
      <c r="U45" s="424"/>
      <c r="V45" s="410"/>
      <c r="W45" s="6"/>
    </row>
    <row r="46" spans="1:23" ht="15.6">
      <c r="A46" s="378"/>
      <c r="B46" s="379"/>
      <c r="C46" s="379"/>
      <c r="D46" s="379"/>
      <c r="E46" s="379"/>
      <c r="F46" s="379"/>
      <c r="G46" s="379"/>
      <c r="H46" s="379"/>
      <c r="I46" s="379"/>
      <c r="J46" s="379"/>
      <c r="K46" s="379"/>
      <c r="L46" s="379"/>
      <c r="M46" s="431"/>
      <c r="N46" s="431"/>
      <c r="O46" s="379"/>
      <c r="P46" s="431"/>
      <c r="Q46" s="431"/>
      <c r="R46" s="431"/>
      <c r="S46" s="431"/>
      <c r="T46" s="431"/>
      <c r="U46" s="431"/>
      <c r="V46" s="410"/>
      <c r="W46" s="6"/>
    </row>
    <row r="47" spans="1:23" ht="15.6">
      <c r="A47" s="378"/>
      <c r="B47" s="379" t="s">
        <v>201</v>
      </c>
      <c r="C47" s="379"/>
      <c r="D47" s="379"/>
      <c r="E47" s="379"/>
      <c r="F47" s="379"/>
      <c r="G47" s="379"/>
      <c r="H47" s="379"/>
      <c r="I47" s="379"/>
      <c r="J47" s="379"/>
      <c r="K47" s="379"/>
      <c r="L47" s="379"/>
      <c r="M47" s="379"/>
      <c r="N47" s="379"/>
      <c r="O47" s="379"/>
      <c r="P47" s="379"/>
      <c r="Q47" s="379"/>
      <c r="R47" s="379"/>
      <c r="S47" s="379"/>
      <c r="T47" s="379"/>
      <c r="U47" s="427">
        <f>SUM(G31:Q31)/(C31+E31)</f>
        <v>0.3888888888888889</v>
      </c>
      <c r="V47" s="410"/>
      <c r="W47" s="6"/>
    </row>
    <row r="48" spans="1:23" ht="15.6">
      <c r="A48" s="378"/>
      <c r="B48" s="379" t="s">
        <v>202</v>
      </c>
      <c r="C48" s="379"/>
      <c r="D48" s="379"/>
      <c r="E48" s="379"/>
      <c r="F48" s="379"/>
      <c r="G48" s="379"/>
      <c r="H48" s="379"/>
      <c r="I48" s="379"/>
      <c r="J48" s="379"/>
      <c r="K48" s="379"/>
      <c r="L48" s="379"/>
      <c r="M48" s="379"/>
      <c r="N48" s="379"/>
      <c r="O48" s="379"/>
      <c r="P48" s="379"/>
      <c r="Q48" s="379"/>
      <c r="R48" s="379"/>
      <c r="S48" s="379"/>
      <c r="T48" s="379"/>
      <c r="U48" s="427">
        <f>SUM(F33:Q33)/(C33+E33)</f>
        <v>1.2740325395451388</v>
      </c>
      <c r="V48" s="410"/>
      <c r="W48" s="6"/>
    </row>
    <row r="49" spans="1:25" ht="15.6">
      <c r="A49" s="378"/>
      <c r="B49" s="379" t="s">
        <v>203</v>
      </c>
      <c r="C49" s="379"/>
      <c r="D49" s="379"/>
      <c r="E49" s="379"/>
      <c r="F49" s="379"/>
      <c r="G49" s="379"/>
      <c r="H49" s="379"/>
      <c r="I49" s="379"/>
      <c r="J49" s="379"/>
      <c r="K49" s="379"/>
      <c r="L49" s="379"/>
      <c r="M49" s="379"/>
      <c r="N49" s="379"/>
      <c r="O49" s="379"/>
      <c r="P49" s="379"/>
      <c r="Q49" s="379"/>
      <c r="R49" s="379"/>
      <c r="S49" s="380" t="s">
        <v>95</v>
      </c>
      <c r="T49" s="380" t="s">
        <v>117</v>
      </c>
      <c r="U49" s="394">
        <v>99000</v>
      </c>
      <c r="V49" s="410"/>
      <c r="W49" s="6"/>
    </row>
    <row r="50" spans="1:25" ht="15.6">
      <c r="A50" s="378"/>
      <c r="B50" s="379"/>
      <c r="C50" s="379"/>
      <c r="D50" s="379"/>
      <c r="E50" s="379"/>
      <c r="F50" s="379"/>
      <c r="G50" s="379"/>
      <c r="H50" s="379"/>
      <c r="I50" s="379"/>
      <c r="J50" s="379"/>
      <c r="K50" s="379"/>
      <c r="L50" s="379"/>
      <c r="M50" s="379"/>
      <c r="N50" s="379"/>
      <c r="O50" s="379"/>
      <c r="P50" s="379"/>
      <c r="Q50" s="379"/>
      <c r="R50" s="379"/>
      <c r="S50" s="379" t="s">
        <v>213</v>
      </c>
      <c r="T50" s="379"/>
      <c r="U50" s="432"/>
      <c r="V50" s="410"/>
      <c r="W50" s="6"/>
    </row>
    <row r="51" spans="1:25" ht="15.6">
      <c r="A51" s="378"/>
      <c r="B51" s="379" t="s">
        <v>19</v>
      </c>
      <c r="C51" s="379"/>
      <c r="D51" s="379"/>
      <c r="E51" s="379"/>
      <c r="F51" s="379"/>
      <c r="G51" s="379"/>
      <c r="H51" s="379"/>
      <c r="I51" s="379"/>
      <c r="J51" s="379"/>
      <c r="K51" s="379"/>
      <c r="L51" s="379"/>
      <c r="M51" s="379"/>
      <c r="N51" s="379"/>
      <c r="O51" s="379"/>
      <c r="P51" s="379"/>
      <c r="Q51" s="379"/>
      <c r="R51" s="379"/>
      <c r="S51" s="380"/>
      <c r="T51" s="380"/>
      <c r="U51" s="380" t="s">
        <v>118</v>
      </c>
      <c r="V51" s="410"/>
      <c r="W51" s="6"/>
    </row>
    <row r="52" spans="1:25" ht="15.6">
      <c r="A52" s="401"/>
      <c r="B52" s="386" t="s">
        <v>20</v>
      </c>
      <c r="C52" s="386"/>
      <c r="D52" s="386"/>
      <c r="E52" s="386"/>
      <c r="F52" s="386"/>
      <c r="G52" s="386"/>
      <c r="H52" s="386"/>
      <c r="I52" s="386"/>
      <c r="J52" s="386"/>
      <c r="K52" s="386"/>
      <c r="L52" s="386"/>
      <c r="M52" s="386"/>
      <c r="N52" s="386"/>
      <c r="O52" s="386"/>
      <c r="P52" s="386"/>
      <c r="Q52" s="386"/>
      <c r="R52" s="386"/>
      <c r="S52" s="433"/>
      <c r="T52" s="433"/>
      <c r="U52" s="434">
        <v>42109</v>
      </c>
      <c r="V52" s="435"/>
      <c r="W52" s="6"/>
    </row>
    <row r="53" spans="1:25" ht="15.6">
      <c r="A53" s="378"/>
      <c r="B53" s="379" t="s">
        <v>155</v>
      </c>
      <c r="C53" s="379"/>
      <c r="D53" s="379"/>
      <c r="E53" s="379"/>
      <c r="F53" s="379"/>
      <c r="G53" s="379"/>
      <c r="H53" s="379"/>
      <c r="I53" s="379"/>
      <c r="J53" s="379"/>
      <c r="K53" s="379"/>
      <c r="L53" s="379"/>
      <c r="M53" s="379"/>
      <c r="N53" s="379"/>
      <c r="O53" s="379"/>
      <c r="P53" s="379"/>
      <c r="Q53" s="424"/>
      <c r="R53" s="379">
        <f>U53-S53+1</f>
        <v>92</v>
      </c>
      <c r="S53" s="436">
        <v>41927</v>
      </c>
      <c r="T53" s="429"/>
      <c r="U53" s="436">
        <v>42018</v>
      </c>
      <c r="V53" s="410"/>
      <c r="W53" s="6"/>
    </row>
    <row r="54" spans="1:25" ht="15.6">
      <c r="A54" s="378"/>
      <c r="B54" s="379" t="s">
        <v>156</v>
      </c>
      <c r="C54" s="379"/>
      <c r="D54" s="379"/>
      <c r="E54" s="379"/>
      <c r="F54" s="379"/>
      <c r="G54" s="379"/>
      <c r="H54" s="379"/>
      <c r="I54" s="379"/>
      <c r="J54" s="379"/>
      <c r="K54" s="379"/>
      <c r="L54" s="379"/>
      <c r="M54" s="379"/>
      <c r="N54" s="379"/>
      <c r="O54" s="379"/>
      <c r="P54" s="379"/>
      <c r="Q54" s="424"/>
      <c r="R54" s="379">
        <f>U54-S54+1</f>
        <v>90</v>
      </c>
      <c r="S54" s="436">
        <v>42019</v>
      </c>
      <c r="T54" s="429"/>
      <c r="U54" s="436">
        <v>42108</v>
      </c>
      <c r="V54" s="410"/>
      <c r="W54" s="6"/>
    </row>
    <row r="55" spans="1:25" ht="15.6">
      <c r="A55" s="378"/>
      <c r="B55" s="379" t="s">
        <v>21</v>
      </c>
      <c r="C55" s="379"/>
      <c r="D55" s="379"/>
      <c r="E55" s="379"/>
      <c r="F55" s="379"/>
      <c r="G55" s="379"/>
      <c r="H55" s="379"/>
      <c r="I55" s="379"/>
      <c r="J55" s="379"/>
      <c r="K55" s="379"/>
      <c r="L55" s="379"/>
      <c r="M55" s="379"/>
      <c r="N55" s="379"/>
      <c r="O55" s="379"/>
      <c r="P55" s="379"/>
      <c r="Q55" s="379"/>
      <c r="R55" s="379"/>
      <c r="S55" s="436"/>
      <c r="T55" s="429"/>
      <c r="U55" s="436" t="s">
        <v>119</v>
      </c>
      <c r="V55" s="410"/>
      <c r="W55" s="6"/>
    </row>
    <row r="56" spans="1:25" ht="15.6">
      <c r="A56" s="378"/>
      <c r="B56" s="379" t="s">
        <v>22</v>
      </c>
      <c r="C56" s="379"/>
      <c r="D56" s="379"/>
      <c r="E56" s="379"/>
      <c r="F56" s="379"/>
      <c r="G56" s="379"/>
      <c r="H56" s="379"/>
      <c r="I56" s="379"/>
      <c r="J56" s="379"/>
      <c r="K56" s="379"/>
      <c r="L56" s="379"/>
      <c r="M56" s="379"/>
      <c r="N56" s="379"/>
      <c r="O56" s="379"/>
      <c r="P56" s="379"/>
      <c r="Q56" s="379"/>
      <c r="R56" s="379"/>
      <c r="S56" s="436"/>
      <c r="T56" s="429"/>
      <c r="U56" s="436">
        <v>42095</v>
      </c>
      <c r="V56" s="410"/>
      <c r="W56" s="6"/>
    </row>
    <row r="57" spans="1:25" ht="15.6">
      <c r="A57" s="242"/>
      <c r="B57" s="364"/>
      <c r="C57" s="364"/>
      <c r="D57" s="364"/>
      <c r="E57" s="364"/>
      <c r="F57" s="364"/>
      <c r="G57" s="364"/>
      <c r="H57" s="364"/>
      <c r="I57" s="364"/>
      <c r="J57" s="364"/>
      <c r="K57" s="364"/>
      <c r="L57" s="364"/>
      <c r="M57" s="364"/>
      <c r="N57" s="364"/>
      <c r="O57" s="364"/>
      <c r="P57" s="364"/>
      <c r="Q57" s="364"/>
      <c r="R57" s="364"/>
      <c r="S57" s="364"/>
      <c r="T57" s="364"/>
      <c r="U57" s="377"/>
      <c r="V57" s="303"/>
      <c r="W57" s="6"/>
    </row>
    <row r="58" spans="1:25" ht="15.6">
      <c r="A58" s="242"/>
      <c r="B58" s="288"/>
      <c r="C58" s="288"/>
      <c r="D58" s="288"/>
      <c r="E58" s="288"/>
      <c r="F58" s="288"/>
      <c r="G58" s="288"/>
      <c r="H58" s="288"/>
      <c r="I58" s="288"/>
      <c r="J58" s="288"/>
      <c r="K58" s="288"/>
      <c r="L58" s="288"/>
      <c r="M58" s="288"/>
      <c r="N58" s="288"/>
      <c r="O58" s="288"/>
      <c r="P58" s="288"/>
      <c r="Q58" s="288"/>
      <c r="R58" s="288"/>
      <c r="S58" s="288"/>
      <c r="T58" s="288"/>
      <c r="U58" s="302"/>
      <c r="V58" s="303"/>
      <c r="W58" s="6"/>
    </row>
    <row r="59" spans="1:25" ht="16.2" thickBot="1">
      <c r="A59" s="261"/>
      <c r="B59" s="304" t="s">
        <v>293</v>
      </c>
      <c r="C59" s="305"/>
      <c r="D59" s="305"/>
      <c r="E59" s="305"/>
      <c r="F59" s="305"/>
      <c r="G59" s="305"/>
      <c r="H59" s="305"/>
      <c r="I59" s="305"/>
      <c r="J59" s="305"/>
      <c r="K59" s="305"/>
      <c r="L59" s="305"/>
      <c r="M59" s="305"/>
      <c r="N59" s="305"/>
      <c r="O59" s="305"/>
      <c r="P59" s="305"/>
      <c r="Q59" s="305"/>
      <c r="R59" s="305"/>
      <c r="S59" s="305"/>
      <c r="T59" s="305"/>
      <c r="U59" s="306"/>
      <c r="V59" s="307"/>
      <c r="W59" s="6"/>
    </row>
    <row r="60" spans="1:25" ht="15.6">
      <c r="A60" s="230"/>
      <c r="B60" s="511" t="s">
        <v>23</v>
      </c>
      <c r="C60" s="511"/>
      <c r="D60" s="511"/>
      <c r="E60" s="511"/>
      <c r="F60" s="511"/>
      <c r="G60" s="511"/>
      <c r="H60" s="511"/>
      <c r="I60" s="511"/>
      <c r="J60" s="511"/>
      <c r="K60" s="511"/>
      <c r="L60" s="511"/>
      <c r="M60" s="231"/>
      <c r="N60" s="231"/>
      <c r="O60" s="231"/>
      <c r="P60" s="231"/>
      <c r="Q60" s="231"/>
      <c r="R60" s="231"/>
      <c r="S60" s="231"/>
      <c r="T60" s="231"/>
      <c r="U60" s="309"/>
      <c r="V60" s="237"/>
      <c r="W60" s="6"/>
    </row>
    <row r="61" spans="1:25" ht="15.6">
      <c r="A61" s="242"/>
      <c r="B61" s="252"/>
      <c r="C61" s="252"/>
      <c r="D61" s="252"/>
      <c r="E61" s="252"/>
      <c r="F61" s="252"/>
      <c r="G61" s="252"/>
      <c r="H61" s="252"/>
      <c r="I61" s="252"/>
      <c r="J61" s="252"/>
      <c r="K61" s="252"/>
      <c r="L61" s="252"/>
      <c r="M61" s="244"/>
      <c r="N61" s="244"/>
      <c r="O61" s="244"/>
      <c r="P61" s="244"/>
      <c r="Q61" s="244"/>
      <c r="R61" s="244"/>
      <c r="S61" s="244"/>
      <c r="T61" s="244"/>
      <c r="U61" s="263"/>
      <c r="V61" s="245"/>
      <c r="W61" s="6"/>
    </row>
    <row r="62" spans="1:25" s="151" customFormat="1" ht="46.8">
      <c r="A62" s="264"/>
      <c r="B62" s="512"/>
      <c r="C62" s="513"/>
      <c r="D62" s="513"/>
      <c r="E62" s="513"/>
      <c r="F62" s="513"/>
      <c r="G62" s="513"/>
      <c r="H62" s="513"/>
      <c r="I62" s="513"/>
      <c r="J62" s="513"/>
      <c r="K62" s="513" t="s">
        <v>197</v>
      </c>
      <c r="L62" s="513"/>
      <c r="M62" s="513" t="s">
        <v>98</v>
      </c>
      <c r="N62" s="513"/>
      <c r="O62" s="513" t="s">
        <v>107</v>
      </c>
      <c r="P62" s="513"/>
      <c r="Q62" s="513" t="s">
        <v>111</v>
      </c>
      <c r="R62" s="513"/>
      <c r="S62" s="513" t="s">
        <v>113</v>
      </c>
      <c r="T62" s="513"/>
      <c r="U62" s="514" t="s">
        <v>120</v>
      </c>
      <c r="V62" s="515"/>
      <c r="W62" s="150"/>
    </row>
    <row r="63" spans="1:25" ht="15.6">
      <c r="A63" s="378"/>
      <c r="B63" s="379" t="s">
        <v>24</v>
      </c>
      <c r="C63" s="440"/>
      <c r="D63" s="440"/>
      <c r="E63" s="440"/>
      <c r="F63" s="440"/>
      <c r="G63" s="440"/>
      <c r="H63" s="440"/>
      <c r="I63" s="440"/>
      <c r="J63" s="440"/>
      <c r="K63" s="440">
        <f>265+63566+3306</f>
        <v>67137</v>
      </c>
      <c r="L63" s="440"/>
      <c r="M63" s="440">
        <v>6078</v>
      </c>
      <c r="N63" s="440"/>
      <c r="O63" s="440">
        <f>106+1+10</f>
        <v>117</v>
      </c>
      <c r="P63" s="440"/>
      <c r="Q63" s="440">
        <v>0</v>
      </c>
      <c r="R63" s="440"/>
      <c r="S63" s="440">
        <v>0</v>
      </c>
      <c r="T63" s="440"/>
      <c r="U63" s="441">
        <f>+M63-O63+Q63-S63</f>
        <v>5961</v>
      </c>
      <c r="V63" s="410"/>
      <c r="W63" s="6"/>
      <c r="Y63" s="182"/>
    </row>
    <row r="64" spans="1:25" ht="15.6">
      <c r="A64" s="378"/>
      <c r="B64" s="379" t="s">
        <v>25</v>
      </c>
      <c r="C64" s="440"/>
      <c r="D64" s="440"/>
      <c r="E64" s="440"/>
      <c r="F64" s="440"/>
      <c r="G64" s="440"/>
      <c r="H64" s="440"/>
      <c r="I64" s="440"/>
      <c r="J64" s="440"/>
      <c r="K64" s="440"/>
      <c r="L64" s="440"/>
      <c r="M64" s="440"/>
      <c r="N64" s="440"/>
      <c r="O64" s="440"/>
      <c r="P64" s="440"/>
      <c r="Q64" s="440">
        <v>0</v>
      </c>
      <c r="R64" s="440"/>
      <c r="S64" s="440">
        <v>0</v>
      </c>
      <c r="T64" s="440"/>
      <c r="U64" s="441">
        <f>M64-O64</f>
        <v>0</v>
      </c>
      <c r="V64" s="410"/>
      <c r="W64" s="6"/>
    </row>
    <row r="65" spans="1:25" ht="15.6">
      <c r="A65" s="378"/>
      <c r="B65" s="379"/>
      <c r="C65" s="440"/>
      <c r="D65" s="440"/>
      <c r="E65" s="440"/>
      <c r="F65" s="440"/>
      <c r="G65" s="440"/>
      <c r="H65" s="440"/>
      <c r="I65" s="440"/>
      <c r="J65" s="440"/>
      <c r="K65" s="440"/>
      <c r="L65" s="440"/>
      <c r="M65" s="440"/>
      <c r="N65" s="440"/>
      <c r="O65" s="440"/>
      <c r="P65" s="440"/>
      <c r="Q65" s="440"/>
      <c r="R65" s="440"/>
      <c r="S65" s="440"/>
      <c r="T65" s="440"/>
      <c r="U65" s="441"/>
      <c r="V65" s="410"/>
      <c r="W65" s="6"/>
    </row>
    <row r="66" spans="1:25" ht="15.6">
      <c r="A66" s="378"/>
      <c r="B66" s="379" t="s">
        <v>26</v>
      </c>
      <c r="C66" s="440"/>
      <c r="D66" s="440"/>
      <c r="E66" s="440"/>
      <c r="F66" s="440"/>
      <c r="G66" s="440"/>
      <c r="H66" s="440"/>
      <c r="I66" s="440"/>
      <c r="J66" s="440"/>
      <c r="K66" s="440">
        <v>24470</v>
      </c>
      <c r="L66" s="440"/>
      <c r="M66" s="440">
        <v>1319</v>
      </c>
      <c r="N66" s="440"/>
      <c r="O66" s="440">
        <v>42</v>
      </c>
      <c r="P66" s="440"/>
      <c r="Q66" s="440">
        <v>0</v>
      </c>
      <c r="R66" s="440"/>
      <c r="S66" s="440">
        <f>SUM(S63:S65)</f>
        <v>0</v>
      </c>
      <c r="T66" s="440"/>
      <c r="U66" s="441">
        <f>+M66-O66+Q66-S66</f>
        <v>1277</v>
      </c>
      <c r="V66" s="410"/>
      <c r="W66" s="6"/>
      <c r="Y66" s="182"/>
    </row>
    <row r="67" spans="1:25" ht="15.6">
      <c r="A67" s="378"/>
      <c r="B67" s="379" t="s">
        <v>25</v>
      </c>
      <c r="C67" s="440"/>
      <c r="D67" s="440"/>
      <c r="E67" s="440"/>
      <c r="F67" s="440"/>
      <c r="G67" s="440"/>
      <c r="H67" s="440"/>
      <c r="I67" s="440"/>
      <c r="J67" s="440"/>
      <c r="K67" s="440"/>
      <c r="L67" s="440"/>
      <c r="M67" s="440"/>
      <c r="N67" s="440"/>
      <c r="O67" s="440"/>
      <c r="P67" s="440"/>
      <c r="Q67" s="440">
        <v>0</v>
      </c>
      <c r="R67" s="440"/>
      <c r="S67" s="440">
        <v>0</v>
      </c>
      <c r="T67" s="440"/>
      <c r="U67" s="440"/>
      <c r="V67" s="410"/>
      <c r="W67" s="6"/>
    </row>
    <row r="68" spans="1:25" ht="15.6">
      <c r="A68" s="378"/>
      <c r="B68" s="386"/>
      <c r="C68" s="440"/>
      <c r="D68" s="440"/>
      <c r="E68" s="440"/>
      <c r="F68" s="440"/>
      <c r="G68" s="440"/>
      <c r="H68" s="440"/>
      <c r="I68" s="440"/>
      <c r="J68" s="440"/>
      <c r="K68" s="440"/>
      <c r="L68" s="440"/>
      <c r="M68" s="440"/>
      <c r="N68" s="440"/>
      <c r="O68" s="442"/>
      <c r="P68" s="440"/>
      <c r="Q68" s="440"/>
      <c r="R68" s="440"/>
      <c r="S68" s="440"/>
      <c r="T68" s="440"/>
      <c r="U68" s="440"/>
      <c r="V68" s="410"/>
      <c r="W68" s="6"/>
    </row>
    <row r="69" spans="1:25" ht="15.6">
      <c r="A69" s="378"/>
      <c r="B69" s="379" t="s">
        <v>27</v>
      </c>
      <c r="C69" s="440"/>
      <c r="D69" s="440"/>
      <c r="E69" s="440"/>
      <c r="F69" s="440"/>
      <c r="G69" s="440"/>
      <c r="H69" s="440"/>
      <c r="I69" s="440"/>
      <c r="J69" s="440"/>
      <c r="K69" s="440">
        <v>220072</v>
      </c>
      <c r="L69" s="440"/>
      <c r="M69" s="440">
        <v>110075</v>
      </c>
      <c r="N69" s="440"/>
      <c r="O69" s="440">
        <f>4382+189</f>
        <v>4571</v>
      </c>
      <c r="P69" s="440"/>
      <c r="Q69" s="440">
        <v>0</v>
      </c>
      <c r="R69" s="440"/>
      <c r="S69" s="440">
        <v>0</v>
      </c>
      <c r="T69" s="440"/>
      <c r="U69" s="441">
        <f>+M69-O69+Q69-S69</f>
        <v>105504</v>
      </c>
      <c r="V69" s="410"/>
      <c r="W69" s="6"/>
      <c r="Y69" s="182"/>
    </row>
    <row r="70" spans="1:25" ht="15.6">
      <c r="A70" s="378"/>
      <c r="B70" s="379" t="s">
        <v>25</v>
      </c>
      <c r="C70" s="440"/>
      <c r="D70" s="440"/>
      <c r="E70" s="440"/>
      <c r="F70" s="440"/>
      <c r="G70" s="440"/>
      <c r="H70" s="440"/>
      <c r="I70" s="440"/>
      <c r="J70" s="440"/>
      <c r="K70" s="440"/>
      <c r="L70" s="440"/>
      <c r="M70" s="440"/>
      <c r="N70" s="440"/>
      <c r="O70" s="440"/>
      <c r="P70" s="440"/>
      <c r="Q70" s="440">
        <v>0</v>
      </c>
      <c r="R70" s="440"/>
      <c r="S70" s="440">
        <v>0</v>
      </c>
      <c r="T70" s="440"/>
      <c r="U70" s="441">
        <f>M70-O70+Q70-S70</f>
        <v>0</v>
      </c>
      <c r="V70" s="410"/>
      <c r="W70" s="6"/>
    </row>
    <row r="71" spans="1:25" ht="15.6">
      <c r="A71" s="378"/>
      <c r="B71" s="379"/>
      <c r="C71" s="440"/>
      <c r="D71" s="440"/>
      <c r="E71" s="440"/>
      <c r="F71" s="440"/>
      <c r="G71" s="440"/>
      <c r="H71" s="440"/>
      <c r="I71" s="440"/>
      <c r="J71" s="440"/>
      <c r="K71" s="440"/>
      <c r="L71" s="440"/>
      <c r="M71" s="440"/>
      <c r="N71" s="440"/>
      <c r="O71" s="440"/>
      <c r="P71" s="440"/>
      <c r="Q71" s="440"/>
      <c r="R71" s="440"/>
      <c r="S71" s="440"/>
      <c r="T71" s="440"/>
      <c r="U71" s="441"/>
      <c r="V71" s="410"/>
      <c r="W71" s="6"/>
    </row>
    <row r="72" spans="1:25" ht="15.6">
      <c r="A72" s="378"/>
      <c r="B72" s="379" t="s">
        <v>28</v>
      </c>
      <c r="C72" s="440"/>
      <c r="D72" s="440"/>
      <c r="E72" s="440"/>
      <c r="F72" s="440"/>
      <c r="G72" s="440"/>
      <c r="H72" s="440"/>
      <c r="I72" s="440"/>
      <c r="J72" s="440"/>
      <c r="K72" s="440">
        <v>138321</v>
      </c>
      <c r="L72" s="440"/>
      <c r="M72" s="440">
        <v>675</v>
      </c>
      <c r="N72" s="440"/>
      <c r="O72" s="440">
        <f>106</f>
        <v>106</v>
      </c>
      <c r="P72" s="440"/>
      <c r="Q72" s="440">
        <v>0</v>
      </c>
      <c r="R72" s="440"/>
      <c r="S72" s="440">
        <v>0</v>
      </c>
      <c r="T72" s="440"/>
      <c r="U72" s="441">
        <f>+M72-O72+Q72-S72</f>
        <v>569</v>
      </c>
      <c r="V72" s="410"/>
      <c r="W72" s="6"/>
      <c r="X72" s="182"/>
      <c r="Y72" s="182"/>
    </row>
    <row r="73" spans="1:25" ht="15.6">
      <c r="A73" s="378"/>
      <c r="B73" s="379" t="s">
        <v>25</v>
      </c>
      <c r="C73" s="440"/>
      <c r="D73" s="440"/>
      <c r="E73" s="440"/>
      <c r="F73" s="440"/>
      <c r="G73" s="440"/>
      <c r="H73" s="440"/>
      <c r="I73" s="440"/>
      <c r="J73" s="440"/>
      <c r="K73" s="440"/>
      <c r="L73" s="440"/>
      <c r="M73" s="440"/>
      <c r="N73" s="440"/>
      <c r="O73" s="440"/>
      <c r="P73" s="440"/>
      <c r="Q73" s="440">
        <v>0</v>
      </c>
      <c r="R73" s="440"/>
      <c r="S73" s="440">
        <v>0</v>
      </c>
      <c r="T73" s="440"/>
      <c r="U73" s="441"/>
      <c r="V73" s="410"/>
      <c r="W73" s="6"/>
    </row>
    <row r="74" spans="1:25" ht="15.6">
      <c r="A74" s="378"/>
      <c r="B74" s="440"/>
      <c r="C74" s="440"/>
      <c r="D74" s="440"/>
      <c r="E74" s="440"/>
      <c r="F74" s="440"/>
      <c r="G74" s="440"/>
      <c r="H74" s="440"/>
      <c r="I74" s="440"/>
      <c r="J74" s="440"/>
      <c r="K74" s="440"/>
      <c r="L74" s="440"/>
      <c r="M74" s="440"/>
      <c r="N74" s="440"/>
      <c r="O74" s="440"/>
      <c r="P74" s="440"/>
      <c r="Q74" s="440"/>
      <c r="R74" s="440"/>
      <c r="S74" s="440"/>
      <c r="T74" s="440"/>
      <c r="U74" s="441"/>
      <c r="V74" s="410"/>
      <c r="W74" s="6"/>
    </row>
    <row r="75" spans="1:25" ht="15.6">
      <c r="A75" s="378"/>
      <c r="B75" s="379" t="s">
        <v>29</v>
      </c>
      <c r="C75" s="440"/>
      <c r="D75" s="440"/>
      <c r="E75" s="440"/>
      <c r="F75" s="440"/>
      <c r="G75" s="440"/>
      <c r="H75" s="440"/>
      <c r="I75" s="440"/>
      <c r="J75" s="440"/>
      <c r="K75" s="440">
        <f>SUM(K63:K72)</f>
        <v>450000</v>
      </c>
      <c r="L75" s="440"/>
      <c r="M75" s="440">
        <f>SUM(M63:M72)</f>
        <v>118147</v>
      </c>
      <c r="N75" s="440"/>
      <c r="O75" s="440">
        <f>SUM(O63:O73)</f>
        <v>4836</v>
      </c>
      <c r="P75" s="440"/>
      <c r="Q75" s="440">
        <f>SUM(Q63:Q73)</f>
        <v>0</v>
      </c>
      <c r="R75" s="440"/>
      <c r="S75" s="440">
        <f>SUM(S70:S74)</f>
        <v>0</v>
      </c>
      <c r="T75" s="440"/>
      <c r="U75" s="440">
        <f>SUM(U63:U73)</f>
        <v>113311</v>
      </c>
      <c r="V75" s="410"/>
      <c r="W75" s="6"/>
      <c r="X75" s="182"/>
      <c r="Y75" s="182"/>
    </row>
    <row r="76" spans="1:25" ht="15.6">
      <c r="A76" s="378"/>
      <c r="B76" s="379"/>
      <c r="C76" s="440"/>
      <c r="D76" s="440"/>
      <c r="E76" s="440"/>
      <c r="F76" s="440"/>
      <c r="G76" s="440"/>
      <c r="H76" s="440"/>
      <c r="I76" s="440"/>
      <c r="J76" s="440"/>
      <c r="K76" s="440"/>
      <c r="L76" s="440"/>
      <c r="M76" s="440"/>
      <c r="N76" s="440"/>
      <c r="O76" s="440"/>
      <c r="P76" s="440"/>
      <c r="Q76" s="440"/>
      <c r="R76" s="440"/>
      <c r="S76" s="440"/>
      <c r="T76" s="440"/>
      <c r="U76" s="440"/>
      <c r="V76" s="410"/>
      <c r="W76" s="6"/>
    </row>
    <row r="77" spans="1:25" ht="15.6">
      <c r="A77" s="378"/>
      <c r="B77" s="379" t="s">
        <v>214</v>
      </c>
      <c r="C77" s="440"/>
      <c r="D77" s="440"/>
      <c r="E77" s="440"/>
      <c r="F77" s="440"/>
      <c r="G77" s="440"/>
      <c r="H77" s="440"/>
      <c r="I77" s="440"/>
      <c r="J77" s="440"/>
      <c r="K77" s="440">
        <v>0</v>
      </c>
      <c r="L77" s="440"/>
      <c r="M77" s="440">
        <v>-14611</v>
      </c>
      <c r="N77" s="440"/>
      <c r="O77" s="440">
        <v>-35</v>
      </c>
      <c r="P77" s="440"/>
      <c r="Q77" s="440"/>
      <c r="R77" s="440"/>
      <c r="S77" s="440"/>
      <c r="T77" s="440"/>
      <c r="U77" s="441">
        <f>+M77-O77</f>
        <v>-14576</v>
      </c>
      <c r="V77" s="410"/>
      <c r="W77" s="6"/>
      <c r="Y77" s="182"/>
    </row>
    <row r="78" spans="1:25" ht="15.6">
      <c r="A78" s="378"/>
      <c r="B78" s="379" t="s">
        <v>30</v>
      </c>
      <c r="C78" s="440"/>
      <c r="D78" s="440"/>
      <c r="E78" s="440"/>
      <c r="F78" s="440"/>
      <c r="G78" s="440"/>
      <c r="H78" s="440"/>
      <c r="I78" s="440"/>
      <c r="J78" s="440"/>
      <c r="K78" s="440">
        <v>0</v>
      </c>
      <c r="L78" s="440"/>
      <c r="M78" s="440">
        <v>0</v>
      </c>
      <c r="N78" s="440"/>
      <c r="O78" s="440">
        <v>0</v>
      </c>
      <c r="P78" s="440"/>
      <c r="Q78" s="440">
        <v>0</v>
      </c>
      <c r="R78" s="440"/>
      <c r="S78" s="440"/>
      <c r="T78" s="440"/>
      <c r="U78" s="440">
        <v>0</v>
      </c>
      <c r="V78" s="410"/>
      <c r="W78" s="6"/>
      <c r="X78" s="182"/>
    </row>
    <row r="79" spans="1:25" ht="15.6">
      <c r="A79" s="378"/>
      <c r="B79" s="379" t="s">
        <v>31</v>
      </c>
      <c r="C79" s="440"/>
      <c r="D79" s="440"/>
      <c r="E79" s="440"/>
      <c r="F79" s="440"/>
      <c r="G79" s="440"/>
      <c r="H79" s="440"/>
      <c r="I79" s="440"/>
      <c r="J79" s="440"/>
      <c r="K79" s="440">
        <v>0</v>
      </c>
      <c r="L79" s="440"/>
      <c r="M79" s="440">
        <v>0</v>
      </c>
      <c r="N79" s="440"/>
      <c r="O79" s="440"/>
      <c r="P79" s="440"/>
      <c r="Q79" s="440">
        <v>0</v>
      </c>
      <c r="R79" s="440"/>
      <c r="S79" s="440"/>
      <c r="T79" s="440"/>
      <c r="U79" s="440">
        <f>Q79+M79</f>
        <v>0</v>
      </c>
      <c r="V79" s="410"/>
      <c r="W79" s="6"/>
    </row>
    <row r="80" spans="1:25" ht="15.6">
      <c r="A80" s="378"/>
      <c r="B80" s="379" t="s">
        <v>16</v>
      </c>
      <c r="C80" s="440"/>
      <c r="D80" s="440"/>
      <c r="E80" s="440"/>
      <c r="F80" s="440"/>
      <c r="G80" s="440"/>
      <c r="H80" s="440"/>
      <c r="I80" s="440"/>
      <c r="J80" s="440"/>
      <c r="K80" s="440">
        <f>SUM(K75:K79)</f>
        <v>450000</v>
      </c>
      <c r="L80" s="440"/>
      <c r="M80" s="440">
        <f>SUM(M75:M79)</f>
        <v>103536</v>
      </c>
      <c r="N80" s="440"/>
      <c r="O80" s="440">
        <f>O78-O79</f>
        <v>0</v>
      </c>
      <c r="P80" s="440"/>
      <c r="Q80" s="440"/>
      <c r="R80" s="440"/>
      <c r="S80" s="440"/>
      <c r="T80" s="440"/>
      <c r="U80" s="440">
        <f>SUM(U75:U79)</f>
        <v>98735</v>
      </c>
      <c r="V80" s="410"/>
      <c r="W80" s="6"/>
      <c r="X80" s="182"/>
      <c r="Y80" s="182"/>
    </row>
    <row r="81" spans="1:24" ht="15.6">
      <c r="A81" s="242"/>
      <c r="B81" s="437"/>
      <c r="C81" s="438"/>
      <c r="D81" s="438"/>
      <c r="E81" s="438"/>
      <c r="F81" s="438"/>
      <c r="G81" s="438"/>
      <c r="H81" s="438"/>
      <c r="I81" s="438"/>
      <c r="J81" s="438"/>
      <c r="K81" s="438"/>
      <c r="L81" s="438"/>
      <c r="M81" s="438"/>
      <c r="N81" s="438"/>
      <c r="O81" s="438"/>
      <c r="P81" s="438"/>
      <c r="Q81" s="438"/>
      <c r="R81" s="438"/>
      <c r="S81" s="439"/>
      <c r="T81" s="438"/>
      <c r="U81" s="439"/>
      <c r="V81" s="245"/>
      <c r="W81" s="6"/>
    </row>
    <row r="82" spans="1:24" ht="15.6">
      <c r="A82" s="230"/>
      <c r="B82" s="511" t="s">
        <v>32</v>
      </c>
      <c r="C82" s="511"/>
      <c r="D82" s="511"/>
      <c r="E82" s="511"/>
      <c r="F82" s="511"/>
      <c r="G82" s="511"/>
      <c r="H82" s="511"/>
      <c r="I82" s="511"/>
      <c r="J82" s="511"/>
      <c r="K82" s="511"/>
      <c r="L82" s="511"/>
      <c r="M82" s="511"/>
      <c r="N82" s="511"/>
      <c r="O82" s="511"/>
      <c r="P82" s="511"/>
      <c r="Q82" s="511"/>
      <c r="R82" s="232"/>
      <c r="S82" s="232"/>
      <c r="T82" s="232"/>
      <c r="U82" s="232" t="s">
        <v>121</v>
      </c>
      <c r="V82" s="516"/>
      <c r="W82" s="6"/>
    </row>
    <row r="83" spans="1:24" ht="15.6">
      <c r="A83" s="315"/>
      <c r="B83" s="294" t="s">
        <v>33</v>
      </c>
      <c r="C83" s="294"/>
      <c r="D83" s="294"/>
      <c r="E83" s="294"/>
      <c r="F83" s="294"/>
      <c r="G83" s="294"/>
      <c r="H83" s="294"/>
      <c r="I83" s="294"/>
      <c r="J83" s="294"/>
      <c r="K83" s="294"/>
      <c r="L83" s="294"/>
      <c r="M83" s="294"/>
      <c r="N83" s="294"/>
      <c r="O83" s="310"/>
      <c r="P83" s="294"/>
      <c r="Q83" s="294"/>
      <c r="R83" s="294"/>
      <c r="S83" s="310"/>
      <c r="T83" s="294"/>
      <c r="U83" s="311">
        <v>47693</v>
      </c>
      <c r="V83" s="298"/>
      <c r="W83" s="6"/>
    </row>
    <row r="84" spans="1:24" ht="15.6">
      <c r="A84" s="444"/>
      <c r="B84" s="379" t="s">
        <v>34</v>
      </c>
      <c r="C84" s="431"/>
      <c r="D84" s="431"/>
      <c r="E84" s="431"/>
      <c r="F84" s="431"/>
      <c r="G84" s="431"/>
      <c r="H84" s="431"/>
      <c r="I84" s="431"/>
      <c r="J84" s="431"/>
      <c r="K84" s="431"/>
      <c r="L84" s="431"/>
      <c r="M84" s="430"/>
      <c r="N84" s="379"/>
      <c r="O84" s="379"/>
      <c r="P84" s="379"/>
      <c r="Q84" s="379"/>
      <c r="R84" s="379"/>
      <c r="S84" s="440"/>
      <c r="T84" s="379"/>
      <c r="U84" s="441">
        <f>-45+132+49</f>
        <v>136</v>
      </c>
      <c r="V84" s="410"/>
      <c r="W84" s="6"/>
    </row>
    <row r="85" spans="1:24" ht="15.6">
      <c r="A85" s="444"/>
      <c r="B85" s="379" t="s">
        <v>230</v>
      </c>
      <c r="C85" s="379"/>
      <c r="D85" s="379"/>
      <c r="E85" s="379"/>
      <c r="F85" s="379"/>
      <c r="G85" s="379"/>
      <c r="H85" s="379"/>
      <c r="I85" s="379"/>
      <c r="J85" s="379"/>
      <c r="K85" s="379"/>
      <c r="L85" s="379"/>
      <c r="M85" s="379"/>
      <c r="N85" s="379"/>
      <c r="O85" s="379"/>
      <c r="P85" s="379"/>
      <c r="Q85" s="379"/>
      <c r="R85" s="379"/>
      <c r="S85" s="440"/>
      <c r="T85" s="379"/>
      <c r="U85" s="441">
        <v>0</v>
      </c>
      <c r="V85" s="410"/>
      <c r="W85" s="6"/>
      <c r="X85" s="64"/>
    </row>
    <row r="86" spans="1:24" ht="15.6">
      <c r="A86" s="444"/>
      <c r="B86" s="379" t="s">
        <v>231</v>
      </c>
      <c r="C86" s="379"/>
      <c r="D86" s="379"/>
      <c r="E86" s="379"/>
      <c r="F86" s="379"/>
      <c r="G86" s="379"/>
      <c r="H86" s="379"/>
      <c r="I86" s="379"/>
      <c r="J86" s="379"/>
      <c r="K86" s="379"/>
      <c r="L86" s="379"/>
      <c r="M86" s="379"/>
      <c r="N86" s="379"/>
      <c r="O86" s="379"/>
      <c r="P86" s="379"/>
      <c r="Q86" s="379"/>
      <c r="R86" s="379"/>
      <c r="S86" s="440"/>
      <c r="T86" s="379"/>
      <c r="U86" s="441">
        <v>0</v>
      </c>
      <c r="V86" s="410"/>
      <c r="W86" s="6"/>
      <c r="X86" s="64"/>
    </row>
    <row r="87" spans="1:24" ht="15.6">
      <c r="A87" s="444"/>
      <c r="B87" s="379" t="s">
        <v>35</v>
      </c>
      <c r="C87" s="379"/>
      <c r="D87" s="379"/>
      <c r="E87" s="379"/>
      <c r="F87" s="379"/>
      <c r="G87" s="379"/>
      <c r="H87" s="379"/>
      <c r="I87" s="379"/>
      <c r="J87" s="379"/>
      <c r="K87" s="379"/>
      <c r="L87" s="379"/>
      <c r="M87" s="379"/>
      <c r="N87" s="379"/>
      <c r="O87" s="379"/>
      <c r="P87" s="379"/>
      <c r="Q87" s="379"/>
      <c r="R87" s="379"/>
      <c r="S87" s="440"/>
      <c r="T87" s="379"/>
      <c r="U87" s="441">
        <f>SUM(U83:U86)</f>
        <v>47829</v>
      </c>
      <c r="V87" s="410"/>
      <c r="W87" s="6"/>
      <c r="X87" s="64"/>
    </row>
    <row r="88" spans="1:24" ht="15.6">
      <c r="A88" s="444"/>
      <c r="B88" s="379"/>
      <c r="C88" s="379"/>
      <c r="D88" s="379"/>
      <c r="E88" s="379"/>
      <c r="F88" s="379"/>
      <c r="G88" s="379"/>
      <c r="H88" s="379"/>
      <c r="I88" s="379"/>
      <c r="J88" s="379"/>
      <c r="K88" s="379"/>
      <c r="L88" s="379"/>
      <c r="M88" s="379"/>
      <c r="N88" s="379"/>
      <c r="O88" s="379"/>
      <c r="P88" s="379"/>
      <c r="Q88" s="379"/>
      <c r="R88" s="379"/>
      <c r="S88" s="440"/>
      <c r="T88" s="379"/>
      <c r="U88" s="440"/>
      <c r="V88" s="410"/>
      <c r="W88" s="6"/>
    </row>
    <row r="89" spans="1:24" ht="15.6">
      <c r="A89" s="444"/>
      <c r="B89" s="446" t="s">
        <v>36</v>
      </c>
      <c r="C89" s="446"/>
      <c r="D89" s="446"/>
      <c r="E89" s="446"/>
      <c r="F89" s="446"/>
      <c r="G89" s="446"/>
      <c r="H89" s="446"/>
      <c r="I89" s="446"/>
      <c r="J89" s="446"/>
      <c r="K89" s="446"/>
      <c r="L89" s="446"/>
      <c r="M89" s="379"/>
      <c r="N89" s="379"/>
      <c r="O89" s="379"/>
      <c r="P89" s="379"/>
      <c r="Q89" s="379"/>
      <c r="R89" s="379"/>
      <c r="S89" s="440"/>
      <c r="T89" s="379"/>
      <c r="U89" s="441"/>
      <c r="V89" s="410"/>
      <c r="W89" s="6"/>
      <c r="X89" s="64"/>
    </row>
    <row r="90" spans="1:24" ht="15.6">
      <c r="A90" s="444">
        <v>1</v>
      </c>
      <c r="B90" s="379" t="s">
        <v>37</v>
      </c>
      <c r="C90" s="379"/>
      <c r="D90" s="379"/>
      <c r="E90" s="379"/>
      <c r="F90" s="379"/>
      <c r="G90" s="379"/>
      <c r="H90" s="379"/>
      <c r="I90" s="379"/>
      <c r="J90" s="379"/>
      <c r="K90" s="379"/>
      <c r="L90" s="379"/>
      <c r="M90" s="379"/>
      <c r="N90" s="379"/>
      <c r="O90" s="379"/>
      <c r="P90" s="379"/>
      <c r="Q90" s="379"/>
      <c r="R90" s="379"/>
      <c r="S90" s="379"/>
      <c r="T90" s="379"/>
      <c r="U90" s="441">
        <v>-2</v>
      </c>
      <c r="V90" s="410"/>
      <c r="W90" s="6"/>
    </row>
    <row r="91" spans="1:24" ht="15.6">
      <c r="A91" s="444">
        <f>A90+1</f>
        <v>2</v>
      </c>
      <c r="B91" s="379" t="s">
        <v>168</v>
      </c>
      <c r="C91" s="379"/>
      <c r="D91" s="379"/>
      <c r="E91" s="379"/>
      <c r="F91" s="379"/>
      <c r="G91" s="379"/>
      <c r="H91" s="379"/>
      <c r="I91" s="379"/>
      <c r="J91" s="379"/>
      <c r="K91" s="379"/>
      <c r="L91" s="379"/>
      <c r="M91" s="379"/>
      <c r="N91" s="379"/>
      <c r="O91" s="379"/>
      <c r="P91" s="379"/>
      <c r="Q91" s="379"/>
      <c r="R91" s="379"/>
      <c r="S91" s="379"/>
      <c r="T91" s="379"/>
      <c r="U91" s="441">
        <f>-102-41-1</f>
        <v>-144</v>
      </c>
      <c r="V91" s="410"/>
      <c r="W91" s="6"/>
      <c r="X91" s="64"/>
    </row>
    <row r="92" spans="1:24" ht="15.6">
      <c r="A92" s="444">
        <v>3</v>
      </c>
      <c r="B92" s="379" t="s">
        <v>38</v>
      </c>
      <c r="C92" s="379"/>
      <c r="D92" s="379"/>
      <c r="E92" s="379"/>
      <c r="F92" s="379"/>
      <c r="G92" s="379"/>
      <c r="H92" s="379"/>
      <c r="I92" s="379"/>
      <c r="J92" s="379"/>
      <c r="K92" s="379"/>
      <c r="L92" s="379"/>
      <c r="M92" s="379"/>
      <c r="N92" s="379"/>
      <c r="O92" s="379"/>
      <c r="P92" s="379"/>
      <c r="Q92" s="379"/>
      <c r="R92" s="379"/>
      <c r="S92" s="379"/>
      <c r="T92" s="379"/>
      <c r="U92" s="441">
        <v>-18</v>
      </c>
      <c r="V92" s="410"/>
      <c r="W92" s="6"/>
      <c r="X92" s="64"/>
    </row>
    <row r="93" spans="1:24" ht="15.6">
      <c r="A93" s="447" t="s">
        <v>190</v>
      </c>
      <c r="B93" s="379" t="s">
        <v>169</v>
      </c>
      <c r="C93" s="379"/>
      <c r="D93" s="379"/>
      <c r="E93" s="379"/>
      <c r="F93" s="379"/>
      <c r="G93" s="379"/>
      <c r="H93" s="379"/>
      <c r="I93" s="379"/>
      <c r="J93" s="379"/>
      <c r="K93" s="379"/>
      <c r="L93" s="379"/>
      <c r="M93" s="379"/>
      <c r="N93" s="379"/>
      <c r="O93" s="379"/>
      <c r="P93" s="379"/>
      <c r="Q93" s="379"/>
      <c r="R93" s="379"/>
      <c r="S93" s="379"/>
      <c r="T93" s="379"/>
      <c r="U93" s="441">
        <v>-51</v>
      </c>
      <c r="V93" s="410"/>
      <c r="W93" s="6"/>
      <c r="X93" s="64"/>
    </row>
    <row r="94" spans="1:24" ht="15.6">
      <c r="A94" s="447" t="s">
        <v>191</v>
      </c>
      <c r="B94" s="379" t="s">
        <v>170</v>
      </c>
      <c r="C94" s="379"/>
      <c r="D94" s="379"/>
      <c r="E94" s="379"/>
      <c r="F94" s="379"/>
      <c r="G94" s="379"/>
      <c r="H94" s="379"/>
      <c r="I94" s="379"/>
      <c r="J94" s="379"/>
      <c r="K94" s="379"/>
      <c r="L94" s="379"/>
      <c r="M94" s="379"/>
      <c r="N94" s="379"/>
      <c r="O94" s="379"/>
      <c r="P94" s="379"/>
      <c r="Q94" s="379"/>
      <c r="R94" s="379"/>
      <c r="S94" s="379"/>
      <c r="T94" s="379"/>
      <c r="U94" s="441">
        <v>-65</v>
      </c>
      <c r="V94" s="410"/>
      <c r="W94" s="6"/>
      <c r="X94" s="182"/>
    </row>
    <row r="95" spans="1:24" ht="15.6">
      <c r="A95" s="444">
        <v>5</v>
      </c>
      <c r="B95" s="379" t="s">
        <v>171</v>
      </c>
      <c r="C95" s="379"/>
      <c r="D95" s="379"/>
      <c r="E95" s="379"/>
      <c r="F95" s="379"/>
      <c r="G95" s="379"/>
      <c r="H95" s="379"/>
      <c r="I95" s="379"/>
      <c r="J95" s="379"/>
      <c r="K95" s="379"/>
      <c r="L95" s="379"/>
      <c r="M95" s="379"/>
      <c r="N95" s="379"/>
      <c r="O95" s="379"/>
      <c r="P95" s="379"/>
      <c r="Q95" s="379"/>
      <c r="R95" s="379"/>
      <c r="S95" s="379"/>
      <c r="T95" s="379"/>
      <c r="U95" s="441">
        <v>-8</v>
      </c>
      <c r="V95" s="410"/>
      <c r="W95" s="6"/>
    </row>
    <row r="96" spans="1:24" ht="15.6">
      <c r="A96" s="447" t="s">
        <v>174</v>
      </c>
      <c r="B96" s="379" t="s">
        <v>172</v>
      </c>
      <c r="C96" s="379"/>
      <c r="D96" s="379"/>
      <c r="E96" s="379"/>
      <c r="F96" s="379"/>
      <c r="G96" s="379"/>
      <c r="H96" s="379"/>
      <c r="I96" s="379"/>
      <c r="J96" s="379"/>
      <c r="K96" s="379"/>
      <c r="L96" s="379"/>
      <c r="M96" s="379"/>
      <c r="N96" s="379"/>
      <c r="O96" s="379"/>
      <c r="P96" s="379"/>
      <c r="Q96" s="379"/>
      <c r="R96" s="379"/>
      <c r="S96" s="379"/>
      <c r="T96" s="379"/>
      <c r="U96" s="441">
        <v>-22</v>
      </c>
      <c r="V96" s="410"/>
      <c r="W96" s="6"/>
      <c r="X96" s="182"/>
    </row>
    <row r="97" spans="1:24" ht="15.6">
      <c r="A97" s="447" t="s">
        <v>176</v>
      </c>
      <c r="B97" s="379" t="s">
        <v>173</v>
      </c>
      <c r="C97" s="379"/>
      <c r="D97" s="379"/>
      <c r="E97" s="379"/>
      <c r="F97" s="379"/>
      <c r="G97" s="379"/>
      <c r="H97" s="379"/>
      <c r="I97" s="379"/>
      <c r="J97" s="379"/>
      <c r="K97" s="379"/>
      <c r="L97" s="379"/>
      <c r="M97" s="379"/>
      <c r="N97" s="379"/>
      <c r="O97" s="379"/>
      <c r="P97" s="379"/>
      <c r="Q97" s="379"/>
      <c r="R97" s="379"/>
      <c r="S97" s="379"/>
      <c r="T97" s="379"/>
      <c r="U97" s="441">
        <v>-36</v>
      </c>
      <c r="V97" s="410"/>
      <c r="W97" s="119"/>
      <c r="X97" s="182"/>
    </row>
    <row r="98" spans="1:24" ht="15.6">
      <c r="A98" s="447" t="s">
        <v>178</v>
      </c>
      <c r="B98" s="379" t="s">
        <v>175</v>
      </c>
      <c r="C98" s="379"/>
      <c r="D98" s="379"/>
      <c r="E98" s="379"/>
      <c r="F98" s="379"/>
      <c r="G98" s="379"/>
      <c r="H98" s="379"/>
      <c r="I98" s="379"/>
      <c r="J98" s="379"/>
      <c r="K98" s="379"/>
      <c r="L98" s="379"/>
      <c r="M98" s="379"/>
      <c r="N98" s="379"/>
      <c r="O98" s="379"/>
      <c r="P98" s="379"/>
      <c r="Q98" s="379"/>
      <c r="R98" s="379"/>
      <c r="S98" s="379"/>
      <c r="T98" s="379"/>
      <c r="U98" s="441">
        <v>-36</v>
      </c>
      <c r="V98" s="410"/>
      <c r="W98" s="6"/>
      <c r="X98" s="182"/>
    </row>
    <row r="99" spans="1:24" ht="15.6">
      <c r="A99" s="447" t="s">
        <v>180</v>
      </c>
      <c r="B99" s="379" t="s">
        <v>177</v>
      </c>
      <c r="C99" s="379"/>
      <c r="D99" s="379"/>
      <c r="E99" s="379"/>
      <c r="F99" s="379"/>
      <c r="G99" s="379"/>
      <c r="H99" s="379"/>
      <c r="I99" s="379"/>
      <c r="J99" s="379"/>
      <c r="K99" s="379"/>
      <c r="L99" s="379"/>
      <c r="M99" s="379"/>
      <c r="N99" s="379"/>
      <c r="O99" s="379"/>
      <c r="P99" s="379"/>
      <c r="Q99" s="379"/>
      <c r="R99" s="379"/>
      <c r="S99" s="379"/>
      <c r="T99" s="379"/>
      <c r="U99" s="441">
        <v>-46</v>
      </c>
      <c r="V99" s="410"/>
      <c r="W99" s="119"/>
      <c r="X99" s="182"/>
    </row>
    <row r="100" spans="1:24" ht="15.6">
      <c r="A100" s="447" t="s">
        <v>192</v>
      </c>
      <c r="B100" s="379" t="s">
        <v>179</v>
      </c>
      <c r="C100" s="379"/>
      <c r="D100" s="379"/>
      <c r="E100" s="379"/>
      <c r="F100" s="379"/>
      <c r="G100" s="379"/>
      <c r="H100" s="379"/>
      <c r="I100" s="379"/>
      <c r="J100" s="379"/>
      <c r="K100" s="379"/>
      <c r="L100" s="379"/>
      <c r="M100" s="379"/>
      <c r="N100" s="379"/>
      <c r="O100" s="379"/>
      <c r="P100" s="379"/>
      <c r="Q100" s="379"/>
      <c r="R100" s="379"/>
      <c r="S100" s="379"/>
      <c r="T100" s="379"/>
      <c r="U100" s="441">
        <v>-68</v>
      </c>
      <c r="V100" s="410"/>
      <c r="W100" s="6"/>
      <c r="X100" s="182"/>
    </row>
    <row r="101" spans="1:24" ht="15.6">
      <c r="A101" s="447" t="s">
        <v>193</v>
      </c>
      <c r="B101" s="379" t="s">
        <v>181</v>
      </c>
      <c r="C101" s="379"/>
      <c r="D101" s="379"/>
      <c r="E101" s="379"/>
      <c r="F101" s="379"/>
      <c r="G101" s="379"/>
      <c r="H101" s="379"/>
      <c r="I101" s="379"/>
      <c r="J101" s="379"/>
      <c r="K101" s="379"/>
      <c r="L101" s="379"/>
      <c r="M101" s="379"/>
      <c r="N101" s="379"/>
      <c r="O101" s="379"/>
      <c r="P101" s="379"/>
      <c r="Q101" s="379"/>
      <c r="R101" s="379"/>
      <c r="S101" s="379"/>
      <c r="T101" s="379"/>
      <c r="U101" s="441">
        <v>-59</v>
      </c>
      <c r="V101" s="410"/>
      <c r="W101" s="119"/>
      <c r="X101" s="182"/>
    </row>
    <row r="102" spans="1:24" ht="15.6">
      <c r="A102" s="444">
        <v>9</v>
      </c>
      <c r="B102" s="379" t="s">
        <v>257</v>
      </c>
      <c r="C102" s="379"/>
      <c r="D102" s="379"/>
      <c r="E102" s="379"/>
      <c r="F102" s="379"/>
      <c r="G102" s="379"/>
      <c r="H102" s="379"/>
      <c r="I102" s="379"/>
      <c r="J102" s="379"/>
      <c r="K102" s="379"/>
      <c r="L102" s="379"/>
      <c r="M102" s="379"/>
      <c r="N102" s="379"/>
      <c r="O102" s="379"/>
      <c r="P102" s="379"/>
      <c r="Q102" s="379"/>
      <c r="R102" s="379"/>
      <c r="S102" s="379"/>
      <c r="T102" s="379"/>
      <c r="U102" s="441">
        <f>+S219-U32</f>
        <v>-4800.9459999999963</v>
      </c>
      <c r="V102" s="410"/>
      <c r="W102" s="6"/>
      <c r="X102" s="182"/>
    </row>
    <row r="103" spans="1:24" ht="15.6">
      <c r="A103" s="444">
        <v>10</v>
      </c>
      <c r="B103" s="379" t="s">
        <v>234</v>
      </c>
      <c r="C103" s="379"/>
      <c r="D103" s="379"/>
      <c r="E103" s="379"/>
      <c r="F103" s="379"/>
      <c r="G103" s="379"/>
      <c r="H103" s="379"/>
      <c r="I103" s="379"/>
      <c r="J103" s="379"/>
      <c r="K103" s="379"/>
      <c r="L103" s="379"/>
      <c r="M103" s="379"/>
      <c r="N103" s="379"/>
      <c r="O103" s="379"/>
      <c r="P103" s="379"/>
      <c r="Q103" s="379"/>
      <c r="R103" s="379"/>
      <c r="S103" s="379"/>
      <c r="T103" s="379"/>
      <c r="U103" s="441">
        <v>-40500</v>
      </c>
      <c r="V103" s="410"/>
      <c r="W103" s="6"/>
      <c r="X103" s="64"/>
    </row>
    <row r="104" spans="1:24" ht="15.6">
      <c r="A104" s="444">
        <v>11</v>
      </c>
      <c r="B104" s="379" t="s">
        <v>183</v>
      </c>
      <c r="C104" s="379"/>
      <c r="D104" s="379"/>
      <c r="E104" s="379"/>
      <c r="F104" s="379"/>
      <c r="G104" s="379"/>
      <c r="H104" s="379"/>
      <c r="I104" s="379"/>
      <c r="J104" s="379"/>
      <c r="K104" s="379"/>
      <c r="L104" s="379"/>
      <c r="M104" s="379"/>
      <c r="N104" s="379"/>
      <c r="O104" s="379"/>
      <c r="P104" s="379"/>
      <c r="Q104" s="379"/>
      <c r="R104" s="379"/>
      <c r="S104" s="379"/>
      <c r="T104" s="379"/>
      <c r="U104" s="441">
        <v>0</v>
      </c>
      <c r="V104" s="410"/>
      <c r="W104" s="6"/>
      <c r="X104" s="64"/>
    </row>
    <row r="105" spans="1:24" ht="15.6">
      <c r="A105" s="444">
        <v>12</v>
      </c>
      <c r="B105" s="379" t="s">
        <v>184</v>
      </c>
      <c r="C105" s="379"/>
      <c r="D105" s="379"/>
      <c r="E105" s="379"/>
      <c r="F105" s="379"/>
      <c r="G105" s="379"/>
      <c r="H105" s="379"/>
      <c r="I105" s="379"/>
      <c r="J105" s="379"/>
      <c r="K105" s="379"/>
      <c r="L105" s="379"/>
      <c r="M105" s="379"/>
      <c r="N105" s="379"/>
      <c r="O105" s="379"/>
      <c r="P105" s="379"/>
      <c r="Q105" s="379"/>
      <c r="R105" s="379"/>
      <c r="S105" s="379"/>
      <c r="T105" s="379"/>
      <c r="U105" s="441">
        <v>-115</v>
      </c>
      <c r="V105" s="410"/>
      <c r="W105" s="6"/>
      <c r="X105" s="182"/>
    </row>
    <row r="106" spans="1:24" ht="15.6">
      <c r="A106" s="444">
        <v>13</v>
      </c>
      <c r="B106" s="379" t="s">
        <v>40</v>
      </c>
      <c r="C106" s="379"/>
      <c r="D106" s="379"/>
      <c r="E106" s="379"/>
      <c r="F106" s="379"/>
      <c r="G106" s="379"/>
      <c r="H106" s="379"/>
      <c r="I106" s="379"/>
      <c r="J106" s="379"/>
      <c r="K106" s="379"/>
      <c r="L106" s="379"/>
      <c r="M106" s="379"/>
      <c r="N106" s="379"/>
      <c r="O106" s="379"/>
      <c r="P106" s="379"/>
      <c r="Q106" s="379"/>
      <c r="R106" s="379"/>
      <c r="S106" s="379"/>
      <c r="T106" s="379"/>
      <c r="U106" s="441">
        <f>-SUM(U87:V105)</f>
        <v>-1858.0540000000037</v>
      </c>
      <c r="V106" s="410"/>
      <c r="W106" s="6"/>
      <c r="X106" s="182"/>
    </row>
    <row r="107" spans="1:24" ht="15.6">
      <c r="A107" s="316"/>
      <c r="B107" s="443"/>
      <c r="C107" s="364"/>
      <c r="D107" s="364"/>
      <c r="E107" s="364"/>
      <c r="F107" s="364"/>
      <c r="G107" s="364"/>
      <c r="H107" s="364"/>
      <c r="I107" s="364"/>
      <c r="J107" s="364"/>
      <c r="K107" s="364"/>
      <c r="L107" s="364"/>
      <c r="M107" s="364"/>
      <c r="N107" s="364"/>
      <c r="O107" s="364"/>
      <c r="P107" s="364"/>
      <c r="Q107" s="364"/>
      <c r="R107" s="364"/>
      <c r="S107" s="360"/>
      <c r="T107" s="360"/>
      <c r="U107" s="360"/>
      <c r="V107" s="303"/>
      <c r="W107" s="6"/>
      <c r="X107" s="182"/>
    </row>
    <row r="108" spans="1:24" ht="15.6">
      <c r="A108" s="316"/>
      <c r="B108" s="317"/>
      <c r="C108" s="288"/>
      <c r="D108" s="288"/>
      <c r="E108" s="288"/>
      <c r="F108" s="288"/>
      <c r="G108" s="288"/>
      <c r="H108" s="288"/>
      <c r="I108" s="288"/>
      <c r="J108" s="288"/>
      <c r="K108" s="288"/>
      <c r="L108" s="288"/>
      <c r="M108" s="288"/>
      <c r="N108" s="288"/>
      <c r="O108" s="288"/>
      <c r="P108" s="288"/>
      <c r="Q108" s="288"/>
      <c r="R108" s="288"/>
      <c r="S108" s="318"/>
      <c r="T108" s="318"/>
      <c r="U108" s="318"/>
      <c r="V108" s="303"/>
      <c r="W108" s="6"/>
    </row>
    <row r="109" spans="1:24" ht="16.2" thickBot="1">
      <c r="A109" s="319"/>
      <c r="B109" s="304" t="str">
        <f>+B59</f>
        <v>PPAF3 INVESTOR REPORT QUARTER ENDING MARCH 2015</v>
      </c>
      <c r="C109" s="305"/>
      <c r="D109" s="305"/>
      <c r="E109" s="305"/>
      <c r="F109" s="305"/>
      <c r="G109" s="305"/>
      <c r="H109" s="305"/>
      <c r="I109" s="305"/>
      <c r="J109" s="305"/>
      <c r="K109" s="305"/>
      <c r="L109" s="305"/>
      <c r="M109" s="305"/>
      <c r="N109" s="305"/>
      <c r="O109" s="305"/>
      <c r="P109" s="305"/>
      <c r="Q109" s="305"/>
      <c r="R109" s="305"/>
      <c r="S109" s="320"/>
      <c r="T109" s="320"/>
      <c r="U109" s="320"/>
      <c r="V109" s="307"/>
      <c r="W109" s="6"/>
    </row>
    <row r="110" spans="1:24" ht="15.6">
      <c r="A110" s="238"/>
      <c r="B110" s="240"/>
      <c r="C110" s="240"/>
      <c r="D110" s="240"/>
      <c r="E110" s="240"/>
      <c r="F110" s="240"/>
      <c r="G110" s="240"/>
      <c r="H110" s="240"/>
      <c r="I110" s="240"/>
      <c r="J110" s="240"/>
      <c r="K110" s="240"/>
      <c r="L110" s="240"/>
      <c r="M110" s="240"/>
      <c r="N110" s="240"/>
      <c r="O110" s="240"/>
      <c r="P110" s="240"/>
      <c r="Q110" s="240"/>
      <c r="R110" s="240"/>
      <c r="S110" s="269"/>
      <c r="T110" s="269"/>
      <c r="U110" s="269"/>
      <c r="V110" s="241"/>
      <c r="W110" s="6"/>
    </row>
    <row r="111" spans="1:24" ht="15.6">
      <c r="A111" s="321"/>
      <c r="B111" s="517" t="s">
        <v>41</v>
      </c>
      <c r="C111" s="322"/>
      <c r="D111" s="322"/>
      <c r="E111" s="322"/>
      <c r="F111" s="322"/>
      <c r="G111" s="322"/>
      <c r="H111" s="322"/>
      <c r="I111" s="322"/>
      <c r="J111" s="322"/>
      <c r="K111" s="322"/>
      <c r="L111" s="322"/>
      <c r="M111" s="322"/>
      <c r="N111" s="322"/>
      <c r="O111" s="322"/>
      <c r="P111" s="322"/>
      <c r="Q111" s="322"/>
      <c r="R111" s="322"/>
      <c r="S111" s="322"/>
      <c r="T111" s="322"/>
      <c r="U111" s="323"/>
      <c r="V111" s="324"/>
      <c r="W111" s="6"/>
    </row>
    <row r="112" spans="1:24" ht="15.6">
      <c r="A112" s="270"/>
      <c r="B112" s="271"/>
      <c r="C112" s="271"/>
      <c r="D112" s="271"/>
      <c r="E112" s="271"/>
      <c r="F112" s="271"/>
      <c r="G112" s="271"/>
      <c r="H112" s="271"/>
      <c r="I112" s="271"/>
      <c r="J112" s="271"/>
      <c r="K112" s="271"/>
      <c r="L112" s="271"/>
      <c r="M112" s="271"/>
      <c r="N112" s="271"/>
      <c r="O112" s="271"/>
      <c r="P112" s="271"/>
      <c r="Q112" s="271"/>
      <c r="R112" s="271"/>
      <c r="S112" s="271"/>
      <c r="T112" s="271"/>
      <c r="U112" s="272"/>
      <c r="V112" s="273"/>
      <c r="W112" s="6"/>
    </row>
    <row r="113" spans="1:24" ht="15.6">
      <c r="A113" s="242"/>
      <c r="B113" s="274" t="s">
        <v>42</v>
      </c>
      <c r="C113" s="252"/>
      <c r="D113" s="252"/>
      <c r="E113" s="252"/>
      <c r="F113" s="252"/>
      <c r="G113" s="252"/>
      <c r="H113" s="252"/>
      <c r="I113" s="252"/>
      <c r="J113" s="252"/>
      <c r="K113" s="252"/>
      <c r="L113" s="252"/>
      <c r="M113" s="244"/>
      <c r="N113" s="244"/>
      <c r="O113" s="244"/>
      <c r="P113" s="244"/>
      <c r="Q113" s="244"/>
      <c r="R113" s="244"/>
      <c r="S113" s="244"/>
      <c r="T113" s="244"/>
      <c r="U113" s="263"/>
      <c r="V113" s="245"/>
      <c r="W113" s="6"/>
    </row>
    <row r="114" spans="1:24" ht="15.6">
      <c r="A114" s="378"/>
      <c r="B114" s="379" t="s">
        <v>43</v>
      </c>
      <c r="C114" s="379"/>
      <c r="D114" s="379"/>
      <c r="E114" s="379"/>
      <c r="F114" s="379"/>
      <c r="G114" s="379"/>
      <c r="H114" s="379"/>
      <c r="I114" s="379"/>
      <c r="J114" s="379"/>
      <c r="K114" s="379"/>
      <c r="L114" s="379"/>
      <c r="M114" s="379"/>
      <c r="N114" s="379"/>
      <c r="O114" s="379"/>
      <c r="P114" s="379"/>
      <c r="Q114" s="379"/>
      <c r="R114" s="379"/>
      <c r="S114" s="379"/>
      <c r="T114" s="379"/>
      <c r="U114" s="441">
        <v>40500</v>
      </c>
      <c r="V114" s="410"/>
      <c r="W114" s="6"/>
    </row>
    <row r="115" spans="1:24" ht="15.6">
      <c r="A115" s="378"/>
      <c r="B115" s="379" t="s">
        <v>240</v>
      </c>
      <c r="C115" s="379"/>
      <c r="D115" s="379"/>
      <c r="E115" s="379"/>
      <c r="F115" s="379"/>
      <c r="G115" s="379"/>
      <c r="H115" s="379"/>
      <c r="I115" s="379"/>
      <c r="J115" s="379"/>
      <c r="K115" s="379"/>
      <c r="L115" s="379"/>
      <c r="M115" s="379"/>
      <c r="N115" s="379"/>
      <c r="O115" s="379"/>
      <c r="P115" s="379"/>
      <c r="Q115" s="379"/>
      <c r="R115" s="379"/>
      <c r="S115" s="379"/>
      <c r="T115" s="379"/>
      <c r="U115" s="441">
        <v>40500</v>
      </c>
      <c r="V115" s="410"/>
      <c r="W115" s="6"/>
    </row>
    <row r="116" spans="1:24" ht="15.6">
      <c r="A116" s="378"/>
      <c r="B116" s="379" t="s">
        <v>241</v>
      </c>
      <c r="C116" s="379"/>
      <c r="D116" s="379"/>
      <c r="E116" s="379"/>
      <c r="F116" s="379"/>
      <c r="G116" s="379"/>
      <c r="H116" s="379"/>
      <c r="I116" s="379"/>
      <c r="J116" s="379"/>
      <c r="K116" s="379"/>
      <c r="L116" s="379"/>
      <c r="M116" s="379"/>
      <c r="N116" s="379"/>
      <c r="O116" s="379"/>
      <c r="P116" s="379"/>
      <c r="Q116" s="379"/>
      <c r="R116" s="379"/>
      <c r="S116" s="379"/>
      <c r="T116" s="379"/>
      <c r="U116" s="441">
        <v>0</v>
      </c>
      <c r="V116" s="410"/>
      <c r="W116" s="6"/>
    </row>
    <row r="117" spans="1:24" ht="15.6">
      <c r="A117" s="378"/>
      <c r="B117" s="379" t="s">
        <v>209</v>
      </c>
      <c r="C117" s="379"/>
      <c r="D117" s="379"/>
      <c r="E117" s="379"/>
      <c r="F117" s="379"/>
      <c r="G117" s="379"/>
      <c r="H117" s="379"/>
      <c r="I117" s="379"/>
      <c r="J117" s="379"/>
      <c r="K117" s="379"/>
      <c r="L117" s="379"/>
      <c r="M117" s="379"/>
      <c r="N117" s="379"/>
      <c r="O117" s="379"/>
      <c r="P117" s="379"/>
      <c r="Q117" s="379"/>
      <c r="R117" s="379"/>
      <c r="S117" s="379"/>
      <c r="T117" s="379"/>
      <c r="U117" s="441">
        <v>0</v>
      </c>
      <c r="V117" s="410"/>
      <c r="W117" s="6"/>
    </row>
    <row r="118" spans="1:24" ht="15.6">
      <c r="A118" s="378"/>
      <c r="B118" s="379" t="s">
        <v>210</v>
      </c>
      <c r="C118" s="379"/>
      <c r="D118" s="379"/>
      <c r="E118" s="379"/>
      <c r="F118" s="379"/>
      <c r="G118" s="379"/>
      <c r="H118" s="379"/>
      <c r="I118" s="379"/>
      <c r="J118" s="379"/>
      <c r="K118" s="379"/>
      <c r="L118" s="379"/>
      <c r="M118" s="379"/>
      <c r="N118" s="379"/>
      <c r="O118" s="379"/>
      <c r="P118" s="379"/>
      <c r="Q118" s="379"/>
      <c r="R118" s="379"/>
      <c r="S118" s="379"/>
      <c r="T118" s="379"/>
      <c r="U118" s="441">
        <v>0</v>
      </c>
      <c r="V118" s="410"/>
      <c r="W118" s="6"/>
    </row>
    <row r="119" spans="1:24" ht="15.6">
      <c r="A119" s="378"/>
      <c r="B119" s="379" t="s">
        <v>211</v>
      </c>
      <c r="C119" s="379"/>
      <c r="D119" s="379"/>
      <c r="E119" s="379"/>
      <c r="F119" s="379"/>
      <c r="G119" s="379"/>
      <c r="H119" s="379"/>
      <c r="I119" s="379"/>
      <c r="J119" s="379"/>
      <c r="K119" s="379"/>
      <c r="L119" s="379"/>
      <c r="M119" s="379"/>
      <c r="N119" s="379"/>
      <c r="O119" s="379"/>
      <c r="P119" s="379"/>
      <c r="Q119" s="379"/>
      <c r="R119" s="379"/>
      <c r="S119" s="379"/>
      <c r="T119" s="379"/>
      <c r="U119" s="441">
        <v>0</v>
      </c>
      <c r="V119" s="410"/>
      <c r="W119" s="6"/>
    </row>
    <row r="120" spans="1:24" ht="15.6">
      <c r="A120" s="378"/>
      <c r="B120" s="379" t="s">
        <v>212</v>
      </c>
      <c r="C120" s="379"/>
      <c r="D120" s="379"/>
      <c r="E120" s="379"/>
      <c r="F120" s="379"/>
      <c r="G120" s="379"/>
      <c r="H120" s="379"/>
      <c r="I120" s="379"/>
      <c r="J120" s="379"/>
      <c r="K120" s="379"/>
      <c r="L120" s="379"/>
      <c r="M120" s="379"/>
      <c r="N120" s="379"/>
      <c r="O120" s="379"/>
      <c r="P120" s="379"/>
      <c r="Q120" s="379"/>
      <c r="R120" s="379"/>
      <c r="S120" s="379"/>
      <c r="T120" s="379"/>
      <c r="U120" s="441">
        <v>0</v>
      </c>
      <c r="V120" s="410"/>
      <c r="W120" s="6"/>
    </row>
    <row r="121" spans="1:24" ht="15.6">
      <c r="A121" s="378"/>
      <c r="B121" s="379" t="s">
        <v>242</v>
      </c>
      <c r="C121" s="379"/>
      <c r="D121" s="379"/>
      <c r="E121" s="379"/>
      <c r="F121" s="379"/>
      <c r="G121" s="379"/>
      <c r="H121" s="379"/>
      <c r="I121" s="379"/>
      <c r="J121" s="379"/>
      <c r="K121" s="379"/>
      <c r="L121" s="379"/>
      <c r="M121" s="379"/>
      <c r="N121" s="379"/>
      <c r="O121" s="379"/>
      <c r="P121" s="379"/>
      <c r="Q121" s="379"/>
      <c r="R121" s="379"/>
      <c r="S121" s="379"/>
      <c r="T121" s="379"/>
      <c r="U121" s="441">
        <v>0</v>
      </c>
      <c r="V121" s="410"/>
      <c r="W121" s="6"/>
    </row>
    <row r="122" spans="1:24" ht="15.6">
      <c r="A122" s="378"/>
      <c r="B122" s="379" t="s">
        <v>45</v>
      </c>
      <c r="C122" s="379"/>
      <c r="D122" s="379"/>
      <c r="E122" s="379"/>
      <c r="F122" s="379"/>
      <c r="G122" s="379"/>
      <c r="H122" s="379"/>
      <c r="I122" s="379"/>
      <c r="J122" s="379"/>
      <c r="K122" s="379"/>
      <c r="L122" s="379"/>
      <c r="M122" s="379"/>
      <c r="N122" s="379"/>
      <c r="O122" s="379"/>
      <c r="P122" s="379"/>
      <c r="Q122" s="379"/>
      <c r="R122" s="379"/>
      <c r="S122" s="379"/>
      <c r="T122" s="379"/>
      <c r="U122" s="441">
        <f>SUM(U115:U121)</f>
        <v>40500</v>
      </c>
      <c r="V122" s="410"/>
      <c r="W122" s="6"/>
    </row>
    <row r="123" spans="1:24" ht="15.6">
      <c r="A123" s="242"/>
      <c r="B123" s="438"/>
      <c r="C123" s="438"/>
      <c r="D123" s="438"/>
      <c r="E123" s="438"/>
      <c r="F123" s="438"/>
      <c r="G123" s="438"/>
      <c r="H123" s="438"/>
      <c r="I123" s="438"/>
      <c r="J123" s="438"/>
      <c r="K123" s="438"/>
      <c r="L123" s="438"/>
      <c r="M123" s="438"/>
      <c r="N123" s="438"/>
      <c r="O123" s="438"/>
      <c r="P123" s="438"/>
      <c r="Q123" s="438"/>
      <c r="R123" s="438"/>
      <c r="S123" s="438"/>
      <c r="T123" s="438"/>
      <c r="U123" s="448"/>
      <c r="V123" s="245"/>
      <c r="W123" s="6"/>
    </row>
    <row r="124" spans="1:24" ht="15.6">
      <c r="A124" s="242"/>
      <c r="B124" s="274" t="s">
        <v>46</v>
      </c>
      <c r="C124" s="252"/>
      <c r="D124" s="252"/>
      <c r="E124" s="252"/>
      <c r="F124" s="252"/>
      <c r="G124" s="252"/>
      <c r="H124" s="252"/>
      <c r="I124" s="252"/>
      <c r="J124" s="252"/>
      <c r="K124" s="252"/>
      <c r="L124" s="252"/>
      <c r="M124" s="244"/>
      <c r="N124" s="244"/>
      <c r="O124" s="244"/>
      <c r="P124" s="275"/>
      <c r="Q124" s="244"/>
      <c r="R124" s="244"/>
      <c r="S124" s="244"/>
      <c r="T124" s="244"/>
      <c r="U124" s="276"/>
      <c r="V124" s="245"/>
      <c r="W124" s="6"/>
    </row>
    <row r="125" spans="1:24" ht="15.6">
      <c r="A125" s="230"/>
      <c r="B125" s="511"/>
      <c r="C125" s="232" t="s">
        <v>185</v>
      </c>
      <c r="D125" s="232"/>
      <c r="E125" s="232" t="s">
        <v>99</v>
      </c>
      <c r="F125" s="232"/>
      <c r="G125" s="232" t="s">
        <v>102</v>
      </c>
      <c r="H125" s="232"/>
      <c r="I125" s="232" t="s">
        <v>108</v>
      </c>
      <c r="J125" s="232"/>
      <c r="K125" s="232"/>
      <c r="L125" s="232"/>
      <c r="M125" s="232"/>
      <c r="N125" s="232"/>
      <c r="O125" s="232"/>
      <c r="P125" s="326"/>
      <c r="Q125" s="326"/>
      <c r="R125" s="231"/>
      <c r="S125" s="231"/>
      <c r="T125" s="231"/>
      <c r="U125" s="309"/>
      <c r="V125" s="237"/>
      <c r="W125" s="6"/>
    </row>
    <row r="126" spans="1:24" ht="15.6">
      <c r="A126" s="257"/>
      <c r="B126" s="294" t="s">
        <v>122</v>
      </c>
      <c r="C126" s="310">
        <f>+N199-'Dec 14'!N199</f>
        <v>-44</v>
      </c>
      <c r="D126" s="294"/>
      <c r="E126" s="310">
        <f>+S199-'Dec 14'!S199</f>
        <v>-28</v>
      </c>
      <c r="F126" s="294"/>
      <c r="G126" s="310">
        <f>+'March 15'!N212-'Dec 14'!N212</f>
        <v>56</v>
      </c>
      <c r="H126" s="294"/>
      <c r="I126" s="310">
        <f>+S212-'Dec 14'!S212</f>
        <v>-19</v>
      </c>
      <c r="J126" s="294"/>
      <c r="K126" s="294"/>
      <c r="L126" s="294"/>
      <c r="M126" s="294"/>
      <c r="N126" s="294"/>
      <c r="O126" s="294"/>
      <c r="P126" s="325"/>
      <c r="Q126" s="325"/>
      <c r="R126" s="294"/>
      <c r="S126" s="294"/>
      <c r="T126" s="294"/>
      <c r="U126" s="311">
        <f>SUM(C126:I126)</f>
        <v>-35</v>
      </c>
      <c r="V126" s="298"/>
      <c r="W126" s="6"/>
      <c r="X126" s="182"/>
    </row>
    <row r="127" spans="1:24" ht="15.6">
      <c r="A127" s="378"/>
      <c r="B127" s="379" t="s">
        <v>47</v>
      </c>
      <c r="C127" s="379">
        <v>10</v>
      </c>
      <c r="D127" s="379"/>
      <c r="E127" s="379">
        <v>0</v>
      </c>
      <c r="F127" s="379"/>
      <c r="G127" s="379">
        <v>189</v>
      </c>
      <c r="H127" s="379"/>
      <c r="I127" s="440">
        <v>0</v>
      </c>
      <c r="J127" s="379"/>
      <c r="K127" s="379"/>
      <c r="L127" s="379"/>
      <c r="M127" s="379"/>
      <c r="N127" s="379"/>
      <c r="O127" s="379"/>
      <c r="P127" s="450"/>
      <c r="Q127" s="450"/>
      <c r="R127" s="379"/>
      <c r="S127" s="379"/>
      <c r="T127" s="379"/>
      <c r="U127" s="441">
        <f>SUM(C127:I127)</f>
        <v>199</v>
      </c>
      <c r="V127" s="410"/>
      <c r="W127" s="6"/>
    </row>
    <row r="128" spans="1:24" ht="15.6">
      <c r="A128" s="242"/>
      <c r="B128" s="364" t="s">
        <v>48</v>
      </c>
      <c r="C128" s="364"/>
      <c r="D128" s="364"/>
      <c r="E128" s="364"/>
      <c r="F128" s="364"/>
      <c r="G128" s="364"/>
      <c r="H128" s="364"/>
      <c r="I128" s="364"/>
      <c r="J128" s="364"/>
      <c r="K128" s="364"/>
      <c r="L128" s="364"/>
      <c r="M128" s="364"/>
      <c r="N128" s="364"/>
      <c r="O128" s="364"/>
      <c r="P128" s="364"/>
      <c r="Q128" s="364"/>
      <c r="R128" s="364"/>
      <c r="S128" s="364"/>
      <c r="T128" s="364"/>
      <c r="U128" s="449">
        <f>SUM(U126:U127)</f>
        <v>164</v>
      </c>
      <c r="V128" s="303"/>
      <c r="W128" s="6"/>
      <c r="X128" s="182"/>
    </row>
    <row r="129" spans="1:25" ht="15.6">
      <c r="A129" s="242"/>
      <c r="B129" s="274" t="s">
        <v>49</v>
      </c>
      <c r="C129" s="252"/>
      <c r="D129" s="252"/>
      <c r="E129" s="252"/>
      <c r="F129" s="252"/>
      <c r="G129" s="252"/>
      <c r="H129" s="252"/>
      <c r="I129" s="252"/>
      <c r="J129" s="252"/>
      <c r="K129" s="252"/>
      <c r="L129" s="252"/>
      <c r="M129" s="244"/>
      <c r="N129" s="244"/>
      <c r="O129" s="244"/>
      <c r="P129" s="244"/>
      <c r="Q129" s="244"/>
      <c r="R129" s="244"/>
      <c r="S129" s="244"/>
      <c r="T129" s="244"/>
      <c r="U129" s="263"/>
      <c r="V129" s="245"/>
      <c r="W129" s="6"/>
    </row>
    <row r="130" spans="1:25" ht="15.6">
      <c r="A130" s="444"/>
      <c r="B130" s="379" t="s">
        <v>50</v>
      </c>
      <c r="C130" s="386"/>
      <c r="D130" s="386"/>
      <c r="E130" s="386"/>
      <c r="F130" s="386"/>
      <c r="G130" s="386"/>
      <c r="H130" s="386"/>
      <c r="I130" s="386"/>
      <c r="J130" s="386"/>
      <c r="K130" s="386"/>
      <c r="L130" s="386"/>
      <c r="M130" s="379"/>
      <c r="N130" s="379"/>
      <c r="O130" s="379"/>
      <c r="P130" s="379"/>
      <c r="Q130" s="379"/>
      <c r="R130" s="379"/>
      <c r="S130" s="379"/>
      <c r="T130" s="379"/>
      <c r="U130" s="441">
        <f>U75+U77</f>
        <v>98735</v>
      </c>
      <c r="V130" s="410"/>
      <c r="W130" s="6"/>
      <c r="X130" s="182"/>
    </row>
    <row r="131" spans="1:25" ht="15.6">
      <c r="A131" s="444"/>
      <c r="B131" s="379" t="s">
        <v>51</v>
      </c>
      <c r="C131" s="386"/>
      <c r="D131" s="386"/>
      <c r="E131" s="386"/>
      <c r="F131" s="386"/>
      <c r="G131" s="386"/>
      <c r="H131" s="386"/>
      <c r="I131" s="386"/>
      <c r="J131" s="386"/>
      <c r="K131" s="386"/>
      <c r="L131" s="386"/>
      <c r="M131" s="379"/>
      <c r="N131" s="379"/>
      <c r="O131" s="379"/>
      <c r="P131" s="379"/>
      <c r="Q131" s="379"/>
      <c r="R131" s="379"/>
      <c r="S131" s="379"/>
      <c r="T131" s="379"/>
      <c r="U131" s="441">
        <v>0</v>
      </c>
      <c r="V131" s="410"/>
      <c r="W131" s="6"/>
      <c r="Y131" s="182"/>
    </row>
    <row r="132" spans="1:25" ht="15.6">
      <c r="A132" s="444"/>
      <c r="B132" s="379" t="s">
        <v>52</v>
      </c>
      <c r="C132" s="386"/>
      <c r="D132" s="386"/>
      <c r="E132" s="386"/>
      <c r="F132" s="386"/>
      <c r="G132" s="386"/>
      <c r="H132" s="386"/>
      <c r="I132" s="386"/>
      <c r="J132" s="386"/>
      <c r="K132" s="386"/>
      <c r="L132" s="386"/>
      <c r="M132" s="379"/>
      <c r="N132" s="379"/>
      <c r="O132" s="379"/>
      <c r="P132" s="379"/>
      <c r="Q132" s="379"/>
      <c r="R132" s="379"/>
      <c r="S132" s="379"/>
      <c r="T132" s="379"/>
      <c r="U132" s="441">
        <f>+U130+U131</f>
        <v>98735</v>
      </c>
      <c r="V132" s="410"/>
      <c r="W132" s="6"/>
    </row>
    <row r="133" spans="1:25" ht="15.6">
      <c r="A133" s="444"/>
      <c r="B133" s="379" t="s">
        <v>53</v>
      </c>
      <c r="C133" s="386"/>
      <c r="D133" s="386"/>
      <c r="E133" s="386"/>
      <c r="F133" s="386"/>
      <c r="G133" s="386"/>
      <c r="H133" s="386"/>
      <c r="I133" s="386"/>
      <c r="J133" s="386"/>
      <c r="K133" s="386"/>
      <c r="L133" s="386"/>
      <c r="M133" s="379"/>
      <c r="N133" s="379"/>
      <c r="O133" s="379"/>
      <c r="P133" s="379"/>
      <c r="Q133" s="379"/>
      <c r="R133" s="379"/>
      <c r="S133" s="379"/>
      <c r="T133" s="379"/>
      <c r="U133" s="441">
        <f>U80</f>
        <v>98735</v>
      </c>
      <c r="V133" s="410"/>
      <c r="W133" s="6"/>
      <c r="X133" s="64"/>
    </row>
    <row r="134" spans="1:25" ht="15.6">
      <c r="A134" s="242"/>
      <c r="B134" s="438"/>
      <c r="C134" s="438"/>
      <c r="D134" s="438"/>
      <c r="E134" s="438"/>
      <c r="F134" s="438"/>
      <c r="G134" s="438"/>
      <c r="H134" s="438"/>
      <c r="I134" s="438"/>
      <c r="J134" s="438"/>
      <c r="K134" s="438"/>
      <c r="L134" s="438"/>
      <c r="M134" s="438"/>
      <c r="N134" s="438"/>
      <c r="O134" s="438"/>
      <c r="P134" s="438"/>
      <c r="Q134" s="438"/>
      <c r="R134" s="438"/>
      <c r="S134" s="438"/>
      <c r="T134" s="438"/>
      <c r="U134" s="451"/>
      <c r="V134" s="245"/>
      <c r="W134" s="6"/>
    </row>
    <row r="135" spans="1:25" ht="15.6">
      <c r="A135" s="242"/>
      <c r="B135" s="274" t="s">
        <v>54</v>
      </c>
      <c r="C135" s="247"/>
      <c r="D135" s="247"/>
      <c r="E135" s="247"/>
      <c r="F135" s="247"/>
      <c r="G135" s="247"/>
      <c r="H135" s="247"/>
      <c r="I135" s="247"/>
      <c r="J135" s="247"/>
      <c r="K135" s="247"/>
      <c r="L135" s="247"/>
      <c r="M135" s="247"/>
      <c r="N135" s="247"/>
      <c r="O135" s="247"/>
      <c r="P135" s="247"/>
      <c r="Q135" s="277" t="s">
        <v>112</v>
      </c>
      <c r="R135" s="278"/>
      <c r="S135" s="277" t="s">
        <v>114</v>
      </c>
      <c r="T135" s="247"/>
      <c r="U135" s="279" t="s">
        <v>90</v>
      </c>
      <c r="V135" s="245"/>
      <c r="W135" s="6"/>
    </row>
    <row r="136" spans="1:25" ht="15.6">
      <c r="A136" s="378"/>
      <c r="B136" s="379" t="s">
        <v>55</v>
      </c>
      <c r="C136" s="379"/>
      <c r="D136" s="379"/>
      <c r="E136" s="379"/>
      <c r="F136" s="379"/>
      <c r="G136" s="379"/>
      <c r="H136" s="379"/>
      <c r="I136" s="379"/>
      <c r="J136" s="379"/>
      <c r="K136" s="379"/>
      <c r="L136" s="379"/>
      <c r="M136" s="379"/>
      <c r="N136" s="379"/>
      <c r="O136" s="379"/>
      <c r="P136" s="379"/>
      <c r="Q136" s="441">
        <v>0</v>
      </c>
      <c r="R136" s="379"/>
      <c r="S136" s="453" t="s">
        <v>115</v>
      </c>
      <c r="T136" s="379"/>
      <c r="U136" s="441">
        <f>Q136</f>
        <v>0</v>
      </c>
      <c r="V136" s="385"/>
      <c r="W136" s="6"/>
    </row>
    <row r="137" spans="1:25" ht="15.6">
      <c r="A137" s="378"/>
      <c r="B137" s="379" t="s">
        <v>56</v>
      </c>
      <c r="C137" s="379"/>
      <c r="D137" s="379"/>
      <c r="E137" s="379"/>
      <c r="F137" s="379"/>
      <c r="G137" s="379"/>
      <c r="H137" s="379"/>
      <c r="I137" s="379"/>
      <c r="J137" s="379"/>
      <c r="K137" s="379"/>
      <c r="L137" s="379"/>
      <c r="M137" s="379"/>
      <c r="N137" s="379"/>
      <c r="O137" s="379"/>
      <c r="P137" s="379"/>
      <c r="Q137" s="441">
        <f>+'Dec 14'!Q139</f>
        <v>4229</v>
      </c>
      <c r="R137" s="379"/>
      <c r="S137" s="453" t="s">
        <v>115</v>
      </c>
      <c r="T137" s="379"/>
      <c r="U137" s="441">
        <f>Q137</f>
        <v>4229</v>
      </c>
      <c r="V137" s="385"/>
      <c r="W137" s="6"/>
    </row>
    <row r="138" spans="1:25" ht="15.6">
      <c r="A138" s="378"/>
      <c r="B138" s="379" t="s">
        <v>57</v>
      </c>
      <c r="C138" s="379"/>
      <c r="D138" s="379"/>
      <c r="E138" s="379"/>
      <c r="F138" s="379"/>
      <c r="G138" s="379"/>
      <c r="H138" s="379"/>
      <c r="I138" s="379"/>
      <c r="J138" s="379"/>
      <c r="K138" s="379"/>
      <c r="L138" s="379"/>
      <c r="M138" s="379"/>
      <c r="N138" s="379"/>
      <c r="O138" s="379"/>
      <c r="P138" s="379"/>
      <c r="Q138" s="441">
        <v>0</v>
      </c>
      <c r="R138" s="379"/>
      <c r="S138" s="453" t="s">
        <v>115</v>
      </c>
      <c r="T138" s="379"/>
      <c r="U138" s="441">
        <f>Q138</f>
        <v>0</v>
      </c>
      <c r="V138" s="385"/>
      <c r="W138" s="6"/>
    </row>
    <row r="139" spans="1:25" ht="15.6">
      <c r="A139" s="378"/>
      <c r="B139" s="379" t="s">
        <v>58</v>
      </c>
      <c r="C139" s="379"/>
      <c r="D139" s="379"/>
      <c r="E139" s="379"/>
      <c r="F139" s="379"/>
      <c r="G139" s="379"/>
      <c r="H139" s="379"/>
      <c r="I139" s="379"/>
      <c r="J139" s="379"/>
      <c r="K139" s="379"/>
      <c r="L139" s="379"/>
      <c r="M139" s="379"/>
      <c r="N139" s="379"/>
      <c r="O139" s="379"/>
      <c r="P139" s="379"/>
      <c r="Q139" s="441">
        <f>SUM(Q137:Q138)</f>
        <v>4229</v>
      </c>
      <c r="R139" s="379"/>
      <c r="S139" s="453" t="s">
        <v>115</v>
      </c>
      <c r="T139" s="379"/>
      <c r="U139" s="441">
        <f>Q139</f>
        <v>4229</v>
      </c>
      <c r="V139" s="385"/>
      <c r="W139" s="6"/>
    </row>
    <row r="140" spans="1:25" ht="15.6">
      <c r="A140" s="378"/>
      <c r="B140" s="379" t="s">
        <v>215</v>
      </c>
      <c r="C140" s="379"/>
      <c r="D140" s="379"/>
      <c r="E140" s="379"/>
      <c r="F140" s="379"/>
      <c r="G140" s="379"/>
      <c r="H140" s="379"/>
      <c r="I140" s="379"/>
      <c r="J140" s="379"/>
      <c r="K140" s="379"/>
      <c r="L140" s="379"/>
      <c r="M140" s="379"/>
      <c r="N140" s="379"/>
      <c r="O140" s="379"/>
      <c r="P140" s="379"/>
      <c r="Q140" s="441"/>
      <c r="R140" s="379"/>
      <c r="S140" s="453"/>
      <c r="T140" s="379"/>
      <c r="U140" s="441"/>
      <c r="V140" s="385"/>
      <c r="W140" s="6"/>
    </row>
    <row r="141" spans="1:25" ht="15.6">
      <c r="A141" s="378"/>
      <c r="B141" s="454"/>
      <c r="C141" s="454"/>
      <c r="D141" s="454"/>
      <c r="E141" s="454"/>
      <c r="F141" s="454"/>
      <c r="G141" s="454"/>
      <c r="H141" s="454"/>
      <c r="I141" s="454"/>
      <c r="J141" s="454"/>
      <c r="K141" s="454"/>
      <c r="L141" s="454"/>
      <c r="M141" s="454"/>
      <c r="N141" s="454"/>
      <c r="O141" s="454"/>
      <c r="P141" s="454"/>
      <c r="Q141" s="454"/>
      <c r="R141" s="454"/>
      <c r="S141" s="454"/>
      <c r="T141" s="454"/>
      <c r="U141" s="454"/>
      <c r="V141" s="385"/>
      <c r="W141" s="6"/>
    </row>
    <row r="142" spans="1:25" ht="15.6">
      <c r="A142" s="242"/>
      <c r="B142" s="452"/>
      <c r="C142" s="452"/>
      <c r="D142" s="452"/>
      <c r="E142" s="452"/>
      <c r="F142" s="452"/>
      <c r="G142" s="452"/>
      <c r="H142" s="452"/>
      <c r="I142" s="452"/>
      <c r="J142" s="452"/>
      <c r="K142" s="452"/>
      <c r="L142" s="452"/>
      <c r="M142" s="452"/>
      <c r="N142" s="452"/>
      <c r="O142" s="452"/>
      <c r="P142" s="452"/>
      <c r="Q142" s="452"/>
      <c r="R142" s="452"/>
      <c r="S142" s="452"/>
      <c r="T142" s="452"/>
      <c r="U142" s="452"/>
      <c r="V142" s="284"/>
      <c r="W142" s="6"/>
    </row>
    <row r="143" spans="1:25" ht="15.6">
      <c r="A143" s="230"/>
      <c r="B143" s="511" t="s">
        <v>59</v>
      </c>
      <c r="C143" s="518"/>
      <c r="D143" s="518"/>
      <c r="E143" s="518"/>
      <c r="F143" s="518"/>
      <c r="G143" s="518"/>
      <c r="H143" s="518"/>
      <c r="I143" s="518"/>
      <c r="J143" s="518"/>
      <c r="K143" s="518"/>
      <c r="L143" s="518"/>
      <c r="M143" s="518"/>
      <c r="N143" s="518"/>
      <c r="O143" s="518"/>
      <c r="P143" s="519"/>
      <c r="Q143" s="519"/>
      <c r="R143" s="519"/>
      <c r="S143" s="519">
        <v>42094</v>
      </c>
      <c r="T143" s="231"/>
      <c r="U143" s="231"/>
      <c r="V143" s="237"/>
      <c r="W143" s="6"/>
    </row>
    <row r="144" spans="1:25" ht="15.6">
      <c r="A144" s="281"/>
      <c r="B144" s="294" t="s">
        <v>60</v>
      </c>
      <c r="C144" s="329"/>
      <c r="D144" s="329"/>
      <c r="E144" s="329"/>
      <c r="F144" s="329"/>
      <c r="G144" s="329"/>
      <c r="H144" s="329"/>
      <c r="I144" s="329"/>
      <c r="J144" s="329"/>
      <c r="K144" s="329"/>
      <c r="L144" s="329"/>
      <c r="M144" s="329"/>
      <c r="N144" s="329"/>
      <c r="O144" s="329"/>
      <c r="P144" s="300"/>
      <c r="Q144" s="300"/>
      <c r="R144" s="300"/>
      <c r="S144" s="299">
        <v>0.10630000000000001</v>
      </c>
      <c r="T144" s="294"/>
      <c r="U144" s="294"/>
      <c r="V144" s="260"/>
      <c r="W144" s="6"/>
    </row>
    <row r="145" spans="1:23" ht="15.6">
      <c r="A145" s="458"/>
      <c r="B145" s="379" t="s">
        <v>61</v>
      </c>
      <c r="C145" s="459"/>
      <c r="D145" s="459"/>
      <c r="E145" s="459"/>
      <c r="F145" s="459"/>
      <c r="G145" s="459"/>
      <c r="H145" s="459"/>
      <c r="I145" s="459"/>
      <c r="J145" s="459"/>
      <c r="K145" s="459"/>
      <c r="L145" s="459"/>
      <c r="M145" s="459"/>
      <c r="N145" s="459"/>
      <c r="O145" s="459"/>
      <c r="P145" s="433"/>
      <c r="Q145" s="433"/>
      <c r="R145" s="433"/>
      <c r="S145" s="427">
        <v>5.2200000000000003E-2</v>
      </c>
      <c r="T145" s="427"/>
      <c r="U145" s="379"/>
      <c r="V145" s="385"/>
      <c r="W145" s="6"/>
    </row>
    <row r="146" spans="1:23" ht="15.6">
      <c r="A146" s="458"/>
      <c r="B146" s="379" t="s">
        <v>62</v>
      </c>
      <c r="C146" s="459"/>
      <c r="D146" s="459"/>
      <c r="E146" s="459"/>
      <c r="F146" s="459"/>
      <c r="G146" s="459"/>
      <c r="H146" s="459"/>
      <c r="I146" s="459"/>
      <c r="J146" s="459"/>
      <c r="K146" s="459"/>
      <c r="L146" s="459"/>
      <c r="M146" s="459"/>
      <c r="N146" s="459"/>
      <c r="O146" s="459"/>
      <c r="P146" s="433"/>
      <c r="Q146" s="433"/>
      <c r="R146" s="433"/>
      <c r="S146" s="427">
        <f>S144-S145</f>
        <v>5.4100000000000002E-2</v>
      </c>
      <c r="T146" s="379"/>
      <c r="U146" s="379"/>
      <c r="V146" s="385"/>
      <c r="W146" s="6"/>
    </row>
    <row r="147" spans="1:23" ht="15.6">
      <c r="A147" s="458"/>
      <c r="B147" s="379" t="s">
        <v>63</v>
      </c>
      <c r="C147" s="459"/>
      <c r="D147" s="459"/>
      <c r="E147" s="459"/>
      <c r="F147" s="459"/>
      <c r="G147" s="459"/>
      <c r="H147" s="459"/>
      <c r="I147" s="459"/>
      <c r="J147" s="459"/>
      <c r="K147" s="459"/>
      <c r="L147" s="459"/>
      <c r="M147" s="459"/>
      <c r="N147" s="459"/>
      <c r="O147" s="459"/>
      <c r="P147" s="433"/>
      <c r="Q147" s="433"/>
      <c r="R147" s="433"/>
      <c r="S147" s="554">
        <v>9.0880000000000002E-2</v>
      </c>
      <c r="T147" s="379"/>
      <c r="U147" s="379"/>
      <c r="V147" s="385"/>
      <c r="W147" s="6"/>
    </row>
    <row r="148" spans="1:23" ht="15.6">
      <c r="A148" s="458"/>
      <c r="B148" s="379" t="s">
        <v>64</v>
      </c>
      <c r="C148" s="459"/>
      <c r="D148" s="459"/>
      <c r="E148" s="459"/>
      <c r="F148" s="459"/>
      <c r="G148" s="459"/>
      <c r="H148" s="459"/>
      <c r="I148" s="459"/>
      <c r="J148" s="459"/>
      <c r="K148" s="459"/>
      <c r="L148" s="459"/>
      <c r="M148" s="459"/>
      <c r="N148" s="459"/>
      <c r="O148" s="459"/>
      <c r="P148" s="433"/>
      <c r="Q148" s="433"/>
      <c r="R148" s="433"/>
      <c r="S148" s="427">
        <f>+U40</f>
        <v>1.5033393725784666E-2</v>
      </c>
      <c r="T148" s="379"/>
      <c r="U148" s="379"/>
      <c r="V148" s="385"/>
      <c r="W148" s="6"/>
    </row>
    <row r="149" spans="1:23" ht="15.6">
      <c r="A149" s="458"/>
      <c r="B149" s="379" t="s">
        <v>65</v>
      </c>
      <c r="C149" s="459"/>
      <c r="D149" s="459"/>
      <c r="E149" s="459"/>
      <c r="F149" s="459"/>
      <c r="G149" s="459"/>
      <c r="H149" s="459"/>
      <c r="I149" s="459"/>
      <c r="J149" s="459"/>
      <c r="K149" s="459"/>
      <c r="L149" s="459"/>
      <c r="M149" s="459"/>
      <c r="N149" s="459"/>
      <c r="O149" s="459"/>
      <c r="P149" s="433"/>
      <c r="Q149" s="433"/>
      <c r="R149" s="433"/>
      <c r="S149" s="427">
        <f>S147-S148</f>
        <v>7.5846606274215342E-2</v>
      </c>
      <c r="T149" s="379"/>
      <c r="U149" s="379"/>
      <c r="V149" s="385"/>
      <c r="W149" s="6"/>
    </row>
    <row r="150" spans="1:23" ht="15.6">
      <c r="A150" s="458"/>
      <c r="B150" s="379" t="s">
        <v>204</v>
      </c>
      <c r="C150" s="459"/>
      <c r="D150" s="459"/>
      <c r="E150" s="459"/>
      <c r="F150" s="459"/>
      <c r="G150" s="459"/>
      <c r="H150" s="459"/>
      <c r="I150" s="459"/>
      <c r="J150" s="459"/>
      <c r="K150" s="459"/>
      <c r="L150" s="459"/>
      <c r="M150" s="459"/>
      <c r="N150" s="459"/>
      <c r="O150" s="459"/>
      <c r="P150" s="433"/>
      <c r="Q150" s="433"/>
      <c r="R150" s="433"/>
      <c r="S150" s="429">
        <v>49780</v>
      </c>
      <c r="T150" s="379"/>
      <c r="U150" s="379"/>
      <c r="V150" s="385"/>
      <c r="W150" s="6"/>
    </row>
    <row r="151" spans="1:23" ht="15.6">
      <c r="A151" s="458"/>
      <c r="B151" s="379" t="s">
        <v>205</v>
      </c>
      <c r="C151" s="459"/>
      <c r="D151" s="459"/>
      <c r="E151" s="459"/>
      <c r="F151" s="459"/>
      <c r="G151" s="459"/>
      <c r="H151" s="459"/>
      <c r="I151" s="459"/>
      <c r="J151" s="459"/>
      <c r="K151" s="459"/>
      <c r="L151" s="459"/>
      <c r="M151" s="459"/>
      <c r="N151" s="459"/>
      <c r="O151" s="459"/>
      <c r="P151" s="433"/>
      <c r="Q151" s="433"/>
      <c r="R151" s="433"/>
      <c r="S151" s="429">
        <v>49780</v>
      </c>
      <c r="T151" s="379"/>
      <c r="U151" s="379"/>
      <c r="V151" s="385"/>
      <c r="W151" s="6"/>
    </row>
    <row r="152" spans="1:23" ht="15.6">
      <c r="A152" s="458"/>
      <c r="B152" s="379" t="s">
        <v>206</v>
      </c>
      <c r="C152" s="459"/>
      <c r="D152" s="459"/>
      <c r="E152" s="459"/>
      <c r="F152" s="459"/>
      <c r="G152" s="459"/>
      <c r="H152" s="459"/>
      <c r="I152" s="459"/>
      <c r="J152" s="459"/>
      <c r="K152" s="459"/>
      <c r="L152" s="459"/>
      <c r="M152" s="459"/>
      <c r="N152" s="459"/>
      <c r="O152" s="459"/>
      <c r="P152" s="433"/>
      <c r="Q152" s="433"/>
      <c r="R152" s="433"/>
      <c r="S152" s="429">
        <v>49780</v>
      </c>
      <c r="T152" s="379"/>
      <c r="U152" s="379"/>
      <c r="V152" s="385"/>
      <c r="W152" s="6"/>
    </row>
    <row r="153" spans="1:23" ht="15.6">
      <c r="A153" s="458"/>
      <c r="B153" s="379" t="s">
        <v>207</v>
      </c>
      <c r="C153" s="459"/>
      <c r="D153" s="459"/>
      <c r="E153" s="459"/>
      <c r="F153" s="459"/>
      <c r="G153" s="459"/>
      <c r="H153" s="459"/>
      <c r="I153" s="459"/>
      <c r="J153" s="459"/>
      <c r="K153" s="459"/>
      <c r="L153" s="459"/>
      <c r="M153" s="459"/>
      <c r="N153" s="459"/>
      <c r="O153" s="459"/>
      <c r="P153" s="433"/>
      <c r="Q153" s="433"/>
      <c r="R153" s="433"/>
      <c r="S153" s="429">
        <v>49780</v>
      </c>
      <c r="T153" s="379"/>
      <c r="U153" s="379"/>
      <c r="V153" s="385"/>
      <c r="W153" s="6"/>
    </row>
    <row r="154" spans="1:23" ht="15.6">
      <c r="A154" s="458"/>
      <c r="B154" s="379" t="s">
        <v>221</v>
      </c>
      <c r="C154" s="459"/>
      <c r="D154" s="459"/>
      <c r="E154" s="459"/>
      <c r="F154" s="459"/>
      <c r="G154" s="459"/>
      <c r="H154" s="459"/>
      <c r="I154" s="459"/>
      <c r="J154" s="459"/>
      <c r="K154" s="459"/>
      <c r="L154" s="459"/>
      <c r="M154" s="459"/>
      <c r="N154" s="459"/>
      <c r="O154" s="459"/>
      <c r="P154" s="433"/>
      <c r="Q154" s="433"/>
      <c r="R154" s="433"/>
      <c r="S154" s="432">
        <v>111.34</v>
      </c>
      <c r="T154" s="379"/>
      <c r="U154" s="379"/>
      <c r="V154" s="385"/>
      <c r="W154" s="6"/>
    </row>
    <row r="155" spans="1:23" ht="15.6">
      <c r="A155" s="458"/>
      <c r="B155" s="379" t="s">
        <v>222</v>
      </c>
      <c r="C155" s="459"/>
      <c r="D155" s="459"/>
      <c r="E155" s="459"/>
      <c r="F155" s="459"/>
      <c r="G155" s="459"/>
      <c r="H155" s="459"/>
      <c r="I155" s="459"/>
      <c r="J155" s="459"/>
      <c r="K155" s="459"/>
      <c r="L155" s="459"/>
      <c r="M155" s="459"/>
      <c r="N155" s="459"/>
      <c r="O155" s="459"/>
      <c r="P155" s="433"/>
      <c r="Q155" s="433"/>
      <c r="R155" s="433"/>
      <c r="S155" s="555">
        <v>140.11000000000001</v>
      </c>
      <c r="T155" s="379"/>
      <c r="U155" s="379"/>
      <c r="V155" s="385"/>
      <c r="W155" s="6"/>
    </row>
    <row r="156" spans="1:23" ht="15.6">
      <c r="A156" s="458" t="s">
        <v>223</v>
      </c>
      <c r="B156" s="379" t="s">
        <v>66</v>
      </c>
      <c r="C156" s="459"/>
      <c r="D156" s="459"/>
      <c r="E156" s="459"/>
      <c r="F156" s="459"/>
      <c r="G156" s="459"/>
      <c r="H156" s="459"/>
      <c r="I156" s="459"/>
      <c r="J156" s="459"/>
      <c r="K156" s="459"/>
      <c r="L156" s="459"/>
      <c r="M156" s="459"/>
      <c r="N156" s="459"/>
      <c r="O156" s="459"/>
      <c r="P156" s="433"/>
      <c r="Q156" s="433"/>
      <c r="R156" s="433"/>
      <c r="S156" s="427">
        <v>4.48E-2</v>
      </c>
      <c r="T156" s="379"/>
      <c r="U156" s="379"/>
      <c r="V156" s="385"/>
      <c r="W156" s="6"/>
    </row>
    <row r="157" spans="1:23" ht="15.6">
      <c r="A157" s="458"/>
      <c r="B157" s="379" t="s">
        <v>67</v>
      </c>
      <c r="C157" s="459"/>
      <c r="D157" s="459"/>
      <c r="E157" s="459"/>
      <c r="F157" s="459"/>
      <c r="G157" s="459"/>
      <c r="H157" s="459"/>
      <c r="I157" s="459"/>
      <c r="J157" s="459"/>
      <c r="K157" s="459"/>
      <c r="L157" s="459"/>
      <c r="M157" s="459"/>
      <c r="N157" s="459"/>
      <c r="O157" s="459"/>
      <c r="P157" s="433"/>
      <c r="Q157" s="433"/>
      <c r="R157" s="433"/>
      <c r="S157" s="427">
        <v>0.26190000000000002</v>
      </c>
      <c r="T157" s="379"/>
      <c r="U157" s="379"/>
      <c r="V157" s="385"/>
      <c r="W157" s="6"/>
    </row>
    <row r="158" spans="1:23" ht="15.6">
      <c r="A158" s="280"/>
      <c r="B158" s="364"/>
      <c r="C158" s="364"/>
      <c r="D158" s="364"/>
      <c r="E158" s="364"/>
      <c r="F158" s="364"/>
      <c r="G158" s="364"/>
      <c r="H158" s="364"/>
      <c r="I158" s="364"/>
      <c r="J158" s="364"/>
      <c r="K158" s="364"/>
      <c r="L158" s="364"/>
      <c r="M158" s="364"/>
      <c r="N158" s="364"/>
      <c r="O158" s="364"/>
      <c r="P158" s="364"/>
      <c r="Q158" s="364"/>
      <c r="R158" s="455"/>
      <c r="S158" s="456"/>
      <c r="T158" s="364"/>
      <c r="U158" s="457"/>
      <c r="V158" s="245"/>
      <c r="W158" s="6"/>
    </row>
    <row r="159" spans="1:23" ht="15.6">
      <c r="A159" s="280"/>
      <c r="B159" s="288"/>
      <c r="C159" s="288"/>
      <c r="D159" s="288"/>
      <c r="E159" s="288"/>
      <c r="F159" s="288"/>
      <c r="G159" s="288"/>
      <c r="H159" s="288"/>
      <c r="I159" s="288"/>
      <c r="J159" s="288"/>
      <c r="K159" s="288"/>
      <c r="L159" s="288"/>
      <c r="M159" s="288"/>
      <c r="N159" s="288"/>
      <c r="O159" s="288"/>
      <c r="P159" s="288"/>
      <c r="Q159" s="288"/>
      <c r="R159" s="331"/>
      <c r="S159" s="332"/>
      <c r="T159" s="288"/>
      <c r="U159" s="333"/>
      <c r="V159" s="245"/>
      <c r="W159" s="6"/>
    </row>
    <row r="160" spans="1:23" ht="16.2" thickBot="1">
      <c r="A160" s="282"/>
      <c r="B160" s="304" t="str">
        <f>+B109</f>
        <v>PPAF3 INVESTOR REPORT QUARTER ENDING MARCH 2015</v>
      </c>
      <c r="C160" s="305"/>
      <c r="D160" s="305"/>
      <c r="E160" s="305"/>
      <c r="F160" s="305"/>
      <c r="G160" s="305"/>
      <c r="H160" s="305"/>
      <c r="I160" s="305"/>
      <c r="J160" s="305"/>
      <c r="K160" s="305"/>
      <c r="L160" s="305"/>
      <c r="M160" s="305"/>
      <c r="N160" s="305"/>
      <c r="O160" s="305"/>
      <c r="P160" s="305"/>
      <c r="Q160" s="305"/>
      <c r="R160" s="334"/>
      <c r="S160" s="335"/>
      <c r="T160" s="305"/>
      <c r="U160" s="336"/>
      <c r="V160" s="262"/>
      <c r="W160" s="6"/>
    </row>
    <row r="161" spans="1:23" ht="15.6">
      <c r="A161" s="337"/>
      <c r="B161" s="520" t="s">
        <v>68</v>
      </c>
      <c r="C161" s="521"/>
      <c r="D161" s="521"/>
      <c r="E161" s="521"/>
      <c r="F161" s="521"/>
      <c r="G161" s="521"/>
      <c r="H161" s="521"/>
      <c r="I161" s="521"/>
      <c r="J161" s="521"/>
      <c r="K161" s="521"/>
      <c r="L161" s="521"/>
      <c r="M161" s="522"/>
      <c r="N161" s="521"/>
      <c r="O161" s="522"/>
      <c r="P161" s="521"/>
      <c r="Q161" s="522"/>
      <c r="R161" s="521" t="s">
        <v>94</v>
      </c>
      <c r="S161" s="522" t="s">
        <v>116</v>
      </c>
      <c r="T161" s="340"/>
      <c r="U161" s="340"/>
      <c r="V161" s="341"/>
      <c r="W161" s="6"/>
    </row>
    <row r="162" spans="1:23" ht="15.6">
      <c r="A162" s="283"/>
      <c r="B162" s="294" t="s">
        <v>216</v>
      </c>
      <c r="C162" s="310"/>
      <c r="D162" s="310"/>
      <c r="E162" s="310"/>
      <c r="F162" s="310"/>
      <c r="G162" s="310"/>
      <c r="H162" s="310"/>
      <c r="I162" s="310"/>
      <c r="J162" s="310"/>
      <c r="K162" s="310"/>
      <c r="L162" s="310"/>
      <c r="M162" s="310"/>
      <c r="N162" s="310"/>
      <c r="O162" s="294"/>
      <c r="P162" s="294"/>
      <c r="Q162" s="294"/>
      <c r="R162" s="310">
        <v>521</v>
      </c>
      <c r="S162" s="311">
        <v>11926</v>
      </c>
      <c r="T162" s="311"/>
      <c r="U162" s="330"/>
      <c r="V162" s="342"/>
      <c r="W162" s="6"/>
    </row>
    <row r="163" spans="1:23" ht="15.6">
      <c r="A163" s="465"/>
      <c r="B163" s="379" t="s">
        <v>217</v>
      </c>
      <c r="C163" s="440"/>
      <c r="D163" s="440"/>
      <c r="E163" s="440"/>
      <c r="F163" s="440"/>
      <c r="G163" s="440"/>
      <c r="H163" s="440"/>
      <c r="I163" s="440"/>
      <c r="J163" s="440"/>
      <c r="K163" s="440"/>
      <c r="L163" s="440"/>
      <c r="M163" s="440"/>
      <c r="N163" s="440"/>
      <c r="O163" s="379"/>
      <c r="P163" s="379"/>
      <c r="Q163" s="379"/>
      <c r="R163" s="545">
        <v>5</v>
      </c>
      <c r="S163" s="546">
        <v>30</v>
      </c>
      <c r="T163" s="441"/>
      <c r="U163" s="466"/>
      <c r="V163" s="467"/>
      <c r="W163" s="6"/>
    </row>
    <row r="164" spans="1:23" ht="15.6">
      <c r="A164" s="465"/>
      <c r="B164" s="379" t="s">
        <v>218</v>
      </c>
      <c r="C164" s="440"/>
      <c r="D164" s="440"/>
      <c r="E164" s="440"/>
      <c r="F164" s="440"/>
      <c r="G164" s="440"/>
      <c r="H164" s="440"/>
      <c r="I164" s="440"/>
      <c r="J164" s="440"/>
      <c r="K164" s="440"/>
      <c r="L164" s="440"/>
      <c r="M164" s="440"/>
      <c r="N164" s="440"/>
      <c r="O164" s="379"/>
      <c r="P164" s="379"/>
      <c r="Q164" s="379"/>
      <c r="R164" s="545">
        <v>107</v>
      </c>
      <c r="S164" s="546">
        <v>96</v>
      </c>
      <c r="T164" s="441"/>
      <c r="U164" s="466"/>
      <c r="V164" s="467"/>
      <c r="W164" s="6"/>
    </row>
    <row r="165" spans="1:23" ht="15.6">
      <c r="A165" s="465"/>
      <c r="B165" s="379" t="s">
        <v>219</v>
      </c>
      <c r="C165" s="440"/>
      <c r="D165" s="440"/>
      <c r="E165" s="440"/>
      <c r="F165" s="440"/>
      <c r="G165" s="440"/>
      <c r="H165" s="440"/>
      <c r="I165" s="440"/>
      <c r="J165" s="440"/>
      <c r="K165" s="440"/>
      <c r="L165" s="440"/>
      <c r="M165" s="440"/>
      <c r="N165" s="440"/>
      <c r="O165" s="379"/>
      <c r="P165" s="379"/>
      <c r="Q165" s="379"/>
      <c r="R165" s="545">
        <v>78</v>
      </c>
      <c r="S165" s="546">
        <v>129</v>
      </c>
      <c r="T165" s="441"/>
      <c r="U165" s="466"/>
      <c r="V165" s="467"/>
      <c r="W165" s="6"/>
    </row>
    <row r="166" spans="1:23" ht="15.6">
      <c r="A166" s="465"/>
      <c r="B166" s="379" t="s">
        <v>90</v>
      </c>
      <c r="C166" s="440"/>
      <c r="D166" s="440"/>
      <c r="E166" s="440"/>
      <c r="F166" s="440"/>
      <c r="G166" s="440"/>
      <c r="H166" s="440"/>
      <c r="I166" s="440"/>
      <c r="J166" s="440"/>
      <c r="K166" s="440"/>
      <c r="L166" s="440"/>
      <c r="M166" s="440"/>
      <c r="N166" s="440"/>
      <c r="O166" s="379"/>
      <c r="P166" s="379"/>
      <c r="Q166" s="379"/>
      <c r="R166" s="547">
        <f>SUM(R162:R165)</f>
        <v>711</v>
      </c>
      <c r="S166" s="546">
        <f>SUM(S162:S165)</f>
        <v>12181</v>
      </c>
      <c r="T166" s="441"/>
      <c r="U166" s="466"/>
      <c r="V166" s="467"/>
      <c r="W166" s="6"/>
    </row>
    <row r="167" spans="1:23" ht="15.6">
      <c r="A167" s="465"/>
      <c r="B167" s="379"/>
      <c r="C167" s="440"/>
      <c r="D167" s="440"/>
      <c r="E167" s="440"/>
      <c r="F167" s="440"/>
      <c r="G167" s="440"/>
      <c r="H167" s="440"/>
      <c r="I167" s="440"/>
      <c r="J167" s="440"/>
      <c r="K167" s="440"/>
      <c r="L167" s="440"/>
      <c r="M167" s="440"/>
      <c r="N167" s="440"/>
      <c r="O167" s="379"/>
      <c r="P167" s="379"/>
      <c r="Q167" s="379"/>
      <c r="R167" s="545"/>
      <c r="S167" s="546"/>
      <c r="T167" s="441"/>
      <c r="U167" s="466"/>
      <c r="V167" s="467"/>
      <c r="W167" s="6"/>
    </row>
    <row r="168" spans="1:23" ht="15.6">
      <c r="A168" s="465"/>
      <c r="B168" s="379" t="s">
        <v>220</v>
      </c>
      <c r="C168" s="440"/>
      <c r="D168" s="440"/>
      <c r="E168" s="440"/>
      <c r="F168" s="440"/>
      <c r="G168" s="440"/>
      <c r="H168" s="440"/>
      <c r="I168" s="440"/>
      <c r="J168" s="440"/>
      <c r="K168" s="440"/>
      <c r="L168" s="440"/>
      <c r="M168" s="440"/>
      <c r="N168" s="440"/>
      <c r="O168" s="379"/>
      <c r="P168" s="379"/>
      <c r="Q168" s="379"/>
      <c r="R168" s="545">
        <v>0</v>
      </c>
      <c r="S168" s="546">
        <v>0</v>
      </c>
      <c r="T168" s="441"/>
      <c r="U168" s="466"/>
      <c r="V168" s="467"/>
      <c r="W168" s="6"/>
    </row>
    <row r="169" spans="1:23" ht="15.6">
      <c r="A169" s="465"/>
      <c r="B169" s="379" t="s">
        <v>224</v>
      </c>
      <c r="C169" s="440"/>
      <c r="D169" s="440"/>
      <c r="E169" s="440"/>
      <c r="F169" s="440"/>
      <c r="G169" s="440"/>
      <c r="H169" s="440"/>
      <c r="I169" s="440"/>
      <c r="J169" s="440"/>
      <c r="K169" s="440"/>
      <c r="L169" s="440"/>
      <c r="M169" s="440"/>
      <c r="N169" s="440"/>
      <c r="O169" s="379"/>
      <c r="P169" s="379"/>
      <c r="Q169" s="379"/>
      <c r="R169" s="545">
        <v>7</v>
      </c>
      <c r="S169" s="546">
        <v>228</v>
      </c>
      <c r="T169" s="441"/>
      <c r="U169" s="466"/>
      <c r="V169" s="467"/>
      <c r="W169" s="6"/>
    </row>
    <row r="170" spans="1:23" ht="15.6">
      <c r="A170" s="465"/>
      <c r="B170" s="468" t="s">
        <v>69</v>
      </c>
      <c r="C170" s="469"/>
      <c r="D170" s="469"/>
      <c r="E170" s="469"/>
      <c r="F170" s="469"/>
      <c r="G170" s="469"/>
      <c r="H170" s="469"/>
      <c r="I170" s="469"/>
      <c r="J170" s="469"/>
      <c r="K170" s="469"/>
      <c r="L170" s="469"/>
      <c r="M170" s="469"/>
      <c r="N170" s="469"/>
      <c r="O170" s="454"/>
      <c r="P170" s="454"/>
      <c r="Q170" s="454"/>
      <c r="R170" s="539"/>
      <c r="S170" s="540">
        <v>0</v>
      </c>
      <c r="T170" s="454"/>
      <c r="U170" s="470"/>
      <c r="V170" s="471"/>
      <c r="W170" s="6"/>
    </row>
    <row r="171" spans="1:23" ht="15.6">
      <c r="A171" s="465"/>
      <c r="B171" s="468" t="s">
        <v>70</v>
      </c>
      <c r="C171" s="469"/>
      <c r="D171" s="469"/>
      <c r="E171" s="469"/>
      <c r="F171" s="469"/>
      <c r="G171" s="469"/>
      <c r="H171" s="469"/>
      <c r="I171" s="469"/>
      <c r="J171" s="469"/>
      <c r="K171" s="469"/>
      <c r="L171" s="469"/>
      <c r="M171" s="469"/>
      <c r="N171" s="469"/>
      <c r="O171" s="454"/>
      <c r="P171" s="454"/>
      <c r="Q171" s="454"/>
      <c r="R171" s="539"/>
      <c r="S171" s="540">
        <f>Q75</f>
        <v>0</v>
      </c>
      <c r="T171" s="454"/>
      <c r="U171" s="470"/>
      <c r="V171" s="471"/>
      <c r="W171" s="6"/>
    </row>
    <row r="172" spans="1:23" ht="15.6">
      <c r="A172" s="472"/>
      <c r="B172" s="468" t="s">
        <v>71</v>
      </c>
      <c r="C172" s="469"/>
      <c r="D172" s="469"/>
      <c r="E172" s="469"/>
      <c r="F172" s="469"/>
      <c r="G172" s="469"/>
      <c r="H172" s="469"/>
      <c r="I172" s="469"/>
      <c r="J172" s="469"/>
      <c r="K172" s="469"/>
      <c r="L172" s="469"/>
      <c r="M172" s="473"/>
      <c r="N172" s="473"/>
      <c r="O172" s="473"/>
      <c r="P172" s="454"/>
      <c r="Q172" s="454"/>
      <c r="R172" s="379"/>
      <c r="S172" s="500"/>
      <c r="T172" s="454"/>
      <c r="U172" s="470"/>
      <c r="V172" s="474"/>
      <c r="W172" s="6"/>
    </row>
    <row r="173" spans="1:23" ht="15.6">
      <c r="A173" s="465"/>
      <c r="B173" s="379" t="s">
        <v>72</v>
      </c>
      <c r="C173" s="469"/>
      <c r="D173" s="469"/>
      <c r="E173" s="469"/>
      <c r="F173" s="469"/>
      <c r="G173" s="469"/>
      <c r="H173" s="469"/>
      <c r="I173" s="469"/>
      <c r="J173" s="469"/>
      <c r="K173" s="469"/>
      <c r="L173" s="469"/>
      <c r="M173" s="469"/>
      <c r="N173" s="469"/>
      <c r="O173" s="469"/>
      <c r="P173" s="454"/>
      <c r="Q173" s="454"/>
      <c r="R173" s="379"/>
      <c r="S173" s="546">
        <f>U128</f>
        <v>164</v>
      </c>
      <c r="T173" s="454"/>
      <c r="U173" s="470"/>
      <c r="V173" s="474"/>
      <c r="W173" s="6"/>
    </row>
    <row r="174" spans="1:23" ht="15.6">
      <c r="A174" s="465"/>
      <c r="B174" s="379" t="s">
        <v>73</v>
      </c>
      <c r="C174" s="469"/>
      <c r="D174" s="469"/>
      <c r="E174" s="469"/>
      <c r="F174" s="469"/>
      <c r="G174" s="469"/>
      <c r="H174" s="469"/>
      <c r="I174" s="469"/>
      <c r="J174" s="469"/>
      <c r="K174" s="469"/>
      <c r="L174" s="469"/>
      <c r="M174" s="469"/>
      <c r="N174" s="469"/>
      <c r="O174" s="469"/>
      <c r="P174" s="454"/>
      <c r="Q174" s="454"/>
      <c r="R174" s="379"/>
      <c r="S174" s="546">
        <f>'Dec 14'!S174+S173</f>
        <v>89273</v>
      </c>
      <c r="T174" s="454"/>
      <c r="U174" s="470"/>
      <c r="V174" s="474"/>
      <c r="W174" s="6"/>
    </row>
    <row r="175" spans="1:23" ht="15.6">
      <c r="A175" s="465"/>
      <c r="B175" s="379" t="s">
        <v>74</v>
      </c>
      <c r="C175" s="469"/>
      <c r="D175" s="469"/>
      <c r="E175" s="469"/>
      <c r="F175" s="469"/>
      <c r="G175" s="469"/>
      <c r="H175" s="469"/>
      <c r="I175" s="469"/>
      <c r="J175" s="469"/>
      <c r="K175" s="469"/>
      <c r="L175" s="469"/>
      <c r="M175" s="469"/>
      <c r="N175" s="469"/>
      <c r="O175" s="469"/>
      <c r="P175" s="454"/>
      <c r="Q175" s="454"/>
      <c r="R175" s="379"/>
      <c r="S175" s="546">
        <f>'Dec 14'!S175+723</f>
        <v>26014</v>
      </c>
      <c r="T175" s="454"/>
      <c r="U175" s="470"/>
      <c r="V175" s="474"/>
      <c r="W175" s="6"/>
    </row>
    <row r="176" spans="1:23" ht="15.6">
      <c r="A176" s="465"/>
      <c r="B176" s="473"/>
      <c r="C176" s="469"/>
      <c r="D176" s="469"/>
      <c r="E176" s="469"/>
      <c r="F176" s="469"/>
      <c r="G176" s="469"/>
      <c r="H176" s="469"/>
      <c r="I176" s="469"/>
      <c r="J176" s="469"/>
      <c r="K176" s="469"/>
      <c r="L176" s="469"/>
      <c r="M176" s="469"/>
      <c r="N176" s="469"/>
      <c r="O176" s="469"/>
      <c r="P176" s="454"/>
      <c r="Q176" s="454"/>
      <c r="R176" s="379"/>
      <c r="S176" s="546"/>
      <c r="T176" s="454"/>
      <c r="U176" s="470"/>
      <c r="V176" s="474"/>
      <c r="W176" s="6"/>
    </row>
    <row r="177" spans="1:23" ht="15.6">
      <c r="A177" s="472"/>
      <c r="B177" s="468" t="s">
        <v>259</v>
      </c>
      <c r="C177" s="469"/>
      <c r="D177" s="469"/>
      <c r="E177" s="469"/>
      <c r="F177" s="469"/>
      <c r="G177" s="469"/>
      <c r="H177" s="469"/>
      <c r="I177" s="469"/>
      <c r="J177" s="469"/>
      <c r="K177" s="469"/>
      <c r="L177" s="469"/>
      <c r="M177" s="473"/>
      <c r="N177" s="473"/>
      <c r="O177" s="473"/>
      <c r="P177" s="454"/>
      <c r="Q177" s="454"/>
      <c r="R177" s="379"/>
      <c r="S177" s="548"/>
      <c r="T177" s="454"/>
      <c r="U177" s="470"/>
      <c r="V177" s="474"/>
      <c r="W177" s="6"/>
    </row>
    <row r="178" spans="1:23" ht="15.6">
      <c r="A178" s="472"/>
      <c r="B178" s="379" t="s">
        <v>254</v>
      </c>
      <c r="C178" s="469"/>
      <c r="D178" s="469"/>
      <c r="E178" s="469"/>
      <c r="F178" s="469"/>
      <c r="G178" s="469"/>
      <c r="H178" s="469"/>
      <c r="I178" s="469"/>
      <c r="J178" s="469"/>
      <c r="K178" s="469"/>
      <c r="L178" s="469"/>
      <c r="M178" s="473"/>
      <c r="N178" s="473"/>
      <c r="O178" s="473"/>
      <c r="P178" s="454"/>
      <c r="Q178" s="454"/>
      <c r="R178" s="379"/>
      <c r="S178" s="548">
        <v>5</v>
      </c>
      <c r="T178" s="454"/>
      <c r="U178" s="470"/>
      <c r="V178" s="474"/>
      <c r="W178" s="6"/>
    </row>
    <row r="179" spans="1:23" ht="15.6">
      <c r="A179" s="465"/>
      <c r="B179" s="379" t="s">
        <v>75</v>
      </c>
      <c r="C179" s="469"/>
      <c r="D179" s="469"/>
      <c r="E179" s="469"/>
      <c r="F179" s="469"/>
      <c r="G179" s="469"/>
      <c r="H179" s="469"/>
      <c r="I179" s="469"/>
      <c r="J179" s="469"/>
      <c r="K179" s="469"/>
      <c r="L179" s="469"/>
      <c r="M179" s="475"/>
      <c r="N179" s="475"/>
      <c r="O179" s="476"/>
      <c r="P179" s="454"/>
      <c r="Q179" s="454"/>
      <c r="R179" s="379"/>
      <c r="S179" s="549">
        <v>14.94</v>
      </c>
      <c r="T179" s="454"/>
      <c r="U179" s="470"/>
      <c r="V179" s="474"/>
      <c r="W179" s="6"/>
    </row>
    <row r="180" spans="1:23" ht="15.6">
      <c r="A180" s="465"/>
      <c r="B180" s="379" t="s">
        <v>76</v>
      </c>
      <c r="C180" s="469"/>
      <c r="D180" s="469"/>
      <c r="E180" s="469"/>
      <c r="F180" s="469"/>
      <c r="G180" s="469"/>
      <c r="H180" s="469"/>
      <c r="I180" s="469"/>
      <c r="J180" s="469"/>
      <c r="K180" s="469"/>
      <c r="L180" s="469"/>
      <c r="M180" s="475"/>
      <c r="N180" s="475"/>
      <c r="O180" s="476"/>
      <c r="P180" s="454"/>
      <c r="Q180" s="454"/>
      <c r="R180" s="379"/>
      <c r="S180" s="548">
        <v>1541</v>
      </c>
      <c r="T180" s="454"/>
      <c r="U180" s="470"/>
      <c r="V180" s="474"/>
      <c r="W180" s="6"/>
    </row>
    <row r="181" spans="1:23" ht="15.6">
      <c r="A181" s="465"/>
      <c r="B181" s="473"/>
      <c r="C181" s="469"/>
      <c r="D181" s="469"/>
      <c r="E181" s="469"/>
      <c r="F181" s="469"/>
      <c r="G181" s="469"/>
      <c r="H181" s="469"/>
      <c r="I181" s="469"/>
      <c r="J181" s="469"/>
      <c r="K181" s="469"/>
      <c r="L181" s="469"/>
      <c r="M181" s="477"/>
      <c r="N181" s="475"/>
      <c r="O181" s="476"/>
      <c r="P181" s="454"/>
      <c r="Q181" s="454"/>
      <c r="R181" s="379"/>
      <c r="S181" s="537"/>
      <c r="T181" s="454"/>
      <c r="U181" s="470"/>
      <c r="V181" s="474"/>
      <c r="W181" s="6"/>
    </row>
    <row r="182" spans="1:23" ht="15.6">
      <c r="A182" s="465"/>
      <c r="B182" s="468" t="s">
        <v>77</v>
      </c>
      <c r="C182" s="469"/>
      <c r="D182" s="469"/>
      <c r="E182" s="469"/>
      <c r="F182" s="469"/>
      <c r="G182" s="469"/>
      <c r="H182" s="469"/>
      <c r="I182" s="469"/>
      <c r="J182" s="469"/>
      <c r="K182" s="469"/>
      <c r="L182" s="469"/>
      <c r="M182" s="469"/>
      <c r="N182" s="477"/>
      <c r="O182" s="475"/>
      <c r="P182" s="476"/>
      <c r="Q182" s="454"/>
      <c r="R182" s="380"/>
      <c r="S182" s="538"/>
      <c r="T182" s="478"/>
      <c r="U182" s="390"/>
      <c r="V182" s="479"/>
      <c r="W182" s="6"/>
    </row>
    <row r="183" spans="1:23" ht="15.6">
      <c r="A183" s="465"/>
      <c r="B183" s="379" t="s">
        <v>78</v>
      </c>
      <c r="C183" s="469"/>
      <c r="D183" s="469"/>
      <c r="E183" s="469"/>
      <c r="F183" s="469"/>
      <c r="G183" s="469"/>
      <c r="H183" s="469"/>
      <c r="I183" s="469"/>
      <c r="J183" s="469"/>
      <c r="K183" s="469"/>
      <c r="L183" s="469"/>
      <c r="M183" s="469"/>
      <c r="N183" s="477"/>
      <c r="O183" s="475"/>
      <c r="P183" s="476"/>
      <c r="Q183" s="454"/>
      <c r="R183" s="380"/>
      <c r="S183" s="550">
        <v>0</v>
      </c>
      <c r="T183" s="480"/>
      <c r="U183" s="390"/>
      <c r="V183" s="479"/>
      <c r="W183" s="6"/>
    </row>
    <row r="184" spans="1:23" ht="15.6">
      <c r="A184" s="465"/>
      <c r="B184" s="379" t="s">
        <v>75</v>
      </c>
      <c r="C184" s="469"/>
      <c r="D184" s="469"/>
      <c r="E184" s="469"/>
      <c r="F184" s="469"/>
      <c r="G184" s="469"/>
      <c r="H184" s="469"/>
      <c r="I184" s="469"/>
      <c r="J184" s="469"/>
      <c r="K184" s="469"/>
      <c r="L184" s="469"/>
      <c r="M184" s="469"/>
      <c r="N184" s="477"/>
      <c r="O184" s="475"/>
      <c r="P184" s="476"/>
      <c r="Q184" s="454"/>
      <c r="R184" s="380"/>
      <c r="S184" s="550">
        <v>0</v>
      </c>
      <c r="T184" s="480"/>
      <c r="U184" s="390"/>
      <c r="V184" s="479"/>
      <c r="W184" s="6"/>
    </row>
    <row r="185" spans="1:23" ht="15.6">
      <c r="A185" s="465"/>
      <c r="B185" s="379" t="s">
        <v>79</v>
      </c>
      <c r="C185" s="469"/>
      <c r="D185" s="469"/>
      <c r="E185" s="469"/>
      <c r="F185" s="469"/>
      <c r="G185" s="469"/>
      <c r="H185" s="469"/>
      <c r="I185" s="469"/>
      <c r="J185" s="469"/>
      <c r="K185" s="469"/>
      <c r="L185" s="469"/>
      <c r="M185" s="469"/>
      <c r="N185" s="477"/>
      <c r="O185" s="475"/>
      <c r="P185" s="476"/>
      <c r="Q185" s="454"/>
      <c r="R185" s="380"/>
      <c r="S185" s="550">
        <v>0</v>
      </c>
      <c r="T185" s="480"/>
      <c r="U185" s="390"/>
      <c r="V185" s="479"/>
      <c r="W185" s="6"/>
    </row>
    <row r="186" spans="1:23" ht="15.6">
      <c r="A186" s="465"/>
      <c r="B186" s="473"/>
      <c r="C186" s="469"/>
      <c r="D186" s="469"/>
      <c r="E186" s="469"/>
      <c r="F186" s="469"/>
      <c r="G186" s="469"/>
      <c r="H186" s="469"/>
      <c r="I186" s="469"/>
      <c r="J186" s="469"/>
      <c r="K186" s="469"/>
      <c r="L186" s="469"/>
      <c r="M186" s="477"/>
      <c r="N186" s="475"/>
      <c r="O186" s="476"/>
      <c r="P186" s="454"/>
      <c r="Q186" s="454"/>
      <c r="R186" s="454"/>
      <c r="S186" s="537"/>
      <c r="T186" s="454"/>
      <c r="U186" s="470"/>
      <c r="V186" s="474"/>
      <c r="W186" s="6"/>
    </row>
    <row r="187" spans="1:23" ht="17.399999999999999">
      <c r="A187" s="465"/>
      <c r="B187" s="482" t="s">
        <v>196</v>
      </c>
      <c r="C187" s="469"/>
      <c r="D187" s="469"/>
      <c r="E187" s="469"/>
      <c r="F187" s="469"/>
      <c r="G187" s="469"/>
      <c r="H187" s="469"/>
      <c r="I187" s="469"/>
      <c r="J187" s="469"/>
      <c r="K187" s="483" t="s">
        <v>195</v>
      </c>
      <c r="L187" s="469"/>
      <c r="M187" s="477"/>
      <c r="N187" s="475"/>
      <c r="O187" s="476"/>
      <c r="P187" s="454"/>
      <c r="Q187" s="454"/>
      <c r="R187" s="454"/>
      <c r="S187" s="481"/>
      <c r="T187" s="454"/>
      <c r="U187" s="470"/>
      <c r="V187" s="474"/>
      <c r="W187" s="6"/>
    </row>
    <row r="188" spans="1:23" ht="15.6">
      <c r="A188" s="242"/>
      <c r="B188" s="460"/>
      <c r="C188" s="461"/>
      <c r="D188" s="461"/>
      <c r="E188" s="461"/>
      <c r="F188" s="461"/>
      <c r="G188" s="461"/>
      <c r="H188" s="461"/>
      <c r="I188" s="461"/>
      <c r="J188" s="461"/>
      <c r="K188" s="461"/>
      <c r="L188" s="461"/>
      <c r="M188" s="462"/>
      <c r="N188" s="461"/>
      <c r="O188" s="462"/>
      <c r="P188" s="461"/>
      <c r="Q188" s="462"/>
      <c r="R188" s="461"/>
      <c r="S188" s="462"/>
      <c r="T188" s="461"/>
      <c r="U188" s="463"/>
      <c r="V188" s="464"/>
      <c r="W188" s="6"/>
    </row>
    <row r="189" spans="1:23" ht="15.6">
      <c r="A189" s="348"/>
      <c r="B189" s="525" t="s">
        <v>80</v>
      </c>
      <c r="C189" s="343"/>
      <c r="D189" s="343"/>
      <c r="E189" s="343"/>
      <c r="F189" s="343"/>
      <c r="G189" s="343"/>
      <c r="H189" s="343"/>
      <c r="I189" s="343"/>
      <c r="J189" s="343"/>
      <c r="K189" s="343"/>
      <c r="L189" s="343"/>
      <c r="M189" s="525" t="s">
        <v>100</v>
      </c>
      <c r="N189" s="526"/>
      <c r="O189" s="527"/>
      <c r="P189" s="526"/>
      <c r="Q189" s="525"/>
      <c r="R189" s="525" t="s">
        <v>26</v>
      </c>
      <c r="S189" s="527"/>
      <c r="T189" s="526"/>
      <c r="U189" s="346"/>
      <c r="V189" s="528"/>
      <c r="W189" s="6"/>
    </row>
    <row r="190" spans="1:23" ht="15.6">
      <c r="A190" s="365"/>
      <c r="B190" s="366"/>
      <c r="C190" s="529"/>
      <c r="D190" s="529"/>
      <c r="E190" s="529"/>
      <c r="F190" s="529"/>
      <c r="G190" s="529"/>
      <c r="H190" s="529"/>
      <c r="I190" s="529"/>
      <c r="J190" s="529"/>
      <c r="K190" s="529"/>
      <c r="L190" s="529" t="s">
        <v>94</v>
      </c>
      <c r="M190" s="530" t="s">
        <v>101</v>
      </c>
      <c r="N190" s="529" t="s">
        <v>103</v>
      </c>
      <c r="O190" s="530" t="s">
        <v>101</v>
      </c>
      <c r="P190" s="530"/>
      <c r="Q190" s="529" t="s">
        <v>94</v>
      </c>
      <c r="R190" s="530" t="s">
        <v>101</v>
      </c>
      <c r="S190" s="529" t="s">
        <v>103</v>
      </c>
      <c r="T190" s="530" t="s">
        <v>101</v>
      </c>
      <c r="U190" s="369"/>
      <c r="V190" s="531"/>
      <c r="W190" s="6"/>
    </row>
    <row r="191" spans="1:23" ht="15.6">
      <c r="A191" s="316"/>
      <c r="B191" s="360" t="s">
        <v>81</v>
      </c>
      <c r="C191" s="361"/>
      <c r="D191" s="361"/>
      <c r="E191" s="361"/>
      <c r="F191" s="361"/>
      <c r="G191" s="361"/>
      <c r="H191" s="361"/>
      <c r="I191" s="361"/>
      <c r="J191" s="361"/>
      <c r="K191" s="361"/>
      <c r="L191" s="361">
        <v>266</v>
      </c>
      <c r="M191" s="362">
        <f t="shared" ref="M191:M197" si="0">+L191/$L$198</f>
        <v>0.69633507853403143</v>
      </c>
      <c r="N191" s="361">
        <v>935</v>
      </c>
      <c r="O191" s="362">
        <f t="shared" ref="O191:O197" si="1">N191/$N$198</f>
        <v>0.83037300177619888</v>
      </c>
      <c r="P191" s="363"/>
      <c r="Q191" s="361">
        <v>53</v>
      </c>
      <c r="R191" s="362">
        <f t="shared" ref="R191:R197" si="2">+Q191/$Q$198</f>
        <v>0.23766816143497757</v>
      </c>
      <c r="S191" s="552">
        <v>60</v>
      </c>
      <c r="T191" s="362">
        <f>+S191/$S$198</f>
        <v>0.31088082901554404</v>
      </c>
      <c r="U191" s="364"/>
      <c r="V191" s="312"/>
      <c r="W191" s="6"/>
    </row>
    <row r="192" spans="1:23" ht="15.6">
      <c r="A192" s="444"/>
      <c r="B192" s="440" t="s">
        <v>82</v>
      </c>
      <c r="C192" s="489"/>
      <c r="D192" s="489"/>
      <c r="E192" s="489"/>
      <c r="F192" s="489"/>
      <c r="G192" s="489"/>
      <c r="H192" s="489"/>
      <c r="I192" s="489"/>
      <c r="J192" s="489"/>
      <c r="K192" s="489"/>
      <c r="L192" s="489">
        <v>7</v>
      </c>
      <c r="M192" s="427">
        <f t="shared" si="0"/>
        <v>1.832460732984293E-2</v>
      </c>
      <c r="N192" s="553">
        <v>11</v>
      </c>
      <c r="O192" s="427">
        <f t="shared" si="1"/>
        <v>9.7690941385435177E-3</v>
      </c>
      <c r="P192" s="381"/>
      <c r="Q192" s="489">
        <v>13</v>
      </c>
      <c r="R192" s="427">
        <f t="shared" si="2"/>
        <v>5.829596412556054E-2</v>
      </c>
      <c r="S192" s="553">
        <v>6</v>
      </c>
      <c r="T192" s="427">
        <f t="shared" ref="T192:T197" si="3">+S192/$S$198</f>
        <v>3.1088082901554404E-2</v>
      </c>
      <c r="U192" s="379"/>
      <c r="V192" s="435"/>
      <c r="W192" s="6"/>
    </row>
    <row r="193" spans="1:24" ht="15.6">
      <c r="A193" s="444"/>
      <c r="B193" s="440" t="s">
        <v>83</v>
      </c>
      <c r="C193" s="489"/>
      <c r="D193" s="489"/>
      <c r="E193" s="489"/>
      <c r="F193" s="489"/>
      <c r="G193" s="489"/>
      <c r="H193" s="489"/>
      <c r="I193" s="489"/>
      <c r="J193" s="489"/>
      <c r="K193" s="489"/>
      <c r="L193" s="489">
        <v>11</v>
      </c>
      <c r="M193" s="427">
        <f t="shared" si="0"/>
        <v>2.8795811518324606E-2</v>
      </c>
      <c r="N193" s="489">
        <v>22</v>
      </c>
      <c r="O193" s="427">
        <f t="shared" si="1"/>
        <v>1.9538188277087035E-2</v>
      </c>
      <c r="P193" s="381"/>
      <c r="Q193" s="489">
        <v>6</v>
      </c>
      <c r="R193" s="427">
        <f t="shared" si="2"/>
        <v>2.6905829596412557E-2</v>
      </c>
      <c r="S193" s="553">
        <v>2</v>
      </c>
      <c r="T193" s="427">
        <f t="shared" si="3"/>
        <v>1.0362694300518135E-2</v>
      </c>
      <c r="U193" s="379"/>
      <c r="V193" s="435"/>
      <c r="W193" s="6"/>
    </row>
    <row r="194" spans="1:24" ht="15.6">
      <c r="A194" s="444"/>
      <c r="B194" s="440" t="s">
        <v>186</v>
      </c>
      <c r="C194" s="489"/>
      <c r="D194" s="489"/>
      <c r="E194" s="489"/>
      <c r="F194" s="489"/>
      <c r="G194" s="489"/>
      <c r="H194" s="489"/>
      <c r="I194" s="489"/>
      <c r="J194" s="489"/>
      <c r="K194" s="489"/>
      <c r="L194" s="489">
        <v>10</v>
      </c>
      <c r="M194" s="427">
        <f t="shared" si="0"/>
        <v>2.6178010471204188E-2</v>
      </c>
      <c r="N194" s="489">
        <v>30</v>
      </c>
      <c r="O194" s="427">
        <f t="shared" si="1"/>
        <v>2.664298401420959E-2</v>
      </c>
      <c r="P194" s="381"/>
      <c r="Q194" s="489">
        <v>12</v>
      </c>
      <c r="R194" s="551">
        <f t="shared" si="2"/>
        <v>5.3811659192825115E-2</v>
      </c>
      <c r="S194" s="489">
        <v>9</v>
      </c>
      <c r="T194" s="427">
        <f t="shared" si="3"/>
        <v>4.6632124352331605E-2</v>
      </c>
      <c r="U194" s="379"/>
      <c r="V194" s="435"/>
      <c r="W194" s="6"/>
    </row>
    <row r="195" spans="1:24" ht="15.6">
      <c r="A195" s="444"/>
      <c r="B195" s="440" t="s">
        <v>187</v>
      </c>
      <c r="C195" s="489"/>
      <c r="D195" s="489"/>
      <c r="E195" s="489"/>
      <c r="F195" s="489"/>
      <c r="G195" s="489"/>
      <c r="H195" s="489"/>
      <c r="I195" s="489"/>
      <c r="J195" s="489"/>
      <c r="K195" s="489"/>
      <c r="L195" s="489">
        <v>6</v>
      </c>
      <c r="M195" s="427">
        <f t="shared" si="0"/>
        <v>1.5706806282722512E-2</v>
      </c>
      <c r="N195" s="489">
        <v>2</v>
      </c>
      <c r="O195" s="427">
        <f t="shared" si="1"/>
        <v>1.7761989342806395E-3</v>
      </c>
      <c r="P195" s="381"/>
      <c r="Q195" s="489">
        <v>15</v>
      </c>
      <c r="R195" s="427">
        <f t="shared" si="2"/>
        <v>6.726457399103139E-2</v>
      </c>
      <c r="S195" s="489">
        <v>9</v>
      </c>
      <c r="T195" s="427">
        <f t="shared" si="3"/>
        <v>4.6632124352331605E-2</v>
      </c>
      <c r="U195" s="379"/>
      <c r="V195" s="435"/>
      <c r="W195" s="6"/>
    </row>
    <row r="196" spans="1:24" ht="15.6">
      <c r="A196" s="444"/>
      <c r="B196" s="440" t="s">
        <v>188</v>
      </c>
      <c r="C196" s="489"/>
      <c r="D196" s="489"/>
      <c r="E196" s="489"/>
      <c r="F196" s="489"/>
      <c r="G196" s="489"/>
      <c r="H196" s="489"/>
      <c r="I196" s="489"/>
      <c r="J196" s="489"/>
      <c r="K196" s="489"/>
      <c r="L196" s="489">
        <v>6</v>
      </c>
      <c r="M196" s="427">
        <f t="shared" si="0"/>
        <v>1.5706806282722512E-2</v>
      </c>
      <c r="N196" s="489">
        <v>4</v>
      </c>
      <c r="O196" s="427">
        <f t="shared" si="1"/>
        <v>3.552397868561279E-3</v>
      </c>
      <c r="P196" s="381"/>
      <c r="Q196" s="489">
        <v>17</v>
      </c>
      <c r="R196" s="427">
        <f t="shared" si="2"/>
        <v>7.623318385650224E-2</v>
      </c>
      <c r="S196" s="489">
        <v>10</v>
      </c>
      <c r="T196" s="427">
        <f t="shared" si="3"/>
        <v>5.181347150259067E-2</v>
      </c>
      <c r="U196" s="379"/>
      <c r="V196" s="435"/>
      <c r="W196" s="6"/>
    </row>
    <row r="197" spans="1:24" ht="15.6">
      <c r="A197" s="444"/>
      <c r="B197" s="440" t="s">
        <v>189</v>
      </c>
      <c r="C197" s="489"/>
      <c r="D197" s="489"/>
      <c r="E197" s="489"/>
      <c r="F197" s="489"/>
      <c r="G197" s="489"/>
      <c r="H197" s="489"/>
      <c r="I197" s="489"/>
      <c r="J197" s="489"/>
      <c r="K197" s="489"/>
      <c r="L197" s="489">
        <v>76</v>
      </c>
      <c r="M197" s="427">
        <f t="shared" si="0"/>
        <v>0.19895287958115182</v>
      </c>
      <c r="N197" s="489">
        <v>122</v>
      </c>
      <c r="O197" s="427">
        <f t="shared" si="1"/>
        <v>0.10834813499111901</v>
      </c>
      <c r="P197" s="381"/>
      <c r="Q197" s="489">
        <v>107</v>
      </c>
      <c r="R197" s="427">
        <f t="shared" si="2"/>
        <v>0.47982062780269058</v>
      </c>
      <c r="S197" s="489">
        <v>97</v>
      </c>
      <c r="T197" s="427">
        <f t="shared" si="3"/>
        <v>0.50259067357512954</v>
      </c>
      <c r="U197" s="379"/>
      <c r="V197" s="435"/>
      <c r="W197" s="6"/>
    </row>
    <row r="198" spans="1:24" ht="15.6">
      <c r="A198" s="444"/>
      <c r="B198" s="440" t="s">
        <v>84</v>
      </c>
      <c r="C198" s="489"/>
      <c r="D198" s="489"/>
      <c r="E198" s="489"/>
      <c r="F198" s="489"/>
      <c r="G198" s="489"/>
      <c r="H198" s="489"/>
      <c r="I198" s="489"/>
      <c r="J198" s="489"/>
      <c r="K198" s="489"/>
      <c r="L198" s="489">
        <f>SUM(L191:L197)</f>
        <v>382</v>
      </c>
      <c r="M198" s="427">
        <f>SUM(M191:M197)</f>
        <v>0.99999999999999989</v>
      </c>
      <c r="N198" s="489">
        <f>SUM(N191:N197)</f>
        <v>1126</v>
      </c>
      <c r="O198" s="427">
        <f>SUM(O191:O197)</f>
        <v>1</v>
      </c>
      <c r="P198" s="381"/>
      <c r="Q198" s="489">
        <f>SUM(Q191:Q197)</f>
        <v>223</v>
      </c>
      <c r="R198" s="427">
        <f>SUM(R191:R197)</f>
        <v>1</v>
      </c>
      <c r="S198" s="489">
        <f>SUM(S191:S197)</f>
        <v>193</v>
      </c>
      <c r="T198" s="427">
        <f>SUM(T191:T197)</f>
        <v>1</v>
      </c>
      <c r="U198" s="379"/>
      <c r="V198" s="435"/>
      <c r="W198" s="6"/>
      <c r="X198" s="64"/>
    </row>
    <row r="199" spans="1:24" ht="15.6">
      <c r="A199" s="444"/>
      <c r="B199" s="440" t="s">
        <v>85</v>
      </c>
      <c r="C199" s="489"/>
      <c r="D199" s="489"/>
      <c r="E199" s="489"/>
      <c r="F199" s="489"/>
      <c r="G199" s="489"/>
      <c r="H199" s="489"/>
      <c r="I199" s="489"/>
      <c r="J199" s="489"/>
      <c r="K199" s="489"/>
      <c r="L199" s="489">
        <v>833</v>
      </c>
      <c r="M199" s="380"/>
      <c r="N199" s="489">
        <v>4835</v>
      </c>
      <c r="O199" s="380"/>
      <c r="P199" s="381"/>
      <c r="Q199" s="489">
        <v>491</v>
      </c>
      <c r="R199" s="380"/>
      <c r="S199" s="489">
        <v>1084</v>
      </c>
      <c r="T199" s="380"/>
      <c r="U199" s="379"/>
      <c r="V199" s="435"/>
      <c r="W199" s="6"/>
      <c r="X199" s="64"/>
    </row>
    <row r="200" spans="1:24" ht="15.6">
      <c r="A200" s="444"/>
      <c r="B200" s="440" t="s">
        <v>86</v>
      </c>
      <c r="C200" s="489"/>
      <c r="D200" s="489"/>
      <c r="E200" s="489"/>
      <c r="F200" s="489"/>
      <c r="G200" s="489"/>
      <c r="H200" s="489"/>
      <c r="I200" s="489"/>
      <c r="J200" s="489"/>
      <c r="K200" s="489"/>
      <c r="L200" s="489">
        <f>SUM(L198:L199)</f>
        <v>1215</v>
      </c>
      <c r="M200" s="450"/>
      <c r="N200" s="489">
        <f>SUM(N198:N199)</f>
        <v>5961</v>
      </c>
      <c r="O200" s="490"/>
      <c r="P200" s="450"/>
      <c r="Q200" s="489">
        <f>SUM(Q198:Q199)</f>
        <v>714</v>
      </c>
      <c r="R200" s="450"/>
      <c r="S200" s="489">
        <f>SUM(S198:S199)</f>
        <v>1277</v>
      </c>
      <c r="T200" s="450"/>
      <c r="U200" s="450"/>
      <c r="V200" s="435"/>
      <c r="W200" s="6"/>
      <c r="X200" s="64"/>
    </row>
    <row r="201" spans="1:24" ht="15.6">
      <c r="A201" s="242"/>
      <c r="B201" s="484"/>
      <c r="C201" s="485"/>
      <c r="D201" s="485"/>
      <c r="E201" s="485"/>
      <c r="F201" s="485"/>
      <c r="G201" s="485"/>
      <c r="H201" s="485"/>
      <c r="I201" s="485"/>
      <c r="J201" s="485"/>
      <c r="K201" s="485"/>
      <c r="L201" s="532"/>
      <c r="M201" s="533"/>
      <c r="N201" s="532"/>
      <c r="O201" s="533"/>
      <c r="P201" s="488"/>
      <c r="Q201" s="532"/>
      <c r="R201" s="533"/>
      <c r="S201" s="532"/>
      <c r="T201" s="533"/>
      <c r="U201" s="463"/>
      <c r="V201" s="464"/>
      <c r="W201" s="6"/>
    </row>
    <row r="202" spans="1:24" ht="15.6">
      <c r="A202" s="349"/>
      <c r="B202" s="525" t="s">
        <v>80</v>
      </c>
      <c r="C202" s="526"/>
      <c r="D202" s="526"/>
      <c r="E202" s="526"/>
      <c r="F202" s="526"/>
      <c r="G202" s="526"/>
      <c r="H202" s="526"/>
      <c r="I202" s="526"/>
      <c r="J202" s="526"/>
      <c r="K202" s="526"/>
      <c r="L202" s="526"/>
      <c r="M202" s="525" t="s">
        <v>27</v>
      </c>
      <c r="N202" s="526"/>
      <c r="O202" s="527"/>
      <c r="P202" s="526"/>
      <c r="Q202" s="525"/>
      <c r="R202" s="525" t="s">
        <v>28</v>
      </c>
      <c r="S202" s="527"/>
      <c r="T202" s="526"/>
      <c r="U202" s="346"/>
      <c r="V202" s="528"/>
      <c r="W202" s="6"/>
    </row>
    <row r="203" spans="1:24" ht="15.6">
      <c r="A203" s="371"/>
      <c r="B203" s="372"/>
      <c r="C203" s="534"/>
      <c r="D203" s="534"/>
      <c r="E203" s="534"/>
      <c r="F203" s="534"/>
      <c r="G203" s="534"/>
      <c r="H203" s="534"/>
      <c r="I203" s="534"/>
      <c r="J203" s="534"/>
      <c r="K203" s="534"/>
      <c r="L203" s="534" t="s">
        <v>94</v>
      </c>
      <c r="M203" s="535" t="s">
        <v>101</v>
      </c>
      <c r="N203" s="534" t="s">
        <v>103</v>
      </c>
      <c r="O203" s="535" t="s">
        <v>101</v>
      </c>
      <c r="P203" s="535"/>
      <c r="Q203" s="534" t="s">
        <v>94</v>
      </c>
      <c r="R203" s="535" t="s">
        <v>101</v>
      </c>
      <c r="S203" s="534" t="s">
        <v>103</v>
      </c>
      <c r="T203" s="535" t="s">
        <v>101</v>
      </c>
      <c r="U203" s="375"/>
      <c r="V203" s="536"/>
      <c r="W203" s="6"/>
    </row>
    <row r="204" spans="1:24" ht="15.6">
      <c r="A204" s="315"/>
      <c r="B204" s="310" t="s">
        <v>81</v>
      </c>
      <c r="C204" s="351"/>
      <c r="D204" s="351"/>
      <c r="E204" s="351"/>
      <c r="F204" s="351"/>
      <c r="G204" s="351"/>
      <c r="H204" s="351"/>
      <c r="I204" s="351"/>
      <c r="J204" s="351"/>
      <c r="K204" s="351"/>
      <c r="L204" s="351">
        <v>3985</v>
      </c>
      <c r="M204" s="299">
        <f t="shared" ref="M204:M210" si="4">+L204/$L$211</f>
        <v>0.88437638703950283</v>
      </c>
      <c r="N204" s="351">
        <v>85111</v>
      </c>
      <c r="O204" s="299">
        <f t="shared" ref="O204:O210" si="5">+N204/$N$211</f>
        <v>0.87709842637344515</v>
      </c>
      <c r="P204" s="296"/>
      <c r="Q204" s="351">
        <v>45</v>
      </c>
      <c r="R204" s="299">
        <f t="shared" ref="R204:R210" si="6">Q204/$Q$211</f>
        <v>0.8035714285714286</v>
      </c>
      <c r="S204" s="351">
        <v>282</v>
      </c>
      <c r="T204" s="299">
        <f t="shared" ref="T204:T210" si="7">+S204/$S$211</f>
        <v>0.74406332453825863</v>
      </c>
      <c r="U204" s="294"/>
      <c r="V204" s="301"/>
      <c r="W204" s="6"/>
    </row>
    <row r="205" spans="1:24" ht="15.6">
      <c r="A205" s="444"/>
      <c r="B205" s="440" t="s">
        <v>82</v>
      </c>
      <c r="C205" s="489"/>
      <c r="D205" s="489"/>
      <c r="E205" s="489"/>
      <c r="F205" s="489"/>
      <c r="G205" s="489"/>
      <c r="H205" s="489"/>
      <c r="I205" s="489"/>
      <c r="J205" s="489"/>
      <c r="K205" s="489"/>
      <c r="L205" s="489">
        <v>106</v>
      </c>
      <c r="M205" s="427">
        <f t="shared" si="4"/>
        <v>2.3524189968930315E-2</v>
      </c>
      <c r="N205" s="489">
        <v>2182</v>
      </c>
      <c r="O205" s="427">
        <f t="shared" si="5"/>
        <v>2.2486268124529817E-2</v>
      </c>
      <c r="P205" s="381"/>
      <c r="Q205" s="489">
        <v>6</v>
      </c>
      <c r="R205" s="427">
        <f t="shared" si="6"/>
        <v>0.10714285714285714</v>
      </c>
      <c r="S205" s="489">
        <v>67</v>
      </c>
      <c r="T205" s="427">
        <f t="shared" si="7"/>
        <v>0.17678100263852242</v>
      </c>
      <c r="U205" s="379"/>
      <c r="V205" s="435"/>
      <c r="W205" s="6"/>
    </row>
    <row r="206" spans="1:24" ht="15.6">
      <c r="A206" s="444"/>
      <c r="B206" s="440" t="s">
        <v>83</v>
      </c>
      <c r="C206" s="489"/>
      <c r="D206" s="489"/>
      <c r="E206" s="489"/>
      <c r="F206" s="489"/>
      <c r="G206" s="489"/>
      <c r="H206" s="489"/>
      <c r="I206" s="489"/>
      <c r="J206" s="489"/>
      <c r="K206" s="489"/>
      <c r="L206" s="489">
        <v>77</v>
      </c>
      <c r="M206" s="427">
        <f t="shared" si="4"/>
        <v>1.7088326675543719E-2</v>
      </c>
      <c r="N206" s="489">
        <v>1657</v>
      </c>
      <c r="O206" s="427">
        <f t="shared" si="5"/>
        <v>1.707596071601554E-2</v>
      </c>
      <c r="P206" s="381"/>
      <c r="Q206" s="489">
        <v>0</v>
      </c>
      <c r="R206" s="427">
        <f t="shared" si="6"/>
        <v>0</v>
      </c>
      <c r="S206" s="489">
        <v>0</v>
      </c>
      <c r="T206" s="427">
        <f t="shared" si="7"/>
        <v>0</v>
      </c>
      <c r="U206" s="379"/>
      <c r="V206" s="435"/>
      <c r="W206" s="6"/>
      <c r="X206" s="182"/>
    </row>
    <row r="207" spans="1:24" ht="15.6">
      <c r="A207" s="444"/>
      <c r="B207" s="440" t="s">
        <v>186</v>
      </c>
      <c r="C207" s="489"/>
      <c r="D207" s="489"/>
      <c r="E207" s="489"/>
      <c r="F207" s="489"/>
      <c r="G207" s="489"/>
      <c r="H207" s="489"/>
      <c r="I207" s="489"/>
      <c r="J207" s="489"/>
      <c r="K207" s="489"/>
      <c r="L207" s="489">
        <v>60</v>
      </c>
      <c r="M207" s="427">
        <f t="shared" si="4"/>
        <v>1.3315579227696404E-2</v>
      </c>
      <c r="N207" s="489">
        <v>1354</v>
      </c>
      <c r="O207" s="427">
        <f t="shared" si="5"/>
        <v>1.3953440440244443E-2</v>
      </c>
      <c r="P207" s="381"/>
      <c r="Q207" s="489">
        <v>0</v>
      </c>
      <c r="R207" s="427">
        <f t="shared" si="6"/>
        <v>0</v>
      </c>
      <c r="S207" s="489">
        <v>0</v>
      </c>
      <c r="T207" s="427">
        <f t="shared" si="7"/>
        <v>0</v>
      </c>
      <c r="U207" s="379"/>
      <c r="V207" s="435"/>
      <c r="W207" s="6"/>
    </row>
    <row r="208" spans="1:24" ht="15.6">
      <c r="A208" s="444"/>
      <c r="B208" s="440" t="s">
        <v>187</v>
      </c>
      <c r="C208" s="489"/>
      <c r="D208" s="489"/>
      <c r="E208" s="489"/>
      <c r="F208" s="489"/>
      <c r="G208" s="489"/>
      <c r="H208" s="489"/>
      <c r="I208" s="489"/>
      <c r="J208" s="489"/>
      <c r="K208" s="489"/>
      <c r="L208" s="489">
        <v>43</v>
      </c>
      <c r="M208" s="427">
        <f t="shared" si="4"/>
        <v>9.5428317798490897E-3</v>
      </c>
      <c r="N208" s="489">
        <v>1147</v>
      </c>
      <c r="O208" s="427">
        <f t="shared" si="5"/>
        <v>1.18202335191731E-2</v>
      </c>
      <c r="P208" s="381"/>
      <c r="Q208" s="489">
        <v>0</v>
      </c>
      <c r="R208" s="427">
        <f t="shared" si="6"/>
        <v>0</v>
      </c>
      <c r="S208" s="489">
        <v>0</v>
      </c>
      <c r="T208" s="427">
        <f t="shared" si="7"/>
        <v>0</v>
      </c>
      <c r="U208" s="379"/>
      <c r="V208" s="435"/>
      <c r="W208" s="6"/>
    </row>
    <row r="209" spans="1:24" ht="15.6">
      <c r="A209" s="444"/>
      <c r="B209" s="440" t="s">
        <v>188</v>
      </c>
      <c r="C209" s="489"/>
      <c r="D209" s="489"/>
      <c r="E209" s="489"/>
      <c r="F209" s="489"/>
      <c r="G209" s="489"/>
      <c r="H209" s="489"/>
      <c r="I209" s="489"/>
      <c r="J209" s="489"/>
      <c r="K209" s="489"/>
      <c r="L209" s="489">
        <v>42</v>
      </c>
      <c r="M209" s="427">
        <f t="shared" si="4"/>
        <v>9.3209054593874838E-3</v>
      </c>
      <c r="N209" s="489">
        <v>1040</v>
      </c>
      <c r="O209" s="427">
        <f t="shared" si="5"/>
        <v>1.0717561342580666E-2</v>
      </c>
      <c r="P209" s="381"/>
      <c r="Q209" s="489">
        <v>0</v>
      </c>
      <c r="R209" s="427">
        <f t="shared" si="6"/>
        <v>0</v>
      </c>
      <c r="S209" s="489">
        <v>0</v>
      </c>
      <c r="T209" s="427">
        <f t="shared" si="7"/>
        <v>0</v>
      </c>
      <c r="U209" s="379"/>
      <c r="V209" s="435"/>
      <c r="W209" s="6"/>
    </row>
    <row r="210" spans="1:24" ht="15.6">
      <c r="A210" s="444"/>
      <c r="B210" s="440" t="s">
        <v>189</v>
      </c>
      <c r="C210" s="489"/>
      <c r="D210" s="489"/>
      <c r="E210" s="489"/>
      <c r="F210" s="489"/>
      <c r="G210" s="489"/>
      <c r="H210" s="489"/>
      <c r="I210" s="489"/>
      <c r="J210" s="489"/>
      <c r="K210" s="489"/>
      <c r="L210" s="489">
        <v>193</v>
      </c>
      <c r="M210" s="427">
        <f t="shared" si="4"/>
        <v>4.2831779849090104E-2</v>
      </c>
      <c r="N210" s="489">
        <v>4546</v>
      </c>
      <c r="O210" s="427">
        <f t="shared" si="5"/>
        <v>4.6848109484011254E-2</v>
      </c>
      <c r="P210" s="381"/>
      <c r="Q210" s="489">
        <v>5</v>
      </c>
      <c r="R210" s="427">
        <f t="shared" si="6"/>
        <v>8.9285714285714288E-2</v>
      </c>
      <c r="S210" s="489">
        <v>30</v>
      </c>
      <c r="T210" s="427">
        <f t="shared" si="7"/>
        <v>7.9155672823219003E-2</v>
      </c>
      <c r="U210" s="379"/>
      <c r="V210" s="435"/>
      <c r="W210" s="6"/>
    </row>
    <row r="211" spans="1:24" ht="15.6">
      <c r="A211" s="444"/>
      <c r="B211" s="440" t="str">
        <f>B198</f>
        <v>Total Performing  Assets</v>
      </c>
      <c r="C211" s="489"/>
      <c r="D211" s="489"/>
      <c r="E211" s="489"/>
      <c r="F211" s="489"/>
      <c r="G211" s="489"/>
      <c r="H211" s="489"/>
      <c r="I211" s="489"/>
      <c r="J211" s="489"/>
      <c r="K211" s="489"/>
      <c r="L211" s="489">
        <f>SUM(L204:L210)</f>
        <v>4506</v>
      </c>
      <c r="M211" s="427">
        <f>SUM(M204:M210)</f>
        <v>1</v>
      </c>
      <c r="N211" s="489">
        <f>SUM(N204:N210)</f>
        <v>97037</v>
      </c>
      <c r="O211" s="427">
        <f>SUM(O204:O210)</f>
        <v>1</v>
      </c>
      <c r="P211" s="381"/>
      <c r="Q211" s="489">
        <f>SUM(Q204:Q210)</f>
        <v>56</v>
      </c>
      <c r="R211" s="427">
        <f>SUM(R204:R210)</f>
        <v>1</v>
      </c>
      <c r="S211" s="489">
        <f>SUM(S204:S210)</f>
        <v>379</v>
      </c>
      <c r="T211" s="427">
        <f>SUM(T204:T210)</f>
        <v>1</v>
      </c>
      <c r="U211" s="379"/>
      <c r="V211" s="435"/>
      <c r="W211" s="6"/>
    </row>
    <row r="212" spans="1:24" ht="15.6">
      <c r="A212" s="444"/>
      <c r="B212" s="440" t="s">
        <v>85</v>
      </c>
      <c r="C212" s="489"/>
      <c r="D212" s="489"/>
      <c r="E212" s="489"/>
      <c r="F212" s="489"/>
      <c r="G212" s="489"/>
      <c r="H212" s="489"/>
      <c r="I212" s="489"/>
      <c r="J212" s="489"/>
      <c r="K212" s="489"/>
      <c r="L212" s="489">
        <v>292</v>
      </c>
      <c r="M212" s="381"/>
      <c r="N212" s="489">
        <v>8467</v>
      </c>
      <c r="O212" s="380"/>
      <c r="P212" s="381"/>
      <c r="Q212" s="489">
        <v>11</v>
      </c>
      <c r="R212" s="381"/>
      <c r="S212" s="489">
        <v>190</v>
      </c>
      <c r="T212" s="381"/>
      <c r="U212" s="379"/>
      <c r="V212" s="435"/>
      <c r="W212" s="6"/>
    </row>
    <row r="213" spans="1:24" ht="15.6">
      <c r="A213" s="444"/>
      <c r="B213" s="440" t="s">
        <v>86</v>
      </c>
      <c r="C213" s="489"/>
      <c r="D213" s="489"/>
      <c r="E213" s="489"/>
      <c r="F213" s="489"/>
      <c r="G213" s="489"/>
      <c r="H213" s="489"/>
      <c r="I213" s="489"/>
      <c r="J213" s="489"/>
      <c r="K213" s="489"/>
      <c r="L213" s="489">
        <f>SUM(L211:L212)</f>
        <v>4798</v>
      </c>
      <c r="M213" s="450"/>
      <c r="N213" s="489">
        <f>SUM(N211:N212)</f>
        <v>105504</v>
      </c>
      <c r="O213" s="427"/>
      <c r="P213" s="450"/>
      <c r="Q213" s="489">
        <f>SUM(Q211:Q212)</f>
        <v>67</v>
      </c>
      <c r="R213" s="450"/>
      <c r="S213" s="489">
        <f>SUM(S211:S212)</f>
        <v>569</v>
      </c>
      <c r="T213" s="450"/>
      <c r="U213" s="450"/>
      <c r="V213" s="492"/>
    </row>
    <row r="214" spans="1:24" ht="15.6">
      <c r="A214" s="444"/>
      <c r="B214" s="440"/>
      <c r="C214" s="381"/>
      <c r="D214" s="381"/>
      <c r="E214" s="381"/>
      <c r="F214" s="381"/>
      <c r="G214" s="381"/>
      <c r="H214" s="381"/>
      <c r="I214" s="381"/>
      <c r="J214" s="381"/>
      <c r="K214" s="381"/>
      <c r="L214" s="381"/>
      <c r="M214" s="493"/>
      <c r="N214" s="381"/>
      <c r="O214" s="493"/>
      <c r="P214" s="381"/>
      <c r="Q214" s="493"/>
      <c r="R214" s="381"/>
      <c r="S214" s="489"/>
      <c r="T214" s="381"/>
      <c r="U214" s="379"/>
      <c r="V214" s="435"/>
      <c r="W214" s="6"/>
    </row>
    <row r="215" spans="1:24" ht="15.6">
      <c r="A215" s="444"/>
      <c r="B215" s="440" t="s">
        <v>86</v>
      </c>
      <c r="C215" s="381"/>
      <c r="D215" s="381"/>
      <c r="E215" s="381"/>
      <c r="F215" s="381"/>
      <c r="G215" s="381"/>
      <c r="H215" s="381"/>
      <c r="I215" s="381"/>
      <c r="J215" s="381"/>
      <c r="K215" s="381"/>
      <c r="L215" s="493"/>
      <c r="M215" s="493"/>
      <c r="N215" s="493"/>
      <c r="O215" s="493"/>
      <c r="P215" s="381"/>
      <c r="Q215" s="493"/>
      <c r="R215" s="381"/>
      <c r="S215" s="489">
        <f>+N200+S200+N213+S213</f>
        <v>113311</v>
      </c>
      <c r="T215" s="490"/>
      <c r="U215" s="379"/>
      <c r="V215" s="435"/>
      <c r="W215" s="6"/>
      <c r="X215" s="182"/>
    </row>
    <row r="216" spans="1:24" ht="15.6">
      <c r="A216" s="316"/>
      <c r="B216" s="360"/>
      <c r="C216" s="363"/>
      <c r="D216" s="363"/>
      <c r="E216" s="363"/>
      <c r="F216" s="363"/>
      <c r="G216" s="363"/>
      <c r="H216" s="363"/>
      <c r="I216" s="363"/>
      <c r="J216" s="363"/>
      <c r="K216" s="363"/>
      <c r="L216" s="491"/>
      <c r="M216" s="491"/>
      <c r="N216" s="491"/>
      <c r="O216" s="491"/>
      <c r="P216" s="363"/>
      <c r="Q216" s="491"/>
      <c r="R216" s="363"/>
      <c r="S216" s="361"/>
      <c r="T216" s="363"/>
      <c r="U216" s="364"/>
      <c r="V216" s="312"/>
      <c r="W216" s="6"/>
    </row>
    <row r="217" spans="1:24" ht="15.6">
      <c r="A217" s="349"/>
      <c r="B217" s="357" t="s">
        <v>87</v>
      </c>
      <c r="C217" s="526"/>
      <c r="D217" s="526"/>
      <c r="E217" s="526"/>
      <c r="F217" s="526"/>
      <c r="G217" s="526"/>
      <c r="H217" s="526"/>
      <c r="I217" s="526"/>
      <c r="J217" s="526"/>
      <c r="K217" s="526"/>
      <c r="L217" s="526"/>
      <c r="M217" s="527"/>
      <c r="N217" s="526"/>
      <c r="O217" s="527"/>
      <c r="P217" s="526"/>
      <c r="Q217" s="527"/>
      <c r="R217" s="526"/>
      <c r="S217" s="358"/>
      <c r="T217" s="526"/>
      <c r="U217" s="350"/>
      <c r="V217" s="528"/>
      <c r="W217" s="6"/>
    </row>
    <row r="218" spans="1:24" ht="15.6">
      <c r="A218" s="315"/>
      <c r="B218" s="310"/>
      <c r="C218" s="296"/>
      <c r="D218" s="296"/>
      <c r="E218" s="296"/>
      <c r="F218" s="296"/>
      <c r="G218" s="296"/>
      <c r="H218" s="296"/>
      <c r="I218" s="296"/>
      <c r="J218" s="296"/>
      <c r="K218" s="296"/>
      <c r="L218" s="296"/>
      <c r="M218" s="352"/>
      <c r="N218" s="296"/>
      <c r="O218" s="352"/>
      <c r="P218" s="296"/>
      <c r="Q218" s="352"/>
      <c r="R218" s="296"/>
      <c r="S218" s="351"/>
      <c r="T218" s="296"/>
      <c r="U218" s="294"/>
      <c r="V218" s="301"/>
      <c r="W218" s="6"/>
    </row>
    <row r="219" spans="1:24" ht="15.6">
      <c r="A219" s="444"/>
      <c r="B219" s="440" t="s">
        <v>88</v>
      </c>
      <c r="C219" s="381"/>
      <c r="D219" s="381"/>
      <c r="E219" s="381"/>
      <c r="F219" s="381"/>
      <c r="G219" s="381"/>
      <c r="H219" s="381"/>
      <c r="I219" s="381"/>
      <c r="J219" s="381"/>
      <c r="K219" s="381"/>
      <c r="L219" s="381"/>
      <c r="M219" s="493"/>
      <c r="N219" s="381"/>
      <c r="O219" s="493"/>
      <c r="P219" s="381"/>
      <c r="Q219" s="493"/>
      <c r="R219" s="381"/>
      <c r="S219" s="489">
        <f>+N198+S198+N211+S211</f>
        <v>98735</v>
      </c>
      <c r="T219" s="381"/>
      <c r="U219" s="379"/>
      <c r="V219" s="435"/>
      <c r="W219" s="6"/>
      <c r="X219" s="182"/>
    </row>
    <row r="220" spans="1:24" ht="15.6">
      <c r="A220" s="444"/>
      <c r="B220" s="440" t="s">
        <v>89</v>
      </c>
      <c r="C220" s="381"/>
      <c r="D220" s="381"/>
      <c r="E220" s="381"/>
      <c r="F220" s="381"/>
      <c r="G220" s="381"/>
      <c r="H220" s="381"/>
      <c r="I220" s="381"/>
      <c r="J220" s="381"/>
      <c r="K220" s="381"/>
      <c r="L220" s="381"/>
      <c r="M220" s="493"/>
      <c r="N220" s="381"/>
      <c r="O220" s="493"/>
      <c r="P220" s="381"/>
      <c r="Q220" s="493"/>
      <c r="R220" s="381"/>
      <c r="S220" s="489">
        <f>+U78</f>
        <v>0</v>
      </c>
      <c r="T220" s="381"/>
      <c r="U220" s="379"/>
      <c r="V220" s="435"/>
      <c r="W220" s="119"/>
    </row>
    <row r="221" spans="1:24" ht="15.6">
      <c r="A221" s="444"/>
      <c r="B221" s="440" t="s">
        <v>90</v>
      </c>
      <c r="C221" s="381"/>
      <c r="D221" s="381"/>
      <c r="E221" s="381"/>
      <c r="F221" s="381"/>
      <c r="G221" s="381"/>
      <c r="H221" s="381"/>
      <c r="I221" s="381"/>
      <c r="J221" s="381"/>
      <c r="K221" s="381"/>
      <c r="L221" s="381"/>
      <c r="M221" s="493"/>
      <c r="N221" s="381"/>
      <c r="O221" s="493"/>
      <c r="P221" s="381"/>
      <c r="Q221" s="493"/>
      <c r="R221" s="381"/>
      <c r="S221" s="489">
        <f>SUM(S219:S220)</f>
        <v>98735</v>
      </c>
      <c r="T221" s="381"/>
      <c r="U221" s="379"/>
      <c r="V221" s="435"/>
      <c r="W221" s="6"/>
    </row>
    <row r="222" spans="1:24" ht="15.6">
      <c r="A222" s="444"/>
      <c r="B222" s="440"/>
      <c r="C222" s="381"/>
      <c r="D222" s="381"/>
      <c r="E222" s="381"/>
      <c r="F222" s="381"/>
      <c r="G222" s="381"/>
      <c r="H222" s="381"/>
      <c r="I222" s="381"/>
      <c r="J222" s="381"/>
      <c r="K222" s="381"/>
      <c r="L222" s="381"/>
      <c r="M222" s="493"/>
      <c r="N222" s="493"/>
      <c r="O222" s="493"/>
      <c r="P222" s="381"/>
      <c r="Q222" s="493"/>
      <c r="R222" s="381"/>
      <c r="S222" s="489"/>
      <c r="T222" s="381"/>
      <c r="U222" s="379"/>
      <c r="V222" s="435"/>
      <c r="W222" s="6"/>
    </row>
    <row r="223" spans="1:24" ht="15.6">
      <c r="A223" s="444"/>
      <c r="B223" s="440" t="s">
        <v>91</v>
      </c>
      <c r="C223" s="381"/>
      <c r="D223" s="381"/>
      <c r="E223" s="381"/>
      <c r="F223" s="381"/>
      <c r="G223" s="381"/>
      <c r="H223" s="381"/>
      <c r="I223" s="381"/>
      <c r="J223" s="381"/>
      <c r="K223" s="381"/>
      <c r="L223" s="381"/>
      <c r="M223" s="493"/>
      <c r="N223" s="381"/>
      <c r="O223" s="493"/>
      <c r="P223" s="381"/>
      <c r="Q223" s="493"/>
      <c r="R223" s="381"/>
      <c r="S223" s="489">
        <f>U33</f>
        <v>98734.701599999986</v>
      </c>
      <c r="T223" s="381"/>
      <c r="U223" s="379"/>
      <c r="V223" s="435"/>
      <c r="W223" s="6"/>
    </row>
    <row r="224" spans="1:24" ht="15.6">
      <c r="A224" s="444"/>
      <c r="B224" s="440"/>
      <c r="C224" s="381"/>
      <c r="D224" s="381"/>
      <c r="E224" s="381"/>
      <c r="F224" s="381"/>
      <c r="G224" s="381"/>
      <c r="H224" s="381"/>
      <c r="I224" s="381"/>
      <c r="J224" s="381"/>
      <c r="K224" s="381"/>
      <c r="L224" s="381"/>
      <c r="M224" s="493"/>
      <c r="N224" s="381"/>
      <c r="O224" s="493"/>
      <c r="P224" s="381"/>
      <c r="Q224" s="493"/>
      <c r="R224" s="381"/>
      <c r="S224" s="489"/>
      <c r="T224" s="381"/>
      <c r="U224" s="379"/>
      <c r="V224" s="435"/>
      <c r="W224" s="6"/>
    </row>
    <row r="225" spans="1:23" ht="15.6">
      <c r="A225" s="444"/>
      <c r="B225" s="440" t="s">
        <v>92</v>
      </c>
      <c r="C225" s="381"/>
      <c r="D225" s="381"/>
      <c r="E225" s="381"/>
      <c r="F225" s="381"/>
      <c r="G225" s="381"/>
      <c r="H225" s="381"/>
      <c r="I225" s="381"/>
      <c r="J225" s="381"/>
      <c r="K225" s="381"/>
      <c r="L225" s="381"/>
      <c r="M225" s="493"/>
      <c r="N225" s="381"/>
      <c r="O225" s="493"/>
      <c r="P225" s="381"/>
      <c r="Q225" s="493"/>
      <c r="R225" s="381"/>
      <c r="S225" s="489">
        <f>S221/S223</f>
        <v>1.0000030222403591</v>
      </c>
      <c r="T225" s="381"/>
      <c r="U225" s="379"/>
      <c r="V225" s="435"/>
      <c r="W225" s="6"/>
    </row>
    <row r="226" spans="1:23" ht="15.6">
      <c r="A226" s="444"/>
      <c r="B226" s="379"/>
      <c r="C226" s="379"/>
      <c r="D226" s="379"/>
      <c r="E226" s="379"/>
      <c r="F226" s="379"/>
      <c r="G226" s="379"/>
      <c r="H226" s="379"/>
      <c r="I226" s="379"/>
      <c r="J226" s="379"/>
      <c r="K226" s="379"/>
      <c r="L226" s="379"/>
      <c r="M226" s="380"/>
      <c r="N226" s="379"/>
      <c r="O226" s="379"/>
      <c r="P226" s="379"/>
      <c r="Q226" s="440"/>
      <c r="R226" s="497"/>
      <c r="S226" s="441"/>
      <c r="T226" s="497"/>
      <c r="U226" s="466"/>
      <c r="V226" s="410"/>
      <c r="W226" s="6"/>
    </row>
    <row r="227" spans="1:23" ht="15.6">
      <c r="A227" s="353"/>
      <c r="B227" s="494" t="s">
        <v>127</v>
      </c>
      <c r="C227" s="495"/>
      <c r="D227" s="495"/>
      <c r="E227" s="495"/>
      <c r="F227" s="495"/>
      <c r="G227" s="495"/>
      <c r="H227" s="495"/>
      <c r="I227" s="495"/>
      <c r="J227" s="495"/>
      <c r="K227" s="495"/>
      <c r="L227" s="495"/>
      <c r="M227" s="363"/>
      <c r="N227" s="364"/>
      <c r="O227" s="494"/>
      <c r="P227" s="443"/>
      <c r="Q227" s="443"/>
      <c r="R227" s="443"/>
      <c r="S227" s="496"/>
      <c r="T227" s="443"/>
      <c r="U227" s="443"/>
      <c r="V227" s="355"/>
      <c r="W227" s="6"/>
    </row>
    <row r="228" spans="1:23" ht="15.6">
      <c r="A228" s="353"/>
      <c r="B228" s="287" t="s">
        <v>128</v>
      </c>
      <c r="C228" s="354"/>
      <c r="D228" s="354"/>
      <c r="E228" s="354"/>
      <c r="F228" s="354"/>
      <c r="G228" s="354"/>
      <c r="H228" s="354"/>
      <c r="I228" s="354"/>
      <c r="J228" s="354"/>
      <c r="K228" s="354"/>
      <c r="L228" s="354"/>
      <c r="M228" s="290"/>
      <c r="N228" s="287"/>
      <c r="O228" s="287"/>
      <c r="P228" s="354"/>
      <c r="Q228" s="354"/>
      <c r="R228" s="317"/>
      <c r="S228" s="317"/>
      <c r="T228" s="317"/>
      <c r="U228" s="317"/>
      <c r="V228" s="355"/>
      <c r="W228" s="6"/>
    </row>
    <row r="229" spans="1:23" ht="15.6">
      <c r="A229" s="353"/>
      <c r="B229" s="287" t="s">
        <v>246</v>
      </c>
      <c r="C229" s="287"/>
      <c r="D229" s="287"/>
      <c r="E229" s="287"/>
      <c r="F229" s="287"/>
      <c r="G229" s="287"/>
      <c r="H229" s="287"/>
      <c r="I229" s="287"/>
      <c r="J229" s="287"/>
      <c r="K229" s="287"/>
      <c r="L229" s="287"/>
      <c r="M229" s="287"/>
      <c r="N229" s="287"/>
      <c r="O229" s="287"/>
      <c r="P229" s="287"/>
      <c r="Q229" s="287"/>
      <c r="R229" s="287"/>
      <c r="S229" s="287"/>
      <c r="T229" s="287"/>
      <c r="U229" s="287"/>
      <c r="V229" s="355"/>
      <c r="W229" s="6"/>
    </row>
    <row r="230" spans="1:23" ht="15.6">
      <c r="A230" s="353"/>
      <c r="B230" s="287" t="s">
        <v>129</v>
      </c>
      <c r="C230" s="354"/>
      <c r="D230" s="354"/>
      <c r="E230" s="354"/>
      <c r="F230" s="354"/>
      <c r="G230" s="354"/>
      <c r="H230" s="354"/>
      <c r="I230" s="354"/>
      <c r="J230" s="354"/>
      <c r="K230" s="354"/>
      <c r="L230" s="354"/>
      <c r="M230" s="290"/>
      <c r="N230" s="287"/>
      <c r="O230" s="287"/>
      <c r="P230" s="354"/>
      <c r="Q230" s="354"/>
      <c r="R230" s="317"/>
      <c r="S230" s="317"/>
      <c r="T230" s="317"/>
      <c r="U230" s="317"/>
      <c r="V230" s="355"/>
      <c r="W230" s="6"/>
    </row>
    <row r="231" spans="1:23" ht="15.6">
      <c r="A231" s="353"/>
      <c r="B231" s="287"/>
      <c r="C231" s="354"/>
      <c r="D231" s="354"/>
      <c r="E231" s="354"/>
      <c r="F231" s="354"/>
      <c r="G231" s="354"/>
      <c r="H231" s="354"/>
      <c r="I231" s="354"/>
      <c r="J231" s="354"/>
      <c r="K231" s="354"/>
      <c r="L231" s="354"/>
      <c r="M231" s="290"/>
      <c r="N231" s="287"/>
      <c r="O231" s="287"/>
      <c r="P231" s="354"/>
      <c r="Q231" s="354"/>
      <c r="R231" s="317"/>
      <c r="S231" s="317"/>
      <c r="T231" s="317"/>
      <c r="U231" s="317"/>
      <c r="V231" s="355"/>
      <c r="W231" s="6"/>
    </row>
    <row r="232" spans="1:23" ht="15.6">
      <c r="A232" s="353"/>
      <c r="B232" s="287"/>
      <c r="C232" s="354"/>
      <c r="D232" s="354"/>
      <c r="E232" s="354"/>
      <c r="F232" s="354"/>
      <c r="G232" s="354"/>
      <c r="H232" s="354"/>
      <c r="I232" s="354"/>
      <c r="J232" s="354"/>
      <c r="K232" s="354"/>
      <c r="L232" s="354"/>
      <c r="M232" s="290"/>
      <c r="N232" s="287"/>
      <c r="O232" s="287"/>
      <c r="P232" s="354"/>
      <c r="Q232" s="354"/>
      <c r="R232" s="317"/>
      <c r="S232" s="317"/>
      <c r="T232" s="317"/>
      <c r="U232" s="317"/>
      <c r="V232" s="355"/>
      <c r="W232" s="6"/>
    </row>
    <row r="233" spans="1:23" ht="16.2" thickBot="1">
      <c r="A233" s="353"/>
      <c r="B233" s="287" t="str">
        <f>+B160</f>
        <v>PPAF3 INVESTOR REPORT QUARTER ENDING MARCH 2015</v>
      </c>
      <c r="C233" s="354"/>
      <c r="D233" s="354"/>
      <c r="E233" s="354"/>
      <c r="F233" s="354"/>
      <c r="G233" s="354"/>
      <c r="H233" s="354"/>
      <c r="I233" s="354"/>
      <c r="J233" s="354"/>
      <c r="K233" s="354"/>
      <c r="L233" s="354"/>
      <c r="M233" s="290"/>
      <c r="N233" s="287"/>
      <c r="O233" s="287"/>
      <c r="P233" s="354"/>
      <c r="Q233" s="354"/>
      <c r="R233" s="317"/>
      <c r="S233" s="317"/>
      <c r="T233" s="317"/>
      <c r="U233" s="317"/>
      <c r="V233" s="356"/>
      <c r="W233" s="6"/>
    </row>
    <row r="234" spans="1:2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row>
  </sheetData>
  <hyperlinks>
    <hyperlink ref="I9" r:id="rId1"/>
    <hyperlink ref="K187"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21" man="1"/>
    <brk id="109" max="16383" man="1"/>
    <brk id="160" max="21" man="1"/>
    <brk id="239" man="1"/>
  </rowBreaks>
  <colBreaks count="1" manualBreakCount="1">
    <brk id="23" max="1048575" man="1"/>
  </col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8"/>
  </sheetPr>
  <dimension ref="A1:Y234"/>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 t="s">
        <v>223</v>
      </c>
      <c r="B1" s="3" t="s">
        <v>123</v>
      </c>
      <c r="C1" s="4"/>
      <c r="D1" s="4"/>
      <c r="E1" s="4"/>
      <c r="F1" s="4"/>
      <c r="G1" s="4"/>
      <c r="H1" s="4"/>
      <c r="I1" s="4"/>
      <c r="J1" s="4"/>
      <c r="K1" s="4"/>
      <c r="L1" s="4"/>
      <c r="M1" s="5"/>
      <c r="N1" s="5"/>
      <c r="O1" s="5"/>
      <c r="P1" s="5"/>
      <c r="Q1" s="5"/>
      <c r="R1" s="5"/>
      <c r="S1" s="5"/>
      <c r="T1" s="5"/>
      <c r="U1" s="5"/>
      <c r="V1" s="193"/>
      <c r="W1" s="6"/>
    </row>
    <row r="2" spans="1:23" ht="15.6">
      <c r="A2" s="7"/>
      <c r="B2" s="8"/>
      <c r="C2" s="8"/>
      <c r="D2" s="8"/>
      <c r="E2" s="8"/>
      <c r="F2" s="8"/>
      <c r="G2" s="8"/>
      <c r="H2" s="8"/>
      <c r="I2" s="8"/>
      <c r="J2" s="8"/>
      <c r="K2" s="8"/>
      <c r="L2" s="8"/>
      <c r="M2" s="9"/>
      <c r="N2" s="9"/>
      <c r="O2" s="9"/>
      <c r="P2" s="9"/>
      <c r="Q2" s="9"/>
      <c r="R2" s="9"/>
      <c r="S2" s="9"/>
      <c r="T2" s="9"/>
      <c r="U2" s="9"/>
      <c r="V2" s="194"/>
      <c r="W2" s="6"/>
    </row>
    <row r="3" spans="1:23" ht="15.6">
      <c r="A3" s="10"/>
      <c r="B3" s="141" t="s">
        <v>125</v>
      </c>
      <c r="C3" s="9"/>
      <c r="D3" s="9"/>
      <c r="E3" s="9"/>
      <c r="F3" s="9"/>
      <c r="G3" s="9"/>
      <c r="H3" s="9"/>
      <c r="I3" s="9"/>
      <c r="J3" s="9"/>
      <c r="K3" s="9"/>
      <c r="L3" s="9"/>
      <c r="M3" s="9"/>
      <c r="N3" s="9"/>
      <c r="O3" s="9"/>
      <c r="P3" s="9"/>
      <c r="Q3" s="9"/>
      <c r="R3" s="9"/>
      <c r="S3" s="9"/>
      <c r="T3" s="9"/>
      <c r="U3" s="9"/>
      <c r="V3" s="194"/>
      <c r="W3" s="6"/>
    </row>
    <row r="4" spans="1:23" ht="15.6">
      <c r="A4" s="7"/>
      <c r="B4" s="8"/>
      <c r="C4" s="8"/>
      <c r="D4" s="8"/>
      <c r="E4" s="8"/>
      <c r="F4" s="8"/>
      <c r="G4" s="8"/>
      <c r="H4" s="8"/>
      <c r="I4" s="8"/>
      <c r="J4" s="8"/>
      <c r="K4" s="8"/>
      <c r="L4" s="8"/>
      <c r="M4" s="9"/>
      <c r="N4" s="9"/>
      <c r="O4" s="9"/>
      <c r="P4" s="9"/>
      <c r="Q4" s="9"/>
      <c r="R4" s="9"/>
      <c r="S4" s="9"/>
      <c r="T4" s="9"/>
      <c r="U4" s="9"/>
      <c r="V4" s="194"/>
      <c r="W4" s="6"/>
    </row>
    <row r="5" spans="1:23" ht="16.2">
      <c r="A5" s="7"/>
      <c r="B5" s="192" t="s">
        <v>0</v>
      </c>
      <c r="C5" s="11"/>
      <c r="D5" s="11"/>
      <c r="E5" s="11"/>
      <c r="F5" s="11"/>
      <c r="G5" s="11"/>
      <c r="H5" s="11"/>
      <c r="I5" s="11"/>
      <c r="J5" s="11"/>
      <c r="K5" s="11"/>
      <c r="L5" s="11"/>
      <c r="M5" s="9"/>
      <c r="N5" s="9"/>
      <c r="O5" s="9"/>
      <c r="P5" s="9"/>
      <c r="Q5" s="9"/>
      <c r="R5" s="9"/>
      <c r="S5" s="9"/>
      <c r="T5" s="9"/>
      <c r="U5" s="9"/>
      <c r="V5" s="194"/>
      <c r="W5" s="6"/>
    </row>
    <row r="6" spans="1:23" ht="16.2">
      <c r="A6" s="7"/>
      <c r="B6" s="192" t="s">
        <v>1</v>
      </c>
      <c r="C6" s="11"/>
      <c r="D6" s="11"/>
      <c r="E6" s="11"/>
      <c r="F6" s="11"/>
      <c r="G6" s="11"/>
      <c r="H6" s="11"/>
      <c r="I6" s="11"/>
      <c r="J6" s="11"/>
      <c r="K6" s="11"/>
      <c r="L6" s="11"/>
      <c r="M6" s="9"/>
      <c r="N6" s="9"/>
      <c r="O6" s="9"/>
      <c r="P6" s="9"/>
      <c r="Q6" s="9"/>
      <c r="R6" s="9"/>
      <c r="S6" s="9"/>
      <c r="T6" s="9"/>
      <c r="U6" s="9"/>
      <c r="V6" s="194"/>
      <c r="W6" s="6"/>
    </row>
    <row r="7" spans="1:23" ht="16.2">
      <c r="A7" s="7"/>
      <c r="B7" s="192" t="s">
        <v>2</v>
      </c>
      <c r="C7" s="11"/>
      <c r="D7" s="11"/>
      <c r="E7" s="11"/>
      <c r="F7" s="11"/>
      <c r="G7" s="11"/>
      <c r="H7" s="11"/>
      <c r="I7" s="11"/>
      <c r="J7" s="11"/>
      <c r="K7" s="11"/>
      <c r="L7" s="11"/>
      <c r="M7" s="9"/>
      <c r="N7" s="9"/>
      <c r="O7" s="9"/>
      <c r="P7" s="9"/>
      <c r="Q7" s="9"/>
      <c r="R7" s="9"/>
      <c r="S7" s="9"/>
      <c r="T7" s="9"/>
      <c r="U7" s="9"/>
      <c r="V7" s="194"/>
      <c r="W7" s="6"/>
    </row>
    <row r="8" spans="1:23" ht="16.2">
      <c r="A8" s="7"/>
      <c r="B8" s="12"/>
      <c r="C8" s="11"/>
      <c r="D8" s="11"/>
      <c r="E8" s="11"/>
      <c r="F8" s="11"/>
      <c r="G8" s="11"/>
      <c r="H8" s="11"/>
      <c r="I8" s="11"/>
      <c r="J8" s="11"/>
      <c r="K8" s="11"/>
      <c r="L8" s="11"/>
      <c r="M8" s="9"/>
      <c r="N8" s="9"/>
      <c r="O8" s="9"/>
      <c r="P8" s="9"/>
      <c r="Q8" s="9"/>
      <c r="R8" s="9"/>
      <c r="S8" s="9"/>
      <c r="T8" s="9"/>
      <c r="U8" s="9"/>
      <c r="V8" s="194"/>
      <c r="W8" s="6"/>
    </row>
    <row r="9" spans="1:23" ht="18">
      <c r="A9" s="7"/>
      <c r="B9" s="178" t="s">
        <v>194</v>
      </c>
      <c r="C9" s="11"/>
      <c r="D9" s="11"/>
      <c r="E9" s="11"/>
      <c r="F9" s="11"/>
      <c r="G9" s="11"/>
      <c r="H9" s="11"/>
      <c r="I9" s="179" t="s">
        <v>195</v>
      </c>
      <c r="J9" s="11"/>
      <c r="K9" s="11"/>
      <c r="L9" s="11"/>
      <c r="M9" s="9"/>
      <c r="N9" s="9"/>
      <c r="O9" s="9"/>
      <c r="P9" s="9"/>
      <c r="Q9" s="9"/>
      <c r="R9" s="9"/>
      <c r="S9" s="9"/>
      <c r="T9" s="9"/>
      <c r="U9" s="9"/>
      <c r="V9" s="194"/>
      <c r="W9" s="6"/>
    </row>
    <row r="10" spans="1:23" ht="16.2">
      <c r="A10" s="7"/>
      <c r="B10" s="11"/>
      <c r="C10" s="11"/>
      <c r="D10" s="11"/>
      <c r="E10" s="11"/>
      <c r="F10" s="11"/>
      <c r="G10" s="11"/>
      <c r="H10" s="11"/>
      <c r="I10" s="11"/>
      <c r="J10" s="11"/>
      <c r="K10" s="11"/>
      <c r="L10" s="11"/>
      <c r="M10" s="13"/>
      <c r="N10" s="13"/>
      <c r="O10" s="9"/>
      <c r="P10" s="9"/>
      <c r="Q10" s="9"/>
      <c r="R10" s="9"/>
      <c r="S10" s="9"/>
      <c r="T10" s="9"/>
      <c r="U10" s="9"/>
      <c r="V10" s="194"/>
      <c r="W10" s="6"/>
    </row>
    <row r="11" spans="1:23" ht="15.6">
      <c r="A11" s="7"/>
      <c r="B11" s="13" t="s">
        <v>3</v>
      </c>
      <c r="C11" s="13"/>
      <c r="D11" s="13"/>
      <c r="E11" s="13"/>
      <c r="F11" s="13"/>
      <c r="G11" s="13"/>
      <c r="H11" s="13"/>
      <c r="I11" s="13"/>
      <c r="J11" s="13"/>
      <c r="K11" s="13"/>
      <c r="L11" s="13"/>
      <c r="M11" s="9"/>
      <c r="N11" s="9"/>
      <c r="O11" s="9"/>
      <c r="P11" s="9"/>
      <c r="Q11" s="9"/>
      <c r="R11" s="9"/>
      <c r="S11" s="9"/>
      <c r="T11" s="9"/>
      <c r="U11" s="9"/>
      <c r="V11" s="194"/>
      <c r="W11" s="6"/>
    </row>
    <row r="12" spans="1:23" ht="16.2" thickBot="1">
      <c r="A12" s="7"/>
      <c r="B12" s="13"/>
      <c r="C12" s="13"/>
      <c r="D12" s="13"/>
      <c r="E12" s="13"/>
      <c r="F12" s="13"/>
      <c r="G12" s="13"/>
      <c r="H12" s="13"/>
      <c r="I12" s="13"/>
      <c r="J12" s="13"/>
      <c r="K12" s="13"/>
      <c r="L12" s="13"/>
      <c r="M12" s="9"/>
      <c r="N12" s="9"/>
      <c r="O12" s="9"/>
      <c r="P12" s="9"/>
      <c r="Q12" s="9"/>
      <c r="R12" s="9"/>
      <c r="S12" s="9"/>
      <c r="T12" s="9"/>
      <c r="U12" s="9"/>
      <c r="V12" s="194"/>
      <c r="W12" s="6"/>
    </row>
    <row r="13" spans="1:23" ht="15.6">
      <c r="A13" s="2"/>
      <c r="B13" s="5"/>
      <c r="C13" s="5"/>
      <c r="D13" s="5"/>
      <c r="E13" s="5"/>
      <c r="F13" s="5"/>
      <c r="G13" s="5"/>
      <c r="H13" s="5"/>
      <c r="I13" s="5"/>
      <c r="J13" s="5"/>
      <c r="K13" s="5"/>
      <c r="L13" s="5"/>
      <c r="M13" s="5"/>
      <c r="N13" s="5"/>
      <c r="O13" s="5"/>
      <c r="P13" s="5"/>
      <c r="Q13" s="5"/>
      <c r="R13" s="5"/>
      <c r="S13" s="5"/>
      <c r="T13" s="5"/>
      <c r="U13" s="5"/>
      <c r="V13" s="193"/>
      <c r="W13" s="6"/>
    </row>
    <row r="14" spans="1:23" ht="15.6">
      <c r="A14" s="7"/>
      <c r="B14" s="14" t="s">
        <v>4</v>
      </c>
      <c r="C14" s="14"/>
      <c r="D14" s="14"/>
      <c r="E14" s="14"/>
      <c r="F14" s="14"/>
      <c r="G14" s="14"/>
      <c r="H14" s="14"/>
      <c r="I14" s="14"/>
      <c r="J14" s="14"/>
      <c r="K14" s="14"/>
      <c r="L14" s="14"/>
      <c r="M14" s="15"/>
      <c r="N14" s="15"/>
      <c r="O14" s="15"/>
      <c r="P14" s="15"/>
      <c r="Q14" s="15"/>
      <c r="R14" s="15"/>
      <c r="S14" s="15"/>
      <c r="T14" s="15"/>
      <c r="U14" s="16" t="s">
        <v>126</v>
      </c>
      <c r="V14" s="194"/>
      <c r="W14" s="6"/>
    </row>
    <row r="15" spans="1:23" ht="15.6">
      <c r="A15" s="7"/>
      <c r="B15" s="14" t="s">
        <v>5</v>
      </c>
      <c r="C15" s="14"/>
      <c r="D15" s="14"/>
      <c r="E15" s="14"/>
      <c r="F15" s="14"/>
      <c r="G15" s="14"/>
      <c r="H15" s="14"/>
      <c r="I15" s="14"/>
      <c r="J15" s="14"/>
      <c r="K15" s="14"/>
      <c r="L15" s="14"/>
      <c r="M15" s="17" t="s">
        <v>93</v>
      </c>
      <c r="N15" s="18">
        <v>0.1492</v>
      </c>
      <c r="O15" s="17" t="s">
        <v>99</v>
      </c>
      <c r="P15" s="18">
        <v>5.4399999999999997E-2</v>
      </c>
      <c r="Q15" s="17" t="s">
        <v>102</v>
      </c>
      <c r="R15" s="18">
        <v>0.48899999999999999</v>
      </c>
      <c r="S15" s="17" t="s">
        <v>108</v>
      </c>
      <c r="T15" s="18">
        <v>0.30740000000000001</v>
      </c>
      <c r="U15" s="16"/>
      <c r="V15" s="195"/>
      <c r="W15" s="6"/>
    </row>
    <row r="16" spans="1:23" ht="15.6">
      <c r="A16" s="7"/>
      <c r="B16" s="14" t="s">
        <v>6</v>
      </c>
      <c r="C16" s="14"/>
      <c r="D16" s="14"/>
      <c r="E16" s="14"/>
      <c r="F16" s="14"/>
      <c r="G16" s="14"/>
      <c r="H16" s="14"/>
      <c r="I16" s="14"/>
      <c r="J16" s="14"/>
      <c r="K16" s="14"/>
      <c r="L16" s="14"/>
      <c r="M16" s="17" t="s">
        <v>93</v>
      </c>
      <c r="N16" s="18">
        <f>+N198/S221</f>
        <v>8.7511111111111109E-2</v>
      </c>
      <c r="O16" s="17" t="s">
        <v>99</v>
      </c>
      <c r="P16" s="18">
        <f>+S198/S221</f>
        <v>5.5788888888888888E-2</v>
      </c>
      <c r="Q16" s="17" t="s">
        <v>102</v>
      </c>
      <c r="R16" s="18">
        <f>+N211/S221</f>
        <v>0.43555555555555553</v>
      </c>
      <c r="S16" s="17" t="s">
        <v>108</v>
      </c>
      <c r="T16" s="18">
        <f>+S211/S221</f>
        <v>0.25405111111111112</v>
      </c>
      <c r="U16" s="16"/>
      <c r="V16" s="195"/>
      <c r="W16" s="6"/>
    </row>
    <row r="17" spans="1:23" ht="15.6">
      <c r="A17" s="7"/>
      <c r="B17" s="14" t="s">
        <v>7</v>
      </c>
      <c r="C17" s="14"/>
      <c r="D17" s="14"/>
      <c r="E17" s="14"/>
      <c r="F17" s="14"/>
      <c r="G17" s="14"/>
      <c r="H17" s="14"/>
      <c r="I17" s="14"/>
      <c r="J17" s="14"/>
      <c r="K17" s="14"/>
      <c r="L17" s="14"/>
      <c r="M17" s="15"/>
      <c r="N17" s="15"/>
      <c r="O17" s="15"/>
      <c r="P17" s="15"/>
      <c r="Q17" s="15"/>
      <c r="R17" s="15"/>
      <c r="S17" s="15"/>
      <c r="T17" s="15"/>
      <c r="U17" s="19">
        <v>38491</v>
      </c>
      <c r="V17" s="194"/>
      <c r="W17" s="6"/>
    </row>
    <row r="18" spans="1:23" ht="15.6">
      <c r="A18" s="7"/>
      <c r="B18" s="14" t="s">
        <v>8</v>
      </c>
      <c r="C18" s="14"/>
      <c r="D18" s="14"/>
      <c r="E18" s="14"/>
      <c r="F18" s="14"/>
      <c r="G18" s="14"/>
      <c r="H18" s="14"/>
      <c r="I18" s="14"/>
      <c r="J18" s="14"/>
      <c r="K18" s="14"/>
      <c r="L18" s="14"/>
      <c r="M18" s="15"/>
      <c r="N18" s="15"/>
      <c r="O18" s="15"/>
      <c r="P18" s="15"/>
      <c r="Q18" s="15"/>
      <c r="R18" s="15"/>
      <c r="S18" s="15"/>
      <c r="T18" s="15"/>
      <c r="U18" s="19">
        <v>38922</v>
      </c>
      <c r="V18" s="194"/>
      <c r="W18" s="6"/>
    </row>
    <row r="19" spans="1:23" ht="15.6">
      <c r="A19" s="7"/>
      <c r="B19" s="9"/>
      <c r="C19" s="9"/>
      <c r="D19" s="9"/>
      <c r="E19" s="9"/>
      <c r="F19" s="9"/>
      <c r="G19" s="9"/>
      <c r="H19" s="9"/>
      <c r="I19" s="9"/>
      <c r="J19" s="9"/>
      <c r="K19" s="9"/>
      <c r="L19" s="9"/>
      <c r="M19" s="9"/>
      <c r="N19" s="9"/>
      <c r="O19" s="9"/>
      <c r="P19" s="9"/>
      <c r="Q19" s="9"/>
      <c r="R19" s="9"/>
      <c r="S19" s="9"/>
      <c r="T19" s="9"/>
      <c r="U19" s="20"/>
      <c r="V19" s="194"/>
      <c r="W19" s="6"/>
    </row>
    <row r="20" spans="1:23" ht="15.6">
      <c r="A20" s="7"/>
      <c r="B20" s="21" t="s">
        <v>9</v>
      </c>
      <c r="C20" s="9"/>
      <c r="D20" s="9"/>
      <c r="E20" s="9"/>
      <c r="F20" s="9"/>
      <c r="G20" s="9"/>
      <c r="H20" s="9"/>
      <c r="I20" s="9"/>
      <c r="J20" s="9"/>
      <c r="K20" s="9"/>
      <c r="L20" s="9"/>
      <c r="M20" s="9"/>
      <c r="N20" s="9"/>
      <c r="O20" s="9"/>
      <c r="P20" s="9"/>
      <c r="Q20" s="9"/>
      <c r="R20" s="9"/>
      <c r="S20" s="20"/>
      <c r="T20" s="9"/>
      <c r="U20" s="12"/>
      <c r="V20" s="194"/>
      <c r="W20" s="6"/>
    </row>
    <row r="21" spans="1:23" ht="15.6">
      <c r="A21" s="7"/>
      <c r="B21" s="9"/>
      <c r="C21" s="9"/>
      <c r="D21" s="9"/>
      <c r="E21" s="9"/>
      <c r="F21" s="9"/>
      <c r="G21" s="9"/>
      <c r="H21" s="9"/>
      <c r="I21" s="9"/>
      <c r="J21" s="9"/>
      <c r="K21" s="9"/>
      <c r="L21" s="9"/>
      <c r="M21" s="9"/>
      <c r="N21" s="9"/>
      <c r="O21" s="9"/>
      <c r="P21" s="9"/>
      <c r="Q21" s="9"/>
      <c r="R21" s="9"/>
      <c r="S21" s="9"/>
      <c r="T21" s="9"/>
      <c r="U21" s="22"/>
      <c r="V21" s="194"/>
      <c r="W21" s="6"/>
    </row>
    <row r="22" spans="1:23" ht="15.6">
      <c r="A22" s="7"/>
      <c r="B22" s="9"/>
      <c r="C22" s="142" t="s">
        <v>130</v>
      </c>
      <c r="D22" s="142"/>
      <c r="E22" s="142" t="s">
        <v>131</v>
      </c>
      <c r="F22" s="142"/>
      <c r="G22" s="142" t="s">
        <v>132</v>
      </c>
      <c r="H22" s="142"/>
      <c r="I22" s="142" t="s">
        <v>133</v>
      </c>
      <c r="J22" s="142"/>
      <c r="K22" s="142" t="s">
        <v>134</v>
      </c>
      <c r="L22" s="142"/>
      <c r="M22" s="144" t="s">
        <v>135</v>
      </c>
      <c r="N22" s="144"/>
      <c r="O22" s="144" t="s">
        <v>136</v>
      </c>
      <c r="P22" s="144"/>
      <c r="Q22" s="144" t="s">
        <v>137</v>
      </c>
      <c r="R22" s="23"/>
      <c r="S22" s="24"/>
      <c r="T22" s="12"/>
      <c r="U22" s="12"/>
      <c r="V22" s="194"/>
      <c r="W22" s="6"/>
    </row>
    <row r="23" spans="1:23" ht="15.6">
      <c r="A23" s="25"/>
      <c r="B23" s="26" t="s">
        <v>10</v>
      </c>
      <c r="C23" s="157" t="s">
        <v>96</v>
      </c>
      <c r="D23" s="157"/>
      <c r="E23" s="157" t="s">
        <v>96</v>
      </c>
      <c r="F23" s="157"/>
      <c r="G23" s="157" t="s">
        <v>138</v>
      </c>
      <c r="H23" s="157"/>
      <c r="I23" s="157" t="s">
        <v>138</v>
      </c>
      <c r="J23" s="157"/>
      <c r="K23" s="157" t="s">
        <v>104</v>
      </c>
      <c r="L23" s="143"/>
      <c r="M23" s="28" t="s">
        <v>104</v>
      </c>
      <c r="N23" s="28"/>
      <c r="O23" s="28" t="s">
        <v>109</v>
      </c>
      <c r="P23" s="28"/>
      <c r="Q23" s="28" t="s">
        <v>109</v>
      </c>
      <c r="R23" s="28"/>
      <c r="S23" s="28"/>
      <c r="T23" s="29"/>
      <c r="U23" s="29"/>
      <c r="V23" s="196"/>
      <c r="W23" s="6"/>
    </row>
    <row r="24" spans="1:23" ht="15.6">
      <c r="A24" s="25"/>
      <c r="B24" s="26" t="s">
        <v>11</v>
      </c>
      <c r="C24" s="157" t="s">
        <v>97</v>
      </c>
      <c r="D24" s="157"/>
      <c r="E24" s="157" t="s">
        <v>97</v>
      </c>
      <c r="F24" s="157"/>
      <c r="G24" s="157" t="s">
        <v>139</v>
      </c>
      <c r="H24" s="157"/>
      <c r="I24" s="157" t="s">
        <v>139</v>
      </c>
      <c r="J24" s="157"/>
      <c r="K24" s="157" t="s">
        <v>105</v>
      </c>
      <c r="L24" s="27"/>
      <c r="M24" s="28" t="s">
        <v>105</v>
      </c>
      <c r="N24" s="28"/>
      <c r="O24" s="28" t="s">
        <v>110</v>
      </c>
      <c r="P24" s="28"/>
      <c r="Q24" s="28" t="s">
        <v>110</v>
      </c>
      <c r="R24" s="28"/>
      <c r="S24" s="28"/>
      <c r="T24" s="29"/>
      <c r="U24" s="29"/>
      <c r="V24" s="196"/>
      <c r="W24" s="6"/>
    </row>
    <row r="25" spans="1:23" ht="15.6">
      <c r="A25" s="25"/>
      <c r="B25" s="30" t="s">
        <v>12</v>
      </c>
      <c r="C25" s="110" t="s">
        <v>96</v>
      </c>
      <c r="D25" s="110"/>
      <c r="E25" s="110" t="s">
        <v>96</v>
      </c>
      <c r="F25" s="110"/>
      <c r="G25" s="110" t="s">
        <v>138</v>
      </c>
      <c r="H25" s="110"/>
      <c r="I25" s="110" t="s">
        <v>138</v>
      </c>
      <c r="J25" s="30"/>
      <c r="K25" s="110" t="s">
        <v>104</v>
      </c>
      <c r="L25" s="30"/>
      <c r="M25" s="31" t="s">
        <v>104</v>
      </c>
      <c r="N25" s="28"/>
      <c r="O25" s="31" t="s">
        <v>109</v>
      </c>
      <c r="P25" s="28"/>
      <c r="Q25" s="31" t="s">
        <v>109</v>
      </c>
      <c r="R25" s="31"/>
      <c r="S25" s="31"/>
      <c r="T25" s="32"/>
      <c r="U25" s="29"/>
      <c r="V25" s="196"/>
      <c r="W25" s="6"/>
    </row>
    <row r="26" spans="1:23" ht="15.6">
      <c r="A26" s="25"/>
      <c r="B26" s="30" t="s">
        <v>13</v>
      </c>
      <c r="C26" s="110" t="s">
        <v>97</v>
      </c>
      <c r="D26" s="110"/>
      <c r="E26" s="110" t="s">
        <v>97</v>
      </c>
      <c r="F26" s="110"/>
      <c r="G26" s="110" t="s">
        <v>139</v>
      </c>
      <c r="H26" s="110"/>
      <c r="I26" s="110" t="s">
        <v>139</v>
      </c>
      <c r="J26" s="30"/>
      <c r="K26" s="110" t="s">
        <v>105</v>
      </c>
      <c r="L26" s="30"/>
      <c r="M26" s="31" t="s">
        <v>105</v>
      </c>
      <c r="N26" s="28"/>
      <c r="O26" s="31" t="s">
        <v>110</v>
      </c>
      <c r="P26" s="28"/>
      <c r="Q26" s="31" t="s">
        <v>110</v>
      </c>
      <c r="R26" s="31"/>
      <c r="S26" s="31"/>
      <c r="T26" s="32"/>
      <c r="U26" s="29"/>
      <c r="V26" s="196"/>
      <c r="W26" s="6"/>
    </row>
    <row r="27" spans="1:23" ht="15.6">
      <c r="A27" s="25"/>
      <c r="B27" s="26" t="s">
        <v>14</v>
      </c>
      <c r="C27" s="33" t="s">
        <v>140</v>
      </c>
      <c r="D27" s="26"/>
      <c r="E27" s="33" t="s">
        <v>141</v>
      </c>
      <c r="F27" s="26"/>
      <c r="G27" s="33" t="s">
        <v>142</v>
      </c>
      <c r="H27" s="26"/>
      <c r="I27" s="33" t="s">
        <v>258</v>
      </c>
      <c r="J27" s="26"/>
      <c r="K27" s="33" t="s">
        <v>143</v>
      </c>
      <c r="L27" s="26"/>
      <c r="M27" s="26" t="s">
        <v>144</v>
      </c>
      <c r="N27" s="28"/>
      <c r="O27" s="26" t="s">
        <v>145</v>
      </c>
      <c r="P27" s="28"/>
      <c r="Q27" s="26" t="s">
        <v>146</v>
      </c>
      <c r="R27" s="28"/>
      <c r="S27" s="33"/>
      <c r="T27" s="29"/>
      <c r="U27" s="29"/>
      <c r="V27" s="196"/>
      <c r="W27" s="6"/>
    </row>
    <row r="28" spans="1:23" ht="15.6">
      <c r="A28" s="25"/>
      <c r="B28" s="26" t="s">
        <v>147</v>
      </c>
      <c r="C28" s="168">
        <v>146000</v>
      </c>
      <c r="D28" s="33"/>
      <c r="E28" s="165">
        <v>259500</v>
      </c>
      <c r="F28" s="33"/>
      <c r="G28" s="168">
        <v>16000</v>
      </c>
      <c r="H28" s="33"/>
      <c r="I28" s="165">
        <v>35500</v>
      </c>
      <c r="J28" s="26"/>
      <c r="K28" s="168">
        <v>18000</v>
      </c>
      <c r="L28" s="26"/>
      <c r="M28" s="165">
        <v>33000</v>
      </c>
      <c r="N28" s="35"/>
      <c r="O28" s="34">
        <v>24500</v>
      </c>
      <c r="P28" s="34"/>
      <c r="Q28" s="165">
        <v>30000</v>
      </c>
      <c r="R28" s="34"/>
      <c r="S28" s="34"/>
      <c r="T28" s="36"/>
      <c r="U28" s="34"/>
      <c r="V28" s="197"/>
      <c r="W28" s="6"/>
    </row>
    <row r="29" spans="1:23" ht="15.6">
      <c r="A29" s="25"/>
      <c r="B29" s="26" t="s">
        <v>15</v>
      </c>
      <c r="C29" s="168">
        <v>146000</v>
      </c>
      <c r="D29" s="169"/>
      <c r="E29" s="165">
        <v>259500</v>
      </c>
      <c r="F29" s="169"/>
      <c r="G29" s="168">
        <v>16000</v>
      </c>
      <c r="H29" s="169"/>
      <c r="I29" s="165">
        <v>35500</v>
      </c>
      <c r="J29" s="38"/>
      <c r="K29" s="168">
        <v>18000</v>
      </c>
      <c r="L29" s="38"/>
      <c r="M29" s="165">
        <v>33000</v>
      </c>
      <c r="N29" s="35"/>
      <c r="O29" s="34">
        <v>24500</v>
      </c>
      <c r="P29" s="34"/>
      <c r="Q29" s="165">
        <v>30000</v>
      </c>
      <c r="R29" s="39"/>
      <c r="S29" s="34"/>
      <c r="T29" s="36"/>
      <c r="U29" s="34"/>
      <c r="V29" s="197"/>
      <c r="W29" s="6"/>
    </row>
    <row r="30" spans="1:23" ht="15.6">
      <c r="A30" s="40"/>
      <c r="B30" s="30" t="s">
        <v>148</v>
      </c>
      <c r="C30" s="162">
        <v>146000</v>
      </c>
      <c r="D30" s="170"/>
      <c r="E30" s="171">
        <v>259500</v>
      </c>
      <c r="F30" s="170"/>
      <c r="G30" s="162">
        <v>16000</v>
      </c>
      <c r="H30" s="170"/>
      <c r="I30" s="171">
        <v>35500</v>
      </c>
      <c r="J30" s="159"/>
      <c r="K30" s="162">
        <v>18000</v>
      </c>
      <c r="L30" s="41"/>
      <c r="M30" s="166">
        <v>33000</v>
      </c>
      <c r="N30" s="43"/>
      <c r="O30" s="42">
        <v>24500</v>
      </c>
      <c r="P30" s="42"/>
      <c r="Q30" s="166">
        <v>30000</v>
      </c>
      <c r="R30" s="42"/>
      <c r="S30" s="42"/>
      <c r="T30" s="44"/>
      <c r="U30" s="42"/>
      <c r="V30" s="196"/>
      <c r="W30" s="6"/>
    </row>
    <row r="31" spans="1:23" ht="15.6">
      <c r="A31" s="40"/>
      <c r="B31" s="158" t="s">
        <v>260</v>
      </c>
      <c r="C31" s="172">
        <v>146000</v>
      </c>
      <c r="D31" s="173"/>
      <c r="E31" s="172">
        <v>178000</v>
      </c>
      <c r="F31" s="172"/>
      <c r="G31" s="172">
        <v>16000</v>
      </c>
      <c r="H31" s="172"/>
      <c r="I31" s="172">
        <v>24500</v>
      </c>
      <c r="J31" s="161"/>
      <c r="K31" s="172">
        <v>18000</v>
      </c>
      <c r="L31" s="161"/>
      <c r="M31" s="167">
        <v>22500</v>
      </c>
      <c r="N31" s="164"/>
      <c r="O31" s="167">
        <v>24500</v>
      </c>
      <c r="P31" s="163"/>
      <c r="Q31" s="167">
        <v>20500</v>
      </c>
      <c r="R31" s="42"/>
      <c r="S31" s="42"/>
      <c r="T31" s="44"/>
      <c r="U31" s="34">
        <f>+Q31+O31+M31+K31+I31+G31+E31+C31</f>
        <v>450000</v>
      </c>
      <c r="V31" s="196"/>
      <c r="W31" s="6"/>
    </row>
    <row r="32" spans="1:23" ht="15.6">
      <c r="A32" s="40"/>
      <c r="B32" s="158" t="s">
        <v>261</v>
      </c>
      <c r="C32" s="172">
        <v>146000</v>
      </c>
      <c r="D32" s="173"/>
      <c r="E32" s="172">
        <v>178000</v>
      </c>
      <c r="F32" s="172"/>
      <c r="G32" s="172">
        <v>16000</v>
      </c>
      <c r="H32" s="172"/>
      <c r="I32" s="172">
        <v>24500</v>
      </c>
      <c r="J32" s="161"/>
      <c r="K32" s="172">
        <v>18000</v>
      </c>
      <c r="L32" s="161"/>
      <c r="M32" s="167">
        <v>22500</v>
      </c>
      <c r="N32" s="164"/>
      <c r="O32" s="167">
        <v>24500</v>
      </c>
      <c r="P32" s="163"/>
      <c r="Q32" s="167">
        <v>20500</v>
      </c>
      <c r="R32" s="42"/>
      <c r="S32" s="42"/>
      <c r="T32" s="44"/>
      <c r="U32" s="34">
        <f>+Q32+O32+M32+K32+I32+G32+E32+C32</f>
        <v>450000</v>
      </c>
      <c r="V32" s="196"/>
      <c r="W32" s="6"/>
    </row>
    <row r="33" spans="1:23" ht="15.6">
      <c r="A33" s="40"/>
      <c r="B33" s="30" t="s">
        <v>262</v>
      </c>
      <c r="C33" s="162">
        <v>146000</v>
      </c>
      <c r="D33" s="162"/>
      <c r="E33" s="162">
        <v>178000</v>
      </c>
      <c r="F33" s="162"/>
      <c r="G33" s="162">
        <v>16000</v>
      </c>
      <c r="H33" s="162"/>
      <c r="I33" s="162">
        <v>24500</v>
      </c>
      <c r="J33" s="160"/>
      <c r="K33" s="162">
        <v>18000</v>
      </c>
      <c r="L33" s="160"/>
      <c r="M33" s="162">
        <v>22500</v>
      </c>
      <c r="N33" s="160"/>
      <c r="O33" s="162">
        <v>24500</v>
      </c>
      <c r="P33" s="162"/>
      <c r="Q33" s="162">
        <v>20500</v>
      </c>
      <c r="R33" s="42"/>
      <c r="S33" s="42"/>
      <c r="T33" s="44"/>
      <c r="U33" s="42">
        <f>+Q33+O33+M33+K33+I33+G33+E33+C33</f>
        <v>450000</v>
      </c>
      <c r="V33" s="196"/>
      <c r="W33" s="6"/>
    </row>
    <row r="34" spans="1:23" ht="15.6">
      <c r="A34" s="40"/>
      <c r="B34" s="174" t="s">
        <v>149</v>
      </c>
      <c r="C34" s="175">
        <v>1</v>
      </c>
      <c r="D34" s="175"/>
      <c r="E34" s="175">
        <v>1</v>
      </c>
      <c r="F34" s="175"/>
      <c r="G34" s="175">
        <v>1</v>
      </c>
      <c r="H34" s="175"/>
      <c r="I34" s="175">
        <v>1</v>
      </c>
      <c r="J34" s="175"/>
      <c r="K34" s="175">
        <v>1</v>
      </c>
      <c r="L34" s="175"/>
      <c r="M34" s="175">
        <v>1</v>
      </c>
      <c r="N34" s="175"/>
      <c r="O34" s="175">
        <v>1</v>
      </c>
      <c r="P34" s="175"/>
      <c r="Q34" s="175">
        <v>1</v>
      </c>
      <c r="R34" s="176"/>
      <c r="S34" s="42"/>
      <c r="T34" s="44"/>
      <c r="U34" s="42"/>
      <c r="V34" s="196"/>
      <c r="W34" s="6"/>
    </row>
    <row r="35" spans="1:23" ht="15.6">
      <c r="A35" s="40"/>
      <c r="B35" s="174" t="s">
        <v>150</v>
      </c>
      <c r="C35" s="175">
        <v>1</v>
      </c>
      <c r="D35" s="175"/>
      <c r="E35" s="175">
        <v>1</v>
      </c>
      <c r="F35" s="175"/>
      <c r="G35" s="175">
        <v>1</v>
      </c>
      <c r="H35" s="175"/>
      <c r="I35" s="175">
        <v>1</v>
      </c>
      <c r="J35" s="175"/>
      <c r="K35" s="175">
        <v>1</v>
      </c>
      <c r="L35" s="175"/>
      <c r="M35" s="175">
        <v>1</v>
      </c>
      <c r="N35" s="175"/>
      <c r="O35" s="175">
        <v>1</v>
      </c>
      <c r="P35" s="175"/>
      <c r="Q35" s="175">
        <v>1</v>
      </c>
      <c r="R35" s="176"/>
      <c r="S35" s="42"/>
      <c r="T35" s="44"/>
      <c r="U35" s="42"/>
      <c r="V35" s="196"/>
      <c r="W35" s="6"/>
    </row>
    <row r="36" spans="1:23" ht="15.6">
      <c r="A36" s="25"/>
      <c r="B36" s="26" t="s">
        <v>153</v>
      </c>
      <c r="C36" s="157" t="s">
        <v>157</v>
      </c>
      <c r="D36" s="157"/>
      <c r="E36" s="157" t="s">
        <v>157</v>
      </c>
      <c r="F36" s="157"/>
      <c r="G36" s="157" t="s">
        <v>158</v>
      </c>
      <c r="H36" s="157"/>
      <c r="I36" s="157" t="s">
        <v>158</v>
      </c>
      <c r="J36" s="157"/>
      <c r="K36" s="157" t="s">
        <v>159</v>
      </c>
      <c r="L36" s="184"/>
      <c r="M36" s="157" t="s">
        <v>160</v>
      </c>
      <c r="N36" s="158"/>
      <c r="O36" s="157" t="s">
        <v>161</v>
      </c>
      <c r="P36" s="157"/>
      <c r="Q36" s="157" t="s">
        <v>162</v>
      </c>
      <c r="R36" s="157"/>
      <c r="S36" s="157"/>
      <c r="T36" s="158"/>
      <c r="U36" s="29"/>
      <c r="V36" s="196"/>
      <c r="W36" s="6"/>
    </row>
    <row r="37" spans="1:23" ht="15.6">
      <c r="A37" s="25"/>
      <c r="B37" s="26" t="s">
        <v>151</v>
      </c>
      <c r="C37" s="185">
        <v>4.8468799999999999E-2</v>
      </c>
      <c r="D37" s="185"/>
      <c r="E37" s="185">
        <v>2.9839999999999998E-2</v>
      </c>
      <c r="F37" s="185"/>
      <c r="G37" s="185">
        <v>4.9568800000000003E-2</v>
      </c>
      <c r="H37" s="185"/>
      <c r="I37" s="185">
        <v>3.0939999999999999E-2</v>
      </c>
      <c r="J37" s="185"/>
      <c r="K37" s="185">
        <v>5.2268799999999997E-2</v>
      </c>
      <c r="L37" s="185"/>
      <c r="M37" s="185">
        <v>3.3340000000000002E-2</v>
      </c>
      <c r="N37" s="185"/>
      <c r="O37" s="185">
        <v>5.57688E-2</v>
      </c>
      <c r="P37" s="185"/>
      <c r="Q37" s="185">
        <v>3.6639999999999999E-2</v>
      </c>
      <c r="R37" s="186"/>
      <c r="S37" s="185"/>
      <c r="T37" s="158"/>
      <c r="U37" s="33"/>
      <c r="V37" s="196"/>
      <c r="W37" s="6"/>
    </row>
    <row r="38" spans="1:23" ht="15.6">
      <c r="A38" s="25"/>
      <c r="B38" s="26" t="s">
        <v>152</v>
      </c>
      <c r="C38" s="185">
        <v>4.8206300000000001E-2</v>
      </c>
      <c r="D38" s="185"/>
      <c r="E38" s="185">
        <v>2.734E-2</v>
      </c>
      <c r="F38" s="185"/>
      <c r="G38" s="185">
        <v>4.9306299999999997E-2</v>
      </c>
      <c r="H38" s="185"/>
      <c r="I38" s="185">
        <v>2.844E-2</v>
      </c>
      <c r="J38" s="185"/>
      <c r="K38" s="185">
        <v>5.2006299999999998E-2</v>
      </c>
      <c r="L38" s="185"/>
      <c r="M38" s="185">
        <v>3.0839999999999999E-2</v>
      </c>
      <c r="N38" s="185"/>
      <c r="O38" s="185">
        <v>5.5506300000000001E-2</v>
      </c>
      <c r="P38" s="185"/>
      <c r="Q38" s="185">
        <v>3.4139999999999997E-2</v>
      </c>
      <c r="R38" s="186"/>
      <c r="S38" s="185"/>
      <c r="T38" s="158"/>
      <c r="U38" s="29"/>
      <c r="V38" s="196"/>
      <c r="W38" s="6"/>
    </row>
    <row r="39" spans="1:23" ht="15.6">
      <c r="A39" s="25"/>
      <c r="B39" s="26" t="s">
        <v>263</v>
      </c>
      <c r="C39" s="157" t="s">
        <v>157</v>
      </c>
      <c r="D39" s="185"/>
      <c r="E39" s="185" t="s">
        <v>198</v>
      </c>
      <c r="F39" s="185"/>
      <c r="G39" s="157" t="s">
        <v>158</v>
      </c>
      <c r="H39" s="185"/>
      <c r="I39" s="185" t="s">
        <v>225</v>
      </c>
      <c r="J39" s="185"/>
      <c r="K39" s="157" t="s">
        <v>159</v>
      </c>
      <c r="L39" s="185"/>
      <c r="M39" s="185" t="s">
        <v>199</v>
      </c>
      <c r="N39" s="185"/>
      <c r="O39" s="157" t="s">
        <v>161</v>
      </c>
      <c r="P39" s="185"/>
      <c r="Q39" s="185" t="s">
        <v>200</v>
      </c>
      <c r="R39" s="186"/>
      <c r="S39" s="185"/>
      <c r="T39" s="158"/>
      <c r="U39" s="29"/>
      <c r="V39" s="196"/>
      <c r="W39" s="6"/>
    </row>
    <row r="40" spans="1:23" ht="15.6">
      <c r="A40" s="25"/>
      <c r="B40" s="26" t="s">
        <v>264</v>
      </c>
      <c r="C40" s="185">
        <f>+C37</f>
        <v>4.8468799999999999E-2</v>
      </c>
      <c r="D40" s="185"/>
      <c r="E40" s="185">
        <v>4.8756800000000003E-2</v>
      </c>
      <c r="F40" s="185"/>
      <c r="G40" s="185">
        <f>+G37</f>
        <v>4.9568800000000003E-2</v>
      </c>
      <c r="H40" s="185"/>
      <c r="I40" s="185">
        <v>4.9935300000000002E-2</v>
      </c>
      <c r="J40" s="185"/>
      <c r="K40" s="185">
        <f>+K37</f>
        <v>5.2268799999999997E-2</v>
      </c>
      <c r="L40" s="184"/>
      <c r="M40" s="185">
        <v>5.2548999999999998E-2</v>
      </c>
      <c r="N40" s="184"/>
      <c r="O40" s="185">
        <f>+O37</f>
        <v>5.57688E-2</v>
      </c>
      <c r="P40" s="185"/>
      <c r="Q40" s="185">
        <v>5.6182000000000003E-2</v>
      </c>
      <c r="R40" s="186"/>
      <c r="S40" s="185"/>
      <c r="T40" s="158"/>
      <c r="U40" s="45">
        <f>SUMPRODUCT(C40:Q40,C31:Q31)/U31</f>
        <v>4.9806507444444446E-2</v>
      </c>
      <c r="V40" s="196"/>
      <c r="W40" s="6"/>
    </row>
    <row r="41" spans="1:23" ht="15.6">
      <c r="A41" s="25"/>
      <c r="B41" s="26" t="s">
        <v>265</v>
      </c>
      <c r="C41" s="185">
        <f>+C38</f>
        <v>4.8206300000000001E-2</v>
      </c>
      <c r="D41" s="185"/>
      <c r="E41" s="185">
        <v>4.8494299999999997E-2</v>
      </c>
      <c r="F41" s="185"/>
      <c r="G41" s="185">
        <f>+G38</f>
        <v>4.9306299999999997E-2</v>
      </c>
      <c r="H41" s="185"/>
      <c r="I41" s="185">
        <v>4.9672800000000003E-2</v>
      </c>
      <c r="J41" s="185"/>
      <c r="K41" s="185">
        <f>+K38</f>
        <v>5.2006299999999998E-2</v>
      </c>
      <c r="L41" s="184"/>
      <c r="M41" s="185">
        <v>5.22865E-2</v>
      </c>
      <c r="N41" s="184"/>
      <c r="O41" s="185">
        <f>+O38</f>
        <v>5.5506300000000001E-2</v>
      </c>
      <c r="P41" s="185"/>
      <c r="Q41" s="185">
        <v>5.5919499999999997E-2</v>
      </c>
      <c r="R41" s="186"/>
      <c r="S41" s="185"/>
      <c r="T41" s="158"/>
      <c r="U41" s="29"/>
      <c r="V41" s="196"/>
      <c r="W41" s="6"/>
    </row>
    <row r="42" spans="1:23" ht="15.6">
      <c r="A42" s="25"/>
      <c r="B42" s="26" t="s">
        <v>17</v>
      </c>
      <c r="C42" s="187">
        <v>39918</v>
      </c>
      <c r="D42" s="187"/>
      <c r="E42" s="187">
        <v>39918</v>
      </c>
      <c r="F42" s="187"/>
      <c r="G42" s="187">
        <v>39918</v>
      </c>
      <c r="H42" s="187"/>
      <c r="I42" s="187">
        <v>39918</v>
      </c>
      <c r="J42" s="187"/>
      <c r="K42" s="187">
        <v>39918</v>
      </c>
      <c r="L42" s="187"/>
      <c r="M42" s="187">
        <v>39918</v>
      </c>
      <c r="N42" s="187"/>
      <c r="O42" s="187">
        <v>39918</v>
      </c>
      <c r="P42" s="187"/>
      <c r="Q42" s="187">
        <v>39918</v>
      </c>
      <c r="R42" s="157"/>
      <c r="S42" s="157"/>
      <c r="T42" s="158"/>
      <c r="U42" s="29"/>
      <c r="V42" s="196"/>
      <c r="W42" s="6"/>
    </row>
    <row r="43" spans="1:23" ht="15.6">
      <c r="A43" s="25"/>
      <c r="B43" s="26" t="s">
        <v>18</v>
      </c>
      <c r="C43" s="46">
        <v>40283</v>
      </c>
      <c r="D43" s="51"/>
      <c r="E43" s="46">
        <v>40283</v>
      </c>
      <c r="F43" s="51"/>
      <c r="G43" s="46">
        <v>40283</v>
      </c>
      <c r="H43" s="51"/>
      <c r="I43" s="46">
        <v>40283</v>
      </c>
      <c r="J43" s="51"/>
      <c r="K43" s="46">
        <v>40283</v>
      </c>
      <c r="L43" s="51"/>
      <c r="M43" s="46">
        <v>40283</v>
      </c>
      <c r="N43" s="51"/>
      <c r="O43" s="46">
        <v>40283</v>
      </c>
      <c r="P43" s="46"/>
      <c r="Q43" s="46">
        <v>40283</v>
      </c>
      <c r="R43" s="33"/>
      <c r="S43" s="33"/>
      <c r="T43" s="29"/>
      <c r="U43" s="29"/>
      <c r="V43" s="196"/>
      <c r="W43" s="6"/>
    </row>
    <row r="44" spans="1:23" ht="15.6">
      <c r="A44" s="25"/>
      <c r="B44" s="26" t="s">
        <v>154</v>
      </c>
      <c r="C44" s="33" t="s">
        <v>163</v>
      </c>
      <c r="D44" s="33"/>
      <c r="E44" s="33" t="s">
        <v>163</v>
      </c>
      <c r="F44" s="33"/>
      <c r="G44" s="33" t="s">
        <v>164</v>
      </c>
      <c r="H44" s="33"/>
      <c r="I44" s="33" t="s">
        <v>164</v>
      </c>
      <c r="J44" s="33"/>
      <c r="K44" s="33" t="s">
        <v>106</v>
      </c>
      <c r="L44" s="33"/>
      <c r="M44" s="33" t="s">
        <v>165</v>
      </c>
      <c r="N44" s="33"/>
      <c r="O44" s="33" t="s">
        <v>166</v>
      </c>
      <c r="P44" s="33"/>
      <c r="Q44" s="33" t="s">
        <v>167</v>
      </c>
      <c r="R44" s="33"/>
      <c r="S44" s="33"/>
      <c r="T44" s="29"/>
      <c r="U44" s="29"/>
      <c r="V44" s="196"/>
      <c r="W44" s="6"/>
    </row>
    <row r="45" spans="1:23" ht="15.6">
      <c r="A45" s="25"/>
      <c r="B45" s="26" t="s">
        <v>266</v>
      </c>
      <c r="C45" s="33" t="s">
        <v>163</v>
      </c>
      <c r="D45" s="26"/>
      <c r="E45" s="33" t="s">
        <v>228</v>
      </c>
      <c r="F45" s="26"/>
      <c r="G45" s="33" t="s">
        <v>164</v>
      </c>
      <c r="H45" s="26"/>
      <c r="I45" s="33" t="s">
        <v>226</v>
      </c>
      <c r="J45" s="26"/>
      <c r="K45" s="33" t="s">
        <v>106</v>
      </c>
      <c r="L45" s="26"/>
      <c r="M45" s="33" t="s">
        <v>227</v>
      </c>
      <c r="N45" s="26"/>
      <c r="O45" s="33" t="s">
        <v>166</v>
      </c>
      <c r="P45" s="33"/>
      <c r="Q45" s="33" t="s">
        <v>229</v>
      </c>
      <c r="R45" s="33"/>
      <c r="S45" s="33"/>
      <c r="T45" s="29"/>
      <c r="U45" s="29"/>
      <c r="V45" s="196"/>
      <c r="W45" s="6"/>
    </row>
    <row r="46" spans="1:23" ht="15.6">
      <c r="A46" s="25"/>
      <c r="B46" s="26"/>
      <c r="C46" s="26"/>
      <c r="D46" s="26"/>
      <c r="E46" s="26"/>
      <c r="F46" s="26"/>
      <c r="G46" s="26"/>
      <c r="H46" s="26"/>
      <c r="I46" s="26"/>
      <c r="J46" s="26"/>
      <c r="K46" s="26"/>
      <c r="L46" s="26"/>
      <c r="M46" s="47"/>
      <c r="N46" s="47"/>
      <c r="O46" s="26"/>
      <c r="P46" s="47"/>
      <c r="Q46" s="47"/>
      <c r="R46" s="47"/>
      <c r="S46" s="47"/>
      <c r="T46" s="47"/>
      <c r="U46" s="47"/>
      <c r="V46" s="196"/>
      <c r="W46" s="6"/>
    </row>
    <row r="47" spans="1:23" ht="15.6">
      <c r="A47" s="25"/>
      <c r="B47" s="26" t="s">
        <v>201</v>
      </c>
      <c r="C47" s="26"/>
      <c r="D47" s="26"/>
      <c r="E47" s="26"/>
      <c r="F47" s="26"/>
      <c r="G47" s="26"/>
      <c r="H47" s="26"/>
      <c r="I47" s="26"/>
      <c r="J47" s="26"/>
      <c r="K47" s="26"/>
      <c r="L47" s="26"/>
      <c r="M47" s="26"/>
      <c r="N47" s="26"/>
      <c r="O47" s="26"/>
      <c r="P47" s="26"/>
      <c r="Q47" s="26"/>
      <c r="R47" s="26"/>
      <c r="S47" s="26"/>
      <c r="T47" s="26"/>
      <c r="U47" s="45">
        <f>SUM(G31:Q31)/(C31+E31)</f>
        <v>0.3888888888888889</v>
      </c>
      <c r="V47" s="196"/>
      <c r="W47" s="6"/>
    </row>
    <row r="48" spans="1:23" ht="15.6">
      <c r="A48" s="25"/>
      <c r="B48" s="26" t="s">
        <v>202</v>
      </c>
      <c r="C48" s="26"/>
      <c r="D48" s="26"/>
      <c r="E48" s="26"/>
      <c r="F48" s="26"/>
      <c r="G48" s="26"/>
      <c r="H48" s="26"/>
      <c r="I48" s="26"/>
      <c r="J48" s="26"/>
      <c r="K48" s="26"/>
      <c r="L48" s="26"/>
      <c r="M48" s="26"/>
      <c r="N48" s="26"/>
      <c r="O48" s="26"/>
      <c r="P48" s="26"/>
      <c r="Q48" s="26"/>
      <c r="R48" s="26"/>
      <c r="S48" s="26"/>
      <c r="T48" s="26"/>
      <c r="U48" s="45">
        <f>SUM(F33:Q33)/(C33+E33)</f>
        <v>0.3888888888888889</v>
      </c>
      <c r="V48" s="196"/>
      <c r="W48" s="6"/>
    </row>
    <row r="49" spans="1:23" ht="15.6">
      <c r="A49" s="25"/>
      <c r="B49" s="26" t="s">
        <v>203</v>
      </c>
      <c r="C49" s="26"/>
      <c r="D49" s="26"/>
      <c r="E49" s="26"/>
      <c r="F49" s="26"/>
      <c r="G49" s="26"/>
      <c r="H49" s="26"/>
      <c r="I49" s="26"/>
      <c r="J49" s="26"/>
      <c r="K49" s="26"/>
      <c r="L49" s="26"/>
      <c r="M49" s="26"/>
      <c r="N49" s="26"/>
      <c r="O49" s="26"/>
      <c r="P49" s="26"/>
      <c r="Q49" s="26"/>
      <c r="R49" s="26"/>
      <c r="S49" s="33" t="s">
        <v>95</v>
      </c>
      <c r="T49" s="33" t="s">
        <v>117</v>
      </c>
      <c r="U49" s="34">
        <v>99000</v>
      </c>
      <c r="V49" s="196"/>
      <c r="W49" s="6"/>
    </row>
    <row r="50" spans="1:23" ht="15.6">
      <c r="A50" s="25"/>
      <c r="B50" s="26"/>
      <c r="C50" s="26"/>
      <c r="D50" s="26"/>
      <c r="E50" s="26"/>
      <c r="F50" s="26"/>
      <c r="G50" s="26"/>
      <c r="H50" s="26"/>
      <c r="I50" s="26"/>
      <c r="J50" s="26"/>
      <c r="K50" s="26"/>
      <c r="L50" s="26"/>
      <c r="M50" s="26"/>
      <c r="N50" s="26"/>
      <c r="O50" s="26"/>
      <c r="P50" s="26"/>
      <c r="Q50" s="26"/>
      <c r="R50" s="26"/>
      <c r="S50" s="26" t="s">
        <v>213</v>
      </c>
      <c r="T50" s="26"/>
      <c r="U50" s="48"/>
      <c r="V50" s="196"/>
      <c r="W50" s="6"/>
    </row>
    <row r="51" spans="1:23" ht="15.6">
      <c r="A51" s="25"/>
      <c r="B51" s="26" t="s">
        <v>19</v>
      </c>
      <c r="C51" s="26"/>
      <c r="D51" s="26"/>
      <c r="E51" s="26"/>
      <c r="F51" s="26"/>
      <c r="G51" s="26"/>
      <c r="H51" s="26"/>
      <c r="I51" s="26"/>
      <c r="J51" s="26"/>
      <c r="K51" s="26"/>
      <c r="L51" s="26"/>
      <c r="M51" s="26"/>
      <c r="N51" s="26"/>
      <c r="O51" s="26"/>
      <c r="P51" s="26"/>
      <c r="Q51" s="26"/>
      <c r="R51" s="26"/>
      <c r="S51" s="33"/>
      <c r="T51" s="33"/>
      <c r="U51" s="33" t="s">
        <v>118</v>
      </c>
      <c r="V51" s="196"/>
      <c r="W51" s="6"/>
    </row>
    <row r="52" spans="1:23" ht="15.6">
      <c r="A52" s="40"/>
      <c r="B52" s="30" t="s">
        <v>20</v>
      </c>
      <c r="C52" s="30"/>
      <c r="D52" s="30"/>
      <c r="E52" s="30"/>
      <c r="F52" s="30"/>
      <c r="G52" s="30"/>
      <c r="H52" s="30"/>
      <c r="I52" s="30"/>
      <c r="J52" s="30"/>
      <c r="K52" s="30"/>
      <c r="L52" s="30"/>
      <c r="M52" s="30"/>
      <c r="N52" s="30"/>
      <c r="O52" s="30"/>
      <c r="P52" s="30"/>
      <c r="Q52" s="30"/>
      <c r="R52" s="30"/>
      <c r="S52" s="49"/>
      <c r="T52" s="49"/>
      <c r="U52" s="50">
        <v>38915</v>
      </c>
      <c r="V52" s="198"/>
      <c r="W52" s="6"/>
    </row>
    <row r="53" spans="1:23" ht="15.6">
      <c r="A53" s="25"/>
      <c r="B53" s="26" t="s">
        <v>155</v>
      </c>
      <c r="C53" s="26"/>
      <c r="D53" s="26"/>
      <c r="E53" s="26"/>
      <c r="F53" s="26"/>
      <c r="G53" s="26"/>
      <c r="H53" s="26"/>
      <c r="I53" s="26"/>
      <c r="J53" s="26"/>
      <c r="K53" s="26"/>
      <c r="L53" s="26"/>
      <c r="M53" s="26"/>
      <c r="N53" s="26"/>
      <c r="O53" s="26"/>
      <c r="P53" s="26"/>
      <c r="Q53" s="29"/>
      <c r="R53" s="26">
        <f>U53-S53+1</f>
        <v>92</v>
      </c>
      <c r="S53" s="52">
        <v>38733</v>
      </c>
      <c r="T53" s="53"/>
      <c r="U53" s="52">
        <v>38824</v>
      </c>
      <c r="V53" s="196"/>
      <c r="W53" s="6"/>
    </row>
    <row r="54" spans="1:23" ht="15.6">
      <c r="A54" s="25"/>
      <c r="B54" s="26" t="s">
        <v>156</v>
      </c>
      <c r="C54" s="26"/>
      <c r="D54" s="26"/>
      <c r="E54" s="26"/>
      <c r="F54" s="26"/>
      <c r="G54" s="26"/>
      <c r="H54" s="26"/>
      <c r="I54" s="26"/>
      <c r="J54" s="26"/>
      <c r="K54" s="26"/>
      <c r="L54" s="26"/>
      <c r="M54" s="26"/>
      <c r="N54" s="26"/>
      <c r="O54" s="26"/>
      <c r="P54" s="26"/>
      <c r="Q54" s="29"/>
      <c r="R54" s="26">
        <f>U54-S54+1</f>
        <v>90</v>
      </c>
      <c r="S54" s="52">
        <v>38825</v>
      </c>
      <c r="T54" s="53"/>
      <c r="U54" s="52">
        <v>38914</v>
      </c>
      <c r="V54" s="196"/>
      <c r="W54" s="6"/>
    </row>
    <row r="55" spans="1:23" ht="15.6">
      <c r="A55" s="25"/>
      <c r="B55" s="26" t="s">
        <v>21</v>
      </c>
      <c r="C55" s="26"/>
      <c r="D55" s="26"/>
      <c r="E55" s="26"/>
      <c r="F55" s="26"/>
      <c r="G55" s="26"/>
      <c r="H55" s="26"/>
      <c r="I55" s="26"/>
      <c r="J55" s="26"/>
      <c r="K55" s="26"/>
      <c r="L55" s="26"/>
      <c r="M55" s="26"/>
      <c r="N55" s="26"/>
      <c r="O55" s="26"/>
      <c r="P55" s="26"/>
      <c r="Q55" s="26"/>
      <c r="R55" s="26"/>
      <c r="S55" s="52"/>
      <c r="T55" s="53"/>
      <c r="U55" s="52" t="s">
        <v>119</v>
      </c>
      <c r="V55" s="196"/>
      <c r="W55" s="6"/>
    </row>
    <row r="56" spans="1:23" ht="15.6">
      <c r="A56" s="25"/>
      <c r="B56" s="26" t="s">
        <v>22</v>
      </c>
      <c r="C56" s="26"/>
      <c r="D56" s="26"/>
      <c r="E56" s="26"/>
      <c r="F56" s="26"/>
      <c r="G56" s="26"/>
      <c r="H56" s="26"/>
      <c r="I56" s="26"/>
      <c r="J56" s="26"/>
      <c r="K56" s="26"/>
      <c r="L56" s="26"/>
      <c r="M56" s="26"/>
      <c r="N56" s="26"/>
      <c r="O56" s="26"/>
      <c r="P56" s="26"/>
      <c r="Q56" s="26"/>
      <c r="R56" s="26"/>
      <c r="S56" s="52"/>
      <c r="T56" s="53"/>
      <c r="U56" s="52">
        <v>38901</v>
      </c>
      <c r="V56" s="196"/>
      <c r="W56" s="6"/>
    </row>
    <row r="57" spans="1:23" ht="15.6">
      <c r="A57" s="25"/>
      <c r="B57" s="26"/>
      <c r="C57" s="26"/>
      <c r="D57" s="26"/>
      <c r="E57" s="26"/>
      <c r="F57" s="26"/>
      <c r="G57" s="26"/>
      <c r="H57" s="26"/>
      <c r="I57" s="26"/>
      <c r="J57" s="26"/>
      <c r="K57" s="26"/>
      <c r="L57" s="26"/>
      <c r="M57" s="26"/>
      <c r="N57" s="26"/>
      <c r="O57" s="26"/>
      <c r="P57" s="26"/>
      <c r="Q57" s="26"/>
      <c r="R57" s="26"/>
      <c r="S57" s="26"/>
      <c r="T57" s="26"/>
      <c r="U57" s="54"/>
      <c r="V57" s="196"/>
      <c r="W57" s="6"/>
    </row>
    <row r="58" spans="1:23" ht="15.6">
      <c r="A58" s="7"/>
      <c r="B58" s="9"/>
      <c r="C58" s="9"/>
      <c r="D58" s="9"/>
      <c r="E58" s="9"/>
      <c r="F58" s="9"/>
      <c r="G58" s="9"/>
      <c r="H58" s="9"/>
      <c r="I58" s="9"/>
      <c r="J58" s="9"/>
      <c r="K58" s="9"/>
      <c r="L58" s="9"/>
      <c r="M58" s="9"/>
      <c r="N58" s="9"/>
      <c r="O58" s="9"/>
      <c r="P58" s="9"/>
      <c r="Q58" s="9"/>
      <c r="R58" s="9"/>
      <c r="S58" s="9"/>
      <c r="T58" s="9"/>
      <c r="U58" s="55"/>
      <c r="V58" s="194"/>
      <c r="W58" s="6"/>
    </row>
    <row r="59" spans="1:23" ht="16.2" thickBot="1">
      <c r="A59" s="130"/>
      <c r="B59" s="131" t="s">
        <v>236</v>
      </c>
      <c r="C59" s="132"/>
      <c r="D59" s="132"/>
      <c r="E59" s="132"/>
      <c r="F59" s="132"/>
      <c r="G59" s="132"/>
      <c r="H59" s="132"/>
      <c r="I59" s="132"/>
      <c r="J59" s="132"/>
      <c r="K59" s="132"/>
      <c r="L59" s="132"/>
      <c r="M59" s="132"/>
      <c r="N59" s="132"/>
      <c r="O59" s="132"/>
      <c r="P59" s="132"/>
      <c r="Q59" s="132"/>
      <c r="R59" s="132"/>
      <c r="S59" s="132"/>
      <c r="T59" s="132"/>
      <c r="U59" s="133"/>
      <c r="V59" s="134"/>
      <c r="W59" s="6"/>
    </row>
    <row r="60" spans="1:23" ht="15.6">
      <c r="A60" s="2"/>
      <c r="B60" s="5" t="s">
        <v>237</v>
      </c>
      <c r="C60" s="5"/>
      <c r="D60" s="5"/>
      <c r="E60" s="5"/>
      <c r="F60" s="5"/>
      <c r="G60" s="5"/>
      <c r="H60" s="5"/>
      <c r="I60" s="5"/>
      <c r="J60" s="5"/>
      <c r="K60" s="5"/>
      <c r="L60" s="5"/>
      <c r="M60" s="5"/>
      <c r="N60" s="5"/>
      <c r="O60" s="5"/>
      <c r="P60" s="5"/>
      <c r="Q60" s="5"/>
      <c r="R60" s="5"/>
      <c r="S60" s="5"/>
      <c r="T60" s="5"/>
      <c r="U60" s="56"/>
      <c r="V60" s="193"/>
      <c r="W60" s="6"/>
    </row>
    <row r="61" spans="1:23" ht="15.6">
      <c r="A61" s="7"/>
      <c r="B61" s="57" t="s">
        <v>23</v>
      </c>
      <c r="C61" s="13"/>
      <c r="D61" s="13"/>
      <c r="E61" s="13"/>
      <c r="F61" s="13"/>
      <c r="G61" s="13"/>
      <c r="H61" s="13"/>
      <c r="I61" s="13"/>
      <c r="J61" s="13"/>
      <c r="K61" s="13"/>
      <c r="L61" s="13"/>
      <c r="M61" s="9"/>
      <c r="N61" s="9"/>
      <c r="O61" s="9"/>
      <c r="P61" s="9"/>
      <c r="Q61" s="9"/>
      <c r="R61" s="9"/>
      <c r="S61" s="9"/>
      <c r="T61" s="9"/>
      <c r="U61" s="58"/>
      <c r="V61" s="194"/>
      <c r="W61" s="6"/>
    </row>
    <row r="62" spans="1:23" ht="15.6">
      <c r="A62" s="7"/>
      <c r="B62" s="13"/>
      <c r="C62" s="13"/>
      <c r="D62" s="13"/>
      <c r="E62" s="13"/>
      <c r="F62" s="13"/>
      <c r="G62" s="13"/>
      <c r="H62" s="13"/>
      <c r="I62" s="13"/>
      <c r="J62" s="13"/>
      <c r="K62" s="13"/>
      <c r="L62" s="13"/>
      <c r="M62" s="9"/>
      <c r="N62" s="9"/>
      <c r="O62" s="9"/>
      <c r="P62" s="9"/>
      <c r="Q62" s="9"/>
      <c r="R62" s="9"/>
      <c r="S62" s="9"/>
      <c r="T62" s="9"/>
      <c r="U62" s="58"/>
      <c r="V62" s="194"/>
      <c r="W62" s="6"/>
    </row>
    <row r="63" spans="1:23" s="151" customFormat="1" ht="46.8">
      <c r="A63" s="145"/>
      <c r="B63" s="146"/>
      <c r="C63" s="147"/>
      <c r="D63" s="147"/>
      <c r="E63" s="147"/>
      <c r="F63" s="147"/>
      <c r="G63" s="147"/>
      <c r="H63" s="147"/>
      <c r="I63" s="147"/>
      <c r="J63" s="147"/>
      <c r="K63" s="147" t="s">
        <v>197</v>
      </c>
      <c r="L63" s="147"/>
      <c r="M63" s="147" t="s">
        <v>98</v>
      </c>
      <c r="N63" s="147"/>
      <c r="O63" s="147" t="s">
        <v>107</v>
      </c>
      <c r="P63" s="147"/>
      <c r="Q63" s="147" t="s">
        <v>111</v>
      </c>
      <c r="R63" s="147"/>
      <c r="S63" s="147" t="s">
        <v>113</v>
      </c>
      <c r="T63" s="147"/>
      <c r="U63" s="148" t="s">
        <v>120</v>
      </c>
      <c r="V63" s="199"/>
      <c r="W63" s="150"/>
    </row>
    <row r="64" spans="1:23" ht="15.6">
      <c r="A64" s="25"/>
      <c r="B64" s="26" t="s">
        <v>24</v>
      </c>
      <c r="C64" s="59"/>
      <c r="D64" s="59"/>
      <c r="E64" s="59"/>
      <c r="F64" s="59"/>
      <c r="G64" s="59"/>
      <c r="H64" s="59"/>
      <c r="I64" s="59"/>
      <c r="J64" s="59"/>
      <c r="K64" s="59">
        <f>265+63566+3306</f>
        <v>67137</v>
      </c>
      <c r="L64" s="59"/>
      <c r="M64" s="59">
        <v>49656</v>
      </c>
      <c r="N64" s="59"/>
      <c r="O64" s="59">
        <f>17+3160+296+2746+2</f>
        <v>6221</v>
      </c>
      <c r="P64" s="59"/>
      <c r="Q64" s="59">
        <v>0</v>
      </c>
      <c r="R64" s="59"/>
      <c r="S64" s="59">
        <v>0</v>
      </c>
      <c r="T64" s="59"/>
      <c r="U64" s="60">
        <f>+M64-O64+Q64-S64</f>
        <v>43435</v>
      </c>
      <c r="V64" s="196"/>
      <c r="W64" s="6"/>
    </row>
    <row r="65" spans="1:24" ht="15.6">
      <c r="A65" s="25"/>
      <c r="B65" s="26" t="s">
        <v>25</v>
      </c>
      <c r="C65" s="59"/>
      <c r="D65" s="59"/>
      <c r="E65" s="59"/>
      <c r="F65" s="59"/>
      <c r="G65" s="59"/>
      <c r="H65" s="59"/>
      <c r="I65" s="59"/>
      <c r="J65" s="59"/>
      <c r="K65" s="59"/>
      <c r="L65" s="59"/>
      <c r="M65" s="59"/>
      <c r="N65" s="59"/>
      <c r="O65" s="59"/>
      <c r="P65" s="59"/>
      <c r="Q65" s="59">
        <v>0</v>
      </c>
      <c r="R65" s="59"/>
      <c r="S65" s="59">
        <v>0</v>
      </c>
      <c r="T65" s="59"/>
      <c r="U65" s="60">
        <f>M65-O65</f>
        <v>0</v>
      </c>
      <c r="V65" s="196"/>
      <c r="W65" s="6"/>
    </row>
    <row r="66" spans="1:24" ht="15.6">
      <c r="A66" s="25"/>
      <c r="B66" s="26"/>
      <c r="C66" s="59"/>
      <c r="D66" s="59"/>
      <c r="E66" s="59"/>
      <c r="F66" s="59"/>
      <c r="G66" s="59"/>
      <c r="H66" s="59"/>
      <c r="I66" s="59"/>
      <c r="J66" s="59"/>
      <c r="K66" s="59"/>
      <c r="L66" s="59"/>
      <c r="M66" s="59"/>
      <c r="N66" s="59"/>
      <c r="O66" s="59"/>
      <c r="P66" s="59"/>
      <c r="Q66" s="59"/>
      <c r="R66" s="59"/>
      <c r="S66" s="59"/>
      <c r="T66" s="59"/>
      <c r="U66" s="60"/>
      <c r="V66" s="196"/>
      <c r="W66" s="6"/>
    </row>
    <row r="67" spans="1:24" ht="15.6">
      <c r="A67" s="25"/>
      <c r="B67" s="26" t="s">
        <v>26</v>
      </c>
      <c r="C67" s="59"/>
      <c r="D67" s="59"/>
      <c r="E67" s="59"/>
      <c r="F67" s="59"/>
      <c r="G67" s="59"/>
      <c r="H67" s="59"/>
      <c r="I67" s="59"/>
      <c r="J67" s="59"/>
      <c r="K67" s="59">
        <v>24470</v>
      </c>
      <c r="L67" s="59"/>
      <c r="M67" s="59">
        <v>30600</v>
      </c>
      <c r="N67" s="59"/>
      <c r="O67" s="59">
        <f>11037+5</f>
        <v>11042</v>
      </c>
      <c r="P67" s="59"/>
      <c r="Q67" s="59">
        <v>5805</v>
      </c>
      <c r="R67" s="59"/>
      <c r="S67" s="59">
        <f>SUM(S64:S66)</f>
        <v>0</v>
      </c>
      <c r="T67" s="59"/>
      <c r="U67" s="60">
        <f>+M67-O67+Q67-S67</f>
        <v>25363</v>
      </c>
      <c r="V67" s="196"/>
      <c r="W67" s="6"/>
    </row>
    <row r="68" spans="1:24" ht="15.6">
      <c r="A68" s="25"/>
      <c r="B68" s="26" t="s">
        <v>25</v>
      </c>
      <c r="C68" s="59"/>
      <c r="D68" s="59"/>
      <c r="E68" s="59"/>
      <c r="F68" s="59"/>
      <c r="G68" s="59"/>
      <c r="H68" s="59"/>
      <c r="I68" s="59"/>
      <c r="J68" s="59"/>
      <c r="K68" s="59"/>
      <c r="L68" s="59"/>
      <c r="M68" s="59"/>
      <c r="N68" s="59"/>
      <c r="O68" s="59"/>
      <c r="P68" s="59"/>
      <c r="Q68" s="59">
        <v>0</v>
      </c>
      <c r="R68" s="59"/>
      <c r="S68" s="59">
        <v>0</v>
      </c>
      <c r="T68" s="59"/>
      <c r="U68" s="61"/>
      <c r="V68" s="196"/>
      <c r="W68" s="6"/>
    </row>
    <row r="69" spans="1:24" ht="15.6">
      <c r="A69" s="25"/>
      <c r="B69" s="62"/>
      <c r="C69" s="59"/>
      <c r="D69" s="59"/>
      <c r="E69" s="59"/>
      <c r="F69" s="59"/>
      <c r="G69" s="59"/>
      <c r="H69" s="59"/>
      <c r="I69" s="59"/>
      <c r="J69" s="59"/>
      <c r="K69" s="59"/>
      <c r="L69" s="59"/>
      <c r="M69" s="59"/>
      <c r="N69" s="59"/>
      <c r="O69" s="63"/>
      <c r="P69" s="59"/>
      <c r="Q69" s="59"/>
      <c r="R69" s="59"/>
      <c r="S69" s="59"/>
      <c r="T69" s="59"/>
      <c r="U69" s="61"/>
      <c r="V69" s="196"/>
      <c r="W69" s="6"/>
    </row>
    <row r="70" spans="1:24" ht="15.6">
      <c r="A70" s="25"/>
      <c r="B70" s="26" t="s">
        <v>27</v>
      </c>
      <c r="C70" s="59"/>
      <c r="D70" s="59"/>
      <c r="E70" s="59"/>
      <c r="F70" s="59"/>
      <c r="G70" s="59"/>
      <c r="H70" s="59"/>
      <c r="I70" s="59"/>
      <c r="J70" s="59"/>
      <c r="K70" s="59">
        <v>220072</v>
      </c>
      <c r="L70" s="59"/>
      <c r="M70" s="59">
        <v>200173</v>
      </c>
      <c r="N70" s="59"/>
      <c r="O70" s="59">
        <f>23019+549-75+1</f>
        <v>23494</v>
      </c>
      <c r="P70" s="59"/>
      <c r="Q70" s="59">
        <f>19994+323</f>
        <v>20317</v>
      </c>
      <c r="R70" s="59"/>
      <c r="S70" s="59">
        <v>0</v>
      </c>
      <c r="T70" s="59"/>
      <c r="U70" s="60">
        <f>+M70-O70+Q70-S70</f>
        <v>196996</v>
      </c>
      <c r="V70" s="196"/>
      <c r="W70" s="6"/>
    </row>
    <row r="71" spans="1:24" ht="15.6">
      <c r="A71" s="25"/>
      <c r="B71" s="26" t="s">
        <v>25</v>
      </c>
      <c r="C71" s="59"/>
      <c r="D71" s="59"/>
      <c r="E71" s="59"/>
      <c r="F71" s="59"/>
      <c r="G71" s="59"/>
      <c r="H71" s="59"/>
      <c r="I71" s="59"/>
      <c r="J71" s="59"/>
      <c r="K71" s="59"/>
      <c r="L71" s="59"/>
      <c r="M71" s="59"/>
      <c r="N71" s="59"/>
      <c r="O71" s="59"/>
      <c r="P71" s="59"/>
      <c r="Q71" s="59">
        <v>0</v>
      </c>
      <c r="R71" s="59"/>
      <c r="S71" s="59">
        <v>0</v>
      </c>
      <c r="T71" s="59"/>
      <c r="U71" s="60">
        <f>M71-O71+Q71-S71</f>
        <v>0</v>
      </c>
      <c r="V71" s="196"/>
      <c r="W71" s="6"/>
    </row>
    <row r="72" spans="1:24" ht="15.6">
      <c r="A72" s="25"/>
      <c r="B72" s="26"/>
      <c r="C72" s="59"/>
      <c r="D72" s="59"/>
      <c r="E72" s="59"/>
      <c r="F72" s="59"/>
      <c r="G72" s="59"/>
      <c r="H72" s="59"/>
      <c r="I72" s="59"/>
      <c r="J72" s="59"/>
      <c r="K72" s="59"/>
      <c r="L72" s="59"/>
      <c r="M72" s="59"/>
      <c r="N72" s="59"/>
      <c r="O72" s="59"/>
      <c r="P72" s="59"/>
      <c r="Q72" s="59"/>
      <c r="R72" s="59"/>
      <c r="S72" s="59"/>
      <c r="T72" s="59"/>
      <c r="U72" s="60"/>
      <c r="V72" s="196"/>
      <c r="W72" s="6"/>
    </row>
    <row r="73" spans="1:24" ht="15.6">
      <c r="A73" s="25"/>
      <c r="B73" s="26" t="s">
        <v>28</v>
      </c>
      <c r="C73" s="59"/>
      <c r="D73" s="59"/>
      <c r="E73" s="59"/>
      <c r="F73" s="59"/>
      <c r="G73" s="59"/>
      <c r="H73" s="59"/>
      <c r="I73" s="59"/>
      <c r="J73" s="59"/>
      <c r="K73" s="59">
        <v>138321</v>
      </c>
      <c r="L73" s="59"/>
      <c r="M73" s="59">
        <v>125423</v>
      </c>
      <c r="N73" s="59"/>
      <c r="O73" s="59">
        <f>17621+2485-79</f>
        <v>20027</v>
      </c>
      <c r="P73" s="59"/>
      <c r="Q73" s="59">
        <v>9323</v>
      </c>
      <c r="R73" s="59"/>
      <c r="S73" s="59">
        <v>0</v>
      </c>
      <c r="T73" s="59"/>
      <c r="U73" s="60">
        <f>+M73-O73+Q73-S73</f>
        <v>114719</v>
      </c>
      <c r="V73" s="196"/>
      <c r="W73" s="6"/>
    </row>
    <row r="74" spans="1:24" ht="15.6">
      <c r="A74" s="25"/>
      <c r="B74" s="26" t="s">
        <v>25</v>
      </c>
      <c r="C74" s="59"/>
      <c r="D74" s="59"/>
      <c r="E74" s="59"/>
      <c r="F74" s="59"/>
      <c r="G74" s="59"/>
      <c r="H74" s="59"/>
      <c r="I74" s="59"/>
      <c r="J74" s="59"/>
      <c r="K74" s="59"/>
      <c r="L74" s="59"/>
      <c r="M74" s="59"/>
      <c r="N74" s="59"/>
      <c r="O74" s="59"/>
      <c r="P74" s="59"/>
      <c r="Q74" s="59">
        <v>0</v>
      </c>
      <c r="R74" s="59"/>
      <c r="S74" s="59">
        <v>0</v>
      </c>
      <c r="T74" s="59"/>
      <c r="U74" s="60"/>
      <c r="V74" s="196"/>
      <c r="W74" s="6"/>
    </row>
    <row r="75" spans="1:24" ht="15.6">
      <c r="A75" s="25"/>
      <c r="B75" s="59"/>
      <c r="C75" s="59"/>
      <c r="D75" s="59"/>
      <c r="E75" s="59"/>
      <c r="F75" s="59"/>
      <c r="G75" s="59"/>
      <c r="H75" s="59"/>
      <c r="I75" s="59"/>
      <c r="J75" s="59"/>
      <c r="K75" s="59"/>
      <c r="L75" s="59"/>
      <c r="M75" s="59"/>
      <c r="N75" s="59"/>
      <c r="O75" s="59"/>
      <c r="P75" s="59"/>
      <c r="Q75" s="59"/>
      <c r="R75" s="59"/>
      <c r="S75" s="59"/>
      <c r="T75" s="59"/>
      <c r="U75" s="60"/>
      <c r="V75" s="196"/>
      <c r="W75" s="6"/>
    </row>
    <row r="76" spans="1:24" ht="15.6">
      <c r="A76" s="25"/>
      <c r="B76" s="26" t="s">
        <v>29</v>
      </c>
      <c r="C76" s="59"/>
      <c r="D76" s="59"/>
      <c r="E76" s="59"/>
      <c r="F76" s="59"/>
      <c r="G76" s="59"/>
      <c r="H76" s="59"/>
      <c r="I76" s="59"/>
      <c r="J76" s="59"/>
      <c r="K76" s="59">
        <f>SUM(K64:K73)</f>
        <v>450000</v>
      </c>
      <c r="L76" s="59"/>
      <c r="M76" s="59">
        <f>SUM(M64:M73)</f>
        <v>405852</v>
      </c>
      <c r="N76" s="59"/>
      <c r="O76" s="59">
        <f>SUM(O64:O74)</f>
        <v>60784</v>
      </c>
      <c r="P76" s="59"/>
      <c r="Q76" s="59">
        <f>SUM(Q64:Q74)</f>
        <v>35445</v>
      </c>
      <c r="R76" s="59"/>
      <c r="S76" s="59">
        <f>SUM(S71:S75)</f>
        <v>0</v>
      </c>
      <c r="T76" s="59"/>
      <c r="U76" s="59">
        <f>SUM(U64:U74)</f>
        <v>380513</v>
      </c>
      <c r="V76" s="196"/>
      <c r="W76" s="6"/>
      <c r="X76" s="182"/>
    </row>
    <row r="77" spans="1:24" ht="15.6">
      <c r="A77" s="25"/>
      <c r="B77" s="26"/>
      <c r="C77" s="59"/>
      <c r="D77" s="59"/>
      <c r="E77" s="59"/>
      <c r="F77" s="59"/>
      <c r="G77" s="59"/>
      <c r="H77" s="59"/>
      <c r="I77" s="59"/>
      <c r="J77" s="59"/>
      <c r="K77" s="59"/>
      <c r="L77" s="59"/>
      <c r="M77" s="59"/>
      <c r="N77" s="59"/>
      <c r="O77" s="59"/>
      <c r="P77" s="59"/>
      <c r="Q77" s="59"/>
      <c r="R77" s="59"/>
      <c r="S77" s="59"/>
      <c r="T77" s="59"/>
      <c r="U77" s="61"/>
      <c r="V77" s="196"/>
      <c r="W77" s="6"/>
    </row>
    <row r="78" spans="1:24" ht="15.6">
      <c r="A78" s="25"/>
      <c r="B78" s="26" t="s">
        <v>214</v>
      </c>
      <c r="C78" s="59"/>
      <c r="D78" s="59"/>
      <c r="E78" s="59"/>
      <c r="F78" s="59"/>
      <c r="G78" s="59"/>
      <c r="H78" s="59"/>
      <c r="I78" s="59"/>
      <c r="J78" s="59"/>
      <c r="K78" s="59">
        <v>0</v>
      </c>
      <c r="L78" s="59"/>
      <c r="M78" s="59">
        <v>-5703</v>
      </c>
      <c r="N78" s="59"/>
      <c r="O78" s="59">
        <v>2</v>
      </c>
      <c r="P78" s="59"/>
      <c r="Q78" s="59"/>
      <c r="R78" s="59"/>
      <c r="S78" s="59"/>
      <c r="T78" s="59"/>
      <c r="U78" s="60">
        <f>+M78-O78</f>
        <v>-5705</v>
      </c>
      <c r="V78" s="196"/>
      <c r="W78" s="6"/>
    </row>
    <row r="79" spans="1:24" ht="15.6">
      <c r="A79" s="25"/>
      <c r="B79" s="26" t="s">
        <v>30</v>
      </c>
      <c r="C79" s="59"/>
      <c r="D79" s="59"/>
      <c r="E79" s="59"/>
      <c r="F79" s="59"/>
      <c r="G79" s="59"/>
      <c r="H79" s="59"/>
      <c r="I79" s="59"/>
      <c r="J79" s="59"/>
      <c r="K79" s="59">
        <v>0</v>
      </c>
      <c r="L79" s="59"/>
      <c r="M79" s="59">
        <v>49851</v>
      </c>
      <c r="N79" s="59"/>
      <c r="O79" s="59">
        <f>SUM(O76:O78)</f>
        <v>60786</v>
      </c>
      <c r="P79" s="59"/>
      <c r="Q79" s="59">
        <f>-Q76</f>
        <v>-35445</v>
      </c>
      <c r="R79" s="59"/>
      <c r="S79" s="59"/>
      <c r="T79" s="59"/>
      <c r="U79" s="61">
        <f>+M79+O79+Q79</f>
        <v>75192</v>
      </c>
      <c r="V79" s="196"/>
      <c r="W79" s="6"/>
      <c r="X79" s="182"/>
    </row>
    <row r="80" spans="1:24" ht="15.6">
      <c r="A80" s="25"/>
      <c r="B80" s="26" t="s">
        <v>31</v>
      </c>
      <c r="C80" s="59"/>
      <c r="D80" s="59"/>
      <c r="E80" s="59"/>
      <c r="F80" s="59"/>
      <c r="G80" s="59"/>
      <c r="H80" s="59"/>
      <c r="I80" s="59"/>
      <c r="J80" s="59"/>
      <c r="K80" s="59">
        <v>0</v>
      </c>
      <c r="L80" s="59"/>
      <c r="M80" s="59">
        <v>0</v>
      </c>
      <c r="N80" s="59"/>
      <c r="O80" s="59"/>
      <c r="P80" s="59"/>
      <c r="Q80" s="59">
        <v>0</v>
      </c>
      <c r="R80" s="59"/>
      <c r="S80" s="59"/>
      <c r="T80" s="59"/>
      <c r="U80" s="61">
        <f>Q80+M80</f>
        <v>0</v>
      </c>
      <c r="V80" s="196"/>
      <c r="W80" s="6"/>
    </row>
    <row r="81" spans="1:24" ht="15.6">
      <c r="A81" s="25"/>
      <c r="B81" s="26" t="s">
        <v>16</v>
      </c>
      <c r="C81" s="61"/>
      <c r="D81" s="61"/>
      <c r="E81" s="61"/>
      <c r="F81" s="61"/>
      <c r="G81" s="61"/>
      <c r="H81" s="61"/>
      <c r="I81" s="61"/>
      <c r="J81" s="61"/>
      <c r="K81" s="61">
        <f>SUM(K76:K80)</f>
        <v>450000</v>
      </c>
      <c r="L81" s="61"/>
      <c r="M81" s="61">
        <f>SUM(M76:M80)</f>
        <v>450000</v>
      </c>
      <c r="N81" s="59"/>
      <c r="O81" s="59">
        <f>O79-O80</f>
        <v>60786</v>
      </c>
      <c r="P81" s="59"/>
      <c r="Q81" s="59"/>
      <c r="R81" s="59"/>
      <c r="S81" s="59"/>
      <c r="T81" s="59"/>
      <c r="U81" s="61">
        <f>SUM(U76:U80)</f>
        <v>450000</v>
      </c>
      <c r="V81" s="196"/>
      <c r="W81" s="6"/>
    </row>
    <row r="82" spans="1:24" ht="15.6">
      <c r="A82" s="25"/>
      <c r="B82" s="59"/>
      <c r="C82" s="26"/>
      <c r="D82" s="26"/>
      <c r="E82" s="26"/>
      <c r="F82" s="26"/>
      <c r="G82" s="26"/>
      <c r="H82" s="26"/>
      <c r="I82" s="26"/>
      <c r="J82" s="26"/>
      <c r="K82" s="26"/>
      <c r="L82" s="26"/>
      <c r="M82" s="26"/>
      <c r="N82" s="26"/>
      <c r="O82" s="26"/>
      <c r="P82" s="26"/>
      <c r="Q82" s="26"/>
      <c r="R82" s="26"/>
      <c r="S82" s="33"/>
      <c r="T82" s="26"/>
      <c r="U82" s="33"/>
      <c r="V82" s="196"/>
      <c r="W82" s="6"/>
    </row>
    <row r="83" spans="1:24" ht="15.6">
      <c r="A83" s="7"/>
      <c r="B83" s="57" t="s">
        <v>32</v>
      </c>
      <c r="C83" s="14"/>
      <c r="D83" s="14"/>
      <c r="E83" s="14"/>
      <c r="F83" s="14"/>
      <c r="G83" s="14"/>
      <c r="H83" s="14"/>
      <c r="I83" s="14"/>
      <c r="J83" s="14"/>
      <c r="K83" s="14"/>
      <c r="L83" s="14"/>
      <c r="M83" s="14"/>
      <c r="N83" s="14"/>
      <c r="O83" s="14"/>
      <c r="P83" s="14"/>
      <c r="Q83" s="14"/>
      <c r="R83" s="17"/>
      <c r="S83" s="17"/>
      <c r="T83" s="17"/>
      <c r="U83" s="17" t="s">
        <v>121</v>
      </c>
      <c r="V83" s="200"/>
      <c r="W83" s="6"/>
    </row>
    <row r="84" spans="1:24" ht="15.6">
      <c r="A84" s="25"/>
      <c r="B84" s="26" t="s">
        <v>33</v>
      </c>
      <c r="C84" s="26"/>
      <c r="D84" s="26"/>
      <c r="E84" s="26"/>
      <c r="F84" s="26"/>
      <c r="G84" s="26"/>
      <c r="H84" s="26"/>
      <c r="I84" s="26"/>
      <c r="J84" s="26"/>
      <c r="K84" s="26"/>
      <c r="L84" s="26"/>
      <c r="M84" s="26"/>
      <c r="N84" s="26"/>
      <c r="O84" s="59"/>
      <c r="P84" s="26"/>
      <c r="Q84" s="26"/>
      <c r="R84" s="26"/>
      <c r="S84" s="59"/>
      <c r="T84" s="26"/>
      <c r="U84" s="60">
        <v>123096</v>
      </c>
      <c r="V84" s="196"/>
      <c r="W84" s="6"/>
    </row>
    <row r="85" spans="1:24" ht="15.6">
      <c r="A85" s="25"/>
      <c r="B85" s="26" t="s">
        <v>34</v>
      </c>
      <c r="C85" s="47"/>
      <c r="D85" s="47"/>
      <c r="E85" s="47"/>
      <c r="F85" s="47"/>
      <c r="G85" s="47"/>
      <c r="H85" s="47"/>
      <c r="I85" s="47"/>
      <c r="J85" s="47"/>
      <c r="K85" s="47"/>
      <c r="L85" s="47"/>
      <c r="M85" s="51"/>
      <c r="N85" s="26"/>
      <c r="O85" s="26"/>
      <c r="P85" s="26"/>
      <c r="Q85" s="26"/>
      <c r="R85" s="26"/>
      <c r="S85" s="59"/>
      <c r="T85" s="26"/>
      <c r="U85" s="60">
        <f>1423+265+77+1-20-33-69</f>
        <v>1644</v>
      </c>
      <c r="V85" s="196"/>
      <c r="W85" s="6"/>
    </row>
    <row r="86" spans="1:24" ht="15.6">
      <c r="A86" s="25"/>
      <c r="B86" s="26" t="s">
        <v>230</v>
      </c>
      <c r="C86" s="26"/>
      <c r="D86" s="26"/>
      <c r="E86" s="26"/>
      <c r="F86" s="26"/>
      <c r="G86" s="26"/>
      <c r="H86" s="26"/>
      <c r="I86" s="26"/>
      <c r="J86" s="26"/>
      <c r="K86" s="26"/>
      <c r="L86" s="26"/>
      <c r="M86" s="26"/>
      <c r="N86" s="26"/>
      <c r="O86" s="26"/>
      <c r="P86" s="26"/>
      <c r="Q86" s="26"/>
      <c r="R86" s="26"/>
      <c r="S86" s="59"/>
      <c r="T86" s="26"/>
      <c r="U86" s="60">
        <v>0</v>
      </c>
      <c r="V86" s="196"/>
      <c r="W86" s="6"/>
      <c r="X86" s="64"/>
    </row>
    <row r="87" spans="1:24" ht="15.6">
      <c r="A87" s="25"/>
      <c r="B87" s="26" t="s">
        <v>231</v>
      </c>
      <c r="C87" s="26"/>
      <c r="D87" s="26"/>
      <c r="E87" s="26"/>
      <c r="F87" s="26"/>
      <c r="G87" s="26"/>
      <c r="H87" s="26"/>
      <c r="I87" s="26"/>
      <c r="J87" s="26"/>
      <c r="K87" s="26"/>
      <c r="L87" s="26"/>
      <c r="M87" s="26"/>
      <c r="N87" s="26"/>
      <c r="O87" s="26"/>
      <c r="P87" s="26"/>
      <c r="Q87" s="26"/>
      <c r="R87" s="26"/>
      <c r="S87" s="59"/>
      <c r="T87" s="26"/>
      <c r="U87" s="60">
        <v>0</v>
      </c>
      <c r="V87" s="196"/>
      <c r="W87" s="6"/>
      <c r="X87" s="64"/>
    </row>
    <row r="88" spans="1:24" ht="15.6">
      <c r="A88" s="25"/>
      <c r="B88" s="26" t="s">
        <v>35</v>
      </c>
      <c r="C88" s="26"/>
      <c r="D88" s="26"/>
      <c r="E88" s="26"/>
      <c r="F88" s="26"/>
      <c r="G88" s="26"/>
      <c r="H88" s="26"/>
      <c r="I88" s="26"/>
      <c r="J88" s="26"/>
      <c r="K88" s="26"/>
      <c r="L88" s="26"/>
      <c r="M88" s="26"/>
      <c r="N88" s="26"/>
      <c r="O88" s="26"/>
      <c r="P88" s="26"/>
      <c r="Q88" s="26"/>
      <c r="R88" s="26"/>
      <c r="S88" s="59"/>
      <c r="T88" s="26"/>
      <c r="U88" s="60">
        <f>SUM(U84:U87)</f>
        <v>124740</v>
      </c>
      <c r="V88" s="196"/>
      <c r="W88" s="6"/>
      <c r="X88" s="64"/>
    </row>
    <row r="89" spans="1:24" ht="15.6">
      <c r="A89" s="25"/>
      <c r="B89" s="26"/>
      <c r="C89" s="26"/>
      <c r="D89" s="26"/>
      <c r="E89" s="26"/>
      <c r="F89" s="26"/>
      <c r="G89" s="26"/>
      <c r="H89" s="26"/>
      <c r="I89" s="26"/>
      <c r="J89" s="26"/>
      <c r="K89" s="26"/>
      <c r="L89" s="26"/>
      <c r="M89" s="26"/>
      <c r="N89" s="26"/>
      <c r="O89" s="26"/>
      <c r="P89" s="26"/>
      <c r="Q89" s="26"/>
      <c r="R89" s="26"/>
      <c r="S89" s="59"/>
      <c r="T89" s="26"/>
      <c r="U89" s="61"/>
      <c r="V89" s="196"/>
      <c r="W89" s="6"/>
    </row>
    <row r="90" spans="1:24" ht="15.6">
      <c r="A90" s="25"/>
      <c r="B90" s="152" t="s">
        <v>36</v>
      </c>
      <c r="C90" s="65"/>
      <c r="D90" s="65"/>
      <c r="E90" s="65"/>
      <c r="F90" s="65"/>
      <c r="G90" s="65"/>
      <c r="H90" s="65"/>
      <c r="I90" s="65"/>
      <c r="J90" s="65"/>
      <c r="K90" s="65"/>
      <c r="L90" s="65"/>
      <c r="M90" s="26"/>
      <c r="N90" s="26"/>
      <c r="O90" s="26"/>
      <c r="P90" s="26"/>
      <c r="Q90" s="26"/>
      <c r="R90" s="26"/>
      <c r="S90" s="59"/>
      <c r="T90" s="26"/>
      <c r="U90" s="60"/>
      <c r="V90" s="196"/>
      <c r="W90" s="6"/>
      <c r="X90" s="64"/>
    </row>
    <row r="91" spans="1:24" ht="15.6">
      <c r="A91" s="25">
        <v>1</v>
      </c>
      <c r="B91" s="26" t="s">
        <v>37</v>
      </c>
      <c r="C91" s="26"/>
      <c r="D91" s="26"/>
      <c r="E91" s="26"/>
      <c r="F91" s="26"/>
      <c r="G91" s="26"/>
      <c r="H91" s="26"/>
      <c r="I91" s="26"/>
      <c r="J91" s="26"/>
      <c r="K91" s="26"/>
      <c r="L91" s="26"/>
      <c r="M91" s="26"/>
      <c r="N91" s="26"/>
      <c r="O91" s="26"/>
      <c r="P91" s="26"/>
      <c r="Q91" s="26"/>
      <c r="R91" s="26"/>
      <c r="S91" s="26"/>
      <c r="T91" s="26"/>
      <c r="U91" s="60">
        <v>-3</v>
      </c>
      <c r="V91" s="196"/>
      <c r="W91" s="6"/>
    </row>
    <row r="92" spans="1:24" ht="15.6">
      <c r="A92" s="25">
        <f>A91+1</f>
        <v>2</v>
      </c>
      <c r="B92" s="26" t="s">
        <v>168</v>
      </c>
      <c r="C92" s="26"/>
      <c r="D92" s="26"/>
      <c r="E92" s="26"/>
      <c r="F92" s="26"/>
      <c r="G92" s="26"/>
      <c r="H92" s="26"/>
      <c r="I92" s="26"/>
      <c r="J92" s="26"/>
      <c r="K92" s="26"/>
      <c r="L92" s="26"/>
      <c r="M92" s="26"/>
      <c r="N92" s="26"/>
      <c r="O92" s="26"/>
      <c r="P92" s="26"/>
      <c r="Q92" s="26"/>
      <c r="R92" s="26"/>
      <c r="S92" s="26"/>
      <c r="T92" s="26"/>
      <c r="U92" s="60">
        <f>-403-125</f>
        <v>-528</v>
      </c>
      <c r="V92" s="196"/>
      <c r="W92" s="6"/>
      <c r="X92" s="64"/>
    </row>
    <row r="93" spans="1:24" ht="15.6">
      <c r="A93" s="25">
        <v>3</v>
      </c>
      <c r="B93" s="26" t="s">
        <v>38</v>
      </c>
      <c r="C93" s="26"/>
      <c r="D93" s="26"/>
      <c r="E93" s="26"/>
      <c r="F93" s="26"/>
      <c r="G93" s="26"/>
      <c r="H93" s="26"/>
      <c r="I93" s="26"/>
      <c r="J93" s="26"/>
      <c r="K93" s="26"/>
      <c r="L93" s="26"/>
      <c r="M93" s="26"/>
      <c r="N93" s="26"/>
      <c r="O93" s="26"/>
      <c r="P93" s="26"/>
      <c r="Q93" s="26"/>
      <c r="R93" s="26"/>
      <c r="S93" s="26"/>
      <c r="T93" s="26"/>
      <c r="U93" s="60">
        <v>-445</v>
      </c>
      <c r="V93" s="196"/>
      <c r="W93" s="6"/>
      <c r="X93" s="64"/>
    </row>
    <row r="94" spans="1:24" ht="15.6">
      <c r="A94" s="177" t="s">
        <v>190</v>
      </c>
      <c r="B94" s="26" t="s">
        <v>169</v>
      </c>
      <c r="C94" s="26"/>
      <c r="D94" s="26"/>
      <c r="E94" s="26"/>
      <c r="F94" s="26"/>
      <c r="G94" s="26"/>
      <c r="H94" s="26"/>
      <c r="I94" s="26"/>
      <c r="J94" s="26"/>
      <c r="K94" s="26"/>
      <c r="L94" s="26"/>
      <c r="M94" s="26"/>
      <c r="N94" s="26"/>
      <c r="O94" s="26"/>
      <c r="P94" s="26"/>
      <c r="Q94" s="26"/>
      <c r="R94" s="26"/>
      <c r="S94" s="26"/>
      <c r="T94" s="26"/>
      <c r="U94" s="60">
        <v>-1745</v>
      </c>
      <c r="V94" s="196"/>
      <c r="W94" s="6"/>
      <c r="X94" s="64"/>
    </row>
    <row r="95" spans="1:24" ht="15.6">
      <c r="A95" s="177" t="s">
        <v>191</v>
      </c>
      <c r="B95" s="26" t="s">
        <v>170</v>
      </c>
      <c r="C95" s="26"/>
      <c r="D95" s="26"/>
      <c r="E95" s="26"/>
      <c r="F95" s="26"/>
      <c r="G95" s="26"/>
      <c r="H95" s="26"/>
      <c r="I95" s="26"/>
      <c r="J95" s="26"/>
      <c r="K95" s="26"/>
      <c r="L95" s="26"/>
      <c r="M95" s="26"/>
      <c r="N95" s="26"/>
      <c r="O95" s="26"/>
      <c r="P95" s="26"/>
      <c r="Q95" s="26"/>
      <c r="R95" s="26"/>
      <c r="S95" s="26"/>
      <c r="T95" s="26"/>
      <c r="U95" s="60">
        <v>-2140</v>
      </c>
      <c r="V95" s="196"/>
      <c r="W95" s="6"/>
    </row>
    <row r="96" spans="1:24" ht="15.6">
      <c r="A96" s="25">
        <v>5</v>
      </c>
      <c r="B96" s="26" t="s">
        <v>171</v>
      </c>
      <c r="C96" s="26"/>
      <c r="D96" s="26"/>
      <c r="E96" s="26"/>
      <c r="F96" s="26"/>
      <c r="G96" s="26"/>
      <c r="H96" s="26"/>
      <c r="I96" s="26"/>
      <c r="J96" s="26"/>
      <c r="K96" s="26"/>
      <c r="L96" s="26"/>
      <c r="M96" s="26"/>
      <c r="N96" s="26"/>
      <c r="O96" s="26"/>
      <c r="P96" s="26"/>
      <c r="Q96" s="26"/>
      <c r="R96" s="26"/>
      <c r="S96" s="26"/>
      <c r="T96" s="26"/>
      <c r="U96" s="60">
        <v>-20</v>
      </c>
      <c r="V96" s="196"/>
      <c r="W96" s="6"/>
    </row>
    <row r="97" spans="1:24" ht="15.6">
      <c r="A97" s="177" t="s">
        <v>174</v>
      </c>
      <c r="B97" s="26" t="s">
        <v>172</v>
      </c>
      <c r="C97" s="26"/>
      <c r="D97" s="26"/>
      <c r="E97" s="26"/>
      <c r="F97" s="26"/>
      <c r="G97" s="26"/>
      <c r="H97" s="26"/>
      <c r="I97" s="26"/>
      <c r="J97" s="26"/>
      <c r="K97" s="26"/>
      <c r="L97" s="26"/>
      <c r="M97" s="26"/>
      <c r="N97" s="26"/>
      <c r="O97" s="26"/>
      <c r="P97" s="26"/>
      <c r="Q97" s="26"/>
      <c r="R97" s="26"/>
      <c r="S97" s="26"/>
      <c r="T97" s="26"/>
      <c r="U97" s="60">
        <v>-195</v>
      </c>
      <c r="V97" s="196"/>
      <c r="W97" s="6"/>
      <c r="X97" s="182"/>
    </row>
    <row r="98" spans="1:24" ht="15.6">
      <c r="A98" s="177" t="s">
        <v>176</v>
      </c>
      <c r="B98" s="26" t="s">
        <v>173</v>
      </c>
      <c r="C98" s="26"/>
      <c r="D98" s="26"/>
      <c r="E98" s="26"/>
      <c r="F98" s="26"/>
      <c r="G98" s="26"/>
      <c r="H98" s="26"/>
      <c r="I98" s="26"/>
      <c r="J98" s="26"/>
      <c r="K98" s="26"/>
      <c r="L98" s="26"/>
      <c r="M98" s="26"/>
      <c r="N98" s="26"/>
      <c r="O98" s="26"/>
      <c r="P98" s="26"/>
      <c r="Q98" s="26"/>
      <c r="R98" s="26"/>
      <c r="S98" s="26"/>
      <c r="T98" s="26"/>
      <c r="U98" s="60">
        <v>-302</v>
      </c>
      <c r="V98" s="196"/>
      <c r="W98" s="6"/>
    </row>
    <row r="99" spans="1:24" ht="15.6">
      <c r="A99" s="177" t="s">
        <v>178</v>
      </c>
      <c r="B99" s="26" t="s">
        <v>175</v>
      </c>
      <c r="C99" s="26"/>
      <c r="D99" s="26"/>
      <c r="E99" s="26"/>
      <c r="F99" s="26"/>
      <c r="G99" s="26"/>
      <c r="H99" s="26"/>
      <c r="I99" s="26"/>
      <c r="J99" s="26"/>
      <c r="K99" s="26"/>
      <c r="L99" s="26"/>
      <c r="M99" s="26"/>
      <c r="N99" s="26"/>
      <c r="O99" s="26"/>
      <c r="P99" s="26"/>
      <c r="Q99" s="26"/>
      <c r="R99" s="26"/>
      <c r="S99" s="26"/>
      <c r="T99" s="26"/>
      <c r="U99" s="60">
        <v>-232</v>
      </c>
      <c r="V99" s="196"/>
      <c r="W99" s="6"/>
      <c r="X99" s="182"/>
    </row>
    <row r="100" spans="1:24" ht="15.6">
      <c r="A100" s="177" t="s">
        <v>180</v>
      </c>
      <c r="B100" s="26" t="s">
        <v>177</v>
      </c>
      <c r="C100" s="26"/>
      <c r="D100" s="26"/>
      <c r="E100" s="26"/>
      <c r="F100" s="26"/>
      <c r="G100" s="26"/>
      <c r="H100" s="26"/>
      <c r="I100" s="26"/>
      <c r="J100" s="26"/>
      <c r="K100" s="26"/>
      <c r="L100" s="26"/>
      <c r="M100" s="26"/>
      <c r="N100" s="26"/>
      <c r="O100" s="26"/>
      <c r="P100" s="26"/>
      <c r="Q100" s="26"/>
      <c r="R100" s="26"/>
      <c r="S100" s="26"/>
      <c r="T100" s="26"/>
      <c r="U100" s="60">
        <v>-291</v>
      </c>
      <c r="V100" s="196"/>
      <c r="W100" s="6"/>
    </row>
    <row r="101" spans="1:24" ht="15.6">
      <c r="A101" s="177" t="s">
        <v>192</v>
      </c>
      <c r="B101" s="26" t="s">
        <v>179</v>
      </c>
      <c r="C101" s="26"/>
      <c r="D101" s="26"/>
      <c r="E101" s="26"/>
      <c r="F101" s="26"/>
      <c r="G101" s="26"/>
      <c r="H101" s="26"/>
      <c r="I101" s="26"/>
      <c r="J101" s="26"/>
      <c r="K101" s="26"/>
      <c r="L101" s="26"/>
      <c r="M101" s="26"/>
      <c r="N101" s="26"/>
      <c r="O101" s="26"/>
      <c r="P101" s="26"/>
      <c r="Q101" s="26"/>
      <c r="R101" s="26"/>
      <c r="S101" s="26"/>
      <c r="T101" s="26"/>
      <c r="U101" s="60">
        <v>-337</v>
      </c>
      <c r="V101" s="196"/>
      <c r="W101" s="6"/>
      <c r="X101" s="182"/>
    </row>
    <row r="102" spans="1:24" ht="15.6">
      <c r="A102" s="177" t="s">
        <v>193</v>
      </c>
      <c r="B102" s="26" t="s">
        <v>181</v>
      </c>
      <c r="C102" s="26"/>
      <c r="D102" s="26"/>
      <c r="E102" s="26"/>
      <c r="F102" s="26"/>
      <c r="G102" s="26"/>
      <c r="H102" s="26"/>
      <c r="I102" s="26"/>
      <c r="J102" s="26"/>
      <c r="K102" s="26"/>
      <c r="L102" s="26"/>
      <c r="M102" s="26"/>
      <c r="N102" s="26"/>
      <c r="O102" s="26"/>
      <c r="P102" s="26"/>
      <c r="Q102" s="26"/>
      <c r="R102" s="26"/>
      <c r="S102" s="26"/>
      <c r="T102" s="26"/>
      <c r="U102" s="60">
        <v>-284</v>
      </c>
      <c r="V102" s="196"/>
      <c r="W102" s="6"/>
    </row>
    <row r="103" spans="1:24" ht="15.6">
      <c r="A103" s="25">
        <v>9</v>
      </c>
      <c r="B103" s="26" t="s">
        <v>182</v>
      </c>
      <c r="C103" s="26"/>
      <c r="D103" s="26"/>
      <c r="E103" s="26"/>
      <c r="F103" s="26"/>
      <c r="G103" s="26"/>
      <c r="H103" s="26"/>
      <c r="I103" s="26"/>
      <c r="J103" s="26"/>
      <c r="K103" s="26"/>
      <c r="L103" s="26"/>
      <c r="M103" s="26"/>
      <c r="N103" s="26"/>
      <c r="O103" s="26"/>
      <c r="P103" s="26"/>
      <c r="Q103" s="26"/>
      <c r="R103" s="26"/>
      <c r="S103" s="26"/>
      <c r="T103" s="26"/>
      <c r="U103" s="60">
        <f>+S219-U32</f>
        <v>-75192</v>
      </c>
      <c r="V103" s="196"/>
      <c r="W103" s="6"/>
      <c r="X103" s="182"/>
    </row>
    <row r="104" spans="1:24" ht="15.6">
      <c r="A104" s="25">
        <v>10</v>
      </c>
      <c r="B104" s="26" t="s">
        <v>234</v>
      </c>
      <c r="C104" s="26"/>
      <c r="D104" s="26"/>
      <c r="E104" s="26"/>
      <c r="F104" s="26"/>
      <c r="G104" s="26"/>
      <c r="H104" s="26"/>
      <c r="I104" s="26"/>
      <c r="J104" s="26"/>
      <c r="K104" s="26"/>
      <c r="L104" s="26"/>
      <c r="M104" s="26"/>
      <c r="N104" s="26"/>
      <c r="O104" s="26"/>
      <c r="P104" s="26"/>
      <c r="Q104" s="26"/>
      <c r="R104" s="26"/>
      <c r="S104" s="26"/>
      <c r="T104" s="26"/>
      <c r="U104" s="60">
        <v>-40500</v>
      </c>
      <c r="V104" s="196"/>
      <c r="W104" s="6"/>
      <c r="X104" s="64"/>
    </row>
    <row r="105" spans="1:24" ht="15.6">
      <c r="A105" s="25">
        <v>11</v>
      </c>
      <c r="B105" s="26" t="s">
        <v>183</v>
      </c>
      <c r="C105" s="26"/>
      <c r="D105" s="26"/>
      <c r="E105" s="26"/>
      <c r="F105" s="26"/>
      <c r="G105" s="26"/>
      <c r="H105" s="26"/>
      <c r="I105" s="26"/>
      <c r="J105" s="26"/>
      <c r="K105" s="26"/>
      <c r="L105" s="26"/>
      <c r="M105" s="26"/>
      <c r="N105" s="26"/>
      <c r="O105" s="26"/>
      <c r="P105" s="26"/>
      <c r="Q105" s="26"/>
      <c r="R105" s="26"/>
      <c r="S105" s="26"/>
      <c r="T105" s="26"/>
      <c r="U105" s="60">
        <v>0</v>
      </c>
      <c r="V105" s="196"/>
      <c r="W105" s="6"/>
      <c r="X105" s="64"/>
    </row>
    <row r="106" spans="1:24" ht="15.6">
      <c r="A106" s="25">
        <v>12</v>
      </c>
      <c r="B106" s="26" t="s">
        <v>184</v>
      </c>
      <c r="C106" s="26"/>
      <c r="D106" s="26"/>
      <c r="E106" s="26"/>
      <c r="F106" s="26"/>
      <c r="G106" s="26"/>
      <c r="H106" s="26"/>
      <c r="I106" s="26"/>
      <c r="J106" s="26"/>
      <c r="K106" s="26"/>
      <c r="L106" s="26"/>
      <c r="M106" s="26"/>
      <c r="N106" s="26"/>
      <c r="O106" s="26"/>
      <c r="P106" s="26"/>
      <c r="Q106" s="26"/>
      <c r="R106" s="26"/>
      <c r="S106" s="26"/>
      <c r="T106" s="26"/>
      <c r="U106" s="60">
        <v>-460</v>
      </c>
      <c r="V106" s="196"/>
      <c r="W106" s="6"/>
      <c r="X106" s="182"/>
    </row>
    <row r="107" spans="1:24" ht="15.6">
      <c r="A107" s="25">
        <v>13</v>
      </c>
      <c r="B107" s="26" t="s">
        <v>40</v>
      </c>
      <c r="C107" s="26"/>
      <c r="D107" s="26"/>
      <c r="E107" s="26"/>
      <c r="F107" s="26"/>
      <c r="G107" s="26"/>
      <c r="H107" s="26"/>
      <c r="I107" s="26"/>
      <c r="J107" s="26"/>
      <c r="K107" s="26"/>
      <c r="L107" s="26"/>
      <c r="M107" s="26"/>
      <c r="N107" s="26"/>
      <c r="O107" s="26"/>
      <c r="P107" s="26"/>
      <c r="Q107" s="26"/>
      <c r="R107" s="26"/>
      <c r="S107" s="26"/>
      <c r="T107" s="26"/>
      <c r="U107" s="60">
        <f>-SUM(U88:U106)</f>
        <v>-2066</v>
      </c>
      <c r="V107" s="196"/>
      <c r="W107" s="6"/>
      <c r="X107" s="182"/>
    </row>
    <row r="108" spans="1:24" ht="15.6">
      <c r="A108" s="25"/>
      <c r="B108" s="29"/>
      <c r="C108" s="26"/>
      <c r="D108" s="26"/>
      <c r="E108" s="26"/>
      <c r="F108" s="26"/>
      <c r="G108" s="26"/>
      <c r="H108" s="26"/>
      <c r="I108" s="26"/>
      <c r="J108" s="26"/>
      <c r="K108" s="26"/>
      <c r="L108" s="26"/>
      <c r="M108" s="26"/>
      <c r="N108" s="26"/>
      <c r="O108" s="26"/>
      <c r="P108" s="26"/>
      <c r="Q108" s="26"/>
      <c r="R108" s="26"/>
      <c r="S108" s="59"/>
      <c r="T108" s="59"/>
      <c r="U108" s="59"/>
      <c r="V108" s="196"/>
      <c r="W108" s="6"/>
    </row>
    <row r="109" spans="1:24" ht="15.6">
      <c r="A109" s="7"/>
      <c r="B109" s="12"/>
      <c r="C109" s="9"/>
      <c r="D109" s="9"/>
      <c r="E109" s="9"/>
      <c r="F109" s="9"/>
      <c r="G109" s="9"/>
      <c r="H109" s="9"/>
      <c r="I109" s="9"/>
      <c r="J109" s="9"/>
      <c r="K109" s="9"/>
      <c r="L109" s="9"/>
      <c r="M109" s="9"/>
      <c r="N109" s="9"/>
      <c r="O109" s="9"/>
      <c r="P109" s="9"/>
      <c r="Q109" s="9"/>
      <c r="R109" s="9"/>
      <c r="S109" s="66"/>
      <c r="T109" s="66"/>
      <c r="U109" s="66"/>
      <c r="V109" s="194"/>
      <c r="W109" s="6"/>
    </row>
    <row r="110" spans="1:24" ht="16.2" thickBot="1">
      <c r="A110" s="130"/>
      <c r="B110" s="131" t="str">
        <f>+B59</f>
        <v>PPAF3 INVESTOR REPORT QUARTER ENDING JUNE 2006</v>
      </c>
      <c r="C110" s="132"/>
      <c r="D110" s="132"/>
      <c r="E110" s="132"/>
      <c r="F110" s="132"/>
      <c r="G110" s="132"/>
      <c r="H110" s="132"/>
      <c r="I110" s="132"/>
      <c r="J110" s="132"/>
      <c r="K110" s="132"/>
      <c r="L110" s="132"/>
      <c r="M110" s="132"/>
      <c r="N110" s="132"/>
      <c r="O110" s="132"/>
      <c r="P110" s="132"/>
      <c r="Q110" s="132"/>
      <c r="R110" s="132"/>
      <c r="S110" s="135"/>
      <c r="T110" s="135"/>
      <c r="U110" s="135"/>
      <c r="V110" s="134"/>
      <c r="W110" s="6"/>
    </row>
    <row r="111" spans="1:24" ht="15.6">
      <c r="A111" s="2"/>
      <c r="B111" s="5"/>
      <c r="C111" s="5"/>
      <c r="D111" s="5"/>
      <c r="E111" s="5"/>
      <c r="F111" s="5"/>
      <c r="G111" s="5"/>
      <c r="H111" s="5"/>
      <c r="I111" s="5"/>
      <c r="J111" s="5"/>
      <c r="K111" s="5"/>
      <c r="L111" s="5"/>
      <c r="M111" s="5"/>
      <c r="N111" s="5"/>
      <c r="O111" s="5"/>
      <c r="P111" s="5"/>
      <c r="Q111" s="5"/>
      <c r="R111" s="5"/>
      <c r="S111" s="67"/>
      <c r="T111" s="67"/>
      <c r="U111" s="67"/>
      <c r="V111" s="193"/>
      <c r="W111" s="6"/>
    </row>
    <row r="112" spans="1:24" ht="15.6">
      <c r="A112" s="68"/>
      <c r="B112" s="69" t="s">
        <v>41</v>
      </c>
      <c r="C112" s="70"/>
      <c r="D112" s="70"/>
      <c r="E112" s="70"/>
      <c r="F112" s="70"/>
      <c r="G112" s="70"/>
      <c r="H112" s="70"/>
      <c r="I112" s="70"/>
      <c r="J112" s="70"/>
      <c r="K112" s="70"/>
      <c r="L112" s="70"/>
      <c r="M112" s="70"/>
      <c r="N112" s="70"/>
      <c r="O112" s="70"/>
      <c r="P112" s="70"/>
      <c r="Q112" s="70"/>
      <c r="R112" s="70"/>
      <c r="S112" s="70"/>
      <c r="T112" s="70"/>
      <c r="U112" s="71"/>
      <c r="V112" s="201"/>
      <c r="W112" s="6"/>
    </row>
    <row r="113" spans="1:23" ht="15.6">
      <c r="A113" s="68"/>
      <c r="B113" s="70"/>
      <c r="C113" s="70"/>
      <c r="D113" s="70"/>
      <c r="E113" s="70"/>
      <c r="F113" s="70"/>
      <c r="G113" s="70"/>
      <c r="H113" s="70"/>
      <c r="I113" s="70"/>
      <c r="J113" s="70"/>
      <c r="K113" s="70"/>
      <c r="L113" s="70"/>
      <c r="M113" s="70"/>
      <c r="N113" s="70"/>
      <c r="O113" s="70"/>
      <c r="P113" s="70"/>
      <c r="Q113" s="70"/>
      <c r="R113" s="70"/>
      <c r="S113" s="70"/>
      <c r="T113" s="70"/>
      <c r="U113" s="71"/>
      <c r="V113" s="202"/>
      <c r="W113" s="6"/>
    </row>
    <row r="114" spans="1:23" ht="15.6">
      <c r="A114" s="7"/>
      <c r="B114" s="153" t="s">
        <v>42</v>
      </c>
      <c r="C114" s="13"/>
      <c r="D114" s="13"/>
      <c r="E114" s="13"/>
      <c r="F114" s="13"/>
      <c r="G114" s="13"/>
      <c r="H114" s="13"/>
      <c r="I114" s="13"/>
      <c r="J114" s="13"/>
      <c r="K114" s="13"/>
      <c r="L114" s="13"/>
      <c r="M114" s="9"/>
      <c r="N114" s="9"/>
      <c r="O114" s="9"/>
      <c r="P114" s="9"/>
      <c r="Q114" s="9"/>
      <c r="R114" s="9"/>
      <c r="S114" s="9"/>
      <c r="T114" s="9"/>
      <c r="U114" s="58"/>
      <c r="V114" s="194"/>
      <c r="W114" s="6"/>
    </row>
    <row r="115" spans="1:23" ht="15.6">
      <c r="A115" s="25"/>
      <c r="B115" s="26" t="s">
        <v>43</v>
      </c>
      <c r="C115" s="26"/>
      <c r="D115" s="26"/>
      <c r="E115" s="26"/>
      <c r="F115" s="26"/>
      <c r="G115" s="26"/>
      <c r="H115" s="26"/>
      <c r="I115" s="26"/>
      <c r="J115" s="26"/>
      <c r="K115" s="26"/>
      <c r="L115" s="26"/>
      <c r="M115" s="26"/>
      <c r="N115" s="26"/>
      <c r="O115" s="26"/>
      <c r="P115" s="26"/>
      <c r="Q115" s="26"/>
      <c r="R115" s="26"/>
      <c r="S115" s="26"/>
      <c r="T115" s="26"/>
      <c r="U115" s="60">
        <v>40500</v>
      </c>
      <c r="V115" s="196"/>
      <c r="W115" s="6"/>
    </row>
    <row r="116" spans="1:23" ht="15.6">
      <c r="A116" s="25"/>
      <c r="B116" s="26" t="s">
        <v>208</v>
      </c>
      <c r="C116" s="26"/>
      <c r="D116" s="26"/>
      <c r="E116" s="26"/>
      <c r="F116" s="26"/>
      <c r="G116" s="26"/>
      <c r="H116" s="26"/>
      <c r="I116" s="26"/>
      <c r="J116" s="26"/>
      <c r="K116" s="26"/>
      <c r="L116" s="26"/>
      <c r="M116" s="26"/>
      <c r="N116" s="26"/>
      <c r="O116" s="26"/>
      <c r="P116" s="26"/>
      <c r="Q116" s="26"/>
      <c r="R116" s="26"/>
      <c r="S116" s="26"/>
      <c r="T116" s="26"/>
      <c r="U116" s="60">
        <v>0</v>
      </c>
      <c r="V116" s="196"/>
      <c r="W116" s="6"/>
    </row>
    <row r="117" spans="1:23" ht="15.6">
      <c r="A117" s="25"/>
      <c r="B117" s="26" t="s">
        <v>44</v>
      </c>
      <c r="C117" s="26"/>
      <c r="D117" s="26"/>
      <c r="E117" s="26"/>
      <c r="F117" s="26"/>
      <c r="G117" s="26"/>
      <c r="H117" s="26"/>
      <c r="I117" s="26"/>
      <c r="J117" s="26"/>
      <c r="K117" s="26"/>
      <c r="L117" s="26"/>
      <c r="M117" s="26"/>
      <c r="N117" s="26"/>
      <c r="O117" s="26"/>
      <c r="P117" s="26"/>
      <c r="Q117" s="26"/>
      <c r="R117" s="26"/>
      <c r="S117" s="26"/>
      <c r="T117" s="26"/>
      <c r="U117" s="60">
        <v>0</v>
      </c>
      <c r="V117" s="196"/>
      <c r="W117" s="6"/>
    </row>
    <row r="118" spans="1:23" ht="15.6">
      <c r="A118" s="25"/>
      <c r="B118" s="26" t="s">
        <v>209</v>
      </c>
      <c r="C118" s="26"/>
      <c r="D118" s="26"/>
      <c r="E118" s="26"/>
      <c r="F118" s="26"/>
      <c r="G118" s="26"/>
      <c r="H118" s="26"/>
      <c r="I118" s="26"/>
      <c r="J118" s="26"/>
      <c r="K118" s="26"/>
      <c r="L118" s="26"/>
      <c r="M118" s="26"/>
      <c r="N118" s="26"/>
      <c r="O118" s="26"/>
      <c r="P118" s="26"/>
      <c r="Q118" s="26"/>
      <c r="R118" s="26"/>
      <c r="S118" s="26"/>
      <c r="T118" s="26"/>
      <c r="U118" s="60">
        <v>0</v>
      </c>
      <c r="V118" s="196"/>
      <c r="W118" s="6"/>
    </row>
    <row r="119" spans="1:23" ht="15.6">
      <c r="A119" s="25"/>
      <c r="B119" s="26" t="s">
        <v>210</v>
      </c>
      <c r="C119" s="26"/>
      <c r="D119" s="26"/>
      <c r="E119" s="26"/>
      <c r="F119" s="26"/>
      <c r="G119" s="26"/>
      <c r="H119" s="26"/>
      <c r="I119" s="26"/>
      <c r="J119" s="26"/>
      <c r="K119" s="26"/>
      <c r="L119" s="26"/>
      <c r="M119" s="26"/>
      <c r="N119" s="26"/>
      <c r="O119" s="26"/>
      <c r="P119" s="26"/>
      <c r="Q119" s="26"/>
      <c r="R119" s="26"/>
      <c r="S119" s="26"/>
      <c r="T119" s="26"/>
      <c r="U119" s="60">
        <v>0</v>
      </c>
      <c r="V119" s="196"/>
      <c r="W119" s="6"/>
    </row>
    <row r="120" spans="1:23" ht="15.6">
      <c r="A120" s="25"/>
      <c r="B120" s="26" t="s">
        <v>211</v>
      </c>
      <c r="C120" s="26"/>
      <c r="D120" s="26"/>
      <c r="E120" s="26"/>
      <c r="F120" s="26"/>
      <c r="G120" s="26"/>
      <c r="H120" s="26"/>
      <c r="I120" s="26"/>
      <c r="J120" s="26"/>
      <c r="K120" s="26"/>
      <c r="L120" s="26"/>
      <c r="M120" s="26"/>
      <c r="N120" s="26"/>
      <c r="O120" s="26"/>
      <c r="P120" s="26"/>
      <c r="Q120" s="26"/>
      <c r="R120" s="26"/>
      <c r="S120" s="26"/>
      <c r="T120" s="26"/>
      <c r="U120" s="60">
        <v>0</v>
      </c>
      <c r="V120" s="196"/>
      <c r="W120" s="6"/>
    </row>
    <row r="121" spans="1:23" ht="15.6">
      <c r="A121" s="25"/>
      <c r="B121" s="26" t="s">
        <v>212</v>
      </c>
      <c r="C121" s="26"/>
      <c r="D121" s="26"/>
      <c r="E121" s="26"/>
      <c r="F121" s="26"/>
      <c r="G121" s="26"/>
      <c r="H121" s="26"/>
      <c r="I121" s="26"/>
      <c r="J121" s="26"/>
      <c r="K121" s="26"/>
      <c r="L121" s="26"/>
      <c r="M121" s="26"/>
      <c r="N121" s="26"/>
      <c r="O121" s="26"/>
      <c r="P121" s="26"/>
      <c r="Q121" s="26"/>
      <c r="R121" s="26"/>
      <c r="S121" s="26"/>
      <c r="T121" s="26"/>
      <c r="U121" s="60">
        <v>0</v>
      </c>
      <c r="V121" s="196"/>
      <c r="W121" s="6"/>
    </row>
    <row r="122" spans="1:23" ht="15.6">
      <c r="A122" s="25"/>
      <c r="B122" s="26" t="s">
        <v>45</v>
      </c>
      <c r="C122" s="26"/>
      <c r="D122" s="26"/>
      <c r="E122" s="26"/>
      <c r="F122" s="26"/>
      <c r="G122" s="26"/>
      <c r="H122" s="26"/>
      <c r="I122" s="26"/>
      <c r="J122" s="26"/>
      <c r="K122" s="26"/>
      <c r="L122" s="26"/>
      <c r="M122" s="26"/>
      <c r="N122" s="26"/>
      <c r="O122" s="26"/>
      <c r="P122" s="26"/>
      <c r="Q122" s="26"/>
      <c r="R122" s="26"/>
      <c r="S122" s="26"/>
      <c r="T122" s="26"/>
      <c r="U122" s="60">
        <f>+U115-U116-U117-U118-U119-U120-U121</f>
        <v>40500</v>
      </c>
      <c r="V122" s="196"/>
      <c r="W122" s="6"/>
    </row>
    <row r="123" spans="1:23" ht="15.6">
      <c r="A123" s="25"/>
      <c r="B123" s="26"/>
      <c r="C123" s="26"/>
      <c r="D123" s="26"/>
      <c r="E123" s="26"/>
      <c r="F123" s="26"/>
      <c r="G123" s="26"/>
      <c r="H123" s="26"/>
      <c r="I123" s="26"/>
      <c r="J123" s="26"/>
      <c r="K123" s="26"/>
      <c r="L123" s="26"/>
      <c r="M123" s="26"/>
      <c r="N123" s="26"/>
      <c r="O123" s="26"/>
      <c r="P123" s="26"/>
      <c r="Q123" s="26"/>
      <c r="R123" s="26"/>
      <c r="S123" s="26"/>
      <c r="T123" s="26"/>
      <c r="U123" s="73"/>
      <c r="V123" s="196"/>
      <c r="W123" s="6"/>
    </row>
    <row r="124" spans="1:23" ht="15.6">
      <c r="A124" s="7"/>
      <c r="B124" s="153" t="s">
        <v>46</v>
      </c>
      <c r="C124" s="13"/>
      <c r="D124" s="13"/>
      <c r="E124" s="13"/>
      <c r="F124" s="13"/>
      <c r="G124" s="13"/>
      <c r="H124" s="13"/>
      <c r="I124" s="13"/>
      <c r="J124" s="13"/>
      <c r="K124" s="13"/>
      <c r="L124" s="13"/>
      <c r="M124" s="9"/>
      <c r="N124" s="9"/>
      <c r="O124" s="9"/>
      <c r="P124" s="188"/>
      <c r="Q124" s="9"/>
      <c r="R124" s="9"/>
      <c r="S124" s="9"/>
      <c r="T124" s="9"/>
      <c r="U124" s="75"/>
      <c r="V124" s="194"/>
      <c r="W124" s="6"/>
    </row>
    <row r="125" spans="1:23" ht="15.6">
      <c r="A125" s="7"/>
      <c r="B125" s="13"/>
      <c r="C125" s="17" t="s">
        <v>185</v>
      </c>
      <c r="D125" s="17"/>
      <c r="E125" s="17" t="s">
        <v>99</v>
      </c>
      <c r="F125" s="17"/>
      <c r="G125" s="17" t="s">
        <v>102</v>
      </c>
      <c r="H125" s="17"/>
      <c r="I125" s="17" t="s">
        <v>108</v>
      </c>
      <c r="J125" s="17"/>
      <c r="K125" s="17"/>
      <c r="L125" s="17"/>
      <c r="M125" s="17"/>
      <c r="N125" s="17"/>
      <c r="O125" s="17"/>
      <c r="P125" s="188"/>
      <c r="Q125" s="188"/>
      <c r="R125" s="9"/>
      <c r="S125" s="9"/>
      <c r="T125" s="9"/>
      <c r="U125" s="75"/>
      <c r="V125" s="194"/>
      <c r="W125" s="6"/>
    </row>
    <row r="126" spans="1:23" ht="15.6">
      <c r="A126" s="25"/>
      <c r="B126" s="26" t="s">
        <v>122</v>
      </c>
      <c r="C126" s="59">
        <f>+N199-'March 06'!N199</f>
        <v>-330</v>
      </c>
      <c r="D126" s="26"/>
      <c r="E126" s="59">
        <f>+S199-'March 06'!S199</f>
        <v>88</v>
      </c>
      <c r="F126" s="26"/>
      <c r="G126" s="59">
        <f>+N212-'March 06'!N212</f>
        <v>227</v>
      </c>
      <c r="H126" s="26"/>
      <c r="I126" s="59">
        <f>+S212-'March 06'!S212</f>
        <v>17</v>
      </c>
      <c r="J126" s="26"/>
      <c r="K126" s="26"/>
      <c r="L126" s="26"/>
      <c r="M126" s="26"/>
      <c r="N126" s="26"/>
      <c r="O126" s="26"/>
      <c r="P126" s="189"/>
      <c r="Q126" s="189"/>
      <c r="R126" s="26"/>
      <c r="S126" s="26"/>
      <c r="T126" s="26"/>
      <c r="U126" s="60">
        <f>SUM(C126:I126)</f>
        <v>2</v>
      </c>
      <c r="V126" s="196"/>
      <c r="W126" s="6"/>
    </row>
    <row r="127" spans="1:23" ht="15.6">
      <c r="A127" s="25"/>
      <c r="B127" s="26" t="s">
        <v>47</v>
      </c>
      <c r="C127" s="59">
        <v>2746</v>
      </c>
      <c r="D127" s="26"/>
      <c r="E127" s="26">
        <v>0</v>
      </c>
      <c r="F127" s="26"/>
      <c r="G127" s="26">
        <v>474</v>
      </c>
      <c r="H127" s="26"/>
      <c r="I127" s="59">
        <v>2407</v>
      </c>
      <c r="J127" s="26"/>
      <c r="K127" s="26"/>
      <c r="L127" s="26"/>
      <c r="M127" s="26"/>
      <c r="N127" s="26"/>
      <c r="O127" s="26"/>
      <c r="P127" s="189"/>
      <c r="Q127" s="189"/>
      <c r="R127" s="26"/>
      <c r="S127" s="26"/>
      <c r="T127" s="26"/>
      <c r="U127" s="60">
        <f>SUM(C127:I127)</f>
        <v>5627</v>
      </c>
      <c r="V127" s="196"/>
      <c r="W127" s="6"/>
    </row>
    <row r="128" spans="1:23" ht="15.6">
      <c r="A128" s="25"/>
      <c r="B128" s="26" t="s">
        <v>48</v>
      </c>
      <c r="C128" s="26"/>
      <c r="D128" s="26"/>
      <c r="E128" s="26"/>
      <c r="F128" s="26"/>
      <c r="G128" s="26"/>
      <c r="H128" s="26"/>
      <c r="I128" s="26"/>
      <c r="J128" s="26"/>
      <c r="K128" s="26"/>
      <c r="L128" s="26"/>
      <c r="M128" s="26"/>
      <c r="N128" s="26"/>
      <c r="O128" s="26"/>
      <c r="P128" s="26"/>
      <c r="Q128" s="26"/>
      <c r="R128" s="26"/>
      <c r="S128" s="26"/>
      <c r="T128" s="26"/>
      <c r="U128" s="60">
        <f>SUM(U126:U127)</f>
        <v>5629</v>
      </c>
      <c r="V128" s="196"/>
      <c r="W128" s="6"/>
    </row>
    <row r="129" spans="1:25" ht="15.6">
      <c r="A129" s="7"/>
      <c r="B129" s="153" t="s">
        <v>49</v>
      </c>
      <c r="C129" s="13"/>
      <c r="D129" s="13"/>
      <c r="E129" s="13"/>
      <c r="F129" s="13"/>
      <c r="G129" s="13"/>
      <c r="H129" s="13"/>
      <c r="I129" s="13"/>
      <c r="J129" s="13"/>
      <c r="K129" s="13"/>
      <c r="L129" s="13"/>
      <c r="M129" s="9"/>
      <c r="N129" s="9"/>
      <c r="O129" s="9"/>
      <c r="P129" s="9"/>
      <c r="Q129" s="9"/>
      <c r="R129" s="9"/>
      <c r="S129" s="9"/>
      <c r="T129" s="9"/>
      <c r="U129" s="58"/>
      <c r="V129" s="194"/>
      <c r="W129" s="6"/>
    </row>
    <row r="130" spans="1:25" ht="15.6">
      <c r="A130" s="25"/>
      <c r="B130" s="26" t="s">
        <v>50</v>
      </c>
      <c r="C130" s="77"/>
      <c r="D130" s="77"/>
      <c r="E130" s="77"/>
      <c r="F130" s="77"/>
      <c r="G130" s="77"/>
      <c r="H130" s="77"/>
      <c r="I130" s="77"/>
      <c r="J130" s="77"/>
      <c r="K130" s="77"/>
      <c r="L130" s="77"/>
      <c r="M130" s="26"/>
      <c r="N130" s="26"/>
      <c r="O130" s="26"/>
      <c r="P130" s="26"/>
      <c r="Q130" s="26"/>
      <c r="R130" s="26"/>
      <c r="S130" s="26"/>
      <c r="T130" s="26"/>
      <c r="U130" s="60">
        <f>U76+U78</f>
        <v>374808</v>
      </c>
      <c r="V130" s="196"/>
      <c r="W130" s="6"/>
      <c r="X130" s="182"/>
    </row>
    <row r="131" spans="1:25" ht="15.6">
      <c r="A131" s="25"/>
      <c r="B131" s="26" t="s">
        <v>51</v>
      </c>
      <c r="C131" s="77"/>
      <c r="D131" s="77"/>
      <c r="E131" s="77"/>
      <c r="F131" s="77"/>
      <c r="G131" s="77"/>
      <c r="H131" s="77"/>
      <c r="I131" s="77"/>
      <c r="J131" s="77"/>
      <c r="K131" s="77"/>
      <c r="L131" s="77"/>
      <c r="M131" s="26"/>
      <c r="N131" s="26"/>
      <c r="O131" s="26"/>
      <c r="P131" s="26"/>
      <c r="Q131" s="26"/>
      <c r="R131" s="26"/>
      <c r="S131" s="26"/>
      <c r="T131" s="26"/>
      <c r="U131" s="60">
        <f>U79</f>
        <v>75192</v>
      </c>
      <c r="V131" s="196"/>
      <c r="W131" s="6"/>
      <c r="Y131" s="182"/>
    </row>
    <row r="132" spans="1:25" ht="15.6">
      <c r="A132" s="25"/>
      <c r="B132" s="26" t="s">
        <v>52</v>
      </c>
      <c r="C132" s="77"/>
      <c r="D132" s="77"/>
      <c r="E132" s="77"/>
      <c r="F132" s="77"/>
      <c r="G132" s="77"/>
      <c r="H132" s="77"/>
      <c r="I132" s="77"/>
      <c r="J132" s="77"/>
      <c r="K132" s="77"/>
      <c r="L132" s="77"/>
      <c r="M132" s="26"/>
      <c r="N132" s="26"/>
      <c r="O132" s="26"/>
      <c r="P132" s="26"/>
      <c r="Q132" s="26"/>
      <c r="R132" s="26"/>
      <c r="S132" s="26"/>
      <c r="T132" s="26"/>
      <c r="U132" s="60">
        <f>+U130+U131</f>
        <v>450000</v>
      </c>
      <c r="V132" s="196"/>
      <c r="W132" s="6"/>
    </row>
    <row r="133" spans="1:25" ht="15.6">
      <c r="A133" s="25"/>
      <c r="B133" s="26" t="s">
        <v>53</v>
      </c>
      <c r="C133" s="77"/>
      <c r="D133" s="77"/>
      <c r="E133" s="77"/>
      <c r="F133" s="77"/>
      <c r="G133" s="77"/>
      <c r="H133" s="77"/>
      <c r="I133" s="77"/>
      <c r="J133" s="77"/>
      <c r="K133" s="77"/>
      <c r="L133" s="77"/>
      <c r="M133" s="26"/>
      <c r="N133" s="26"/>
      <c r="O133" s="26"/>
      <c r="P133" s="26"/>
      <c r="Q133" s="26"/>
      <c r="R133" s="26"/>
      <c r="S133" s="26"/>
      <c r="T133" s="26"/>
      <c r="U133" s="60">
        <f>U81</f>
        <v>450000</v>
      </c>
      <c r="V133" s="196"/>
      <c r="W133" s="6"/>
      <c r="X133" s="64"/>
    </row>
    <row r="134" spans="1:25" ht="15.6">
      <c r="A134" s="25"/>
      <c r="B134" s="26"/>
      <c r="C134" s="26"/>
      <c r="D134" s="26"/>
      <c r="E134" s="26"/>
      <c r="F134" s="26"/>
      <c r="G134" s="26"/>
      <c r="H134" s="26"/>
      <c r="I134" s="26"/>
      <c r="J134" s="26"/>
      <c r="K134" s="26"/>
      <c r="L134" s="26"/>
      <c r="M134" s="26"/>
      <c r="N134" s="26"/>
      <c r="O134" s="26"/>
      <c r="P134" s="26"/>
      <c r="Q134" s="26"/>
      <c r="R134" s="26"/>
      <c r="S134" s="26"/>
      <c r="T134" s="26"/>
      <c r="U134" s="78"/>
      <c r="V134" s="196"/>
      <c r="W134" s="6"/>
    </row>
    <row r="135" spans="1:25" ht="15.6">
      <c r="A135" s="7"/>
      <c r="B135" s="153" t="s">
        <v>54</v>
      </c>
      <c r="C135" s="141"/>
      <c r="D135" s="141"/>
      <c r="E135" s="141"/>
      <c r="F135" s="141"/>
      <c r="G135" s="141"/>
      <c r="H135" s="141"/>
      <c r="I135" s="141"/>
      <c r="J135" s="141"/>
      <c r="K135" s="141"/>
      <c r="L135" s="141"/>
      <c r="M135" s="141"/>
      <c r="N135" s="141"/>
      <c r="O135" s="141"/>
      <c r="P135" s="141"/>
      <c r="Q135" s="142" t="s">
        <v>112</v>
      </c>
      <c r="R135" s="154"/>
      <c r="S135" s="142" t="s">
        <v>114</v>
      </c>
      <c r="T135" s="141"/>
      <c r="U135" s="155" t="s">
        <v>90</v>
      </c>
      <c r="V135" s="194"/>
      <c r="W135" s="6"/>
    </row>
    <row r="136" spans="1:25" ht="15.6">
      <c r="A136" s="25"/>
      <c r="B136" s="26" t="s">
        <v>55</v>
      </c>
      <c r="C136" s="26"/>
      <c r="D136" s="26"/>
      <c r="E136" s="26"/>
      <c r="F136" s="26"/>
      <c r="G136" s="26"/>
      <c r="H136" s="26"/>
      <c r="I136" s="26"/>
      <c r="J136" s="26"/>
      <c r="K136" s="26"/>
      <c r="L136" s="26"/>
      <c r="M136" s="26"/>
      <c r="N136" s="26"/>
      <c r="O136" s="26"/>
      <c r="P136" s="26"/>
      <c r="Q136" s="60">
        <v>0</v>
      </c>
      <c r="R136" s="26"/>
      <c r="S136" s="79" t="s">
        <v>115</v>
      </c>
      <c r="T136" s="26"/>
      <c r="U136" s="60">
        <f>Q136</f>
        <v>0</v>
      </c>
      <c r="V136" s="196"/>
      <c r="W136" s="6"/>
    </row>
    <row r="137" spans="1:25" ht="15.6">
      <c r="A137" s="25"/>
      <c r="B137" s="26" t="s">
        <v>56</v>
      </c>
      <c r="C137" s="26"/>
      <c r="D137" s="26"/>
      <c r="E137" s="26"/>
      <c r="F137" s="26"/>
      <c r="G137" s="26"/>
      <c r="H137" s="26"/>
      <c r="I137" s="26"/>
      <c r="J137" s="26"/>
      <c r="K137" s="26"/>
      <c r="L137" s="26"/>
      <c r="M137" s="26"/>
      <c r="N137" s="26"/>
      <c r="O137" s="26"/>
      <c r="P137" s="26"/>
      <c r="Q137" s="60">
        <f>+'March 06'!Q139</f>
        <v>855</v>
      </c>
      <c r="R137" s="26"/>
      <c r="S137" s="79" t="s">
        <v>115</v>
      </c>
      <c r="T137" s="26"/>
      <c r="U137" s="60">
        <f>Q137</f>
        <v>855</v>
      </c>
      <c r="V137" s="196"/>
      <c r="W137" s="6"/>
    </row>
    <row r="138" spans="1:25" ht="15.6">
      <c r="A138" s="25"/>
      <c r="B138" s="26" t="s">
        <v>57</v>
      </c>
      <c r="C138" s="26"/>
      <c r="D138" s="26"/>
      <c r="E138" s="26"/>
      <c r="F138" s="26"/>
      <c r="G138" s="26"/>
      <c r="H138" s="26"/>
      <c r="I138" s="26"/>
      <c r="J138" s="26"/>
      <c r="K138" s="26"/>
      <c r="L138" s="26"/>
      <c r="M138" s="26"/>
      <c r="N138" s="26"/>
      <c r="O138" s="26"/>
      <c r="P138" s="26"/>
      <c r="Q138" s="60">
        <v>323</v>
      </c>
      <c r="R138" s="26"/>
      <c r="S138" s="79" t="s">
        <v>115</v>
      </c>
      <c r="T138" s="26"/>
      <c r="U138" s="60">
        <f>Q138</f>
        <v>323</v>
      </c>
      <c r="V138" s="196"/>
      <c r="W138" s="6"/>
    </row>
    <row r="139" spans="1:25" ht="15.6">
      <c r="A139" s="25"/>
      <c r="B139" s="26" t="s">
        <v>58</v>
      </c>
      <c r="C139" s="26"/>
      <c r="D139" s="26"/>
      <c r="E139" s="26"/>
      <c r="F139" s="26"/>
      <c r="G139" s="26"/>
      <c r="H139" s="26"/>
      <c r="I139" s="26"/>
      <c r="J139" s="26"/>
      <c r="K139" s="26"/>
      <c r="L139" s="26"/>
      <c r="M139" s="26"/>
      <c r="N139" s="26"/>
      <c r="O139" s="26"/>
      <c r="P139" s="26"/>
      <c r="Q139" s="60">
        <f>SUM(Q137:Q138)</f>
        <v>1178</v>
      </c>
      <c r="R139" s="26"/>
      <c r="S139" s="79" t="s">
        <v>115</v>
      </c>
      <c r="T139" s="26"/>
      <c r="U139" s="60">
        <f>Q139</f>
        <v>1178</v>
      </c>
      <c r="V139" s="196"/>
      <c r="W139" s="6"/>
    </row>
    <row r="140" spans="1:25" ht="15.6">
      <c r="A140" s="25"/>
      <c r="B140" s="26" t="s">
        <v>215</v>
      </c>
      <c r="C140" s="26"/>
      <c r="D140" s="26"/>
      <c r="E140" s="26"/>
      <c r="F140" s="26"/>
      <c r="G140" s="26"/>
      <c r="H140" s="26"/>
      <c r="I140" s="26"/>
      <c r="J140" s="26"/>
      <c r="K140" s="26"/>
      <c r="L140" s="26"/>
      <c r="M140" s="26"/>
      <c r="N140" s="26"/>
      <c r="O140" s="26"/>
      <c r="P140" s="26"/>
      <c r="Q140" s="60"/>
      <c r="R140" s="26"/>
      <c r="S140" s="79"/>
      <c r="T140" s="26"/>
      <c r="U140" s="60"/>
      <c r="V140" s="196"/>
      <c r="W140" s="6"/>
    </row>
    <row r="141" spans="1:25" ht="15.6">
      <c r="A141" s="25"/>
      <c r="B141" s="26"/>
      <c r="C141" s="26"/>
      <c r="D141" s="26"/>
      <c r="E141" s="26"/>
      <c r="F141" s="26"/>
      <c r="G141" s="26"/>
      <c r="H141" s="26"/>
      <c r="I141" s="26"/>
      <c r="J141" s="26"/>
      <c r="K141" s="26"/>
      <c r="L141" s="26"/>
      <c r="M141" s="26"/>
      <c r="N141" s="26"/>
      <c r="O141" s="26"/>
      <c r="P141" s="26"/>
      <c r="Q141" s="26"/>
      <c r="R141" s="26"/>
      <c r="S141" s="26"/>
      <c r="T141" s="26"/>
      <c r="U141" s="26"/>
      <c r="V141" s="196"/>
      <c r="W141" s="6"/>
    </row>
    <row r="142" spans="1:25" ht="15.6">
      <c r="A142" s="25"/>
      <c r="B142" s="29"/>
      <c r="C142" s="29"/>
      <c r="D142" s="29"/>
      <c r="E142" s="29"/>
      <c r="F142" s="29"/>
      <c r="G142" s="29"/>
      <c r="H142" s="29"/>
      <c r="I142" s="29"/>
      <c r="J142" s="29"/>
      <c r="K142" s="29"/>
      <c r="L142" s="29"/>
      <c r="M142" s="29"/>
      <c r="N142" s="29"/>
      <c r="O142" s="29"/>
      <c r="P142" s="29"/>
      <c r="Q142" s="29"/>
      <c r="R142" s="29"/>
      <c r="S142" s="29"/>
      <c r="T142" s="29"/>
      <c r="U142" s="29"/>
      <c r="V142" s="203"/>
      <c r="W142" s="6"/>
    </row>
    <row r="143" spans="1:25" ht="15.6">
      <c r="A143" s="80"/>
      <c r="B143" s="57" t="s">
        <v>59</v>
      </c>
      <c r="C143" s="81"/>
      <c r="D143" s="81"/>
      <c r="E143" s="81"/>
      <c r="F143" s="81"/>
      <c r="G143" s="81"/>
      <c r="H143" s="81"/>
      <c r="I143" s="81"/>
      <c r="J143" s="81"/>
      <c r="K143" s="81"/>
      <c r="L143" s="81"/>
      <c r="M143" s="81"/>
      <c r="N143" s="81"/>
      <c r="O143" s="81"/>
      <c r="P143" s="19"/>
      <c r="Q143" s="19"/>
      <c r="R143" s="19"/>
      <c r="S143" s="19">
        <v>38898</v>
      </c>
      <c r="T143" s="15"/>
      <c r="U143" s="15"/>
      <c r="V143" s="194"/>
      <c r="W143" s="6"/>
    </row>
    <row r="144" spans="1:25" ht="15.6">
      <c r="A144" s="82"/>
      <c r="B144" s="83" t="s">
        <v>60</v>
      </c>
      <c r="C144" s="84"/>
      <c r="D144" s="84"/>
      <c r="E144" s="84"/>
      <c r="F144" s="84"/>
      <c r="G144" s="84"/>
      <c r="H144" s="84"/>
      <c r="I144" s="84"/>
      <c r="J144" s="84"/>
      <c r="K144" s="84"/>
      <c r="L144" s="84"/>
      <c r="M144" s="84"/>
      <c r="N144" s="84"/>
      <c r="O144" s="84"/>
      <c r="P144" s="85"/>
      <c r="Q144" s="85"/>
      <c r="R144" s="85"/>
      <c r="S144" s="86">
        <v>0.10630000000000001</v>
      </c>
      <c r="T144" s="26"/>
      <c r="U144" s="26"/>
      <c r="V144" s="196"/>
      <c r="W144" s="6"/>
    </row>
    <row r="145" spans="1:23" ht="15.6">
      <c r="A145" s="82"/>
      <c r="B145" s="83" t="s">
        <v>61</v>
      </c>
      <c r="C145" s="84"/>
      <c r="D145" s="84"/>
      <c r="E145" s="84"/>
      <c r="F145" s="84"/>
      <c r="G145" s="84"/>
      <c r="H145" s="84"/>
      <c r="I145" s="84"/>
      <c r="J145" s="84"/>
      <c r="K145" s="84"/>
      <c r="L145" s="84"/>
      <c r="M145" s="84"/>
      <c r="N145" s="84"/>
      <c r="O145" s="84"/>
      <c r="P145" s="85"/>
      <c r="Q145" s="85"/>
      <c r="R145" s="85"/>
      <c r="S145" s="86">
        <v>5.2200000000000003E-2</v>
      </c>
      <c r="T145" s="86"/>
      <c r="U145" s="26"/>
      <c r="V145" s="196"/>
      <c r="W145" s="6"/>
    </row>
    <row r="146" spans="1:23" ht="15.6">
      <c r="A146" s="82"/>
      <c r="B146" s="83" t="s">
        <v>62</v>
      </c>
      <c r="C146" s="84"/>
      <c r="D146" s="84"/>
      <c r="E146" s="84"/>
      <c r="F146" s="84"/>
      <c r="G146" s="84"/>
      <c r="H146" s="84"/>
      <c r="I146" s="84"/>
      <c r="J146" s="84"/>
      <c r="K146" s="84"/>
      <c r="L146" s="84"/>
      <c r="M146" s="84"/>
      <c r="N146" s="84"/>
      <c r="O146" s="84"/>
      <c r="P146" s="85"/>
      <c r="Q146" s="85"/>
      <c r="R146" s="85"/>
      <c r="S146" s="86">
        <f>S144-S145</f>
        <v>5.4100000000000002E-2</v>
      </c>
      <c r="T146" s="26"/>
      <c r="U146" s="26"/>
      <c r="V146" s="196"/>
      <c r="W146" s="6"/>
    </row>
    <row r="147" spans="1:23" ht="15.6">
      <c r="A147" s="82"/>
      <c r="B147" s="83" t="s">
        <v>63</v>
      </c>
      <c r="C147" s="84"/>
      <c r="D147" s="84"/>
      <c r="E147" s="84"/>
      <c r="F147" s="84"/>
      <c r="G147" s="84"/>
      <c r="H147" s="84"/>
      <c r="I147" s="84"/>
      <c r="J147" s="84"/>
      <c r="K147" s="84"/>
      <c r="L147" s="84"/>
      <c r="M147" s="84"/>
      <c r="N147" s="84"/>
      <c r="O147" s="84"/>
      <c r="P147" s="85"/>
      <c r="Q147" s="85"/>
      <c r="R147" s="85"/>
      <c r="S147" s="86">
        <v>9.9159999999999998E-2</v>
      </c>
      <c r="T147" s="26"/>
      <c r="U147" s="26"/>
      <c r="V147" s="196"/>
      <c r="W147" s="6"/>
    </row>
    <row r="148" spans="1:23" ht="15.6">
      <c r="A148" s="82"/>
      <c r="B148" s="83" t="s">
        <v>64</v>
      </c>
      <c r="C148" s="84"/>
      <c r="D148" s="84"/>
      <c r="E148" s="84"/>
      <c r="F148" s="84"/>
      <c r="G148" s="84"/>
      <c r="H148" s="84"/>
      <c r="I148" s="84"/>
      <c r="J148" s="84"/>
      <c r="K148" s="84"/>
      <c r="L148" s="84"/>
      <c r="M148" s="84"/>
      <c r="N148" s="84"/>
      <c r="O148" s="84"/>
      <c r="P148" s="85"/>
      <c r="Q148" s="85"/>
      <c r="R148" s="85"/>
      <c r="S148" s="86">
        <f>+U40</f>
        <v>4.9806507444444446E-2</v>
      </c>
      <c r="T148" s="26"/>
      <c r="U148" s="26"/>
      <c r="V148" s="196"/>
      <c r="W148" s="6"/>
    </row>
    <row r="149" spans="1:23" ht="15.6">
      <c r="A149" s="82"/>
      <c r="B149" s="83" t="s">
        <v>65</v>
      </c>
      <c r="C149" s="84"/>
      <c r="D149" s="84"/>
      <c r="E149" s="84"/>
      <c r="F149" s="84"/>
      <c r="G149" s="84"/>
      <c r="H149" s="84"/>
      <c r="I149" s="84"/>
      <c r="J149" s="84"/>
      <c r="K149" s="84"/>
      <c r="L149" s="84"/>
      <c r="M149" s="84"/>
      <c r="N149" s="84"/>
      <c r="O149" s="84"/>
      <c r="P149" s="85"/>
      <c r="Q149" s="85"/>
      <c r="R149" s="85"/>
      <c r="S149" s="86">
        <f>S147-S148</f>
        <v>4.9353492555555552E-2</v>
      </c>
      <c r="T149" s="26"/>
      <c r="U149" s="26"/>
      <c r="V149" s="196"/>
      <c r="W149" s="6"/>
    </row>
    <row r="150" spans="1:23" ht="15.6">
      <c r="A150" s="82"/>
      <c r="B150" s="83" t="s">
        <v>204</v>
      </c>
      <c r="C150" s="84"/>
      <c r="D150" s="84"/>
      <c r="E150" s="84"/>
      <c r="F150" s="84"/>
      <c r="G150" s="84"/>
      <c r="H150" s="84"/>
      <c r="I150" s="84"/>
      <c r="J150" s="84"/>
      <c r="K150" s="84"/>
      <c r="L150" s="84"/>
      <c r="M150" s="84"/>
      <c r="N150" s="84"/>
      <c r="O150" s="84"/>
      <c r="P150" s="85"/>
      <c r="Q150" s="85"/>
      <c r="R150" s="85"/>
      <c r="S150" s="183">
        <v>49780</v>
      </c>
      <c r="T150" s="26"/>
      <c r="U150" s="26"/>
      <c r="V150" s="196"/>
      <c r="W150" s="6"/>
    </row>
    <row r="151" spans="1:23" ht="15.6">
      <c r="A151" s="82"/>
      <c r="B151" s="83" t="s">
        <v>205</v>
      </c>
      <c r="C151" s="84"/>
      <c r="D151" s="84"/>
      <c r="E151" s="84"/>
      <c r="F151" s="84"/>
      <c r="G151" s="84"/>
      <c r="H151" s="84"/>
      <c r="I151" s="84"/>
      <c r="J151" s="84"/>
      <c r="K151" s="84"/>
      <c r="L151" s="84"/>
      <c r="M151" s="84"/>
      <c r="N151" s="84"/>
      <c r="O151" s="84"/>
      <c r="P151" s="85"/>
      <c r="Q151" s="85"/>
      <c r="R151" s="85"/>
      <c r="S151" s="183">
        <v>49780</v>
      </c>
      <c r="T151" s="26"/>
      <c r="U151" s="26"/>
      <c r="V151" s="196"/>
      <c r="W151" s="6"/>
    </row>
    <row r="152" spans="1:23" ht="15.6">
      <c r="A152" s="82"/>
      <c r="B152" s="83" t="s">
        <v>206</v>
      </c>
      <c r="C152" s="84"/>
      <c r="D152" s="84"/>
      <c r="E152" s="84"/>
      <c r="F152" s="84"/>
      <c r="G152" s="84"/>
      <c r="H152" s="84"/>
      <c r="I152" s="84"/>
      <c r="J152" s="84"/>
      <c r="K152" s="84"/>
      <c r="L152" s="84"/>
      <c r="M152" s="84"/>
      <c r="N152" s="84"/>
      <c r="O152" s="84"/>
      <c r="P152" s="85"/>
      <c r="Q152" s="85"/>
      <c r="R152" s="85"/>
      <c r="S152" s="183">
        <v>49780</v>
      </c>
      <c r="T152" s="26"/>
      <c r="U152" s="26"/>
      <c r="V152" s="196"/>
      <c r="W152" s="6"/>
    </row>
    <row r="153" spans="1:23" ht="15.6">
      <c r="A153" s="82"/>
      <c r="B153" s="83" t="s">
        <v>207</v>
      </c>
      <c r="C153" s="84"/>
      <c r="D153" s="84"/>
      <c r="E153" s="84"/>
      <c r="F153" s="84"/>
      <c r="G153" s="84"/>
      <c r="H153" s="84"/>
      <c r="I153" s="84"/>
      <c r="J153" s="84"/>
      <c r="K153" s="84"/>
      <c r="L153" s="84"/>
      <c r="M153" s="84"/>
      <c r="N153" s="84"/>
      <c r="O153" s="84"/>
      <c r="P153" s="85"/>
      <c r="Q153" s="85"/>
      <c r="R153" s="85"/>
      <c r="S153" s="183">
        <v>49780</v>
      </c>
      <c r="T153" s="26"/>
      <c r="U153" s="26"/>
      <c r="V153" s="196"/>
      <c r="W153" s="6"/>
    </row>
    <row r="154" spans="1:23" ht="15.6">
      <c r="A154" s="82"/>
      <c r="B154" s="83" t="s">
        <v>221</v>
      </c>
      <c r="C154" s="84"/>
      <c r="D154" s="84"/>
      <c r="E154" s="84"/>
      <c r="F154" s="84"/>
      <c r="G154" s="84"/>
      <c r="H154" s="84"/>
      <c r="I154" s="84"/>
      <c r="J154" s="84"/>
      <c r="K154" s="84"/>
      <c r="L154" s="84"/>
      <c r="M154" s="84"/>
      <c r="N154" s="84"/>
      <c r="O154" s="84"/>
      <c r="P154" s="85"/>
      <c r="Q154" s="85"/>
      <c r="R154" s="85"/>
      <c r="S154" s="87">
        <v>111.34</v>
      </c>
      <c r="T154" s="26"/>
      <c r="U154" s="26"/>
      <c r="V154" s="196"/>
      <c r="W154" s="6"/>
    </row>
    <row r="155" spans="1:23" ht="15.6">
      <c r="A155" s="82"/>
      <c r="B155" s="83" t="s">
        <v>222</v>
      </c>
      <c r="C155" s="84"/>
      <c r="D155" s="84"/>
      <c r="E155" s="84"/>
      <c r="F155" s="84"/>
      <c r="G155" s="84"/>
      <c r="H155" s="84"/>
      <c r="I155" s="84"/>
      <c r="J155" s="84"/>
      <c r="K155" s="84"/>
      <c r="L155" s="84"/>
      <c r="M155" s="84"/>
      <c r="N155" s="84"/>
      <c r="O155" s="84"/>
      <c r="P155" s="85"/>
      <c r="Q155" s="85"/>
      <c r="R155" s="85"/>
      <c r="S155" s="87">
        <v>117.09</v>
      </c>
      <c r="T155" s="26"/>
      <c r="U155" s="26"/>
      <c r="V155" s="196"/>
      <c r="W155" s="6"/>
    </row>
    <row r="156" spans="1:23" ht="15.6">
      <c r="A156" s="82" t="s">
        <v>223</v>
      </c>
      <c r="B156" s="83" t="s">
        <v>66</v>
      </c>
      <c r="C156" s="84"/>
      <c r="D156" s="84"/>
      <c r="E156" s="84"/>
      <c r="F156" s="84"/>
      <c r="G156" s="84"/>
      <c r="H156" s="84"/>
      <c r="I156" s="84"/>
      <c r="J156" s="84"/>
      <c r="K156" s="84"/>
      <c r="L156" s="84"/>
      <c r="M156" s="84"/>
      <c r="N156" s="84"/>
      <c r="O156" s="84"/>
      <c r="P156" s="85"/>
      <c r="Q156" s="85"/>
      <c r="R156" s="85"/>
      <c r="S156" s="86">
        <v>0.12670000000000001</v>
      </c>
      <c r="T156" s="26"/>
      <c r="U156" s="26"/>
      <c r="V156" s="196"/>
      <c r="W156" s="6"/>
    </row>
    <row r="157" spans="1:23" ht="15.6">
      <c r="A157" s="82"/>
      <c r="B157" s="83" t="s">
        <v>67</v>
      </c>
      <c r="C157" s="84"/>
      <c r="D157" s="84"/>
      <c r="E157" s="84"/>
      <c r="F157" s="84"/>
      <c r="G157" s="84"/>
      <c r="H157" s="84"/>
      <c r="I157" s="84"/>
      <c r="J157" s="84"/>
      <c r="K157" s="84"/>
      <c r="L157" s="84"/>
      <c r="M157" s="84"/>
      <c r="N157" s="84"/>
      <c r="O157" s="84"/>
      <c r="P157" s="85"/>
      <c r="Q157" s="85"/>
      <c r="R157" s="85"/>
      <c r="S157" s="86">
        <v>0.41189999999999999</v>
      </c>
      <c r="T157" s="26"/>
      <c r="U157" s="26"/>
      <c r="V157" s="196"/>
      <c r="W157" s="6"/>
    </row>
    <row r="158" spans="1:23" ht="15.6">
      <c r="A158" s="82"/>
      <c r="B158" s="83"/>
      <c r="C158" s="83"/>
      <c r="D158" s="83"/>
      <c r="E158" s="83"/>
      <c r="F158" s="83"/>
      <c r="G158" s="83"/>
      <c r="H158" s="83"/>
      <c r="I158" s="83"/>
      <c r="J158" s="83"/>
      <c r="K158" s="83"/>
      <c r="L158" s="83"/>
      <c r="M158" s="83"/>
      <c r="N158" s="83"/>
      <c r="O158" s="83"/>
      <c r="P158" s="26"/>
      <c r="Q158" s="26"/>
      <c r="R158" s="33"/>
      <c r="S158" s="88"/>
      <c r="T158" s="26"/>
      <c r="U158" s="89"/>
      <c r="V158" s="196"/>
      <c r="W158" s="6"/>
    </row>
    <row r="159" spans="1:23" ht="15.6">
      <c r="A159" s="80"/>
      <c r="B159" s="90"/>
      <c r="C159" s="90"/>
      <c r="D159" s="90"/>
      <c r="E159" s="90"/>
      <c r="F159" s="90"/>
      <c r="G159" s="90"/>
      <c r="H159" s="90"/>
      <c r="I159" s="90"/>
      <c r="J159" s="90"/>
      <c r="K159" s="90"/>
      <c r="L159" s="90"/>
      <c r="M159" s="90"/>
      <c r="N159" s="90"/>
      <c r="O159" s="90"/>
      <c r="P159" s="9"/>
      <c r="Q159" s="9"/>
      <c r="R159" s="20"/>
      <c r="S159" s="91"/>
      <c r="T159" s="9"/>
      <c r="U159" s="92"/>
      <c r="V159" s="194"/>
      <c r="W159" s="6"/>
    </row>
    <row r="160" spans="1:23" ht="16.2" thickBot="1">
      <c r="A160" s="136"/>
      <c r="B160" s="131" t="str">
        <f>+B110</f>
        <v>PPAF3 INVESTOR REPORT QUARTER ENDING JUNE 2006</v>
      </c>
      <c r="C160" s="137"/>
      <c r="D160" s="137"/>
      <c r="E160" s="137"/>
      <c r="F160" s="137"/>
      <c r="G160" s="137"/>
      <c r="H160" s="137"/>
      <c r="I160" s="137"/>
      <c r="J160" s="137"/>
      <c r="K160" s="137"/>
      <c r="L160" s="137"/>
      <c r="M160" s="137"/>
      <c r="N160" s="137"/>
      <c r="O160" s="137"/>
      <c r="P160" s="132"/>
      <c r="Q160" s="132"/>
      <c r="R160" s="138"/>
      <c r="S160" s="139"/>
      <c r="T160" s="132"/>
      <c r="U160" s="140"/>
      <c r="V160" s="134"/>
      <c r="W160" s="6"/>
    </row>
    <row r="161" spans="1:23" ht="15.6">
      <c r="A161" s="93"/>
      <c r="B161" s="94" t="s">
        <v>68</v>
      </c>
      <c r="C161" s="95"/>
      <c r="D161" s="95"/>
      <c r="E161" s="95"/>
      <c r="F161" s="95"/>
      <c r="G161" s="95"/>
      <c r="H161" s="95"/>
      <c r="I161" s="95"/>
      <c r="J161" s="95"/>
      <c r="K161" s="95"/>
      <c r="L161" s="95"/>
      <c r="M161" s="96"/>
      <c r="N161" s="95"/>
      <c r="O161" s="96"/>
      <c r="P161" s="95"/>
      <c r="Q161" s="96"/>
      <c r="R161" s="95" t="s">
        <v>94</v>
      </c>
      <c r="S161" s="96" t="s">
        <v>116</v>
      </c>
      <c r="T161" s="97"/>
      <c r="U161" s="97"/>
      <c r="V161" s="193"/>
      <c r="W161" s="6"/>
    </row>
    <row r="162" spans="1:23" ht="15.6">
      <c r="A162" s="98"/>
      <c r="B162" s="83" t="s">
        <v>216</v>
      </c>
      <c r="C162" s="61"/>
      <c r="D162" s="61"/>
      <c r="E162" s="61"/>
      <c r="F162" s="61"/>
      <c r="G162" s="61"/>
      <c r="H162" s="61"/>
      <c r="I162" s="61"/>
      <c r="J162" s="61"/>
      <c r="K162" s="61"/>
      <c r="L162" s="61"/>
      <c r="M162" s="61"/>
      <c r="N162" s="61"/>
      <c r="O162" s="26"/>
      <c r="P162" s="26"/>
      <c r="Q162" s="26"/>
      <c r="R162" s="59">
        <v>549</v>
      </c>
      <c r="S162" s="60">
        <v>16145</v>
      </c>
      <c r="T162" s="60"/>
      <c r="U162" s="89"/>
      <c r="V162" s="204"/>
      <c r="W162" s="6"/>
    </row>
    <row r="163" spans="1:23" ht="15.6">
      <c r="A163" s="98"/>
      <c r="B163" s="83" t="s">
        <v>217</v>
      </c>
      <c r="C163" s="61"/>
      <c r="D163" s="61"/>
      <c r="E163" s="61"/>
      <c r="F163" s="61"/>
      <c r="G163" s="61"/>
      <c r="H163" s="61"/>
      <c r="I163" s="61"/>
      <c r="J163" s="61"/>
      <c r="K163" s="61"/>
      <c r="L163" s="61"/>
      <c r="M163" s="61"/>
      <c r="N163" s="61"/>
      <c r="O163" s="26"/>
      <c r="P163" s="26"/>
      <c r="Q163" s="26"/>
      <c r="R163" s="26">
        <v>116</v>
      </c>
      <c r="S163" s="60">
        <v>1134</v>
      </c>
      <c r="T163" s="60"/>
      <c r="U163" s="89"/>
      <c r="V163" s="204"/>
      <c r="W163" s="6"/>
    </row>
    <row r="164" spans="1:23" ht="15.6">
      <c r="A164" s="98"/>
      <c r="B164" s="83" t="s">
        <v>218</v>
      </c>
      <c r="C164" s="61"/>
      <c r="D164" s="61"/>
      <c r="E164" s="61"/>
      <c r="F164" s="61"/>
      <c r="G164" s="61"/>
      <c r="H164" s="61"/>
      <c r="I164" s="61"/>
      <c r="J164" s="61"/>
      <c r="K164" s="61"/>
      <c r="L164" s="61"/>
      <c r="M164" s="61"/>
      <c r="N164" s="61"/>
      <c r="O164" s="26"/>
      <c r="P164" s="26"/>
      <c r="Q164" s="26"/>
      <c r="R164" s="26">
        <v>297</v>
      </c>
      <c r="S164" s="60">
        <v>342</v>
      </c>
      <c r="T164" s="60"/>
      <c r="U164" s="89"/>
      <c r="V164" s="204"/>
      <c r="W164" s="6"/>
    </row>
    <row r="165" spans="1:23" ht="15.6">
      <c r="A165" s="98"/>
      <c r="B165" s="83" t="s">
        <v>219</v>
      </c>
      <c r="C165" s="61"/>
      <c r="D165" s="61"/>
      <c r="E165" s="61"/>
      <c r="F165" s="61"/>
      <c r="G165" s="61"/>
      <c r="H165" s="61"/>
      <c r="I165" s="61"/>
      <c r="J165" s="61"/>
      <c r="K165" s="61"/>
      <c r="L165" s="61"/>
      <c r="M165" s="61"/>
      <c r="N165" s="61"/>
      <c r="O165" s="26"/>
      <c r="P165" s="26"/>
      <c r="Q165" s="26"/>
      <c r="R165" s="26">
        <v>618</v>
      </c>
      <c r="S165" s="60">
        <v>3923</v>
      </c>
      <c r="T165" s="60"/>
      <c r="U165" s="89"/>
      <c r="V165" s="204"/>
      <c r="W165" s="6"/>
    </row>
    <row r="166" spans="1:23" ht="15.6">
      <c r="A166" s="98"/>
      <c r="B166" s="83" t="s">
        <v>90</v>
      </c>
      <c r="C166" s="61"/>
      <c r="D166" s="61"/>
      <c r="E166" s="61"/>
      <c r="F166" s="61"/>
      <c r="G166" s="61"/>
      <c r="H166" s="61"/>
      <c r="I166" s="61"/>
      <c r="J166" s="61"/>
      <c r="K166" s="61"/>
      <c r="L166" s="61"/>
      <c r="M166" s="61"/>
      <c r="N166" s="61"/>
      <c r="O166" s="26"/>
      <c r="P166" s="26"/>
      <c r="Q166" s="26"/>
      <c r="R166" s="59">
        <f>SUM(R162:R165)</f>
        <v>1580</v>
      </c>
      <c r="S166" s="60">
        <f>SUM(S162:S165)</f>
        <v>21544</v>
      </c>
      <c r="T166" s="60"/>
      <c r="U166" s="89"/>
      <c r="V166" s="204"/>
      <c r="W166" s="6"/>
    </row>
    <row r="167" spans="1:23" ht="15.6">
      <c r="A167" s="98"/>
      <c r="B167" s="83"/>
      <c r="C167" s="61"/>
      <c r="D167" s="61"/>
      <c r="E167" s="61"/>
      <c r="F167" s="61"/>
      <c r="G167" s="61"/>
      <c r="H167" s="61"/>
      <c r="I167" s="61"/>
      <c r="J167" s="61"/>
      <c r="K167" s="61"/>
      <c r="L167" s="61"/>
      <c r="M167" s="61"/>
      <c r="N167" s="61"/>
      <c r="O167" s="26"/>
      <c r="P167" s="26"/>
      <c r="Q167" s="26"/>
      <c r="R167" s="26"/>
      <c r="S167" s="60"/>
      <c r="T167" s="60"/>
      <c r="U167" s="89"/>
      <c r="V167" s="204"/>
      <c r="W167" s="6"/>
    </row>
    <row r="168" spans="1:23" ht="15.6">
      <c r="A168" s="98"/>
      <c r="B168" s="83" t="s">
        <v>220</v>
      </c>
      <c r="C168" s="61"/>
      <c r="D168" s="61"/>
      <c r="E168" s="61"/>
      <c r="F168" s="61"/>
      <c r="G168" s="61"/>
      <c r="H168" s="61"/>
      <c r="I168" s="61"/>
      <c r="J168" s="61"/>
      <c r="K168" s="61"/>
      <c r="L168" s="61"/>
      <c r="M168" s="61"/>
      <c r="N168" s="61"/>
      <c r="O168" s="26"/>
      <c r="P168" s="26"/>
      <c r="Q168" s="26"/>
      <c r="R168" s="26">
        <v>32</v>
      </c>
      <c r="S168" s="60">
        <v>460</v>
      </c>
      <c r="T168" s="60"/>
      <c r="U168" s="89"/>
      <c r="V168" s="204"/>
      <c r="W168" s="6"/>
    </row>
    <row r="169" spans="1:23" ht="15.6">
      <c r="A169" s="98"/>
      <c r="B169" s="83" t="s">
        <v>224</v>
      </c>
      <c r="C169" s="61"/>
      <c r="D169" s="61"/>
      <c r="E169" s="61"/>
      <c r="F169" s="61"/>
      <c r="G169" s="61"/>
      <c r="H169" s="61"/>
      <c r="I169" s="61"/>
      <c r="J169" s="61"/>
      <c r="K169" s="61"/>
      <c r="L169" s="61"/>
      <c r="M169" s="61"/>
      <c r="N169" s="61"/>
      <c r="O169" s="26"/>
      <c r="P169" s="26"/>
      <c r="Q169" s="26"/>
      <c r="R169" s="26">
        <v>12</v>
      </c>
      <c r="S169" s="60">
        <v>435</v>
      </c>
      <c r="T169" s="60"/>
      <c r="U169" s="89"/>
      <c r="V169" s="204"/>
      <c r="W169" s="6"/>
    </row>
    <row r="170" spans="1:23" ht="15.6">
      <c r="A170" s="98"/>
      <c r="B170" s="156" t="s">
        <v>69</v>
      </c>
      <c r="C170" s="61"/>
      <c r="D170" s="61"/>
      <c r="E170" s="61"/>
      <c r="F170" s="61"/>
      <c r="G170" s="61"/>
      <c r="H170" s="61"/>
      <c r="I170" s="61"/>
      <c r="J170" s="61"/>
      <c r="K170" s="61"/>
      <c r="L170" s="61"/>
      <c r="M170" s="61"/>
      <c r="N170" s="61"/>
      <c r="O170" s="26"/>
      <c r="P170" s="26"/>
      <c r="Q170" s="26"/>
      <c r="R170" s="26"/>
      <c r="S170" s="60">
        <v>0</v>
      </c>
      <c r="T170" s="26"/>
      <c r="U170" s="89"/>
      <c r="V170" s="204"/>
      <c r="W170" s="6"/>
    </row>
    <row r="171" spans="1:23" ht="15.6">
      <c r="A171" s="98"/>
      <c r="B171" s="156" t="s">
        <v>70</v>
      </c>
      <c r="C171" s="61"/>
      <c r="D171" s="61"/>
      <c r="E171" s="61"/>
      <c r="F171" s="61"/>
      <c r="G171" s="61"/>
      <c r="H171" s="61"/>
      <c r="I171" s="61"/>
      <c r="J171" s="61"/>
      <c r="K171" s="61"/>
      <c r="L171" s="61"/>
      <c r="M171" s="61"/>
      <c r="N171" s="61"/>
      <c r="O171" s="26"/>
      <c r="P171" s="26"/>
      <c r="Q171" s="26"/>
      <c r="R171" s="26"/>
      <c r="S171" s="60">
        <f>Q76</f>
        <v>35445</v>
      </c>
      <c r="T171" s="26"/>
      <c r="U171" s="89"/>
      <c r="V171" s="204"/>
      <c r="W171" s="6"/>
    </row>
    <row r="172" spans="1:23" ht="15.6">
      <c r="A172" s="101"/>
      <c r="B172" s="156" t="s">
        <v>71</v>
      </c>
      <c r="C172" s="61"/>
      <c r="D172" s="61"/>
      <c r="E172" s="61"/>
      <c r="F172" s="61"/>
      <c r="G172" s="61"/>
      <c r="H172" s="61"/>
      <c r="I172" s="61"/>
      <c r="J172" s="61"/>
      <c r="K172" s="61"/>
      <c r="L172" s="61"/>
      <c r="M172" s="83"/>
      <c r="N172" s="83"/>
      <c r="O172" s="83"/>
      <c r="P172" s="26"/>
      <c r="Q172" s="26"/>
      <c r="R172" s="26"/>
      <c r="S172" s="102"/>
      <c r="T172" s="26"/>
      <c r="U172" s="89"/>
      <c r="V172" s="205"/>
      <c r="W172" s="6"/>
    </row>
    <row r="173" spans="1:23" ht="15.6">
      <c r="A173" s="98"/>
      <c r="B173" s="83" t="s">
        <v>72</v>
      </c>
      <c r="C173" s="61"/>
      <c r="D173" s="61"/>
      <c r="E173" s="61"/>
      <c r="F173" s="61"/>
      <c r="G173" s="61"/>
      <c r="H173" s="61"/>
      <c r="I173" s="61"/>
      <c r="J173" s="61"/>
      <c r="K173" s="61"/>
      <c r="L173" s="61"/>
      <c r="M173" s="61"/>
      <c r="N173" s="61"/>
      <c r="O173" s="61"/>
      <c r="P173" s="26"/>
      <c r="Q173" s="26"/>
      <c r="R173" s="26"/>
      <c r="S173" s="60">
        <f>U128</f>
        <v>5629</v>
      </c>
      <c r="T173" s="26"/>
      <c r="U173" s="89"/>
      <c r="V173" s="205"/>
      <c r="W173" s="6"/>
    </row>
    <row r="174" spans="1:23" ht="15.6">
      <c r="A174" s="98"/>
      <c r="B174" s="83" t="s">
        <v>73</v>
      </c>
      <c r="C174" s="61"/>
      <c r="D174" s="61"/>
      <c r="E174" s="61"/>
      <c r="F174" s="61"/>
      <c r="G174" s="61"/>
      <c r="H174" s="61"/>
      <c r="I174" s="61"/>
      <c r="J174" s="61"/>
      <c r="K174" s="61"/>
      <c r="L174" s="61"/>
      <c r="M174" s="61"/>
      <c r="N174" s="61"/>
      <c r="O174" s="61"/>
      <c r="P174" s="26"/>
      <c r="Q174" s="26"/>
      <c r="R174" s="26"/>
      <c r="S174" s="60">
        <f>+'March 06'!S174+S173</f>
        <v>20039</v>
      </c>
      <c r="T174" s="26"/>
      <c r="U174" s="89"/>
      <c r="V174" s="205"/>
      <c r="W174" s="6"/>
    </row>
    <row r="175" spans="1:23" ht="15.6">
      <c r="A175" s="98"/>
      <c r="B175" s="83" t="s">
        <v>74</v>
      </c>
      <c r="C175" s="61"/>
      <c r="D175" s="61"/>
      <c r="E175" s="61"/>
      <c r="F175" s="61"/>
      <c r="G175" s="61"/>
      <c r="H175" s="61"/>
      <c r="I175" s="61"/>
      <c r="J175" s="61"/>
      <c r="K175" s="61"/>
      <c r="L175" s="61"/>
      <c r="M175" s="61"/>
      <c r="N175" s="61"/>
      <c r="O175" s="61"/>
      <c r="P175" s="26"/>
      <c r="Q175" s="26"/>
      <c r="R175" s="26"/>
      <c r="S175" s="60">
        <f>+'March 06'!S175+711</f>
        <v>1844</v>
      </c>
      <c r="T175" s="26"/>
      <c r="U175" s="89"/>
      <c r="V175" s="205"/>
      <c r="W175" s="6"/>
    </row>
    <row r="176" spans="1:23" ht="15.6">
      <c r="A176" s="98"/>
      <c r="B176" s="83"/>
      <c r="C176" s="61"/>
      <c r="D176" s="61"/>
      <c r="E176" s="61"/>
      <c r="F176" s="61"/>
      <c r="G176" s="61"/>
      <c r="H176" s="61"/>
      <c r="I176" s="61"/>
      <c r="J176" s="61"/>
      <c r="K176" s="61"/>
      <c r="L176" s="61"/>
      <c r="M176" s="61"/>
      <c r="N176" s="61"/>
      <c r="O176" s="61"/>
      <c r="P176" s="26"/>
      <c r="Q176" s="26"/>
      <c r="R176" s="26"/>
      <c r="S176" s="60"/>
      <c r="T176" s="26"/>
      <c r="U176" s="89"/>
      <c r="V176" s="205"/>
      <c r="W176" s="6"/>
    </row>
    <row r="177" spans="1:23" ht="15.6">
      <c r="A177" s="101"/>
      <c r="B177" s="156" t="s">
        <v>259</v>
      </c>
      <c r="C177" s="61"/>
      <c r="D177" s="61"/>
      <c r="E177" s="61"/>
      <c r="F177" s="61"/>
      <c r="G177" s="61"/>
      <c r="H177" s="61"/>
      <c r="I177" s="61"/>
      <c r="J177" s="61"/>
      <c r="K177" s="61"/>
      <c r="L177" s="61"/>
      <c r="M177" s="83"/>
      <c r="N177" s="83"/>
      <c r="O177" s="83"/>
      <c r="P177" s="26"/>
      <c r="Q177" s="26"/>
      <c r="R177" s="26"/>
      <c r="S177" s="79"/>
      <c r="T177" s="26"/>
      <c r="U177" s="89"/>
      <c r="V177" s="205"/>
      <c r="W177" s="6"/>
    </row>
    <row r="178" spans="1:23" ht="15.6">
      <c r="A178" s="101"/>
      <c r="B178" s="83" t="s">
        <v>254</v>
      </c>
      <c r="C178" s="61"/>
      <c r="D178" s="61"/>
      <c r="E178" s="61"/>
      <c r="F178" s="61"/>
      <c r="G178" s="61"/>
      <c r="H178" s="61"/>
      <c r="I178" s="61"/>
      <c r="J178" s="61"/>
      <c r="K178" s="61"/>
      <c r="L178" s="61"/>
      <c r="M178" s="83"/>
      <c r="N178" s="83"/>
      <c r="O178" s="83"/>
      <c r="P178" s="26"/>
      <c r="Q178" s="26"/>
      <c r="R178" s="26"/>
      <c r="S178" s="79">
        <v>15</v>
      </c>
      <c r="T178" s="26"/>
      <c r="U178" s="89"/>
      <c r="V178" s="205"/>
      <c r="W178" s="6"/>
    </row>
    <row r="179" spans="1:23" ht="15.6">
      <c r="A179" s="98"/>
      <c r="B179" s="83" t="s">
        <v>75</v>
      </c>
      <c r="C179" s="61"/>
      <c r="D179" s="61"/>
      <c r="E179" s="61"/>
      <c r="F179" s="61"/>
      <c r="G179" s="61"/>
      <c r="H179" s="61"/>
      <c r="I179" s="61"/>
      <c r="J179" s="61"/>
      <c r="K179" s="61"/>
      <c r="L179" s="61"/>
      <c r="M179" s="104"/>
      <c r="N179" s="104"/>
      <c r="O179" s="105"/>
      <c r="P179" s="26"/>
      <c r="Q179" s="26"/>
      <c r="R179" s="26"/>
      <c r="S179" s="191">
        <v>11.74</v>
      </c>
      <c r="T179" s="26"/>
      <c r="U179" s="89"/>
      <c r="V179" s="205"/>
      <c r="W179" s="6"/>
    </row>
    <row r="180" spans="1:23" ht="15.6">
      <c r="A180" s="98"/>
      <c r="B180" s="83" t="s">
        <v>76</v>
      </c>
      <c r="C180" s="61"/>
      <c r="D180" s="61"/>
      <c r="E180" s="61"/>
      <c r="F180" s="61"/>
      <c r="G180" s="61"/>
      <c r="H180" s="61"/>
      <c r="I180" s="61"/>
      <c r="J180" s="61"/>
      <c r="K180" s="61"/>
      <c r="L180" s="61"/>
      <c r="M180" s="104"/>
      <c r="N180" s="104"/>
      <c r="O180" s="105"/>
      <c r="P180" s="26"/>
      <c r="Q180" s="26"/>
      <c r="R180" s="26"/>
      <c r="S180" s="191">
        <v>171.93</v>
      </c>
      <c r="T180" s="26"/>
      <c r="U180" s="89"/>
      <c r="V180" s="205"/>
      <c r="W180" s="6"/>
    </row>
    <row r="181" spans="1:23" ht="15.6">
      <c r="A181" s="98"/>
      <c r="B181" s="83"/>
      <c r="C181" s="61"/>
      <c r="D181" s="61"/>
      <c r="E181" s="61"/>
      <c r="F181" s="61"/>
      <c r="G181" s="61"/>
      <c r="H181" s="61"/>
      <c r="I181" s="61"/>
      <c r="J181" s="61"/>
      <c r="K181" s="61"/>
      <c r="L181" s="61"/>
      <c r="M181" s="106"/>
      <c r="N181" s="104"/>
      <c r="O181" s="105"/>
      <c r="P181" s="26"/>
      <c r="Q181" s="26"/>
      <c r="R181" s="26"/>
      <c r="S181" s="79"/>
      <c r="T181" s="26"/>
      <c r="U181" s="89"/>
      <c r="V181" s="205"/>
      <c r="W181" s="6"/>
    </row>
    <row r="182" spans="1:23" ht="15.6">
      <c r="A182" s="98"/>
      <c r="B182" s="156" t="s">
        <v>77</v>
      </c>
      <c r="C182" s="61"/>
      <c r="D182" s="61"/>
      <c r="E182" s="61"/>
      <c r="F182" s="61"/>
      <c r="G182" s="61"/>
      <c r="H182" s="61"/>
      <c r="I182" s="61"/>
      <c r="J182" s="61"/>
      <c r="K182" s="61"/>
      <c r="L182" s="61"/>
      <c r="M182" s="61"/>
      <c r="N182" s="106"/>
      <c r="O182" s="104"/>
      <c r="P182" s="105"/>
      <c r="Q182" s="26"/>
      <c r="R182" s="33"/>
      <c r="S182" s="33"/>
      <c r="T182" s="107"/>
      <c r="U182" s="33"/>
      <c r="V182" s="206"/>
      <c r="W182" s="6"/>
    </row>
    <row r="183" spans="1:23" ht="15.6">
      <c r="A183" s="98"/>
      <c r="B183" s="83" t="s">
        <v>78</v>
      </c>
      <c r="C183" s="61"/>
      <c r="D183" s="61"/>
      <c r="E183" s="61"/>
      <c r="F183" s="61"/>
      <c r="G183" s="61"/>
      <c r="H183" s="61"/>
      <c r="I183" s="61"/>
      <c r="J183" s="61"/>
      <c r="K183" s="61"/>
      <c r="L183" s="61"/>
      <c r="M183" s="61"/>
      <c r="N183" s="106"/>
      <c r="O183" s="104"/>
      <c r="P183" s="105"/>
      <c r="Q183" s="26"/>
      <c r="R183" s="33"/>
      <c r="S183" s="108">
        <v>122</v>
      </c>
      <c r="T183" s="108"/>
      <c r="U183" s="33"/>
      <c r="V183" s="206"/>
      <c r="W183" s="6"/>
    </row>
    <row r="184" spans="1:23" ht="15.6">
      <c r="A184" s="98"/>
      <c r="B184" s="83" t="s">
        <v>75</v>
      </c>
      <c r="C184" s="61"/>
      <c r="D184" s="61"/>
      <c r="E184" s="61"/>
      <c r="F184" s="61"/>
      <c r="G184" s="61"/>
      <c r="H184" s="61"/>
      <c r="I184" s="61"/>
      <c r="J184" s="61"/>
      <c r="K184" s="61"/>
      <c r="L184" s="61"/>
      <c r="M184" s="61"/>
      <c r="N184" s="106"/>
      <c r="O184" s="104"/>
      <c r="P184" s="105"/>
      <c r="Q184" s="26"/>
      <c r="R184" s="33"/>
      <c r="S184" s="108">
        <v>3.04</v>
      </c>
      <c r="T184" s="108"/>
      <c r="U184" s="33"/>
      <c r="V184" s="206"/>
      <c r="W184" s="6"/>
    </row>
    <row r="185" spans="1:23" ht="15.6">
      <c r="A185" s="98"/>
      <c r="B185" s="83" t="s">
        <v>79</v>
      </c>
      <c r="C185" s="61"/>
      <c r="D185" s="61"/>
      <c r="E185" s="61"/>
      <c r="F185" s="61"/>
      <c r="G185" s="61"/>
      <c r="H185" s="61"/>
      <c r="I185" s="61"/>
      <c r="J185" s="61"/>
      <c r="K185" s="61"/>
      <c r="L185" s="61"/>
      <c r="M185" s="61"/>
      <c r="N185" s="106"/>
      <c r="O185" s="104"/>
      <c r="P185" s="105"/>
      <c r="Q185" s="26"/>
      <c r="R185" s="33"/>
      <c r="S185" s="108">
        <v>70.2</v>
      </c>
      <c r="T185" s="108"/>
      <c r="U185" s="33"/>
      <c r="V185" s="206"/>
      <c r="W185" s="6"/>
    </row>
    <row r="186" spans="1:23" ht="15.6">
      <c r="A186" s="98"/>
      <c r="B186" s="83"/>
      <c r="C186" s="61"/>
      <c r="D186" s="61"/>
      <c r="E186" s="61"/>
      <c r="F186" s="61"/>
      <c r="G186" s="61"/>
      <c r="H186" s="61"/>
      <c r="I186" s="61"/>
      <c r="J186" s="61"/>
      <c r="K186" s="61"/>
      <c r="L186" s="61"/>
      <c r="M186" s="106"/>
      <c r="N186" s="104"/>
      <c r="O186" s="105"/>
      <c r="P186" s="26"/>
      <c r="Q186" s="26"/>
      <c r="R186" s="26"/>
      <c r="S186" s="79"/>
      <c r="T186" s="26"/>
      <c r="U186" s="89"/>
      <c r="V186" s="205"/>
      <c r="W186" s="6"/>
    </row>
    <row r="187" spans="1:23" ht="17.399999999999999">
      <c r="A187" s="98"/>
      <c r="B187" s="180" t="s">
        <v>196</v>
      </c>
      <c r="C187" s="61"/>
      <c r="D187" s="61"/>
      <c r="E187" s="61"/>
      <c r="F187" s="61"/>
      <c r="G187" s="61"/>
      <c r="H187" s="61"/>
      <c r="I187" s="61"/>
      <c r="J187" s="61"/>
      <c r="K187" s="181" t="s">
        <v>195</v>
      </c>
      <c r="L187" s="61"/>
      <c r="M187" s="106"/>
      <c r="N187" s="104"/>
      <c r="O187" s="105"/>
      <c r="P187" s="26"/>
      <c r="Q187" s="26"/>
      <c r="R187" s="26"/>
      <c r="S187" s="79"/>
      <c r="T187" s="26"/>
      <c r="U187" s="89"/>
      <c r="V187" s="205"/>
      <c r="W187" s="6"/>
    </row>
    <row r="188" spans="1:23" ht="15.6">
      <c r="A188" s="25"/>
      <c r="B188" s="109" t="s">
        <v>80</v>
      </c>
      <c r="C188" s="110"/>
      <c r="D188" s="110"/>
      <c r="E188" s="110"/>
      <c r="F188" s="110"/>
      <c r="G188" s="110"/>
      <c r="H188" s="110"/>
      <c r="I188" s="110"/>
      <c r="J188" s="110"/>
      <c r="K188" s="110"/>
      <c r="L188" s="110"/>
      <c r="M188" s="111"/>
      <c r="N188" s="110"/>
      <c r="O188" s="111"/>
      <c r="P188" s="110"/>
      <c r="Q188" s="111"/>
      <c r="R188" s="110"/>
      <c r="S188" s="111"/>
      <c r="T188" s="110"/>
      <c r="U188" s="112"/>
      <c r="V188" s="205"/>
      <c r="W188" s="6"/>
    </row>
    <row r="189" spans="1:23" ht="15.6">
      <c r="A189" s="25"/>
      <c r="B189" s="30"/>
      <c r="C189" s="189"/>
      <c r="D189" s="189"/>
      <c r="E189" s="189"/>
      <c r="F189" s="189"/>
      <c r="G189" s="189"/>
      <c r="H189" s="189"/>
      <c r="I189" s="189"/>
      <c r="J189" s="189"/>
      <c r="K189" s="189"/>
      <c r="L189" s="189"/>
      <c r="M189" s="109" t="s">
        <v>100</v>
      </c>
      <c r="N189" s="110"/>
      <c r="O189" s="111"/>
      <c r="P189" s="110"/>
      <c r="Q189" s="109" t="s">
        <v>26</v>
      </c>
      <c r="R189" s="110"/>
      <c r="S189" s="111"/>
      <c r="T189" s="110"/>
      <c r="U189" s="112"/>
      <c r="V189" s="205"/>
      <c r="W189" s="6"/>
    </row>
    <row r="190" spans="1:23" ht="15.6">
      <c r="A190" s="25"/>
      <c r="B190" s="189"/>
      <c r="C190" s="111"/>
      <c r="D190" s="111"/>
      <c r="E190" s="111"/>
      <c r="F190" s="111"/>
      <c r="G190" s="111"/>
      <c r="H190" s="111"/>
      <c r="I190" s="111"/>
      <c r="J190" s="111"/>
      <c r="K190" s="111"/>
      <c r="L190" s="111" t="s">
        <v>94</v>
      </c>
      <c r="M190" s="110" t="s">
        <v>101</v>
      </c>
      <c r="N190" s="111" t="s">
        <v>103</v>
      </c>
      <c r="O190" s="110" t="s">
        <v>101</v>
      </c>
      <c r="P190" s="110"/>
      <c r="Q190" s="111" t="s">
        <v>94</v>
      </c>
      <c r="R190" s="110" t="s">
        <v>101</v>
      </c>
      <c r="S190" s="111" t="s">
        <v>103</v>
      </c>
      <c r="T190" s="110" t="s">
        <v>101</v>
      </c>
      <c r="U190" s="112"/>
      <c r="V190" s="205"/>
      <c r="W190" s="6"/>
    </row>
    <row r="191" spans="1:23" ht="15.6">
      <c r="A191" s="25"/>
      <c r="B191" s="61" t="s">
        <v>81</v>
      </c>
      <c r="C191" s="113"/>
      <c r="D191" s="113"/>
      <c r="E191" s="113"/>
      <c r="F191" s="113"/>
      <c r="G191" s="113"/>
      <c r="H191" s="113"/>
      <c r="I191" s="113"/>
      <c r="J191" s="113"/>
      <c r="K191" s="113"/>
      <c r="L191" s="113">
        <v>7477</v>
      </c>
      <c r="M191" s="86">
        <f t="shared" ref="M191:M197" si="0">+L191/$L$198</f>
        <v>0.86160405623415537</v>
      </c>
      <c r="N191" s="113">
        <v>32020</v>
      </c>
      <c r="O191" s="86">
        <f t="shared" ref="O191:O197" si="1">N191/$N$198</f>
        <v>0.81310309801929914</v>
      </c>
      <c r="P191" s="110"/>
      <c r="Q191" s="113">
        <v>25910</v>
      </c>
      <c r="R191" s="86">
        <f t="shared" ref="R191:R197" si="2">+Q191/$Q$198</f>
        <v>0.97395030635642599</v>
      </c>
      <c r="S191" s="113">
        <v>24330</v>
      </c>
      <c r="T191" s="86">
        <f t="shared" ref="T191:T197" si="3">+S191/$S$198</f>
        <v>0.96912965544712204</v>
      </c>
      <c r="U191" s="112"/>
      <c r="V191" s="205"/>
      <c r="W191" s="6"/>
    </row>
    <row r="192" spans="1:23" ht="15.6">
      <c r="A192" s="25"/>
      <c r="B192" s="61" t="s">
        <v>82</v>
      </c>
      <c r="C192" s="113"/>
      <c r="D192" s="113"/>
      <c r="E192" s="113"/>
      <c r="F192" s="113"/>
      <c r="G192" s="113"/>
      <c r="H192" s="113"/>
      <c r="I192" s="113"/>
      <c r="J192" s="113"/>
      <c r="K192" s="113"/>
      <c r="L192" s="113">
        <v>167</v>
      </c>
      <c r="M192" s="86">
        <f t="shared" si="0"/>
        <v>1.9244065452869323E-2</v>
      </c>
      <c r="N192" s="113">
        <v>922</v>
      </c>
      <c r="O192" s="86">
        <f t="shared" si="1"/>
        <v>2.34128999492128E-2</v>
      </c>
      <c r="P192" s="110"/>
      <c r="Q192" s="113">
        <v>93</v>
      </c>
      <c r="R192" s="86">
        <f t="shared" si="2"/>
        <v>3.4958463331203247E-3</v>
      </c>
      <c r="S192" s="113">
        <v>97</v>
      </c>
      <c r="T192" s="86">
        <f t="shared" si="3"/>
        <v>3.8637721569408485E-3</v>
      </c>
      <c r="U192" s="112"/>
      <c r="V192" s="205"/>
      <c r="W192" s="6"/>
    </row>
    <row r="193" spans="1:24" ht="15.6">
      <c r="A193" s="25"/>
      <c r="B193" s="61" t="s">
        <v>83</v>
      </c>
      <c r="C193" s="113"/>
      <c r="D193" s="113"/>
      <c r="E193" s="113"/>
      <c r="F193" s="113"/>
      <c r="G193" s="113"/>
      <c r="H193" s="113"/>
      <c r="I193" s="113"/>
      <c r="J193" s="113"/>
      <c r="K193" s="113"/>
      <c r="L193" s="113">
        <v>132</v>
      </c>
      <c r="M193" s="86">
        <f t="shared" si="0"/>
        <v>1.5210878082507491E-2</v>
      </c>
      <c r="N193" s="113">
        <v>774</v>
      </c>
      <c r="O193" s="86">
        <f t="shared" si="1"/>
        <v>1.9654647028948705E-2</v>
      </c>
      <c r="P193" s="110"/>
      <c r="Q193" s="113">
        <v>105</v>
      </c>
      <c r="R193" s="86">
        <f t="shared" si="2"/>
        <v>3.9469232793293988E-3</v>
      </c>
      <c r="S193" s="113">
        <v>92</v>
      </c>
      <c r="T193" s="86">
        <f t="shared" si="3"/>
        <v>3.6646086436964748E-3</v>
      </c>
      <c r="U193" s="112"/>
      <c r="V193" s="205"/>
      <c r="W193" s="6"/>
    </row>
    <row r="194" spans="1:24" ht="15.6">
      <c r="A194" s="25"/>
      <c r="B194" s="61" t="s">
        <v>186</v>
      </c>
      <c r="C194" s="113"/>
      <c r="D194" s="113"/>
      <c r="E194" s="113"/>
      <c r="F194" s="113"/>
      <c r="G194" s="113"/>
      <c r="H194" s="113"/>
      <c r="I194" s="113"/>
      <c r="J194" s="113"/>
      <c r="K194" s="113"/>
      <c r="L194" s="113">
        <v>119</v>
      </c>
      <c r="M194" s="86">
        <f t="shared" si="0"/>
        <v>1.3712837059230237E-2</v>
      </c>
      <c r="N194" s="113">
        <v>696</v>
      </c>
      <c r="O194" s="86">
        <f t="shared" si="1"/>
        <v>1.7673946165566279E-2</v>
      </c>
      <c r="P194" s="110"/>
      <c r="Q194" s="113">
        <v>74</v>
      </c>
      <c r="R194" s="86">
        <f t="shared" si="2"/>
        <v>2.7816411682892906E-3</v>
      </c>
      <c r="S194" s="113">
        <v>67</v>
      </c>
      <c r="T194" s="86">
        <f t="shared" si="3"/>
        <v>2.6687910774746068E-3</v>
      </c>
      <c r="U194" s="112"/>
      <c r="V194" s="205"/>
      <c r="W194" s="6"/>
    </row>
    <row r="195" spans="1:24" ht="15.6">
      <c r="A195" s="25"/>
      <c r="B195" s="61" t="s">
        <v>187</v>
      </c>
      <c r="C195" s="113"/>
      <c r="D195" s="113"/>
      <c r="E195" s="113"/>
      <c r="F195" s="113"/>
      <c r="G195" s="113"/>
      <c r="H195" s="113"/>
      <c r="I195" s="113"/>
      <c r="J195" s="113"/>
      <c r="K195" s="113"/>
      <c r="L195" s="113">
        <v>134</v>
      </c>
      <c r="M195" s="86">
        <f t="shared" si="0"/>
        <v>1.5441345932242452E-2</v>
      </c>
      <c r="N195" s="113">
        <v>849</v>
      </c>
      <c r="O195" s="86">
        <f t="shared" si="1"/>
        <v>2.1559167089893347E-2</v>
      </c>
      <c r="P195" s="110"/>
      <c r="Q195" s="113">
        <v>83</v>
      </c>
      <c r="R195" s="86">
        <f t="shared" si="2"/>
        <v>3.1199488779460965E-3</v>
      </c>
      <c r="S195" s="113">
        <v>109</v>
      </c>
      <c r="T195" s="86">
        <f t="shared" si="3"/>
        <v>4.3417645887273452E-3</v>
      </c>
      <c r="U195" s="112"/>
      <c r="V195" s="205"/>
      <c r="W195" s="6"/>
    </row>
    <row r="196" spans="1:24" ht="15.6">
      <c r="A196" s="25"/>
      <c r="B196" s="61" t="s">
        <v>188</v>
      </c>
      <c r="C196" s="113"/>
      <c r="D196" s="113"/>
      <c r="E196" s="113"/>
      <c r="F196" s="113"/>
      <c r="G196" s="113"/>
      <c r="H196" s="113"/>
      <c r="I196" s="113"/>
      <c r="J196" s="113"/>
      <c r="K196" s="113"/>
      <c r="L196" s="113">
        <v>104</v>
      </c>
      <c r="M196" s="86">
        <f t="shared" si="0"/>
        <v>1.1984328186218023E-2</v>
      </c>
      <c r="N196" s="113">
        <v>568</v>
      </c>
      <c r="O196" s="86">
        <f t="shared" si="1"/>
        <v>1.4423565261554088E-2</v>
      </c>
      <c r="P196" s="110"/>
      <c r="Q196" s="113">
        <v>53</v>
      </c>
      <c r="R196" s="86">
        <f t="shared" si="2"/>
        <v>1.992256512423411E-3</v>
      </c>
      <c r="S196" s="113">
        <v>71</v>
      </c>
      <c r="T196" s="86">
        <f t="shared" si="3"/>
        <v>2.8281218880701056E-3</v>
      </c>
      <c r="U196" s="112"/>
      <c r="V196" s="205"/>
      <c r="W196" s="6"/>
    </row>
    <row r="197" spans="1:24" ht="15.6">
      <c r="A197" s="25"/>
      <c r="B197" s="61" t="s">
        <v>189</v>
      </c>
      <c r="C197" s="113"/>
      <c r="D197" s="113"/>
      <c r="E197" s="113"/>
      <c r="F197" s="113"/>
      <c r="G197" s="113"/>
      <c r="H197" s="113"/>
      <c r="I197" s="113"/>
      <c r="J197" s="113"/>
      <c r="K197" s="113"/>
      <c r="L197" s="113">
        <f>111+97+89+86+98+64</f>
        <v>545</v>
      </c>
      <c r="M197" s="86">
        <f t="shared" si="0"/>
        <v>6.2802489052777133E-2</v>
      </c>
      <c r="N197" s="113">
        <v>3551</v>
      </c>
      <c r="O197" s="86">
        <f t="shared" si="1"/>
        <v>9.0172676485525641E-2</v>
      </c>
      <c r="P197" s="110"/>
      <c r="Q197" s="113">
        <f>64+58+50+38+39+36</f>
        <v>285</v>
      </c>
      <c r="R197" s="86">
        <f t="shared" si="2"/>
        <v>1.0713077472465511E-2</v>
      </c>
      <c r="S197" s="113">
        <v>339</v>
      </c>
      <c r="T197" s="86">
        <f t="shared" si="3"/>
        <v>1.3503286197968532E-2</v>
      </c>
      <c r="U197" s="112"/>
      <c r="V197" s="205"/>
      <c r="W197" s="6"/>
    </row>
    <row r="198" spans="1:24" ht="15.6">
      <c r="A198" s="25"/>
      <c r="B198" s="61" t="s">
        <v>84</v>
      </c>
      <c r="C198" s="113"/>
      <c r="D198" s="113"/>
      <c r="E198" s="113"/>
      <c r="F198" s="113"/>
      <c r="G198" s="113"/>
      <c r="H198" s="113"/>
      <c r="I198" s="113"/>
      <c r="J198" s="113"/>
      <c r="K198" s="113"/>
      <c r="L198" s="113">
        <f>SUM(L191:L197)</f>
        <v>8678</v>
      </c>
      <c r="M198" s="86">
        <f>SUM(M191:M197)</f>
        <v>1</v>
      </c>
      <c r="N198" s="113">
        <f>SUM(N191:N197)</f>
        <v>39380</v>
      </c>
      <c r="O198" s="86">
        <f>SUM(O191:O197)</f>
        <v>1</v>
      </c>
      <c r="P198" s="110"/>
      <c r="Q198" s="113">
        <f>SUM(Q191:Q197)</f>
        <v>26603</v>
      </c>
      <c r="R198" s="86">
        <f>SUM(R191:R197)</f>
        <v>1</v>
      </c>
      <c r="S198" s="113">
        <f>SUM(S191:S197)</f>
        <v>25105</v>
      </c>
      <c r="T198" s="86">
        <f>SUM(T191:T197)</f>
        <v>1</v>
      </c>
      <c r="U198" s="112"/>
      <c r="V198" s="205"/>
      <c r="W198" s="6"/>
      <c r="X198" s="64"/>
    </row>
    <row r="199" spans="1:24" ht="15.6">
      <c r="A199" s="25"/>
      <c r="B199" s="61" t="s">
        <v>85</v>
      </c>
      <c r="C199" s="113"/>
      <c r="D199" s="113"/>
      <c r="E199" s="113"/>
      <c r="F199" s="113"/>
      <c r="G199" s="113"/>
      <c r="H199" s="113"/>
      <c r="I199" s="113"/>
      <c r="J199" s="113"/>
      <c r="K199" s="113"/>
      <c r="L199" s="113">
        <v>547</v>
      </c>
      <c r="M199" s="114"/>
      <c r="N199" s="113">
        <v>4055</v>
      </c>
      <c r="O199" s="114"/>
      <c r="P199" s="110"/>
      <c r="Q199" s="113">
        <v>152</v>
      </c>
      <c r="R199" s="114"/>
      <c r="S199" s="113">
        <v>259</v>
      </c>
      <c r="T199" s="114"/>
      <c r="U199" s="112"/>
      <c r="V199" s="205"/>
      <c r="W199" s="6"/>
      <c r="X199" s="64"/>
    </row>
    <row r="200" spans="1:24" ht="15.6">
      <c r="A200" s="25"/>
      <c r="B200" s="61" t="s">
        <v>86</v>
      </c>
      <c r="C200" s="113"/>
      <c r="D200" s="113"/>
      <c r="E200" s="113"/>
      <c r="F200" s="113"/>
      <c r="G200" s="113"/>
      <c r="H200" s="113"/>
      <c r="I200" s="113"/>
      <c r="J200" s="113"/>
      <c r="K200" s="113"/>
      <c r="L200" s="113">
        <f>SUM(L198:L199)</f>
        <v>9225</v>
      </c>
      <c r="M200" s="189"/>
      <c r="N200" s="113">
        <f>SUM(N198:N199)</f>
        <v>43435</v>
      </c>
      <c r="O200" s="115"/>
      <c r="P200" s="189"/>
      <c r="Q200" s="113">
        <f>SUM(Q198:Q199)</f>
        <v>26755</v>
      </c>
      <c r="R200" s="189"/>
      <c r="S200" s="113">
        <f>SUM(S198:S199)</f>
        <v>25364</v>
      </c>
      <c r="T200" s="189"/>
      <c r="U200" s="189"/>
      <c r="V200" s="205"/>
      <c r="W200" s="6"/>
      <c r="X200" s="64"/>
    </row>
    <row r="201" spans="1:24" ht="15.6">
      <c r="A201" s="25"/>
      <c r="B201" s="61"/>
      <c r="C201" s="113"/>
      <c r="D201" s="113"/>
      <c r="E201" s="113"/>
      <c r="F201" s="113"/>
      <c r="G201" s="113"/>
      <c r="H201" s="113"/>
      <c r="I201" s="113"/>
      <c r="J201" s="113"/>
      <c r="K201" s="113"/>
      <c r="L201" s="113"/>
      <c r="M201" s="115"/>
      <c r="N201" s="113"/>
      <c r="O201" s="115"/>
      <c r="P201" s="110"/>
      <c r="Q201" s="113"/>
      <c r="R201" s="115"/>
      <c r="S201" s="113"/>
      <c r="T201" s="115"/>
      <c r="U201" s="112"/>
      <c r="V201" s="205"/>
      <c r="W201" s="6"/>
    </row>
    <row r="202" spans="1:24" ht="15.6">
      <c r="A202" s="25"/>
      <c r="B202" s="61"/>
      <c r="C202" s="110"/>
      <c r="D202" s="110"/>
      <c r="E202" s="110"/>
      <c r="F202" s="110"/>
      <c r="G202" s="110"/>
      <c r="H202" s="110"/>
      <c r="I202" s="110"/>
      <c r="J202" s="110"/>
      <c r="K202" s="110"/>
      <c r="L202" s="110"/>
      <c r="M202" s="109" t="s">
        <v>27</v>
      </c>
      <c r="N202" s="110"/>
      <c r="O202" s="111"/>
      <c r="P202" s="110"/>
      <c r="Q202" s="109" t="s">
        <v>28</v>
      </c>
      <c r="R202" s="110"/>
      <c r="S202" s="111"/>
      <c r="T202" s="110"/>
      <c r="U202" s="112"/>
      <c r="V202" s="205"/>
      <c r="W202" s="6"/>
    </row>
    <row r="203" spans="1:24" ht="15.6">
      <c r="A203" s="25"/>
      <c r="B203" s="189"/>
      <c r="C203" s="111"/>
      <c r="D203" s="111"/>
      <c r="E203" s="111"/>
      <c r="F203" s="111"/>
      <c r="G203" s="111"/>
      <c r="H203" s="111"/>
      <c r="I203" s="111"/>
      <c r="J203" s="111"/>
      <c r="K203" s="111"/>
      <c r="L203" s="111" t="s">
        <v>94</v>
      </c>
      <c r="M203" s="110" t="s">
        <v>101</v>
      </c>
      <c r="N203" s="111" t="s">
        <v>103</v>
      </c>
      <c r="O203" s="110" t="s">
        <v>101</v>
      </c>
      <c r="P203" s="110"/>
      <c r="Q203" s="111" t="s">
        <v>94</v>
      </c>
      <c r="R203" s="110" t="s">
        <v>101</v>
      </c>
      <c r="S203" s="111" t="s">
        <v>103</v>
      </c>
      <c r="T203" s="110" t="s">
        <v>101</v>
      </c>
      <c r="U203" s="112"/>
      <c r="V203" s="205"/>
      <c r="W203" s="6"/>
    </row>
    <row r="204" spans="1:24" ht="15.6">
      <c r="A204" s="25"/>
      <c r="B204" s="61" t="s">
        <v>81</v>
      </c>
      <c r="C204" s="113"/>
      <c r="D204" s="113"/>
      <c r="E204" s="113"/>
      <c r="F204" s="113"/>
      <c r="G204" s="113"/>
      <c r="H204" s="113"/>
      <c r="I204" s="113"/>
      <c r="J204" s="113"/>
      <c r="K204" s="113"/>
      <c r="L204" s="113">
        <v>6831</v>
      </c>
      <c r="M204" s="86">
        <f t="shared" ref="M204:M210" si="4">+L204/$L$211</f>
        <v>0.92560975609756102</v>
      </c>
      <c r="N204" s="113">
        <v>179855</v>
      </c>
      <c r="O204" s="86">
        <f t="shared" ref="O204:O210" si="5">+N204/$N$211</f>
        <v>0.91762755102040816</v>
      </c>
      <c r="P204" s="110"/>
      <c r="Q204" s="113">
        <v>14066</v>
      </c>
      <c r="R204" s="86">
        <f t="shared" ref="R204:R210" si="6">Q204/$Q$211</f>
        <v>0.97918552036199091</v>
      </c>
      <c r="S204" s="113">
        <v>111419</v>
      </c>
      <c r="T204" s="86">
        <f t="shared" ref="T204:T210" si="7">+S204/$S$211</f>
        <v>0.97459828730876552</v>
      </c>
      <c r="U204" s="112"/>
      <c r="V204" s="205"/>
      <c r="W204" s="6"/>
    </row>
    <row r="205" spans="1:24" ht="15.6">
      <c r="A205" s="25"/>
      <c r="B205" s="61" t="s">
        <v>82</v>
      </c>
      <c r="C205" s="113"/>
      <c r="D205" s="113"/>
      <c r="E205" s="113"/>
      <c r="F205" s="113"/>
      <c r="G205" s="113"/>
      <c r="H205" s="113"/>
      <c r="I205" s="113"/>
      <c r="J205" s="113"/>
      <c r="K205" s="113"/>
      <c r="L205" s="113">
        <v>163</v>
      </c>
      <c r="M205" s="86">
        <f t="shared" si="4"/>
        <v>2.2086720867208674E-2</v>
      </c>
      <c r="N205" s="113">
        <v>4672</v>
      </c>
      <c r="O205" s="86">
        <f t="shared" si="5"/>
        <v>2.3836734693877551E-2</v>
      </c>
      <c r="P205" s="110"/>
      <c r="Q205" s="113">
        <v>94</v>
      </c>
      <c r="R205" s="86">
        <f t="shared" si="6"/>
        <v>6.543682561782109E-3</v>
      </c>
      <c r="S205" s="113">
        <v>852</v>
      </c>
      <c r="T205" s="86">
        <f t="shared" si="7"/>
        <v>7.4525685994944147E-3</v>
      </c>
      <c r="U205" s="112"/>
      <c r="V205" s="205"/>
      <c r="W205" s="6"/>
    </row>
    <row r="206" spans="1:24" ht="15.6">
      <c r="A206" s="25"/>
      <c r="B206" s="61" t="s">
        <v>83</v>
      </c>
      <c r="C206" s="113"/>
      <c r="D206" s="113"/>
      <c r="E206" s="113"/>
      <c r="F206" s="113"/>
      <c r="G206" s="113"/>
      <c r="H206" s="113"/>
      <c r="I206" s="113"/>
      <c r="J206" s="113"/>
      <c r="K206" s="113"/>
      <c r="L206" s="113">
        <v>108</v>
      </c>
      <c r="M206" s="86">
        <f t="shared" si="4"/>
        <v>1.4634146341463415E-2</v>
      </c>
      <c r="N206" s="113">
        <v>3026</v>
      </c>
      <c r="O206" s="86">
        <f t="shared" si="5"/>
        <v>1.5438775510204082E-2</v>
      </c>
      <c r="P206" s="110"/>
      <c r="Q206" s="113">
        <v>56</v>
      </c>
      <c r="R206" s="86">
        <f t="shared" si="6"/>
        <v>3.8983640793595546E-3</v>
      </c>
      <c r="S206" s="113">
        <v>535</v>
      </c>
      <c r="T206" s="86">
        <f t="shared" si="7"/>
        <v>4.6797232402928544E-3</v>
      </c>
      <c r="U206" s="112"/>
      <c r="V206" s="205"/>
      <c r="W206" s="6"/>
    </row>
    <row r="207" spans="1:24" ht="15.6">
      <c r="A207" s="25"/>
      <c r="B207" s="61" t="s">
        <v>186</v>
      </c>
      <c r="C207" s="113"/>
      <c r="D207" s="113"/>
      <c r="E207" s="113"/>
      <c r="F207" s="113"/>
      <c r="G207" s="113"/>
      <c r="H207" s="113"/>
      <c r="I207" s="113"/>
      <c r="J207" s="113"/>
      <c r="K207" s="113"/>
      <c r="L207" s="113">
        <v>81</v>
      </c>
      <c r="M207" s="86">
        <f t="shared" si="4"/>
        <v>1.097560975609756E-2</v>
      </c>
      <c r="N207" s="113">
        <v>2377</v>
      </c>
      <c r="O207" s="86">
        <f t="shared" si="5"/>
        <v>1.2127551020408163E-2</v>
      </c>
      <c r="P207" s="110"/>
      <c r="Q207" s="113">
        <v>34</v>
      </c>
      <c r="R207" s="86">
        <f t="shared" si="6"/>
        <v>2.3668639053254438E-3</v>
      </c>
      <c r="S207" s="113">
        <v>305</v>
      </c>
      <c r="T207" s="86">
        <f t="shared" si="7"/>
        <v>2.6678796042791039E-3</v>
      </c>
      <c r="U207" s="112"/>
      <c r="V207" s="205"/>
      <c r="W207" s="6"/>
    </row>
    <row r="208" spans="1:24" ht="15.6">
      <c r="A208" s="25"/>
      <c r="B208" s="61" t="s">
        <v>187</v>
      </c>
      <c r="C208" s="113"/>
      <c r="D208" s="113"/>
      <c r="E208" s="113"/>
      <c r="F208" s="113"/>
      <c r="G208" s="113"/>
      <c r="H208" s="113"/>
      <c r="I208" s="113"/>
      <c r="J208" s="113"/>
      <c r="K208" s="113"/>
      <c r="L208" s="113">
        <v>54</v>
      </c>
      <c r="M208" s="86">
        <f t="shared" si="4"/>
        <v>7.3170731707317077E-3</v>
      </c>
      <c r="N208" s="113">
        <v>1783</v>
      </c>
      <c r="O208" s="86">
        <f t="shared" si="5"/>
        <v>9.0969387755102035E-3</v>
      </c>
      <c r="P208" s="110"/>
      <c r="Q208" s="113">
        <v>23</v>
      </c>
      <c r="R208" s="86">
        <f t="shared" si="6"/>
        <v>1.6011138183083884E-3</v>
      </c>
      <c r="S208" s="113">
        <v>189</v>
      </c>
      <c r="T208" s="86">
        <f t="shared" si="7"/>
        <v>1.6532106400286906E-3</v>
      </c>
      <c r="U208" s="112"/>
      <c r="V208" s="205"/>
      <c r="W208" s="6"/>
    </row>
    <row r="209" spans="1:24" ht="15.6">
      <c r="A209" s="25"/>
      <c r="B209" s="61" t="s">
        <v>188</v>
      </c>
      <c r="C209" s="113"/>
      <c r="D209" s="113"/>
      <c r="E209" s="113"/>
      <c r="F209" s="113"/>
      <c r="G209" s="113"/>
      <c r="H209" s="113"/>
      <c r="I209" s="113"/>
      <c r="J209" s="113"/>
      <c r="K209" s="113"/>
      <c r="L209" s="113">
        <v>39</v>
      </c>
      <c r="M209" s="86">
        <f t="shared" si="4"/>
        <v>5.2845528455284551E-3</v>
      </c>
      <c r="N209" s="113">
        <v>1138</v>
      </c>
      <c r="O209" s="86">
        <f t="shared" si="5"/>
        <v>5.8061224489795917E-3</v>
      </c>
      <c r="P209" s="110"/>
      <c r="Q209" s="113">
        <v>28</v>
      </c>
      <c r="R209" s="86">
        <f t="shared" si="6"/>
        <v>1.9491820396797773E-3</v>
      </c>
      <c r="S209" s="113">
        <v>313</v>
      </c>
      <c r="T209" s="86">
        <f t="shared" si="7"/>
        <v>2.7378567742274082E-3</v>
      </c>
      <c r="U209" s="112"/>
      <c r="V209" s="205"/>
      <c r="W209" s="6"/>
    </row>
    <row r="210" spans="1:24" ht="15.6">
      <c r="A210" s="25"/>
      <c r="B210" s="61" t="s">
        <v>189</v>
      </c>
      <c r="C210" s="113"/>
      <c r="D210" s="113"/>
      <c r="E210" s="113"/>
      <c r="F210" s="113"/>
      <c r="G210" s="113"/>
      <c r="H210" s="113"/>
      <c r="I210" s="113"/>
      <c r="J210" s="113"/>
      <c r="K210" s="113"/>
      <c r="L210" s="113">
        <f>30+22+15+19+10+8</f>
        <v>104</v>
      </c>
      <c r="M210" s="86">
        <f t="shared" si="4"/>
        <v>1.4092140921409214E-2</v>
      </c>
      <c r="N210" s="113">
        <v>3149</v>
      </c>
      <c r="O210" s="86">
        <f t="shared" si="5"/>
        <v>1.6066326530612244E-2</v>
      </c>
      <c r="P210" s="110"/>
      <c r="Q210" s="113">
        <f>21+12+11+9+3+8</f>
        <v>64</v>
      </c>
      <c r="R210" s="86">
        <f t="shared" si="6"/>
        <v>4.4552732335537762E-3</v>
      </c>
      <c r="S210" s="113">
        <v>710</v>
      </c>
      <c r="T210" s="86">
        <f t="shared" si="7"/>
        <v>6.2104738329120121E-3</v>
      </c>
      <c r="U210" s="112"/>
      <c r="V210" s="205"/>
      <c r="W210" s="6"/>
    </row>
    <row r="211" spans="1:24" ht="15.6">
      <c r="A211" s="25"/>
      <c r="B211" s="61" t="str">
        <f>B198</f>
        <v>Total Performing  Assets</v>
      </c>
      <c r="C211" s="113"/>
      <c r="D211" s="113"/>
      <c r="E211" s="113"/>
      <c r="F211" s="113"/>
      <c r="G211" s="113"/>
      <c r="H211" s="113"/>
      <c r="I211" s="113"/>
      <c r="J211" s="113"/>
      <c r="K211" s="113"/>
      <c r="L211" s="113">
        <f>SUM(L204:L210)</f>
        <v>7380</v>
      </c>
      <c r="M211" s="86">
        <f>SUM(M204:M210)</f>
        <v>1</v>
      </c>
      <c r="N211" s="113">
        <f>SUM(N204:N210)</f>
        <v>196000</v>
      </c>
      <c r="O211" s="86">
        <f>SUM(O204:O210)</f>
        <v>1.0000000000000002</v>
      </c>
      <c r="P211" s="110"/>
      <c r="Q211" s="113">
        <f>SUM(Q204:Q210)</f>
        <v>14365</v>
      </c>
      <c r="R211" s="86">
        <f>SUM(R204:R210)</f>
        <v>0.99999999999999989</v>
      </c>
      <c r="S211" s="113">
        <f>SUM(S204:S210)</f>
        <v>114323</v>
      </c>
      <c r="T211" s="86">
        <f>SUM(T204:T210)</f>
        <v>1</v>
      </c>
      <c r="U211" s="112"/>
      <c r="V211" s="205"/>
      <c r="W211" s="6"/>
    </row>
    <row r="212" spans="1:24" ht="15.6">
      <c r="A212" s="25"/>
      <c r="B212" s="61" t="s">
        <v>85</v>
      </c>
      <c r="C212" s="113"/>
      <c r="D212" s="113"/>
      <c r="E212" s="113"/>
      <c r="F212" s="113"/>
      <c r="G212" s="113"/>
      <c r="H212" s="113"/>
      <c r="I212" s="113"/>
      <c r="J212" s="113"/>
      <c r="K212" s="113"/>
      <c r="L212" s="113">
        <v>30</v>
      </c>
      <c r="M212" s="116"/>
      <c r="N212" s="113">
        <v>996</v>
      </c>
      <c r="O212" s="114"/>
      <c r="P212" s="110"/>
      <c r="Q212" s="113">
        <v>32</v>
      </c>
      <c r="R212" s="116"/>
      <c r="S212" s="113">
        <v>396</v>
      </c>
      <c r="T212" s="116"/>
      <c r="U212" s="112"/>
      <c r="V212" s="205"/>
      <c r="W212" s="6"/>
    </row>
    <row r="213" spans="1:24" ht="15.6">
      <c r="A213" s="25"/>
      <c r="B213" s="61" t="s">
        <v>86</v>
      </c>
      <c r="C213" s="113"/>
      <c r="D213" s="113"/>
      <c r="E213" s="113"/>
      <c r="F213" s="113"/>
      <c r="G213" s="113"/>
      <c r="H213" s="113"/>
      <c r="I213" s="113"/>
      <c r="J213" s="113"/>
      <c r="K213" s="113"/>
      <c r="L213" s="113">
        <f>SUM(L211:L212)</f>
        <v>7410</v>
      </c>
      <c r="M213" s="189"/>
      <c r="N213" s="113">
        <f>SUM(N211:N212)</f>
        <v>196996</v>
      </c>
      <c r="O213" s="86"/>
      <c r="P213" s="189"/>
      <c r="Q213" s="113">
        <f>SUM(Q211:Q212)</f>
        <v>14397</v>
      </c>
      <c r="R213" s="189"/>
      <c r="S213" s="113">
        <f>SUM(S211:S212)</f>
        <v>114719</v>
      </c>
      <c r="T213" s="189"/>
      <c r="U213" s="189"/>
      <c r="V213" s="190"/>
    </row>
    <row r="214" spans="1:24" ht="15.6">
      <c r="A214" s="25"/>
      <c r="B214" s="61"/>
      <c r="C214" s="110"/>
      <c r="D214" s="110"/>
      <c r="E214" s="110"/>
      <c r="F214" s="110"/>
      <c r="G214" s="110"/>
      <c r="H214" s="110"/>
      <c r="I214" s="110"/>
      <c r="J214" s="110"/>
      <c r="K214" s="110"/>
      <c r="L214" s="110"/>
      <c r="M214" s="111"/>
      <c r="N214" s="110"/>
      <c r="O214" s="111"/>
      <c r="P214" s="110"/>
      <c r="Q214" s="117"/>
      <c r="R214" s="110"/>
      <c r="S214" s="113"/>
      <c r="T214" s="110"/>
      <c r="U214" s="112"/>
      <c r="V214" s="205"/>
      <c r="W214" s="6"/>
    </row>
    <row r="215" spans="1:24" ht="15.6">
      <c r="A215" s="25"/>
      <c r="B215" s="61" t="s">
        <v>86</v>
      </c>
      <c r="C215" s="110"/>
      <c r="D215" s="110"/>
      <c r="E215" s="110"/>
      <c r="F215" s="110"/>
      <c r="G215" s="110"/>
      <c r="H215" s="110"/>
      <c r="I215" s="110"/>
      <c r="J215" s="110"/>
      <c r="K215" s="110"/>
      <c r="L215" s="110"/>
      <c r="M215" s="111"/>
      <c r="N215" s="110"/>
      <c r="O215" s="111"/>
      <c r="P215" s="110"/>
      <c r="Q215" s="117"/>
      <c r="R215" s="116"/>
      <c r="S215" s="113">
        <f>N200+S200+N213+S213</f>
        <v>380514</v>
      </c>
      <c r="T215" s="115"/>
      <c r="U215" s="112"/>
      <c r="V215" s="205"/>
      <c r="W215" s="6"/>
    </row>
    <row r="216" spans="1:24" ht="15.6">
      <c r="A216" s="25"/>
      <c r="B216" s="61"/>
      <c r="C216" s="110"/>
      <c r="D216" s="110"/>
      <c r="E216" s="110"/>
      <c r="F216" s="110"/>
      <c r="G216" s="110"/>
      <c r="H216" s="110"/>
      <c r="I216" s="110"/>
      <c r="J216" s="110"/>
      <c r="K216" s="110"/>
      <c r="L216" s="110"/>
      <c r="M216" s="111"/>
      <c r="N216" s="110"/>
      <c r="O216" s="111"/>
      <c r="P216" s="110"/>
      <c r="Q216" s="111"/>
      <c r="R216" s="110"/>
      <c r="S216" s="113"/>
      <c r="T216" s="116"/>
      <c r="U216" s="112"/>
      <c r="V216" s="205"/>
      <c r="W216" s="6"/>
    </row>
    <row r="217" spans="1:24" ht="15.6">
      <c r="A217" s="25"/>
      <c r="B217" s="118" t="s">
        <v>87</v>
      </c>
      <c r="C217" s="110"/>
      <c r="D217" s="110"/>
      <c r="E217" s="110"/>
      <c r="F217" s="110"/>
      <c r="G217" s="110"/>
      <c r="H217" s="110"/>
      <c r="I217" s="110"/>
      <c r="J217" s="110"/>
      <c r="K217" s="110"/>
      <c r="L217" s="110"/>
      <c r="M217" s="111"/>
      <c r="N217" s="110"/>
      <c r="O217" s="111"/>
      <c r="P217" s="110"/>
      <c r="Q217" s="111"/>
      <c r="R217" s="110"/>
      <c r="S217" s="113"/>
      <c r="T217" s="110"/>
      <c r="U217" s="112"/>
      <c r="V217" s="205"/>
      <c r="W217" s="6"/>
    </row>
    <row r="218" spans="1:24" ht="15.6">
      <c r="A218" s="25"/>
      <c r="B218" s="61"/>
      <c r="C218" s="110"/>
      <c r="D218" s="110"/>
      <c r="E218" s="110"/>
      <c r="F218" s="110"/>
      <c r="G218" s="110"/>
      <c r="H218" s="110"/>
      <c r="I218" s="110"/>
      <c r="J218" s="110"/>
      <c r="K218" s="110"/>
      <c r="L218" s="110"/>
      <c r="M218" s="111"/>
      <c r="N218" s="110"/>
      <c r="O218" s="111"/>
      <c r="P218" s="110"/>
      <c r="Q218" s="111"/>
      <c r="R218" s="110"/>
      <c r="S218" s="113"/>
      <c r="T218" s="110"/>
      <c r="U218" s="112"/>
      <c r="V218" s="205"/>
      <c r="W218" s="6"/>
    </row>
    <row r="219" spans="1:24" ht="15.6">
      <c r="A219" s="25"/>
      <c r="B219" s="61" t="s">
        <v>88</v>
      </c>
      <c r="C219" s="110"/>
      <c r="D219" s="110"/>
      <c r="E219" s="110"/>
      <c r="F219" s="110"/>
      <c r="G219" s="110"/>
      <c r="H219" s="110"/>
      <c r="I219" s="110"/>
      <c r="J219" s="110"/>
      <c r="K219" s="110"/>
      <c r="L219" s="110"/>
      <c r="M219" s="111"/>
      <c r="N219" s="110"/>
      <c r="O219" s="111"/>
      <c r="P219" s="110"/>
      <c r="Q219" s="111"/>
      <c r="R219" s="110"/>
      <c r="S219" s="113">
        <v>374808</v>
      </c>
      <c r="T219" s="110"/>
      <c r="U219" s="112"/>
      <c r="V219" s="205"/>
      <c r="W219" s="6"/>
      <c r="X219" s="182"/>
    </row>
    <row r="220" spans="1:24" ht="15.6">
      <c r="A220" s="25"/>
      <c r="B220" s="61" t="s">
        <v>89</v>
      </c>
      <c r="C220" s="110"/>
      <c r="D220" s="110"/>
      <c r="E220" s="110"/>
      <c r="F220" s="110"/>
      <c r="G220" s="110"/>
      <c r="H220" s="110"/>
      <c r="I220" s="110"/>
      <c r="J220" s="110"/>
      <c r="K220" s="110"/>
      <c r="L220" s="110"/>
      <c r="M220" s="111"/>
      <c r="N220" s="110"/>
      <c r="O220" s="111"/>
      <c r="P220" s="110"/>
      <c r="Q220" s="111"/>
      <c r="R220" s="110"/>
      <c r="S220" s="113">
        <f>-U103</f>
        <v>75192</v>
      </c>
      <c r="T220" s="110"/>
      <c r="U220" s="112"/>
      <c r="V220" s="205"/>
      <c r="W220" s="119"/>
    </row>
    <row r="221" spans="1:24" ht="15.6">
      <c r="A221" s="25"/>
      <c r="B221" s="61" t="s">
        <v>90</v>
      </c>
      <c r="C221" s="110"/>
      <c r="D221" s="110"/>
      <c r="E221" s="110"/>
      <c r="F221" s="110"/>
      <c r="G221" s="110"/>
      <c r="H221" s="110"/>
      <c r="I221" s="110"/>
      <c r="J221" s="110"/>
      <c r="K221" s="110"/>
      <c r="L221" s="110"/>
      <c r="M221" s="111"/>
      <c r="N221" s="110"/>
      <c r="O221" s="111"/>
      <c r="P221" s="110"/>
      <c r="Q221" s="111"/>
      <c r="R221" s="110"/>
      <c r="S221" s="113">
        <f>SUM(S219:S220)</f>
        <v>450000</v>
      </c>
      <c r="T221" s="110"/>
      <c r="U221" s="112"/>
      <c r="V221" s="205"/>
      <c r="W221" s="6"/>
    </row>
    <row r="222" spans="1:24" ht="15.6">
      <c r="A222" s="25"/>
      <c r="B222" s="61"/>
      <c r="C222" s="110"/>
      <c r="D222" s="110"/>
      <c r="E222" s="110"/>
      <c r="F222" s="110"/>
      <c r="G222" s="110"/>
      <c r="H222" s="110"/>
      <c r="I222" s="110"/>
      <c r="J222" s="110"/>
      <c r="K222" s="110"/>
      <c r="L222" s="110"/>
      <c r="M222" s="111"/>
      <c r="N222" s="110"/>
      <c r="O222" s="111"/>
      <c r="P222" s="110"/>
      <c r="Q222" s="111"/>
      <c r="R222" s="110"/>
      <c r="S222" s="113"/>
      <c r="T222" s="110"/>
      <c r="U222" s="112"/>
      <c r="V222" s="205"/>
      <c r="W222" s="6"/>
    </row>
    <row r="223" spans="1:24" ht="15.6">
      <c r="A223" s="25"/>
      <c r="B223" s="61" t="s">
        <v>91</v>
      </c>
      <c r="C223" s="110"/>
      <c r="D223" s="110"/>
      <c r="E223" s="110"/>
      <c r="F223" s="110"/>
      <c r="G223" s="110"/>
      <c r="H223" s="110"/>
      <c r="I223" s="110"/>
      <c r="J223" s="110"/>
      <c r="K223" s="110"/>
      <c r="L223" s="110"/>
      <c r="M223" s="111"/>
      <c r="N223" s="110"/>
      <c r="O223" s="111"/>
      <c r="P223" s="110"/>
      <c r="Q223" s="111"/>
      <c r="R223" s="110"/>
      <c r="S223" s="113">
        <f>U33</f>
        <v>450000</v>
      </c>
      <c r="T223" s="110"/>
      <c r="U223" s="112"/>
      <c r="V223" s="205"/>
      <c r="W223" s="6"/>
    </row>
    <row r="224" spans="1:24" ht="15.6">
      <c r="A224" s="25"/>
      <c r="B224" s="61"/>
      <c r="C224" s="110"/>
      <c r="D224" s="110"/>
      <c r="E224" s="110"/>
      <c r="F224" s="110"/>
      <c r="G224" s="110"/>
      <c r="H224" s="110"/>
      <c r="I224" s="110"/>
      <c r="J224" s="110"/>
      <c r="K224" s="110"/>
      <c r="L224" s="110"/>
      <c r="M224" s="111"/>
      <c r="N224" s="110"/>
      <c r="O224" s="111"/>
      <c r="P224" s="110"/>
      <c r="Q224" s="111"/>
      <c r="R224" s="110"/>
      <c r="S224" s="113"/>
      <c r="T224" s="110"/>
      <c r="U224" s="112"/>
      <c r="V224" s="205"/>
      <c r="W224" s="6"/>
    </row>
    <row r="225" spans="1:23" ht="15.6">
      <c r="A225" s="25"/>
      <c r="B225" s="61" t="s">
        <v>92</v>
      </c>
      <c r="C225" s="110"/>
      <c r="D225" s="110"/>
      <c r="E225" s="110"/>
      <c r="F225" s="110"/>
      <c r="G225" s="110"/>
      <c r="H225" s="110"/>
      <c r="I225" s="110"/>
      <c r="J225" s="110"/>
      <c r="K225" s="110"/>
      <c r="L225" s="110"/>
      <c r="M225" s="111"/>
      <c r="N225" s="110"/>
      <c r="O225" s="111"/>
      <c r="P225" s="110"/>
      <c r="Q225" s="111"/>
      <c r="R225" s="110"/>
      <c r="S225" s="113">
        <f>S221/S223</f>
        <v>1</v>
      </c>
      <c r="T225" s="110"/>
      <c r="U225" s="112"/>
      <c r="V225" s="205"/>
      <c r="W225" s="6"/>
    </row>
    <row r="226" spans="1:23" ht="15.6">
      <c r="A226" s="25"/>
      <c r="B226" s="26"/>
      <c r="C226" s="26"/>
      <c r="D226" s="26"/>
      <c r="E226" s="26"/>
      <c r="F226" s="26"/>
      <c r="G226" s="26"/>
      <c r="H226" s="26"/>
      <c r="I226" s="26"/>
      <c r="J226" s="26"/>
      <c r="K226" s="26"/>
      <c r="L226" s="26"/>
      <c r="M226" s="33"/>
      <c r="N226" s="26"/>
      <c r="O226" s="26"/>
      <c r="P226" s="26"/>
      <c r="Q226" s="59"/>
      <c r="R226" s="120"/>
      <c r="S226" s="60"/>
      <c r="T226" s="120"/>
      <c r="U226" s="89"/>
      <c r="V226" s="196"/>
      <c r="W226" s="6"/>
    </row>
    <row r="227" spans="1:23" ht="15.6">
      <c r="A227" s="121"/>
      <c r="B227" s="30" t="s">
        <v>127</v>
      </c>
      <c r="C227" s="122"/>
      <c r="D227" s="122"/>
      <c r="E227" s="122"/>
      <c r="F227" s="122"/>
      <c r="G227" s="122"/>
      <c r="H227" s="122"/>
      <c r="I227" s="122"/>
      <c r="J227" s="122"/>
      <c r="K227" s="122"/>
      <c r="L227" s="122"/>
      <c r="M227" s="110"/>
      <c r="N227" s="112"/>
      <c r="O227" s="30"/>
      <c r="P227" s="123"/>
      <c r="Q227" s="123"/>
      <c r="R227" s="123"/>
      <c r="S227" s="124"/>
      <c r="T227" s="29"/>
      <c r="U227" s="29"/>
      <c r="V227" s="203"/>
      <c r="W227" s="6"/>
    </row>
    <row r="228" spans="1:23" ht="15.6">
      <c r="A228" s="125"/>
      <c r="B228" s="13" t="s">
        <v>128</v>
      </c>
      <c r="C228" s="126"/>
      <c r="D228" s="126"/>
      <c r="E228" s="126"/>
      <c r="F228" s="126"/>
      <c r="G228" s="126"/>
      <c r="H228" s="126"/>
      <c r="I228" s="126"/>
      <c r="J228" s="126"/>
      <c r="K228" s="126"/>
      <c r="L228" s="126"/>
      <c r="M228" s="127"/>
      <c r="N228" s="13"/>
      <c r="O228" s="13"/>
      <c r="P228" s="126"/>
      <c r="Q228" s="126"/>
      <c r="R228" s="12"/>
      <c r="S228" s="12"/>
      <c r="T228" s="12"/>
      <c r="U228" s="12"/>
      <c r="V228" s="207"/>
      <c r="W228" s="6"/>
    </row>
    <row r="229" spans="1:23" ht="15.6">
      <c r="A229" s="125"/>
      <c r="B229" s="13" t="s">
        <v>246</v>
      </c>
      <c r="C229" s="126"/>
      <c r="D229" s="126"/>
      <c r="E229" s="126"/>
      <c r="F229" s="126"/>
      <c r="G229" s="126"/>
      <c r="H229" s="126"/>
      <c r="I229" s="126"/>
      <c r="J229" s="126"/>
      <c r="K229" s="126"/>
      <c r="L229" s="126"/>
      <c r="M229" s="127"/>
      <c r="N229" s="13"/>
      <c r="O229" s="13"/>
      <c r="P229" s="126"/>
      <c r="Q229" s="126"/>
      <c r="R229" s="12"/>
      <c r="S229" s="12"/>
      <c r="T229" s="12"/>
      <c r="U229" s="12"/>
      <c r="V229" s="207"/>
      <c r="W229" s="6"/>
    </row>
    <row r="230" spans="1:23" ht="15.6">
      <c r="A230" s="125"/>
      <c r="B230" s="13" t="s">
        <v>129</v>
      </c>
      <c r="C230" s="126"/>
      <c r="D230" s="126"/>
      <c r="E230" s="126"/>
      <c r="F230" s="126"/>
      <c r="G230" s="126"/>
      <c r="H230" s="126"/>
      <c r="I230" s="126"/>
      <c r="J230" s="126"/>
      <c r="K230" s="126"/>
      <c r="L230" s="126"/>
      <c r="M230" s="127"/>
      <c r="N230" s="13"/>
      <c r="O230" s="13"/>
      <c r="P230" s="126"/>
      <c r="Q230" s="126"/>
      <c r="R230" s="12"/>
      <c r="S230" s="12"/>
      <c r="T230" s="12"/>
      <c r="U230" s="12"/>
      <c r="V230" s="207"/>
      <c r="W230" s="6"/>
    </row>
    <row r="231" spans="1:23" ht="15.6">
      <c r="A231" s="125"/>
      <c r="B231" s="13"/>
      <c r="C231" s="126"/>
      <c r="D231" s="126"/>
      <c r="E231" s="126"/>
      <c r="F231" s="126"/>
      <c r="G231" s="126"/>
      <c r="H231" s="126"/>
      <c r="I231" s="126"/>
      <c r="J231" s="126"/>
      <c r="K231" s="126"/>
      <c r="L231" s="126"/>
      <c r="M231" s="127"/>
      <c r="N231" s="13"/>
      <c r="O231" s="13"/>
      <c r="P231" s="126"/>
      <c r="Q231" s="126"/>
      <c r="R231" s="12"/>
      <c r="S231" s="12"/>
      <c r="T231" s="12"/>
      <c r="U231" s="12"/>
      <c r="V231" s="207"/>
      <c r="W231" s="6"/>
    </row>
    <row r="232" spans="1:23" ht="15.6">
      <c r="A232" s="125"/>
      <c r="B232" s="13"/>
      <c r="C232" s="126"/>
      <c r="D232" s="126"/>
      <c r="E232" s="126"/>
      <c r="F232" s="126"/>
      <c r="G232" s="126"/>
      <c r="H232" s="126"/>
      <c r="I232" s="126"/>
      <c r="J232" s="126"/>
      <c r="K232" s="126"/>
      <c r="L232" s="126"/>
      <c r="M232" s="127"/>
      <c r="N232" s="13"/>
      <c r="O232" s="13"/>
      <c r="P232" s="126"/>
      <c r="Q232" s="126"/>
      <c r="R232" s="12"/>
      <c r="S232" s="12"/>
      <c r="T232" s="12"/>
      <c r="U232" s="12"/>
      <c r="V232" s="207"/>
      <c r="W232" s="6"/>
    </row>
    <row r="233" spans="1:23" ht="16.2" thickBot="1">
      <c r="A233" s="125"/>
      <c r="B233" s="13" t="str">
        <f>+B160</f>
        <v>PPAF3 INVESTOR REPORT QUARTER ENDING JUNE 2006</v>
      </c>
      <c r="C233" s="126"/>
      <c r="D233" s="126"/>
      <c r="E233" s="126"/>
      <c r="F233" s="126"/>
      <c r="G233" s="126"/>
      <c r="H233" s="126"/>
      <c r="I233" s="126"/>
      <c r="J233" s="126"/>
      <c r="K233" s="126"/>
      <c r="L233" s="126"/>
      <c r="M233" s="127"/>
      <c r="N233" s="13"/>
      <c r="O233" s="13"/>
      <c r="P233" s="126"/>
      <c r="Q233" s="126"/>
      <c r="R233" s="12"/>
      <c r="S233" s="12"/>
      <c r="T233" s="12"/>
      <c r="U233" s="12"/>
      <c r="V233" s="208"/>
      <c r="W233" s="6"/>
    </row>
    <row r="234" spans="1:2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row>
  </sheetData>
  <phoneticPr fontId="0" type="noConversion"/>
  <hyperlinks>
    <hyperlink ref="I9" r:id="rId1"/>
    <hyperlink ref="K187"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16383" man="1"/>
    <brk id="110" max="16383" man="1"/>
    <brk id="160" max="21" man="1"/>
    <brk id="239" man="1"/>
  </rowBreaks>
  <colBreaks count="1" manualBreakCount="1">
    <brk id="23" max="1048575" man="1"/>
  </colBreaks>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000099"/>
  </sheetPr>
  <dimension ref="A1:Y234"/>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38" t="s">
        <v>223</v>
      </c>
      <c r="B1" s="285" t="s">
        <v>123</v>
      </c>
      <c r="C1" s="239"/>
      <c r="D1" s="239"/>
      <c r="E1" s="239"/>
      <c r="F1" s="239"/>
      <c r="G1" s="239"/>
      <c r="H1" s="239"/>
      <c r="I1" s="239"/>
      <c r="J1" s="239"/>
      <c r="K1" s="239"/>
      <c r="L1" s="239"/>
      <c r="M1" s="240"/>
      <c r="N1" s="240"/>
      <c r="O1" s="240"/>
      <c r="P1" s="240"/>
      <c r="Q1" s="240"/>
      <c r="R1" s="240"/>
      <c r="S1" s="240"/>
      <c r="T1" s="240"/>
      <c r="U1" s="240"/>
      <c r="V1" s="241"/>
      <c r="W1" s="6"/>
    </row>
    <row r="2" spans="1:23" ht="15.6">
      <c r="A2" s="242"/>
      <c r="B2" s="243"/>
      <c r="C2" s="243"/>
      <c r="D2" s="243"/>
      <c r="E2" s="243"/>
      <c r="F2" s="243"/>
      <c r="G2" s="243"/>
      <c r="H2" s="243"/>
      <c r="I2" s="243"/>
      <c r="J2" s="243"/>
      <c r="K2" s="243"/>
      <c r="L2" s="243"/>
      <c r="M2" s="244"/>
      <c r="N2" s="244"/>
      <c r="O2" s="244"/>
      <c r="P2" s="244"/>
      <c r="Q2" s="244"/>
      <c r="R2" s="244"/>
      <c r="S2" s="244"/>
      <c r="T2" s="244"/>
      <c r="U2" s="244"/>
      <c r="V2" s="245"/>
      <c r="W2" s="6"/>
    </row>
    <row r="3" spans="1:23" ht="15.6">
      <c r="A3" s="246"/>
      <c r="B3" s="247" t="s">
        <v>125</v>
      </c>
      <c r="C3" s="244"/>
      <c r="D3" s="244"/>
      <c r="E3" s="244"/>
      <c r="F3" s="244"/>
      <c r="G3" s="244"/>
      <c r="H3" s="244"/>
      <c r="I3" s="244"/>
      <c r="J3" s="244"/>
      <c r="K3" s="244"/>
      <c r="L3" s="244"/>
      <c r="M3" s="244"/>
      <c r="N3" s="244"/>
      <c r="O3" s="244"/>
      <c r="P3" s="244"/>
      <c r="Q3" s="244"/>
      <c r="R3" s="244"/>
      <c r="S3" s="244"/>
      <c r="T3" s="244"/>
      <c r="U3" s="244"/>
      <c r="V3" s="245"/>
      <c r="W3" s="6"/>
    </row>
    <row r="4" spans="1:23" ht="15.6">
      <c r="A4" s="242"/>
      <c r="B4" s="243"/>
      <c r="C4" s="243"/>
      <c r="D4" s="243"/>
      <c r="E4" s="243"/>
      <c r="F4" s="243"/>
      <c r="G4" s="243"/>
      <c r="H4" s="243"/>
      <c r="I4" s="243"/>
      <c r="J4" s="243"/>
      <c r="K4" s="243"/>
      <c r="L4" s="243"/>
      <c r="M4" s="244"/>
      <c r="N4" s="244"/>
      <c r="O4" s="244"/>
      <c r="P4" s="244"/>
      <c r="Q4" s="244"/>
      <c r="R4" s="244"/>
      <c r="S4" s="244"/>
      <c r="T4" s="244"/>
      <c r="U4" s="244"/>
      <c r="V4" s="245"/>
      <c r="W4" s="6"/>
    </row>
    <row r="5" spans="1:23" ht="16.2">
      <c r="A5" s="242"/>
      <c r="B5" s="286" t="s">
        <v>0</v>
      </c>
      <c r="C5" s="248"/>
      <c r="D5" s="248"/>
      <c r="E5" s="248"/>
      <c r="F5" s="248"/>
      <c r="G5" s="248"/>
      <c r="H5" s="248"/>
      <c r="I5" s="248"/>
      <c r="J5" s="248"/>
      <c r="K5" s="248"/>
      <c r="L5" s="248"/>
      <c r="M5" s="244"/>
      <c r="N5" s="244"/>
      <c r="O5" s="244"/>
      <c r="P5" s="244"/>
      <c r="Q5" s="244"/>
      <c r="R5" s="244"/>
      <c r="S5" s="244"/>
      <c r="T5" s="244"/>
      <c r="U5" s="244"/>
      <c r="V5" s="245"/>
      <c r="W5" s="6"/>
    </row>
    <row r="6" spans="1:23" ht="16.2">
      <c r="A6" s="242"/>
      <c r="B6" s="286" t="s">
        <v>1</v>
      </c>
      <c r="C6" s="248"/>
      <c r="D6" s="248"/>
      <c r="E6" s="248"/>
      <c r="F6" s="248"/>
      <c r="G6" s="248"/>
      <c r="H6" s="248"/>
      <c r="I6" s="248"/>
      <c r="J6" s="248"/>
      <c r="K6" s="248"/>
      <c r="L6" s="248"/>
      <c r="M6" s="244"/>
      <c r="N6" s="244"/>
      <c r="O6" s="244"/>
      <c r="P6" s="244"/>
      <c r="Q6" s="244"/>
      <c r="R6" s="244"/>
      <c r="S6" s="244"/>
      <c r="T6" s="244"/>
      <c r="U6" s="244"/>
      <c r="V6" s="245"/>
      <c r="W6" s="6"/>
    </row>
    <row r="7" spans="1:23" ht="16.2">
      <c r="A7" s="242"/>
      <c r="B7" s="286" t="s">
        <v>2</v>
      </c>
      <c r="C7" s="248"/>
      <c r="D7" s="248"/>
      <c r="E7" s="248"/>
      <c r="F7" s="248"/>
      <c r="G7" s="248"/>
      <c r="H7" s="248"/>
      <c r="I7" s="248"/>
      <c r="J7" s="248"/>
      <c r="K7" s="248"/>
      <c r="L7" s="248"/>
      <c r="M7" s="244"/>
      <c r="N7" s="244"/>
      <c r="O7" s="244"/>
      <c r="P7" s="244"/>
      <c r="Q7" s="244"/>
      <c r="R7" s="244"/>
      <c r="S7" s="244"/>
      <c r="T7" s="244"/>
      <c r="U7" s="244"/>
      <c r="V7" s="245"/>
      <c r="W7" s="6"/>
    </row>
    <row r="8" spans="1:23" ht="16.2">
      <c r="A8" s="242"/>
      <c r="B8" s="249"/>
      <c r="C8" s="248"/>
      <c r="D8" s="248"/>
      <c r="E8" s="248"/>
      <c r="F8" s="248"/>
      <c r="G8" s="248"/>
      <c r="H8" s="248"/>
      <c r="I8" s="248"/>
      <c r="J8" s="248"/>
      <c r="K8" s="248"/>
      <c r="L8" s="248"/>
      <c r="M8" s="244"/>
      <c r="N8" s="244"/>
      <c r="O8" s="244"/>
      <c r="P8" s="244"/>
      <c r="Q8" s="244"/>
      <c r="R8" s="244"/>
      <c r="S8" s="244"/>
      <c r="T8" s="244"/>
      <c r="U8" s="244"/>
      <c r="V8" s="245"/>
      <c r="W8" s="6"/>
    </row>
    <row r="9" spans="1:23" ht="18">
      <c r="A9" s="242"/>
      <c r="B9" s="250" t="s">
        <v>194</v>
      </c>
      <c r="C9" s="248"/>
      <c r="D9" s="248"/>
      <c r="E9" s="248"/>
      <c r="F9" s="248"/>
      <c r="G9" s="248"/>
      <c r="H9" s="248"/>
      <c r="I9" s="251" t="s">
        <v>195</v>
      </c>
      <c r="J9" s="248"/>
      <c r="K9" s="248"/>
      <c r="L9" s="248"/>
      <c r="M9" s="244"/>
      <c r="N9" s="244"/>
      <c r="O9" s="244"/>
      <c r="P9" s="244"/>
      <c r="Q9" s="244"/>
      <c r="R9" s="244"/>
      <c r="S9" s="244"/>
      <c r="T9" s="244"/>
      <c r="U9" s="244"/>
      <c r="V9" s="245"/>
      <c r="W9" s="6"/>
    </row>
    <row r="10" spans="1:23" ht="16.2">
      <c r="A10" s="242"/>
      <c r="B10" s="248"/>
      <c r="C10" s="248"/>
      <c r="D10" s="248"/>
      <c r="E10" s="248"/>
      <c r="F10" s="248"/>
      <c r="G10" s="248"/>
      <c r="H10" s="248"/>
      <c r="I10" s="248"/>
      <c r="J10" s="248"/>
      <c r="K10" s="248"/>
      <c r="L10" s="248"/>
      <c r="M10" s="252"/>
      <c r="N10" s="252"/>
      <c r="O10" s="244"/>
      <c r="P10" s="244"/>
      <c r="Q10" s="244"/>
      <c r="R10" s="244"/>
      <c r="S10" s="244"/>
      <c r="T10" s="244"/>
      <c r="U10" s="244"/>
      <c r="V10" s="245"/>
      <c r="W10" s="6"/>
    </row>
    <row r="11" spans="1:23" ht="15.6">
      <c r="A11" s="242"/>
      <c r="B11" s="287" t="s">
        <v>3</v>
      </c>
      <c r="C11" s="252"/>
      <c r="D11" s="252"/>
      <c r="E11" s="252"/>
      <c r="F11" s="252"/>
      <c r="G11" s="252"/>
      <c r="H11" s="252"/>
      <c r="I11" s="252"/>
      <c r="J11" s="252"/>
      <c r="K11" s="252"/>
      <c r="L11" s="252"/>
      <c r="M11" s="244"/>
      <c r="N11" s="244"/>
      <c r="O11" s="244"/>
      <c r="P11" s="244"/>
      <c r="Q11" s="244"/>
      <c r="R11" s="244"/>
      <c r="S11" s="244"/>
      <c r="T11" s="244"/>
      <c r="U11" s="244"/>
      <c r="V11" s="245"/>
      <c r="W11" s="6"/>
    </row>
    <row r="12" spans="1:23" ht="16.2" thickBot="1">
      <c r="A12" s="242"/>
      <c r="B12" s="252"/>
      <c r="C12" s="252"/>
      <c r="D12" s="252"/>
      <c r="E12" s="252"/>
      <c r="F12" s="252"/>
      <c r="G12" s="252"/>
      <c r="H12" s="252"/>
      <c r="I12" s="252"/>
      <c r="J12" s="252"/>
      <c r="K12" s="252"/>
      <c r="L12" s="252"/>
      <c r="M12" s="244"/>
      <c r="N12" s="244"/>
      <c r="O12" s="244"/>
      <c r="P12" s="244"/>
      <c r="Q12" s="244"/>
      <c r="R12" s="244"/>
      <c r="S12" s="244"/>
      <c r="T12" s="244"/>
      <c r="U12" s="244"/>
      <c r="V12" s="245"/>
      <c r="W12" s="6"/>
    </row>
    <row r="13" spans="1:23" ht="15.6">
      <c r="A13" s="238"/>
      <c r="B13" s="240"/>
      <c r="C13" s="240"/>
      <c r="D13" s="240"/>
      <c r="E13" s="240"/>
      <c r="F13" s="240"/>
      <c r="G13" s="240"/>
      <c r="H13" s="240"/>
      <c r="I13" s="240"/>
      <c r="J13" s="240"/>
      <c r="K13" s="240"/>
      <c r="L13" s="240"/>
      <c r="M13" s="240"/>
      <c r="N13" s="240"/>
      <c r="O13" s="240"/>
      <c r="P13" s="240"/>
      <c r="Q13" s="240"/>
      <c r="R13" s="240"/>
      <c r="S13" s="240"/>
      <c r="T13" s="240"/>
      <c r="U13" s="240"/>
      <c r="V13" s="241"/>
      <c r="W13" s="6"/>
    </row>
    <row r="14" spans="1:23" ht="15.6">
      <c r="A14" s="242"/>
      <c r="B14" s="287" t="s">
        <v>4</v>
      </c>
      <c r="C14" s="253"/>
      <c r="D14" s="253"/>
      <c r="E14" s="253"/>
      <c r="F14" s="253"/>
      <c r="G14" s="253"/>
      <c r="H14" s="253"/>
      <c r="I14" s="253"/>
      <c r="J14" s="253"/>
      <c r="K14" s="253"/>
      <c r="L14" s="253"/>
      <c r="M14" s="288"/>
      <c r="N14" s="288"/>
      <c r="O14" s="288"/>
      <c r="P14" s="288"/>
      <c r="Q14" s="288"/>
      <c r="R14" s="288"/>
      <c r="S14" s="288"/>
      <c r="T14" s="288"/>
      <c r="U14" s="289" t="s">
        <v>126</v>
      </c>
      <c r="V14" s="245"/>
      <c r="W14" s="6"/>
    </row>
    <row r="15" spans="1:23" ht="15.6">
      <c r="A15" s="242"/>
      <c r="B15" s="287" t="s">
        <v>5</v>
      </c>
      <c r="C15" s="253"/>
      <c r="D15" s="253"/>
      <c r="E15" s="253"/>
      <c r="F15" s="253"/>
      <c r="G15" s="253"/>
      <c r="H15" s="253"/>
      <c r="I15" s="253"/>
      <c r="J15" s="253"/>
      <c r="K15" s="253"/>
      <c r="L15" s="253"/>
      <c r="M15" s="290" t="s">
        <v>93</v>
      </c>
      <c r="N15" s="291">
        <v>0.1492</v>
      </c>
      <c r="O15" s="290" t="s">
        <v>99</v>
      </c>
      <c r="P15" s="291">
        <v>5.4399999999999997E-2</v>
      </c>
      <c r="Q15" s="290" t="s">
        <v>102</v>
      </c>
      <c r="R15" s="291">
        <v>0.48899999999999999</v>
      </c>
      <c r="S15" s="290" t="s">
        <v>108</v>
      </c>
      <c r="T15" s="291">
        <v>0.30740000000000001</v>
      </c>
      <c r="U15" s="289"/>
      <c r="V15" s="254"/>
      <c r="W15" s="6"/>
    </row>
    <row r="16" spans="1:23" ht="15.6">
      <c r="A16" s="242"/>
      <c r="B16" s="287" t="s">
        <v>6</v>
      </c>
      <c r="C16" s="253"/>
      <c r="D16" s="253"/>
      <c r="E16" s="253"/>
      <c r="F16" s="253"/>
      <c r="G16" s="253"/>
      <c r="H16" s="253"/>
      <c r="I16" s="253"/>
      <c r="J16" s="253"/>
      <c r="K16" s="253"/>
      <c r="L16" s="253"/>
      <c r="M16" s="290" t="s">
        <v>93</v>
      </c>
      <c r="N16" s="291">
        <f>+N198/S221</f>
        <v>1.1098075276659162E-2</v>
      </c>
      <c r="O16" s="290" t="s">
        <v>99</v>
      </c>
      <c r="P16" s="291">
        <f>+S198/S221</f>
        <v>1.849679212776527E-3</v>
      </c>
      <c r="Q16" s="290" t="s">
        <v>102</v>
      </c>
      <c r="R16" s="291">
        <f>+N211/S221</f>
        <v>0.98369111414106181</v>
      </c>
      <c r="S16" s="290" t="s">
        <v>108</v>
      </c>
      <c r="T16" s="291">
        <f>+S211/S221</f>
        <v>3.3611313695024892E-3</v>
      </c>
      <c r="U16" s="289"/>
      <c r="V16" s="254"/>
      <c r="W16" s="6"/>
    </row>
    <row r="17" spans="1:23" ht="15.6">
      <c r="A17" s="242"/>
      <c r="B17" s="287" t="s">
        <v>7</v>
      </c>
      <c r="C17" s="253"/>
      <c r="D17" s="253"/>
      <c r="E17" s="253"/>
      <c r="F17" s="253"/>
      <c r="G17" s="253"/>
      <c r="H17" s="253"/>
      <c r="I17" s="253"/>
      <c r="J17" s="253"/>
      <c r="K17" s="253"/>
      <c r="L17" s="253"/>
      <c r="M17" s="288"/>
      <c r="N17" s="288"/>
      <c r="O17" s="288"/>
      <c r="P17" s="288"/>
      <c r="Q17" s="288"/>
      <c r="R17" s="288"/>
      <c r="S17" s="288"/>
      <c r="T17" s="288"/>
      <c r="U17" s="292">
        <v>38491</v>
      </c>
      <c r="V17" s="245"/>
      <c r="W17" s="6"/>
    </row>
    <row r="18" spans="1:23" ht="15.6">
      <c r="A18" s="242"/>
      <c r="B18" s="287" t="s">
        <v>8</v>
      </c>
      <c r="C18" s="253"/>
      <c r="D18" s="253"/>
      <c r="E18" s="253"/>
      <c r="F18" s="253"/>
      <c r="G18" s="253"/>
      <c r="H18" s="253"/>
      <c r="I18" s="253"/>
      <c r="J18" s="253"/>
      <c r="K18" s="253"/>
      <c r="L18" s="253"/>
      <c r="M18" s="288"/>
      <c r="N18" s="288"/>
      <c r="O18" s="288"/>
      <c r="P18" s="288"/>
      <c r="Q18" s="288"/>
      <c r="R18" s="288"/>
      <c r="S18" s="288"/>
      <c r="T18" s="288"/>
      <c r="U18" s="292">
        <v>42207</v>
      </c>
      <c r="V18" s="245"/>
      <c r="W18" s="6"/>
    </row>
    <row r="19" spans="1:23" ht="15.6">
      <c r="A19" s="242"/>
      <c r="B19" s="288"/>
      <c r="C19" s="244"/>
      <c r="D19" s="244"/>
      <c r="E19" s="244"/>
      <c r="F19" s="244"/>
      <c r="G19" s="244"/>
      <c r="H19" s="244"/>
      <c r="I19" s="244"/>
      <c r="J19" s="244"/>
      <c r="K19" s="244"/>
      <c r="L19" s="244"/>
      <c r="M19" s="244"/>
      <c r="N19" s="244"/>
      <c r="O19" s="244"/>
      <c r="P19" s="244"/>
      <c r="Q19" s="244"/>
      <c r="R19" s="244"/>
      <c r="S19" s="244"/>
      <c r="T19" s="244"/>
      <c r="U19" s="255"/>
      <c r="V19" s="245"/>
      <c r="W19" s="6"/>
    </row>
    <row r="20" spans="1:23" ht="15.6">
      <c r="A20" s="242"/>
      <c r="B20" s="293" t="s">
        <v>9</v>
      </c>
      <c r="C20" s="244"/>
      <c r="D20" s="244"/>
      <c r="E20" s="244"/>
      <c r="F20" s="244"/>
      <c r="G20" s="244"/>
      <c r="H20" s="244"/>
      <c r="I20" s="244"/>
      <c r="J20" s="244"/>
      <c r="K20" s="244"/>
      <c r="L20" s="244"/>
      <c r="M20" s="244"/>
      <c r="N20" s="244"/>
      <c r="O20" s="244"/>
      <c r="P20" s="244"/>
      <c r="Q20" s="244"/>
      <c r="R20" s="244"/>
      <c r="S20" s="255"/>
      <c r="T20" s="244"/>
      <c r="U20" s="249"/>
      <c r="V20" s="245"/>
      <c r="W20" s="6"/>
    </row>
    <row r="21" spans="1:23" ht="15.6">
      <c r="A21" s="242"/>
      <c r="B21" s="244"/>
      <c r="C21" s="244"/>
      <c r="D21" s="244"/>
      <c r="E21" s="244"/>
      <c r="F21" s="244"/>
      <c r="G21" s="244"/>
      <c r="H21" s="244"/>
      <c r="I21" s="244"/>
      <c r="J21" s="244"/>
      <c r="K21" s="244"/>
      <c r="L21" s="244"/>
      <c r="M21" s="244"/>
      <c r="N21" s="244"/>
      <c r="O21" s="244"/>
      <c r="P21" s="244"/>
      <c r="Q21" s="244"/>
      <c r="R21" s="244"/>
      <c r="S21" s="244"/>
      <c r="T21" s="244"/>
      <c r="U21" s="256"/>
      <c r="V21" s="245"/>
      <c r="W21" s="6"/>
    </row>
    <row r="22" spans="1:23" ht="15.6">
      <c r="A22" s="230"/>
      <c r="B22" s="231"/>
      <c r="C22" s="232" t="s">
        <v>130</v>
      </c>
      <c r="D22" s="232"/>
      <c r="E22" s="232" t="s">
        <v>131</v>
      </c>
      <c r="F22" s="232"/>
      <c r="G22" s="232" t="s">
        <v>132</v>
      </c>
      <c r="H22" s="232"/>
      <c r="I22" s="232" t="s">
        <v>133</v>
      </c>
      <c r="J22" s="232"/>
      <c r="K22" s="232" t="s">
        <v>134</v>
      </c>
      <c r="L22" s="232"/>
      <c r="M22" s="233" t="s">
        <v>135</v>
      </c>
      <c r="N22" s="233"/>
      <c r="O22" s="233" t="s">
        <v>136</v>
      </c>
      <c r="P22" s="233"/>
      <c r="Q22" s="233" t="s">
        <v>137</v>
      </c>
      <c r="R22" s="233"/>
      <c r="S22" s="235"/>
      <c r="T22" s="236"/>
      <c r="U22" s="236"/>
      <c r="V22" s="237"/>
      <c r="W22" s="6"/>
    </row>
    <row r="23" spans="1:23" ht="15.6">
      <c r="A23" s="257"/>
      <c r="B23" s="294" t="s">
        <v>10</v>
      </c>
      <c r="C23" s="295" t="s">
        <v>96</v>
      </c>
      <c r="D23" s="295"/>
      <c r="E23" s="295" t="s">
        <v>96</v>
      </c>
      <c r="F23" s="295"/>
      <c r="G23" s="295" t="s">
        <v>138</v>
      </c>
      <c r="H23" s="295"/>
      <c r="I23" s="295" t="s">
        <v>138</v>
      </c>
      <c r="J23" s="295"/>
      <c r="K23" s="295" t="s">
        <v>104</v>
      </c>
      <c r="L23" s="296"/>
      <c r="M23" s="297" t="s">
        <v>104</v>
      </c>
      <c r="N23" s="297"/>
      <c r="O23" s="297" t="s">
        <v>109</v>
      </c>
      <c r="P23" s="297"/>
      <c r="Q23" s="297" t="s">
        <v>109</v>
      </c>
      <c r="R23" s="258"/>
      <c r="S23" s="258"/>
      <c r="T23" s="259"/>
      <c r="U23" s="259"/>
      <c r="V23" s="260"/>
      <c r="W23" s="6"/>
    </row>
    <row r="24" spans="1:23" ht="15.6">
      <c r="A24" s="378"/>
      <c r="B24" s="379" t="s">
        <v>11</v>
      </c>
      <c r="C24" s="380" t="s">
        <v>97</v>
      </c>
      <c r="D24" s="380"/>
      <c r="E24" s="380" t="s">
        <v>97</v>
      </c>
      <c r="F24" s="380"/>
      <c r="G24" s="380" t="s">
        <v>139</v>
      </c>
      <c r="H24" s="380"/>
      <c r="I24" s="380" t="s">
        <v>139</v>
      </c>
      <c r="J24" s="380"/>
      <c r="K24" s="380" t="s">
        <v>105</v>
      </c>
      <c r="L24" s="381"/>
      <c r="M24" s="382" t="s">
        <v>105</v>
      </c>
      <c r="N24" s="382"/>
      <c r="O24" s="382" t="s">
        <v>110</v>
      </c>
      <c r="P24" s="382"/>
      <c r="Q24" s="382" t="s">
        <v>110</v>
      </c>
      <c r="R24" s="383"/>
      <c r="S24" s="383"/>
      <c r="T24" s="384"/>
      <c r="U24" s="384"/>
      <c r="V24" s="385"/>
      <c r="W24" s="6"/>
    </row>
    <row r="25" spans="1:23" ht="15.6">
      <c r="A25" s="378"/>
      <c r="B25" s="386" t="s">
        <v>12</v>
      </c>
      <c r="C25" s="381" t="s">
        <v>284</v>
      </c>
      <c r="D25" s="381"/>
      <c r="E25" s="381" t="s">
        <v>284</v>
      </c>
      <c r="F25" s="381"/>
      <c r="G25" s="381" t="s">
        <v>284</v>
      </c>
      <c r="H25" s="381"/>
      <c r="I25" s="381" t="s">
        <v>284</v>
      </c>
      <c r="J25" s="386"/>
      <c r="K25" s="381" t="s">
        <v>284</v>
      </c>
      <c r="L25" s="386"/>
      <c r="M25" s="387" t="s">
        <v>284</v>
      </c>
      <c r="N25" s="382"/>
      <c r="O25" s="387" t="s">
        <v>284</v>
      </c>
      <c r="P25" s="382"/>
      <c r="Q25" s="387" t="s">
        <v>284</v>
      </c>
      <c r="R25" s="388"/>
      <c r="S25" s="388"/>
      <c r="T25" s="389"/>
      <c r="U25" s="384"/>
      <c r="V25" s="385"/>
      <c r="W25" s="6"/>
    </row>
    <row r="26" spans="1:23" ht="15.6">
      <c r="A26" s="378"/>
      <c r="B26" s="386" t="s">
        <v>13</v>
      </c>
      <c r="C26" s="381" t="s">
        <v>139</v>
      </c>
      <c r="D26" s="381"/>
      <c r="E26" s="381" t="s">
        <v>139</v>
      </c>
      <c r="F26" s="381"/>
      <c r="G26" s="381" t="s">
        <v>139</v>
      </c>
      <c r="H26" s="381"/>
      <c r="I26" s="381" t="s">
        <v>139</v>
      </c>
      <c r="J26" s="386"/>
      <c r="K26" s="381" t="s">
        <v>280</v>
      </c>
      <c r="L26" s="386"/>
      <c r="M26" s="387" t="s">
        <v>280</v>
      </c>
      <c r="N26" s="382"/>
      <c r="O26" s="387" t="s">
        <v>110</v>
      </c>
      <c r="P26" s="382"/>
      <c r="Q26" s="387" t="s">
        <v>110</v>
      </c>
      <c r="R26" s="388"/>
      <c r="S26" s="388"/>
      <c r="T26" s="389"/>
      <c r="U26" s="384"/>
      <c r="V26" s="385"/>
      <c r="W26" s="6"/>
    </row>
    <row r="27" spans="1:23" ht="15.6">
      <c r="A27" s="378"/>
      <c r="B27" s="379" t="s">
        <v>14</v>
      </c>
      <c r="C27" s="380" t="s">
        <v>140</v>
      </c>
      <c r="D27" s="379"/>
      <c r="E27" s="380" t="s">
        <v>141</v>
      </c>
      <c r="F27" s="379"/>
      <c r="G27" s="380" t="s">
        <v>142</v>
      </c>
      <c r="H27" s="379"/>
      <c r="I27" s="380" t="s">
        <v>258</v>
      </c>
      <c r="J27" s="379"/>
      <c r="K27" s="380" t="s">
        <v>143</v>
      </c>
      <c r="L27" s="379"/>
      <c r="M27" s="379" t="s">
        <v>144</v>
      </c>
      <c r="N27" s="382"/>
      <c r="O27" s="379" t="s">
        <v>145</v>
      </c>
      <c r="P27" s="382"/>
      <c r="Q27" s="379" t="s">
        <v>146</v>
      </c>
      <c r="R27" s="383"/>
      <c r="S27" s="390"/>
      <c r="T27" s="384"/>
      <c r="U27" s="384"/>
      <c r="V27" s="385"/>
      <c r="W27" s="6"/>
    </row>
    <row r="28" spans="1:23" ht="15.6">
      <c r="A28" s="378"/>
      <c r="B28" s="379" t="s">
        <v>147</v>
      </c>
      <c r="C28" s="391">
        <v>146000</v>
      </c>
      <c r="D28" s="380"/>
      <c r="E28" s="392">
        <v>259500</v>
      </c>
      <c r="F28" s="380"/>
      <c r="G28" s="391">
        <v>16000</v>
      </c>
      <c r="H28" s="380"/>
      <c r="I28" s="392">
        <v>35500</v>
      </c>
      <c r="J28" s="379"/>
      <c r="K28" s="391">
        <v>18000</v>
      </c>
      <c r="L28" s="379"/>
      <c r="M28" s="392">
        <v>33000</v>
      </c>
      <c r="N28" s="393"/>
      <c r="O28" s="394">
        <v>24500</v>
      </c>
      <c r="P28" s="394"/>
      <c r="Q28" s="392">
        <v>30000</v>
      </c>
      <c r="R28" s="395"/>
      <c r="S28" s="395"/>
      <c r="T28" s="396"/>
      <c r="U28" s="395"/>
      <c r="V28" s="397"/>
      <c r="W28" s="6"/>
    </row>
    <row r="29" spans="1:23" ht="15.6">
      <c r="A29" s="378"/>
      <c r="B29" s="379" t="s">
        <v>15</v>
      </c>
      <c r="C29" s="391">
        <f>C28*C35</f>
        <v>19565.051199999998</v>
      </c>
      <c r="D29" s="398"/>
      <c r="E29" s="392">
        <f>E28*E35</f>
        <v>34774.868399999999</v>
      </c>
      <c r="F29" s="398"/>
      <c r="G29" s="391">
        <f>G28*G35</f>
        <v>7024.3008</v>
      </c>
      <c r="H29" s="398"/>
      <c r="I29" s="392">
        <f>I28*I35</f>
        <v>15585.1674</v>
      </c>
      <c r="J29" s="399"/>
      <c r="K29" s="391">
        <f>K28*K35</f>
        <v>7902.3383999999996</v>
      </c>
      <c r="L29" s="399"/>
      <c r="M29" s="392">
        <f>M28*M35</f>
        <v>14487.6204</v>
      </c>
      <c r="N29" s="393"/>
      <c r="O29" s="391">
        <f>O28*O35</f>
        <v>10755.9606</v>
      </c>
      <c r="P29" s="394"/>
      <c r="Q29" s="392">
        <f>Q28*Q35</f>
        <v>13170.564</v>
      </c>
      <c r="R29" s="400"/>
      <c r="S29" s="395"/>
      <c r="T29" s="396"/>
      <c r="U29" s="395"/>
      <c r="V29" s="397"/>
      <c r="W29" s="6"/>
    </row>
    <row r="30" spans="1:23" ht="15.6">
      <c r="A30" s="401"/>
      <c r="B30" s="386" t="s">
        <v>148</v>
      </c>
      <c r="C30" s="415">
        <f>C34*C28</f>
        <v>18747.801600000003</v>
      </c>
      <c r="D30" s="505"/>
      <c r="E30" s="406">
        <f>E34*E28</f>
        <v>33322.2912</v>
      </c>
      <c r="F30" s="505"/>
      <c r="G30" s="415">
        <f>G34*G28</f>
        <v>6730.9472000000005</v>
      </c>
      <c r="H30" s="505"/>
      <c r="I30" s="406">
        <f>I34*I28</f>
        <v>14934.2891</v>
      </c>
      <c r="J30" s="506"/>
      <c r="K30" s="415">
        <f>K34*K28</f>
        <v>7572.3155999999999</v>
      </c>
      <c r="L30" s="399"/>
      <c r="M30" s="406">
        <f>M34*M28</f>
        <v>13882.578600000001</v>
      </c>
      <c r="N30" s="407"/>
      <c r="O30" s="415">
        <f>O34*O28</f>
        <v>10306.7629</v>
      </c>
      <c r="P30" s="408"/>
      <c r="Q30" s="406">
        <f>Q34*Q28</f>
        <v>12620.526</v>
      </c>
      <c r="R30" s="408"/>
      <c r="S30" s="408"/>
      <c r="T30" s="409"/>
      <c r="U30" s="408"/>
      <c r="V30" s="410"/>
      <c r="W30" s="6"/>
    </row>
    <row r="31" spans="1:23" ht="15.6">
      <c r="A31" s="401"/>
      <c r="B31" s="379" t="s">
        <v>260</v>
      </c>
      <c r="C31" s="391">
        <v>146000</v>
      </c>
      <c r="D31" s="398"/>
      <c r="E31" s="391">
        <v>178000</v>
      </c>
      <c r="F31" s="391"/>
      <c r="G31" s="391">
        <v>16000</v>
      </c>
      <c r="H31" s="391"/>
      <c r="I31" s="391">
        <v>24500</v>
      </c>
      <c r="J31" s="412"/>
      <c r="K31" s="391">
        <v>18000</v>
      </c>
      <c r="L31" s="412"/>
      <c r="M31" s="391">
        <v>22500</v>
      </c>
      <c r="N31" s="414"/>
      <c r="O31" s="391">
        <v>24500</v>
      </c>
      <c r="P31" s="415"/>
      <c r="Q31" s="391">
        <v>20500</v>
      </c>
      <c r="R31" s="408"/>
      <c r="S31" s="408"/>
      <c r="T31" s="409"/>
      <c r="U31" s="394">
        <f>+Q31+O31+M31+K31+I31+G31+E31+C31</f>
        <v>450000</v>
      </c>
      <c r="V31" s="410"/>
      <c r="W31" s="6"/>
    </row>
    <row r="32" spans="1:23" ht="15.6">
      <c r="A32" s="401"/>
      <c r="B32" s="379" t="s">
        <v>261</v>
      </c>
      <c r="C32" s="391">
        <f>C28*C35</f>
        <v>19565.051199999998</v>
      </c>
      <c r="D32" s="398"/>
      <c r="E32" s="391">
        <f>E31*E35</f>
        <v>23853.281599999998</v>
      </c>
      <c r="F32" s="391"/>
      <c r="G32" s="391">
        <f>G28*G35</f>
        <v>7024.3008</v>
      </c>
      <c r="H32" s="391"/>
      <c r="I32" s="391">
        <f>I31*I35</f>
        <v>10755.9606</v>
      </c>
      <c r="J32" s="412"/>
      <c r="K32" s="391">
        <f>K28*K35</f>
        <v>7902.3383999999996</v>
      </c>
      <c r="L32" s="412"/>
      <c r="M32" s="391">
        <f>M31*M35</f>
        <v>9877.9229999999989</v>
      </c>
      <c r="N32" s="414"/>
      <c r="O32" s="391">
        <f>O28*O35</f>
        <v>10755.9606</v>
      </c>
      <c r="P32" s="415"/>
      <c r="Q32" s="391">
        <f>Q31*Q35</f>
        <v>8999.8853999999992</v>
      </c>
      <c r="R32" s="391"/>
      <c r="S32" s="408"/>
      <c r="T32" s="409"/>
      <c r="U32" s="394">
        <f>+Q32+O32+M32+K32+I32+G32+E32+C32</f>
        <v>98734.701599999986</v>
      </c>
      <c r="V32" s="410"/>
      <c r="W32" s="6"/>
    </row>
    <row r="33" spans="1:23" ht="15.6">
      <c r="A33" s="401"/>
      <c r="B33" s="386" t="s">
        <v>262</v>
      </c>
      <c r="C33" s="415">
        <f>C34*C28</f>
        <v>18747.801600000003</v>
      </c>
      <c r="D33" s="415"/>
      <c r="E33" s="415">
        <f>E34*E31</f>
        <v>22856.908800000001</v>
      </c>
      <c r="F33" s="415"/>
      <c r="G33" s="415">
        <f>G34*G28</f>
        <v>6730.9472000000005</v>
      </c>
      <c r="H33" s="415"/>
      <c r="I33" s="415">
        <f>I34*I31</f>
        <v>10306.7629</v>
      </c>
      <c r="J33" s="414"/>
      <c r="K33" s="415">
        <f>K34*K28</f>
        <v>7572.3155999999999</v>
      </c>
      <c r="L33" s="414"/>
      <c r="M33" s="415">
        <f>M34*M31</f>
        <v>9465.3945000000003</v>
      </c>
      <c r="N33" s="414"/>
      <c r="O33" s="415">
        <f>O34*O28</f>
        <v>10306.7629</v>
      </c>
      <c r="P33" s="415"/>
      <c r="Q33" s="415">
        <f>Q34*Q31</f>
        <v>8624.026100000001</v>
      </c>
      <c r="R33" s="408"/>
      <c r="S33" s="408"/>
      <c r="T33" s="409"/>
      <c r="U33" s="408">
        <f>+Q33+O33+M33+K33+I33+G33+E33+C33</f>
        <v>94610.919600000008</v>
      </c>
      <c r="V33" s="410"/>
      <c r="W33" s="6"/>
    </row>
    <row r="34" spans="1:23" ht="15.6">
      <c r="A34" s="401"/>
      <c r="B34" s="468" t="s">
        <v>149</v>
      </c>
      <c r="C34" s="507">
        <v>0.12840960000000001</v>
      </c>
      <c r="D34" s="507"/>
      <c r="E34" s="507">
        <v>0.12840960000000001</v>
      </c>
      <c r="F34" s="507"/>
      <c r="G34" s="507">
        <v>0.42068420000000001</v>
      </c>
      <c r="H34" s="507"/>
      <c r="I34" s="507">
        <v>0.42068420000000001</v>
      </c>
      <c r="J34" s="507"/>
      <c r="K34" s="507">
        <v>0.42068420000000001</v>
      </c>
      <c r="L34" s="507"/>
      <c r="M34" s="507">
        <v>0.42068420000000001</v>
      </c>
      <c r="N34" s="507"/>
      <c r="O34" s="507">
        <v>0.42068420000000001</v>
      </c>
      <c r="P34" s="507"/>
      <c r="Q34" s="507">
        <v>0.42068420000000001</v>
      </c>
      <c r="R34" s="508"/>
      <c r="S34" s="420"/>
      <c r="T34" s="421"/>
      <c r="U34" s="420"/>
      <c r="V34" s="385"/>
      <c r="W34" s="6"/>
    </row>
    <row r="35" spans="1:23" ht="15.6">
      <c r="A35" s="401"/>
      <c r="B35" s="468" t="s">
        <v>150</v>
      </c>
      <c r="C35" s="507">
        <v>0.13400719999999999</v>
      </c>
      <c r="D35" s="507"/>
      <c r="E35" s="507">
        <v>0.13400719999999999</v>
      </c>
      <c r="F35" s="507"/>
      <c r="G35" s="507">
        <v>0.43901879999999999</v>
      </c>
      <c r="H35" s="507"/>
      <c r="I35" s="507">
        <v>0.43901879999999999</v>
      </c>
      <c r="J35" s="507"/>
      <c r="K35" s="507">
        <v>0.43901879999999999</v>
      </c>
      <c r="L35" s="507"/>
      <c r="M35" s="507">
        <v>0.43901879999999999</v>
      </c>
      <c r="N35" s="507"/>
      <c r="O35" s="507">
        <v>0.43901879999999999</v>
      </c>
      <c r="P35" s="507"/>
      <c r="Q35" s="507">
        <v>0.43901879999999999</v>
      </c>
      <c r="R35" s="508"/>
      <c r="S35" s="420"/>
      <c r="T35" s="421"/>
      <c r="U35" s="420"/>
      <c r="V35" s="385"/>
      <c r="W35" s="6"/>
    </row>
    <row r="36" spans="1:23" ht="15.6">
      <c r="A36" s="378"/>
      <c r="B36" s="379" t="s">
        <v>153</v>
      </c>
      <c r="C36" s="380" t="s">
        <v>163</v>
      </c>
      <c r="D36" s="380"/>
      <c r="E36" s="380" t="s">
        <v>163</v>
      </c>
      <c r="F36" s="380"/>
      <c r="G36" s="380" t="s">
        <v>164</v>
      </c>
      <c r="H36" s="380"/>
      <c r="I36" s="380" t="s">
        <v>164</v>
      </c>
      <c r="J36" s="380"/>
      <c r="K36" s="380" t="s">
        <v>106</v>
      </c>
      <c r="L36" s="380"/>
      <c r="M36" s="380" t="s">
        <v>165</v>
      </c>
      <c r="N36" s="380"/>
      <c r="O36" s="380" t="s">
        <v>166</v>
      </c>
      <c r="P36" s="380"/>
      <c r="Q36" s="380" t="s">
        <v>167</v>
      </c>
      <c r="R36" s="380"/>
      <c r="S36" s="380"/>
      <c r="T36" s="379"/>
      <c r="U36" s="424"/>
      <c r="V36" s="410"/>
      <c r="W36" s="6"/>
    </row>
    <row r="37" spans="1:23" ht="15.6">
      <c r="A37" s="378"/>
      <c r="B37" s="379" t="s">
        <v>151</v>
      </c>
      <c r="C37" s="509">
        <v>1.01213E-2</v>
      </c>
      <c r="D37" s="509"/>
      <c r="E37" s="509">
        <v>4.5100000000000001E-3</v>
      </c>
      <c r="F37" s="509"/>
      <c r="G37" s="509">
        <v>1.23213E-2</v>
      </c>
      <c r="H37" s="509"/>
      <c r="I37" s="509">
        <v>6.7099999999999998E-3</v>
      </c>
      <c r="J37" s="509"/>
      <c r="K37" s="509">
        <v>1.7721299999999999E-2</v>
      </c>
      <c r="L37" s="509"/>
      <c r="M37" s="509">
        <v>1.1509999999999999E-2</v>
      </c>
      <c r="N37" s="509"/>
      <c r="O37" s="509">
        <v>2.4721300000000002E-2</v>
      </c>
      <c r="P37" s="509"/>
      <c r="Q37" s="509">
        <v>1.8110000000000001E-2</v>
      </c>
      <c r="R37" s="427"/>
      <c r="S37" s="509"/>
      <c r="T37" s="379"/>
      <c r="U37" s="380"/>
      <c r="V37" s="410"/>
      <c r="W37" s="6"/>
    </row>
    <row r="38" spans="1:23" ht="15.6">
      <c r="A38" s="378"/>
      <c r="B38" s="379" t="s">
        <v>152</v>
      </c>
      <c r="C38" s="509">
        <v>9.9968999999999995E-3</v>
      </c>
      <c r="D38" s="509"/>
      <c r="E38" s="509">
        <v>5.11E-3</v>
      </c>
      <c r="F38" s="509"/>
      <c r="G38" s="509">
        <v>1.21969E-2</v>
      </c>
      <c r="H38" s="509"/>
      <c r="I38" s="509">
        <v>7.3099999999999997E-3</v>
      </c>
      <c r="J38" s="509"/>
      <c r="K38" s="509">
        <v>1.7596899999999999E-2</v>
      </c>
      <c r="L38" s="509"/>
      <c r="M38" s="509">
        <v>1.2109999999999999E-2</v>
      </c>
      <c r="N38" s="509"/>
      <c r="O38" s="509">
        <v>2.4596900000000001E-2</v>
      </c>
      <c r="P38" s="509"/>
      <c r="Q38" s="509">
        <v>1.8710000000000001E-2</v>
      </c>
      <c r="R38" s="427"/>
      <c r="S38" s="509"/>
      <c r="T38" s="379"/>
      <c r="U38" s="424"/>
      <c r="V38" s="410"/>
      <c r="W38" s="6"/>
    </row>
    <row r="39" spans="1:23" ht="15.6">
      <c r="A39" s="378"/>
      <c r="B39" s="379" t="s">
        <v>263</v>
      </c>
      <c r="C39" s="380" t="s">
        <v>163</v>
      </c>
      <c r="D39" s="379"/>
      <c r="E39" s="380" t="s">
        <v>228</v>
      </c>
      <c r="F39" s="379"/>
      <c r="G39" s="380" t="s">
        <v>164</v>
      </c>
      <c r="H39" s="379"/>
      <c r="I39" s="380" t="s">
        <v>226</v>
      </c>
      <c r="J39" s="379"/>
      <c r="K39" s="380" t="s">
        <v>106</v>
      </c>
      <c r="L39" s="379"/>
      <c r="M39" s="380" t="s">
        <v>227</v>
      </c>
      <c r="N39" s="379"/>
      <c r="O39" s="380" t="s">
        <v>166</v>
      </c>
      <c r="P39" s="380"/>
      <c r="Q39" s="380" t="s">
        <v>229</v>
      </c>
      <c r="R39" s="427"/>
      <c r="S39" s="509"/>
      <c r="T39" s="379"/>
      <c r="U39" s="424"/>
      <c r="V39" s="410"/>
      <c r="W39" s="6"/>
    </row>
    <row r="40" spans="1:23" ht="15.6">
      <c r="A40" s="378"/>
      <c r="B40" s="379" t="s">
        <v>264</v>
      </c>
      <c r="C40" s="509">
        <f>+C37</f>
        <v>1.01213E-2</v>
      </c>
      <c r="D40" s="509"/>
      <c r="E40" s="509">
        <v>1.06973E-2</v>
      </c>
      <c r="F40" s="509"/>
      <c r="G40" s="509">
        <f>+G37</f>
        <v>1.23213E-2</v>
      </c>
      <c r="H40" s="509"/>
      <c r="I40" s="509">
        <v>1.30543E-2</v>
      </c>
      <c r="J40" s="509"/>
      <c r="K40" s="509">
        <f>+K37</f>
        <v>1.7721299999999999E-2</v>
      </c>
      <c r="L40" s="510"/>
      <c r="M40" s="509">
        <v>1.8281700000000001E-2</v>
      </c>
      <c r="N40" s="510"/>
      <c r="O40" s="509">
        <f>+O37</f>
        <v>2.4721300000000002E-2</v>
      </c>
      <c r="P40" s="509"/>
      <c r="Q40" s="509">
        <v>2.55477E-2</v>
      </c>
      <c r="R40" s="427"/>
      <c r="S40" s="509"/>
      <c r="T40" s="379"/>
      <c r="U40" s="427">
        <f>SUMPRODUCT(C40:Q40,C32:Q32)/U32</f>
        <v>1.5157813079259261E-2</v>
      </c>
      <c r="V40" s="410"/>
      <c r="W40" s="6"/>
    </row>
    <row r="41" spans="1:23" ht="15.6">
      <c r="A41" s="378"/>
      <c r="B41" s="379" t="s">
        <v>265</v>
      </c>
      <c r="C41" s="509">
        <f>+C38</f>
        <v>9.9968999999999995E-3</v>
      </c>
      <c r="D41" s="509"/>
      <c r="E41" s="509">
        <v>1.05729E-2</v>
      </c>
      <c r="F41" s="509"/>
      <c r="G41" s="509">
        <f>+G38</f>
        <v>1.21969E-2</v>
      </c>
      <c r="H41" s="509"/>
      <c r="I41" s="509">
        <v>1.2929899999999999E-2</v>
      </c>
      <c r="J41" s="509"/>
      <c r="K41" s="509">
        <f>+K38</f>
        <v>1.7596899999999999E-2</v>
      </c>
      <c r="L41" s="510"/>
      <c r="M41" s="509">
        <v>1.8157300000000001E-2</v>
      </c>
      <c r="N41" s="510"/>
      <c r="O41" s="509">
        <f>+O38</f>
        <v>2.4596900000000001E-2</v>
      </c>
      <c r="P41" s="509"/>
      <c r="Q41" s="509">
        <v>2.5423299999999999E-2</v>
      </c>
      <c r="R41" s="427"/>
      <c r="S41" s="509"/>
      <c r="T41" s="379"/>
      <c r="U41" s="424"/>
      <c r="V41" s="410"/>
      <c r="W41" s="6"/>
    </row>
    <row r="42" spans="1:23" ht="15.6">
      <c r="A42" s="378"/>
      <c r="B42" s="379" t="s">
        <v>17</v>
      </c>
      <c r="C42" s="429">
        <v>39918</v>
      </c>
      <c r="D42" s="429"/>
      <c r="E42" s="429">
        <v>39918</v>
      </c>
      <c r="F42" s="429"/>
      <c r="G42" s="429">
        <v>39918</v>
      </c>
      <c r="H42" s="429"/>
      <c r="I42" s="429">
        <v>39918</v>
      </c>
      <c r="J42" s="429"/>
      <c r="K42" s="429">
        <v>39918</v>
      </c>
      <c r="L42" s="429"/>
      <c r="M42" s="429">
        <v>39918</v>
      </c>
      <c r="N42" s="429"/>
      <c r="O42" s="429">
        <v>39918</v>
      </c>
      <c r="P42" s="429"/>
      <c r="Q42" s="429">
        <v>39918</v>
      </c>
      <c r="R42" s="380"/>
      <c r="S42" s="380"/>
      <c r="T42" s="379"/>
      <c r="U42" s="424"/>
      <c r="V42" s="410"/>
      <c r="W42" s="6"/>
    </row>
    <row r="43" spans="1:23" ht="15.6">
      <c r="A43" s="378"/>
      <c r="B43" s="379" t="s">
        <v>18</v>
      </c>
      <c r="C43" s="429">
        <v>40283</v>
      </c>
      <c r="D43" s="430"/>
      <c r="E43" s="429">
        <v>40283</v>
      </c>
      <c r="F43" s="430"/>
      <c r="G43" s="429">
        <v>40283</v>
      </c>
      <c r="H43" s="430"/>
      <c r="I43" s="429">
        <v>40283</v>
      </c>
      <c r="J43" s="430"/>
      <c r="K43" s="429">
        <v>40283</v>
      </c>
      <c r="L43" s="430"/>
      <c r="M43" s="429">
        <v>40283</v>
      </c>
      <c r="N43" s="430"/>
      <c r="O43" s="429">
        <v>40283</v>
      </c>
      <c r="P43" s="429"/>
      <c r="Q43" s="429">
        <v>40283</v>
      </c>
      <c r="R43" s="380"/>
      <c r="S43" s="380"/>
      <c r="T43" s="424"/>
      <c r="U43" s="424"/>
      <c r="V43" s="410"/>
      <c r="W43" s="6"/>
    </row>
    <row r="44" spans="1:23" ht="15.6">
      <c r="A44" s="378"/>
      <c r="B44" s="379" t="s">
        <v>154</v>
      </c>
      <c r="C44" s="380" t="s">
        <v>163</v>
      </c>
      <c r="D44" s="380"/>
      <c r="E44" s="380" t="s">
        <v>163</v>
      </c>
      <c r="F44" s="380"/>
      <c r="G44" s="380" t="s">
        <v>164</v>
      </c>
      <c r="H44" s="380"/>
      <c r="I44" s="380" t="s">
        <v>164</v>
      </c>
      <c r="J44" s="380"/>
      <c r="K44" s="380" t="s">
        <v>106</v>
      </c>
      <c r="L44" s="380"/>
      <c r="M44" s="380" t="s">
        <v>165</v>
      </c>
      <c r="N44" s="380"/>
      <c r="O44" s="380" t="s">
        <v>166</v>
      </c>
      <c r="P44" s="380"/>
      <c r="Q44" s="380" t="s">
        <v>167</v>
      </c>
      <c r="R44" s="380"/>
      <c r="S44" s="380"/>
      <c r="T44" s="424"/>
      <c r="U44" s="424"/>
      <c r="V44" s="410"/>
      <c r="W44" s="6"/>
    </row>
    <row r="45" spans="1:23" ht="15.6">
      <c r="A45" s="378"/>
      <c r="B45" s="379" t="s">
        <v>266</v>
      </c>
      <c r="C45" s="380" t="s">
        <v>163</v>
      </c>
      <c r="D45" s="379"/>
      <c r="E45" s="380" t="s">
        <v>228</v>
      </c>
      <c r="F45" s="379"/>
      <c r="G45" s="380" t="s">
        <v>164</v>
      </c>
      <c r="H45" s="379"/>
      <c r="I45" s="380" t="s">
        <v>226</v>
      </c>
      <c r="J45" s="379"/>
      <c r="K45" s="380" t="s">
        <v>106</v>
      </c>
      <c r="L45" s="379"/>
      <c r="M45" s="380" t="s">
        <v>227</v>
      </c>
      <c r="N45" s="379"/>
      <c r="O45" s="380" t="s">
        <v>166</v>
      </c>
      <c r="P45" s="380"/>
      <c r="Q45" s="380" t="s">
        <v>229</v>
      </c>
      <c r="R45" s="380"/>
      <c r="S45" s="380"/>
      <c r="T45" s="424"/>
      <c r="U45" s="424"/>
      <c r="V45" s="410"/>
      <c r="W45" s="6"/>
    </row>
    <row r="46" spans="1:23" ht="15.6">
      <c r="A46" s="378"/>
      <c r="B46" s="379"/>
      <c r="C46" s="379"/>
      <c r="D46" s="379"/>
      <c r="E46" s="379"/>
      <c r="F46" s="379"/>
      <c r="G46" s="379"/>
      <c r="H46" s="379"/>
      <c r="I46" s="379"/>
      <c r="J46" s="379"/>
      <c r="K46" s="379"/>
      <c r="L46" s="379"/>
      <c r="M46" s="431"/>
      <c r="N46" s="431"/>
      <c r="O46" s="379"/>
      <c r="P46" s="431"/>
      <c r="Q46" s="431"/>
      <c r="R46" s="431"/>
      <c r="S46" s="431"/>
      <c r="T46" s="431"/>
      <c r="U46" s="431"/>
      <c r="V46" s="410"/>
      <c r="W46" s="6"/>
    </row>
    <row r="47" spans="1:23" ht="15.6">
      <c r="A47" s="378"/>
      <c r="B47" s="379" t="s">
        <v>201</v>
      </c>
      <c r="C47" s="379"/>
      <c r="D47" s="379"/>
      <c r="E47" s="379"/>
      <c r="F47" s="379"/>
      <c r="G47" s="379"/>
      <c r="H47" s="379"/>
      <c r="I47" s="379"/>
      <c r="J47" s="379"/>
      <c r="K47" s="379"/>
      <c r="L47" s="379"/>
      <c r="M47" s="379"/>
      <c r="N47" s="379"/>
      <c r="O47" s="379"/>
      <c r="P47" s="379"/>
      <c r="Q47" s="379"/>
      <c r="R47" s="379"/>
      <c r="S47" s="379"/>
      <c r="T47" s="379"/>
      <c r="U47" s="427">
        <f>SUM(G31:Q31)/(C31+E31)</f>
        <v>0.3888888888888889</v>
      </c>
      <c r="V47" s="410"/>
      <c r="W47" s="6"/>
    </row>
    <row r="48" spans="1:23" ht="15.6">
      <c r="A48" s="378"/>
      <c r="B48" s="379" t="s">
        <v>202</v>
      </c>
      <c r="C48" s="379"/>
      <c r="D48" s="379"/>
      <c r="E48" s="379"/>
      <c r="F48" s="379"/>
      <c r="G48" s="379"/>
      <c r="H48" s="379"/>
      <c r="I48" s="379"/>
      <c r="J48" s="379"/>
      <c r="K48" s="379"/>
      <c r="L48" s="379"/>
      <c r="M48" s="379"/>
      <c r="N48" s="379"/>
      <c r="O48" s="379"/>
      <c r="P48" s="379"/>
      <c r="Q48" s="379"/>
      <c r="R48" s="379"/>
      <c r="S48" s="379"/>
      <c r="T48" s="379"/>
      <c r="U48" s="427">
        <f>SUM(F33:Q33)/(C33+E33)</f>
        <v>1.2740434602328106</v>
      </c>
      <c r="V48" s="410"/>
      <c r="W48" s="6"/>
    </row>
    <row r="49" spans="1:25" ht="15.6">
      <c r="A49" s="378"/>
      <c r="B49" s="379" t="s">
        <v>203</v>
      </c>
      <c r="C49" s="379"/>
      <c r="D49" s="379"/>
      <c r="E49" s="379"/>
      <c r="F49" s="379"/>
      <c r="G49" s="379"/>
      <c r="H49" s="379"/>
      <c r="I49" s="379"/>
      <c r="J49" s="379"/>
      <c r="K49" s="379"/>
      <c r="L49" s="379"/>
      <c r="M49" s="379"/>
      <c r="N49" s="379"/>
      <c r="O49" s="379"/>
      <c r="P49" s="379"/>
      <c r="Q49" s="379"/>
      <c r="R49" s="379"/>
      <c r="S49" s="380" t="s">
        <v>95</v>
      </c>
      <c r="T49" s="380" t="s">
        <v>117</v>
      </c>
      <c r="U49" s="394">
        <v>99000</v>
      </c>
      <c r="V49" s="410"/>
      <c r="W49" s="6"/>
    </row>
    <row r="50" spans="1:25" ht="15.6">
      <c r="A50" s="378"/>
      <c r="B50" s="379"/>
      <c r="C50" s="379"/>
      <c r="D50" s="379"/>
      <c r="E50" s="379"/>
      <c r="F50" s="379"/>
      <c r="G50" s="379"/>
      <c r="H50" s="379"/>
      <c r="I50" s="379"/>
      <c r="J50" s="379"/>
      <c r="K50" s="379"/>
      <c r="L50" s="379"/>
      <c r="M50" s="379"/>
      <c r="N50" s="379"/>
      <c r="O50" s="379"/>
      <c r="P50" s="379"/>
      <c r="Q50" s="379"/>
      <c r="R50" s="379"/>
      <c r="S50" s="379" t="s">
        <v>213</v>
      </c>
      <c r="T50" s="379"/>
      <c r="U50" s="432"/>
      <c r="V50" s="410"/>
      <c r="W50" s="6"/>
    </row>
    <row r="51" spans="1:25" ht="15.6">
      <c r="A51" s="378"/>
      <c r="B51" s="379" t="s">
        <v>19</v>
      </c>
      <c r="C51" s="379"/>
      <c r="D51" s="379"/>
      <c r="E51" s="379"/>
      <c r="F51" s="379"/>
      <c r="G51" s="379"/>
      <c r="H51" s="379"/>
      <c r="I51" s="379"/>
      <c r="J51" s="379"/>
      <c r="K51" s="379"/>
      <c r="L51" s="379"/>
      <c r="M51" s="379"/>
      <c r="N51" s="379"/>
      <c r="O51" s="379"/>
      <c r="P51" s="379"/>
      <c r="Q51" s="379"/>
      <c r="R51" s="379"/>
      <c r="S51" s="380"/>
      <c r="T51" s="380"/>
      <c r="U51" s="380" t="s">
        <v>118</v>
      </c>
      <c r="V51" s="410"/>
      <c r="W51" s="6"/>
    </row>
    <row r="52" spans="1:25" ht="15.6">
      <c r="A52" s="401"/>
      <c r="B52" s="386" t="s">
        <v>20</v>
      </c>
      <c r="C52" s="386"/>
      <c r="D52" s="386"/>
      <c r="E52" s="386"/>
      <c r="F52" s="386"/>
      <c r="G52" s="386"/>
      <c r="H52" s="386"/>
      <c r="I52" s="386"/>
      <c r="J52" s="386"/>
      <c r="K52" s="386"/>
      <c r="L52" s="386"/>
      <c r="M52" s="386"/>
      <c r="N52" s="386"/>
      <c r="O52" s="386"/>
      <c r="P52" s="386"/>
      <c r="Q52" s="386"/>
      <c r="R52" s="386"/>
      <c r="S52" s="433"/>
      <c r="T52" s="433"/>
      <c r="U52" s="434">
        <v>42200</v>
      </c>
      <c r="V52" s="435"/>
      <c r="W52" s="6"/>
    </row>
    <row r="53" spans="1:25" ht="15.6">
      <c r="A53" s="378"/>
      <c r="B53" s="379" t="s">
        <v>155</v>
      </c>
      <c r="C53" s="379"/>
      <c r="D53" s="379"/>
      <c r="E53" s="379"/>
      <c r="F53" s="379"/>
      <c r="G53" s="379"/>
      <c r="H53" s="379"/>
      <c r="I53" s="379"/>
      <c r="J53" s="379"/>
      <c r="K53" s="379"/>
      <c r="L53" s="379"/>
      <c r="M53" s="379"/>
      <c r="N53" s="379"/>
      <c r="O53" s="379"/>
      <c r="P53" s="379"/>
      <c r="Q53" s="424"/>
      <c r="R53" s="379">
        <f>U53-S53+1</f>
        <v>90</v>
      </c>
      <c r="S53" s="436">
        <v>42019</v>
      </c>
      <c r="T53" s="429"/>
      <c r="U53" s="436">
        <v>42108</v>
      </c>
      <c r="V53" s="410"/>
      <c r="W53" s="6"/>
    </row>
    <row r="54" spans="1:25" ht="15.6">
      <c r="A54" s="378"/>
      <c r="B54" s="379" t="s">
        <v>156</v>
      </c>
      <c r="C54" s="379"/>
      <c r="D54" s="379"/>
      <c r="E54" s="379"/>
      <c r="F54" s="379"/>
      <c r="G54" s="379"/>
      <c r="H54" s="379"/>
      <c r="I54" s="379"/>
      <c r="J54" s="379"/>
      <c r="K54" s="379"/>
      <c r="L54" s="379"/>
      <c r="M54" s="379"/>
      <c r="N54" s="379"/>
      <c r="O54" s="379"/>
      <c r="P54" s="379"/>
      <c r="Q54" s="424"/>
      <c r="R54" s="379">
        <f>U54-S54+1</f>
        <v>91</v>
      </c>
      <c r="S54" s="436">
        <v>42109</v>
      </c>
      <c r="T54" s="429"/>
      <c r="U54" s="436">
        <v>42199</v>
      </c>
      <c r="V54" s="410"/>
      <c r="W54" s="6"/>
    </row>
    <row r="55" spans="1:25" ht="15.6">
      <c r="A55" s="378"/>
      <c r="B55" s="379" t="s">
        <v>21</v>
      </c>
      <c r="C55" s="379"/>
      <c r="D55" s="379"/>
      <c r="E55" s="379"/>
      <c r="F55" s="379"/>
      <c r="G55" s="379"/>
      <c r="H55" s="379"/>
      <c r="I55" s="379"/>
      <c r="J55" s="379"/>
      <c r="K55" s="379"/>
      <c r="L55" s="379"/>
      <c r="M55" s="379"/>
      <c r="N55" s="379"/>
      <c r="O55" s="379"/>
      <c r="P55" s="379"/>
      <c r="Q55" s="379"/>
      <c r="R55" s="379"/>
      <c r="S55" s="436"/>
      <c r="T55" s="429"/>
      <c r="U55" s="436" t="s">
        <v>119</v>
      </c>
      <c r="V55" s="410"/>
      <c r="W55" s="6"/>
    </row>
    <row r="56" spans="1:25" ht="15.6">
      <c r="A56" s="378"/>
      <c r="B56" s="379" t="s">
        <v>22</v>
      </c>
      <c r="C56" s="379"/>
      <c r="D56" s="379"/>
      <c r="E56" s="379"/>
      <c r="F56" s="379"/>
      <c r="G56" s="379"/>
      <c r="H56" s="379"/>
      <c r="I56" s="379"/>
      <c r="J56" s="379"/>
      <c r="K56" s="379"/>
      <c r="L56" s="379"/>
      <c r="M56" s="379"/>
      <c r="N56" s="379"/>
      <c r="O56" s="379"/>
      <c r="P56" s="379"/>
      <c r="Q56" s="379"/>
      <c r="R56" s="379"/>
      <c r="S56" s="436"/>
      <c r="T56" s="429"/>
      <c r="U56" s="436">
        <v>42186</v>
      </c>
      <c r="V56" s="410"/>
      <c r="W56" s="6"/>
    </row>
    <row r="57" spans="1:25" ht="15.6">
      <c r="A57" s="242"/>
      <c r="B57" s="364"/>
      <c r="C57" s="364"/>
      <c r="D57" s="364"/>
      <c r="E57" s="364"/>
      <c r="F57" s="364"/>
      <c r="G57" s="364"/>
      <c r="H57" s="364"/>
      <c r="I57" s="364"/>
      <c r="J57" s="364"/>
      <c r="K57" s="364"/>
      <c r="L57" s="364"/>
      <c r="M57" s="364"/>
      <c r="N57" s="364"/>
      <c r="O57" s="364"/>
      <c r="P57" s="364"/>
      <c r="Q57" s="364"/>
      <c r="R57" s="364"/>
      <c r="S57" s="364"/>
      <c r="T57" s="364"/>
      <c r="U57" s="377"/>
      <c r="V57" s="303"/>
      <c r="W57" s="6"/>
    </row>
    <row r="58" spans="1:25" ht="15.6">
      <c r="A58" s="242"/>
      <c r="B58" s="288"/>
      <c r="C58" s="288"/>
      <c r="D58" s="288"/>
      <c r="E58" s="288"/>
      <c r="F58" s="288"/>
      <c r="G58" s="288"/>
      <c r="H58" s="288"/>
      <c r="I58" s="288"/>
      <c r="J58" s="288"/>
      <c r="K58" s="288"/>
      <c r="L58" s="288"/>
      <c r="M58" s="288"/>
      <c r="N58" s="288"/>
      <c r="O58" s="288"/>
      <c r="P58" s="288"/>
      <c r="Q58" s="288"/>
      <c r="R58" s="288"/>
      <c r="S58" s="288"/>
      <c r="T58" s="288"/>
      <c r="U58" s="302"/>
      <c r="V58" s="303"/>
      <c r="W58" s="6"/>
    </row>
    <row r="59" spans="1:25" ht="16.2" thickBot="1">
      <c r="A59" s="261"/>
      <c r="B59" s="304" t="s">
        <v>294</v>
      </c>
      <c r="C59" s="305"/>
      <c r="D59" s="305"/>
      <c r="E59" s="305"/>
      <c r="F59" s="305"/>
      <c r="G59" s="305"/>
      <c r="H59" s="305"/>
      <c r="I59" s="305"/>
      <c r="J59" s="305"/>
      <c r="K59" s="305"/>
      <c r="L59" s="305"/>
      <c r="M59" s="305"/>
      <c r="N59" s="305"/>
      <c r="O59" s="305"/>
      <c r="P59" s="305"/>
      <c r="Q59" s="305"/>
      <c r="R59" s="305"/>
      <c r="S59" s="305"/>
      <c r="T59" s="305"/>
      <c r="U59" s="306"/>
      <c r="V59" s="307"/>
      <c r="W59" s="6"/>
    </row>
    <row r="60" spans="1:25" ht="15.6">
      <c r="A60" s="230"/>
      <c r="B60" s="511" t="s">
        <v>23</v>
      </c>
      <c r="C60" s="511"/>
      <c r="D60" s="511"/>
      <c r="E60" s="511"/>
      <c r="F60" s="511"/>
      <c r="G60" s="511"/>
      <c r="H60" s="511"/>
      <c r="I60" s="511"/>
      <c r="J60" s="511"/>
      <c r="K60" s="511"/>
      <c r="L60" s="511"/>
      <c r="M60" s="231"/>
      <c r="N60" s="231"/>
      <c r="O60" s="231"/>
      <c r="P60" s="231"/>
      <c r="Q60" s="231"/>
      <c r="R60" s="231"/>
      <c r="S60" s="231"/>
      <c r="T60" s="231"/>
      <c r="U60" s="309"/>
      <c r="V60" s="237"/>
      <c r="W60" s="6"/>
    </row>
    <row r="61" spans="1:25" ht="15.6">
      <c r="A61" s="242"/>
      <c r="B61" s="252"/>
      <c r="C61" s="252"/>
      <c r="D61" s="252"/>
      <c r="E61" s="252"/>
      <c r="F61" s="252"/>
      <c r="G61" s="252"/>
      <c r="H61" s="252"/>
      <c r="I61" s="252"/>
      <c r="J61" s="252"/>
      <c r="K61" s="252"/>
      <c r="L61" s="252"/>
      <c r="M61" s="244"/>
      <c r="N61" s="244"/>
      <c r="O61" s="244"/>
      <c r="P61" s="244"/>
      <c r="Q61" s="244"/>
      <c r="R61" s="244"/>
      <c r="S61" s="244"/>
      <c r="T61" s="244"/>
      <c r="U61" s="263"/>
      <c r="V61" s="245"/>
      <c r="W61" s="6"/>
    </row>
    <row r="62" spans="1:25" s="151" customFormat="1" ht="46.8">
      <c r="A62" s="264"/>
      <c r="B62" s="512"/>
      <c r="C62" s="513"/>
      <c r="D62" s="513"/>
      <c r="E62" s="513"/>
      <c r="F62" s="513"/>
      <c r="G62" s="513"/>
      <c r="H62" s="513"/>
      <c r="I62" s="513"/>
      <c r="J62" s="513"/>
      <c r="K62" s="513" t="s">
        <v>197</v>
      </c>
      <c r="L62" s="513"/>
      <c r="M62" s="513" t="s">
        <v>98</v>
      </c>
      <c r="N62" s="513"/>
      <c r="O62" s="513" t="s">
        <v>107</v>
      </c>
      <c r="P62" s="513"/>
      <c r="Q62" s="513" t="s">
        <v>111</v>
      </c>
      <c r="R62" s="513"/>
      <c r="S62" s="513" t="s">
        <v>113</v>
      </c>
      <c r="T62" s="513"/>
      <c r="U62" s="514" t="s">
        <v>120</v>
      </c>
      <c r="V62" s="515"/>
      <c r="W62" s="150"/>
    </row>
    <row r="63" spans="1:25" ht="15.6">
      <c r="A63" s="378"/>
      <c r="B63" s="379" t="s">
        <v>24</v>
      </c>
      <c r="C63" s="440"/>
      <c r="D63" s="440"/>
      <c r="E63" s="440"/>
      <c r="F63" s="440"/>
      <c r="G63" s="440"/>
      <c r="H63" s="440"/>
      <c r="I63" s="440"/>
      <c r="J63" s="440"/>
      <c r="K63" s="440">
        <f>265+63566+3306</f>
        <v>67137</v>
      </c>
      <c r="L63" s="440"/>
      <c r="M63" s="440">
        <v>5961</v>
      </c>
      <c r="N63" s="440"/>
      <c r="O63" s="440">
        <f>92+2+29</f>
        <v>123</v>
      </c>
      <c r="P63" s="440"/>
      <c r="Q63" s="440">
        <v>0</v>
      </c>
      <c r="R63" s="440"/>
      <c r="S63" s="440">
        <v>0</v>
      </c>
      <c r="T63" s="440"/>
      <c r="U63" s="441">
        <f>+M63-O63+Q63-S63</f>
        <v>5838</v>
      </c>
      <c r="V63" s="410"/>
      <c r="W63" s="6"/>
      <c r="Y63" s="182"/>
    </row>
    <row r="64" spans="1:25" ht="15.6">
      <c r="A64" s="378"/>
      <c r="B64" s="379" t="s">
        <v>25</v>
      </c>
      <c r="C64" s="440"/>
      <c r="D64" s="440"/>
      <c r="E64" s="440"/>
      <c r="F64" s="440"/>
      <c r="G64" s="440"/>
      <c r="H64" s="440"/>
      <c r="I64" s="440"/>
      <c r="J64" s="440"/>
      <c r="K64" s="440"/>
      <c r="L64" s="440"/>
      <c r="M64" s="440"/>
      <c r="N64" s="440"/>
      <c r="O64" s="440"/>
      <c r="P64" s="440"/>
      <c r="Q64" s="440">
        <v>0</v>
      </c>
      <c r="R64" s="440"/>
      <c r="S64" s="440">
        <v>0</v>
      </c>
      <c r="T64" s="440"/>
      <c r="U64" s="441">
        <f>M64-O64</f>
        <v>0</v>
      </c>
      <c r="V64" s="410"/>
      <c r="W64" s="6"/>
    </row>
    <row r="65" spans="1:25" ht="15.6">
      <c r="A65" s="378"/>
      <c r="B65" s="379"/>
      <c r="C65" s="440"/>
      <c r="D65" s="440"/>
      <c r="E65" s="440"/>
      <c r="F65" s="440"/>
      <c r="G65" s="440"/>
      <c r="H65" s="440"/>
      <c r="I65" s="440"/>
      <c r="J65" s="440"/>
      <c r="K65" s="440"/>
      <c r="L65" s="440"/>
      <c r="M65" s="440"/>
      <c r="N65" s="440"/>
      <c r="O65" s="440"/>
      <c r="P65" s="440"/>
      <c r="Q65" s="440"/>
      <c r="R65" s="440"/>
      <c r="S65" s="440"/>
      <c r="T65" s="440"/>
      <c r="U65" s="441"/>
      <c r="V65" s="410"/>
      <c r="W65" s="6"/>
    </row>
    <row r="66" spans="1:25" ht="15.6">
      <c r="A66" s="378"/>
      <c r="B66" s="379" t="s">
        <v>26</v>
      </c>
      <c r="C66" s="440"/>
      <c r="D66" s="440"/>
      <c r="E66" s="440"/>
      <c r="F66" s="440"/>
      <c r="G66" s="440"/>
      <c r="H66" s="440"/>
      <c r="I66" s="440"/>
      <c r="J66" s="440"/>
      <c r="K66" s="440">
        <v>24470</v>
      </c>
      <c r="L66" s="440"/>
      <c r="M66" s="440">
        <v>1277</v>
      </c>
      <c r="N66" s="440"/>
      <c r="O66" s="440">
        <v>32</v>
      </c>
      <c r="P66" s="440"/>
      <c r="Q66" s="440">
        <v>0</v>
      </c>
      <c r="R66" s="440"/>
      <c r="S66" s="440">
        <f>SUM(S63:S65)</f>
        <v>0</v>
      </c>
      <c r="T66" s="440"/>
      <c r="U66" s="441">
        <f>+M66-O66+Q66-S66</f>
        <v>1245</v>
      </c>
      <c r="V66" s="410"/>
      <c r="W66" s="6"/>
      <c r="Y66" s="182"/>
    </row>
    <row r="67" spans="1:25" ht="15.6">
      <c r="A67" s="378"/>
      <c r="B67" s="379" t="s">
        <v>25</v>
      </c>
      <c r="C67" s="440"/>
      <c r="D67" s="440"/>
      <c r="E67" s="440"/>
      <c r="F67" s="440"/>
      <c r="G67" s="440"/>
      <c r="H67" s="440"/>
      <c r="I67" s="440"/>
      <c r="J67" s="440"/>
      <c r="K67" s="440"/>
      <c r="L67" s="440"/>
      <c r="M67" s="440"/>
      <c r="N67" s="440"/>
      <c r="O67" s="440"/>
      <c r="P67" s="440"/>
      <c r="Q67" s="440">
        <v>0</v>
      </c>
      <c r="R67" s="440"/>
      <c r="S67" s="440">
        <v>0</v>
      </c>
      <c r="T67" s="440"/>
      <c r="U67" s="440"/>
      <c r="V67" s="410"/>
      <c r="W67" s="6"/>
    </row>
    <row r="68" spans="1:25" ht="15.6">
      <c r="A68" s="378"/>
      <c r="B68" s="386"/>
      <c r="C68" s="440"/>
      <c r="D68" s="440"/>
      <c r="E68" s="440"/>
      <c r="F68" s="440"/>
      <c r="G68" s="440"/>
      <c r="H68" s="440"/>
      <c r="I68" s="440"/>
      <c r="J68" s="440"/>
      <c r="K68" s="440"/>
      <c r="L68" s="440"/>
      <c r="M68" s="440"/>
      <c r="N68" s="440"/>
      <c r="O68" s="442"/>
      <c r="P68" s="440"/>
      <c r="Q68" s="440"/>
      <c r="R68" s="440"/>
      <c r="S68" s="440"/>
      <c r="T68" s="440"/>
      <c r="U68" s="440"/>
      <c r="V68" s="410"/>
      <c r="W68" s="6"/>
    </row>
    <row r="69" spans="1:25" ht="15.6">
      <c r="A69" s="378"/>
      <c r="B69" s="379" t="s">
        <v>27</v>
      </c>
      <c r="C69" s="440"/>
      <c r="D69" s="440"/>
      <c r="E69" s="440"/>
      <c r="F69" s="440"/>
      <c r="G69" s="440"/>
      <c r="H69" s="440"/>
      <c r="I69" s="440"/>
      <c r="J69" s="440"/>
      <c r="K69" s="440">
        <v>220072</v>
      </c>
      <c r="L69" s="440"/>
      <c r="M69" s="440">
        <v>105504</v>
      </c>
      <c r="N69" s="440"/>
      <c r="O69" s="440">
        <f>3983+183</f>
        <v>4166</v>
      </c>
      <c r="P69" s="440"/>
      <c r="Q69" s="440">
        <v>0</v>
      </c>
      <c r="R69" s="440"/>
      <c r="S69" s="440">
        <v>0</v>
      </c>
      <c r="T69" s="440"/>
      <c r="U69" s="441">
        <f>+M69-O69+Q69-S69</f>
        <v>101338</v>
      </c>
      <c r="V69" s="410"/>
      <c r="W69" s="6"/>
      <c r="Y69" s="182"/>
    </row>
    <row r="70" spans="1:25" ht="15.6">
      <c r="A70" s="378"/>
      <c r="B70" s="379" t="s">
        <v>25</v>
      </c>
      <c r="C70" s="440"/>
      <c r="D70" s="440"/>
      <c r="E70" s="440"/>
      <c r="F70" s="440"/>
      <c r="G70" s="440"/>
      <c r="H70" s="440"/>
      <c r="I70" s="440"/>
      <c r="J70" s="440"/>
      <c r="K70" s="440"/>
      <c r="L70" s="440"/>
      <c r="M70" s="440"/>
      <c r="N70" s="440"/>
      <c r="O70" s="440"/>
      <c r="P70" s="440"/>
      <c r="Q70" s="440">
        <v>0</v>
      </c>
      <c r="R70" s="440"/>
      <c r="S70" s="440">
        <v>0</v>
      </c>
      <c r="T70" s="440"/>
      <c r="U70" s="441">
        <f>M70-O70+Q70-S70</f>
        <v>0</v>
      </c>
      <c r="V70" s="410"/>
      <c r="W70" s="6"/>
    </row>
    <row r="71" spans="1:25" ht="15.6">
      <c r="A71" s="378"/>
      <c r="B71" s="379"/>
      <c r="C71" s="440"/>
      <c r="D71" s="440"/>
      <c r="E71" s="440"/>
      <c r="F71" s="440"/>
      <c r="G71" s="440"/>
      <c r="H71" s="440"/>
      <c r="I71" s="440"/>
      <c r="J71" s="440"/>
      <c r="K71" s="440"/>
      <c r="L71" s="440"/>
      <c r="M71" s="440"/>
      <c r="N71" s="440"/>
      <c r="O71" s="440"/>
      <c r="P71" s="440"/>
      <c r="Q71" s="440"/>
      <c r="R71" s="440"/>
      <c r="S71" s="440"/>
      <c r="T71" s="440"/>
      <c r="U71" s="441"/>
      <c r="V71" s="410"/>
      <c r="W71" s="6"/>
    </row>
    <row r="72" spans="1:25" ht="15.6">
      <c r="A72" s="378"/>
      <c r="B72" s="379" t="s">
        <v>28</v>
      </c>
      <c r="C72" s="440"/>
      <c r="D72" s="440"/>
      <c r="E72" s="440"/>
      <c r="F72" s="440"/>
      <c r="G72" s="440"/>
      <c r="H72" s="440"/>
      <c r="I72" s="440"/>
      <c r="J72" s="440"/>
      <c r="K72" s="440">
        <v>138321</v>
      </c>
      <c r="L72" s="440"/>
      <c r="M72" s="440">
        <v>569</v>
      </c>
      <c r="N72" s="440"/>
      <c r="O72" s="440">
        <f>55+18</f>
        <v>73</v>
      </c>
      <c r="P72" s="440"/>
      <c r="Q72" s="440">
        <v>0</v>
      </c>
      <c r="R72" s="440"/>
      <c r="S72" s="440">
        <v>0</v>
      </c>
      <c r="T72" s="440"/>
      <c r="U72" s="441">
        <f>+M72-O72+Q72-S72</f>
        <v>496</v>
      </c>
      <c r="V72" s="410"/>
      <c r="W72" s="6"/>
      <c r="X72" s="182"/>
      <c r="Y72" s="182"/>
    </row>
    <row r="73" spans="1:25" ht="15.6">
      <c r="A73" s="378"/>
      <c r="B73" s="379" t="s">
        <v>25</v>
      </c>
      <c r="C73" s="440"/>
      <c r="D73" s="440"/>
      <c r="E73" s="440"/>
      <c r="F73" s="440"/>
      <c r="G73" s="440"/>
      <c r="H73" s="440"/>
      <c r="I73" s="440"/>
      <c r="J73" s="440"/>
      <c r="K73" s="440"/>
      <c r="L73" s="440"/>
      <c r="M73" s="440"/>
      <c r="N73" s="440"/>
      <c r="O73" s="440"/>
      <c r="P73" s="440"/>
      <c r="Q73" s="440">
        <v>0</v>
      </c>
      <c r="R73" s="440"/>
      <c r="S73" s="440">
        <v>0</v>
      </c>
      <c r="T73" s="440"/>
      <c r="U73" s="441"/>
      <c r="V73" s="410"/>
      <c r="W73" s="6"/>
    </row>
    <row r="74" spans="1:25" ht="15.6">
      <c r="A74" s="378"/>
      <c r="B74" s="440"/>
      <c r="C74" s="440"/>
      <c r="D74" s="440"/>
      <c r="E74" s="440"/>
      <c r="F74" s="440"/>
      <c r="G74" s="440"/>
      <c r="H74" s="440"/>
      <c r="I74" s="440"/>
      <c r="J74" s="440"/>
      <c r="K74" s="440"/>
      <c r="L74" s="440"/>
      <c r="M74" s="440"/>
      <c r="N74" s="440"/>
      <c r="O74" s="440"/>
      <c r="P74" s="440"/>
      <c r="Q74" s="440"/>
      <c r="R74" s="440"/>
      <c r="S74" s="440"/>
      <c r="T74" s="440"/>
      <c r="U74" s="441"/>
      <c r="V74" s="410"/>
      <c r="W74" s="6"/>
    </row>
    <row r="75" spans="1:25" ht="15.6">
      <c r="A75" s="378"/>
      <c r="B75" s="379" t="s">
        <v>29</v>
      </c>
      <c r="C75" s="440"/>
      <c r="D75" s="440"/>
      <c r="E75" s="440"/>
      <c r="F75" s="440"/>
      <c r="G75" s="440"/>
      <c r="H75" s="440"/>
      <c r="I75" s="440"/>
      <c r="J75" s="440"/>
      <c r="K75" s="440">
        <f>SUM(K63:K72)</f>
        <v>450000</v>
      </c>
      <c r="L75" s="440"/>
      <c r="M75" s="440">
        <f>SUM(M63:M72)</f>
        <v>113311</v>
      </c>
      <c r="N75" s="440"/>
      <c r="O75" s="440">
        <f>SUM(O63:O73)</f>
        <v>4394</v>
      </c>
      <c r="P75" s="440"/>
      <c r="Q75" s="440">
        <f>SUM(Q63:Q73)</f>
        <v>0</v>
      </c>
      <c r="R75" s="440"/>
      <c r="S75" s="440">
        <f>SUM(S70:S74)</f>
        <v>0</v>
      </c>
      <c r="T75" s="440"/>
      <c r="U75" s="440">
        <f>SUM(U63:U73)</f>
        <v>108917</v>
      </c>
      <c r="V75" s="410"/>
      <c r="W75" s="6"/>
      <c r="X75" s="182"/>
      <c r="Y75" s="182"/>
    </row>
    <row r="76" spans="1:25" ht="15.6">
      <c r="A76" s="378"/>
      <c r="B76" s="379"/>
      <c r="C76" s="440"/>
      <c r="D76" s="440"/>
      <c r="E76" s="440"/>
      <c r="F76" s="440"/>
      <c r="G76" s="440"/>
      <c r="H76" s="440"/>
      <c r="I76" s="440"/>
      <c r="J76" s="440"/>
      <c r="K76" s="440"/>
      <c r="L76" s="440"/>
      <c r="M76" s="440"/>
      <c r="N76" s="440"/>
      <c r="O76" s="440"/>
      <c r="P76" s="440"/>
      <c r="Q76" s="440"/>
      <c r="R76" s="440"/>
      <c r="S76" s="440"/>
      <c r="T76" s="440"/>
      <c r="U76" s="440"/>
      <c r="V76" s="410"/>
      <c r="W76" s="6"/>
    </row>
    <row r="77" spans="1:25" ht="15.6">
      <c r="A77" s="378"/>
      <c r="B77" s="379" t="s">
        <v>214</v>
      </c>
      <c r="C77" s="440"/>
      <c r="D77" s="440"/>
      <c r="E77" s="440"/>
      <c r="F77" s="440"/>
      <c r="G77" s="440"/>
      <c r="H77" s="440"/>
      <c r="I77" s="440"/>
      <c r="J77" s="440"/>
      <c r="K77" s="440">
        <v>0</v>
      </c>
      <c r="L77" s="440"/>
      <c r="M77" s="440">
        <v>-14576</v>
      </c>
      <c r="N77" s="440"/>
      <c r="O77" s="440">
        <v>-270</v>
      </c>
      <c r="P77" s="440"/>
      <c r="Q77" s="440"/>
      <c r="R77" s="440"/>
      <c r="S77" s="440"/>
      <c r="T77" s="440"/>
      <c r="U77" s="441">
        <f>+M77-O77</f>
        <v>-14306</v>
      </c>
      <c r="V77" s="410"/>
      <c r="W77" s="6"/>
      <c r="Y77" s="182"/>
    </row>
    <row r="78" spans="1:25" ht="15.6">
      <c r="A78" s="378"/>
      <c r="B78" s="379" t="s">
        <v>30</v>
      </c>
      <c r="C78" s="440"/>
      <c r="D78" s="440"/>
      <c r="E78" s="440"/>
      <c r="F78" s="440"/>
      <c r="G78" s="440"/>
      <c r="H78" s="440"/>
      <c r="I78" s="440"/>
      <c r="J78" s="440"/>
      <c r="K78" s="440">
        <v>0</v>
      </c>
      <c r="L78" s="440"/>
      <c r="M78" s="440">
        <v>0</v>
      </c>
      <c r="N78" s="440"/>
      <c r="O78" s="440">
        <v>0</v>
      </c>
      <c r="P78" s="440"/>
      <c r="Q78" s="440">
        <v>0</v>
      </c>
      <c r="R78" s="440"/>
      <c r="S78" s="440"/>
      <c r="T78" s="440"/>
      <c r="U78" s="440">
        <v>0</v>
      </c>
      <c r="V78" s="410"/>
      <c r="W78" s="6"/>
      <c r="X78" s="182"/>
    </row>
    <row r="79" spans="1:25" ht="15.6">
      <c r="A79" s="378"/>
      <c r="B79" s="379" t="s">
        <v>31</v>
      </c>
      <c r="C79" s="440"/>
      <c r="D79" s="440"/>
      <c r="E79" s="440"/>
      <c r="F79" s="440"/>
      <c r="G79" s="440"/>
      <c r="H79" s="440"/>
      <c r="I79" s="440"/>
      <c r="J79" s="440"/>
      <c r="K79" s="440">
        <v>0</v>
      </c>
      <c r="L79" s="440"/>
      <c r="M79" s="440">
        <v>0</v>
      </c>
      <c r="N79" s="440"/>
      <c r="O79" s="440"/>
      <c r="P79" s="440"/>
      <c r="Q79" s="440">
        <v>0</v>
      </c>
      <c r="R79" s="440"/>
      <c r="S79" s="440"/>
      <c r="T79" s="440"/>
      <c r="U79" s="440">
        <f>Q79+M79</f>
        <v>0</v>
      </c>
      <c r="V79" s="410"/>
      <c r="W79" s="6"/>
    </row>
    <row r="80" spans="1:25" ht="15.6">
      <c r="A80" s="378"/>
      <c r="B80" s="379" t="s">
        <v>16</v>
      </c>
      <c r="C80" s="440"/>
      <c r="D80" s="440"/>
      <c r="E80" s="440"/>
      <c r="F80" s="440"/>
      <c r="G80" s="440"/>
      <c r="H80" s="440"/>
      <c r="I80" s="440"/>
      <c r="J80" s="440"/>
      <c r="K80" s="440">
        <f>SUM(K75:K79)</f>
        <v>450000</v>
      </c>
      <c r="L80" s="440"/>
      <c r="M80" s="440">
        <f>SUM(M75:M79)</f>
        <v>98735</v>
      </c>
      <c r="N80" s="440"/>
      <c r="O80" s="440">
        <f>O78-O79</f>
        <v>0</v>
      </c>
      <c r="P80" s="440"/>
      <c r="Q80" s="440"/>
      <c r="R80" s="440"/>
      <c r="S80" s="440"/>
      <c r="T80" s="440"/>
      <c r="U80" s="440">
        <f>SUM(U75:U79)</f>
        <v>94611</v>
      </c>
      <c r="V80" s="410"/>
      <c r="W80" s="6"/>
      <c r="X80" s="182"/>
      <c r="Y80" s="182"/>
    </row>
    <row r="81" spans="1:24" ht="15.6">
      <c r="A81" s="242"/>
      <c r="B81" s="437"/>
      <c r="C81" s="438"/>
      <c r="D81" s="438"/>
      <c r="E81" s="438"/>
      <c r="F81" s="438"/>
      <c r="G81" s="438"/>
      <c r="H81" s="438"/>
      <c r="I81" s="438"/>
      <c r="J81" s="438"/>
      <c r="K81" s="438"/>
      <c r="L81" s="438"/>
      <c r="M81" s="438"/>
      <c r="N81" s="438"/>
      <c r="O81" s="438"/>
      <c r="P81" s="438"/>
      <c r="Q81" s="438"/>
      <c r="R81" s="438"/>
      <c r="S81" s="439"/>
      <c r="T81" s="438"/>
      <c r="U81" s="439"/>
      <c r="V81" s="245"/>
      <c r="W81" s="6"/>
    </row>
    <row r="82" spans="1:24" ht="15.6">
      <c r="A82" s="230"/>
      <c r="B82" s="511" t="s">
        <v>32</v>
      </c>
      <c r="C82" s="511"/>
      <c r="D82" s="511"/>
      <c r="E82" s="511"/>
      <c r="F82" s="511"/>
      <c r="G82" s="511"/>
      <c r="H82" s="511"/>
      <c r="I82" s="511"/>
      <c r="J82" s="511"/>
      <c r="K82" s="511"/>
      <c r="L82" s="511"/>
      <c r="M82" s="511"/>
      <c r="N82" s="511"/>
      <c r="O82" s="511"/>
      <c r="P82" s="511"/>
      <c r="Q82" s="511"/>
      <c r="R82" s="232"/>
      <c r="S82" s="232"/>
      <c r="T82" s="232"/>
      <c r="U82" s="232" t="s">
        <v>121</v>
      </c>
      <c r="V82" s="516"/>
      <c r="W82" s="6"/>
    </row>
    <row r="83" spans="1:24" ht="15.6">
      <c r="A83" s="315"/>
      <c r="B83" s="294" t="s">
        <v>33</v>
      </c>
      <c r="C83" s="294"/>
      <c r="D83" s="294"/>
      <c r="E83" s="294"/>
      <c r="F83" s="294"/>
      <c r="G83" s="294"/>
      <c r="H83" s="294"/>
      <c r="I83" s="294"/>
      <c r="J83" s="294"/>
      <c r="K83" s="294"/>
      <c r="L83" s="294"/>
      <c r="M83" s="294"/>
      <c r="N83" s="294"/>
      <c r="O83" s="310"/>
      <c r="P83" s="294"/>
      <c r="Q83" s="294"/>
      <c r="R83" s="294"/>
      <c r="S83" s="310"/>
      <c r="T83" s="294"/>
      <c r="U83" s="311">
        <v>47175</v>
      </c>
      <c r="V83" s="298"/>
      <c r="W83" s="6"/>
    </row>
    <row r="84" spans="1:24" ht="15.6">
      <c r="A84" s="444"/>
      <c r="B84" s="379" t="s">
        <v>34</v>
      </c>
      <c r="C84" s="431"/>
      <c r="D84" s="431"/>
      <c r="E84" s="431"/>
      <c r="F84" s="431"/>
      <c r="G84" s="431"/>
      <c r="H84" s="431"/>
      <c r="I84" s="431"/>
      <c r="J84" s="431"/>
      <c r="K84" s="431"/>
      <c r="L84" s="431"/>
      <c r="M84" s="430"/>
      <c r="N84" s="379"/>
      <c r="O84" s="379"/>
      <c r="P84" s="379"/>
      <c r="Q84" s="379"/>
      <c r="R84" s="379"/>
      <c r="S84" s="440"/>
      <c r="T84" s="379"/>
      <c r="U84" s="441">
        <f>-47+222+52+3</f>
        <v>230</v>
      </c>
      <c r="V84" s="410"/>
      <c r="W84" s="6"/>
    </row>
    <row r="85" spans="1:24" ht="15.6">
      <c r="A85" s="444"/>
      <c r="B85" s="379" t="s">
        <v>230</v>
      </c>
      <c r="C85" s="379"/>
      <c r="D85" s="379"/>
      <c r="E85" s="379"/>
      <c r="F85" s="379"/>
      <c r="G85" s="379"/>
      <c r="H85" s="379"/>
      <c r="I85" s="379"/>
      <c r="J85" s="379"/>
      <c r="K85" s="379"/>
      <c r="L85" s="379"/>
      <c r="M85" s="379"/>
      <c r="N85" s="379"/>
      <c r="O85" s="379"/>
      <c r="P85" s="379"/>
      <c r="Q85" s="379"/>
      <c r="R85" s="379"/>
      <c r="S85" s="440"/>
      <c r="T85" s="379"/>
      <c r="U85" s="441">
        <v>0</v>
      </c>
      <c r="V85" s="410"/>
      <c r="W85" s="6"/>
      <c r="X85" s="64"/>
    </row>
    <row r="86" spans="1:24" ht="15.6">
      <c r="A86" s="444"/>
      <c r="B86" s="379" t="s">
        <v>231</v>
      </c>
      <c r="C86" s="379"/>
      <c r="D86" s="379"/>
      <c r="E86" s="379"/>
      <c r="F86" s="379"/>
      <c r="G86" s="379"/>
      <c r="H86" s="379"/>
      <c r="I86" s="379"/>
      <c r="J86" s="379"/>
      <c r="K86" s="379"/>
      <c r="L86" s="379"/>
      <c r="M86" s="379"/>
      <c r="N86" s="379"/>
      <c r="O86" s="379"/>
      <c r="P86" s="379"/>
      <c r="Q86" s="379"/>
      <c r="R86" s="379"/>
      <c r="S86" s="440"/>
      <c r="T86" s="379"/>
      <c r="U86" s="441">
        <v>0</v>
      </c>
      <c r="V86" s="410"/>
      <c r="W86" s="6"/>
      <c r="X86" s="64"/>
    </row>
    <row r="87" spans="1:24" ht="15.6">
      <c r="A87" s="444"/>
      <c r="B87" s="379" t="s">
        <v>35</v>
      </c>
      <c r="C87" s="379"/>
      <c r="D87" s="379"/>
      <c r="E87" s="379"/>
      <c r="F87" s="379"/>
      <c r="G87" s="379"/>
      <c r="H87" s="379"/>
      <c r="I87" s="379"/>
      <c r="J87" s="379"/>
      <c r="K87" s="379"/>
      <c r="L87" s="379"/>
      <c r="M87" s="379"/>
      <c r="N87" s="379"/>
      <c r="O87" s="379"/>
      <c r="P87" s="379"/>
      <c r="Q87" s="379"/>
      <c r="R87" s="379"/>
      <c r="S87" s="440"/>
      <c r="T87" s="379"/>
      <c r="U87" s="441">
        <f>SUM(U83:U86)</f>
        <v>47405</v>
      </c>
      <c r="V87" s="410"/>
      <c r="W87" s="6"/>
      <c r="X87" s="64"/>
    </row>
    <row r="88" spans="1:24" ht="15.6">
      <c r="A88" s="444"/>
      <c r="B88" s="379"/>
      <c r="C88" s="379"/>
      <c r="D88" s="379"/>
      <c r="E88" s="379"/>
      <c r="F88" s="379"/>
      <c r="G88" s="379"/>
      <c r="H88" s="379"/>
      <c r="I88" s="379"/>
      <c r="J88" s="379"/>
      <c r="K88" s="379"/>
      <c r="L88" s="379"/>
      <c r="M88" s="379"/>
      <c r="N88" s="379"/>
      <c r="O88" s="379"/>
      <c r="P88" s="379"/>
      <c r="Q88" s="379"/>
      <c r="R88" s="379"/>
      <c r="S88" s="440"/>
      <c r="T88" s="379"/>
      <c r="U88" s="440"/>
      <c r="V88" s="410"/>
      <c r="W88" s="6"/>
    </row>
    <row r="89" spans="1:24" ht="15.6">
      <c r="A89" s="444"/>
      <c r="B89" s="446" t="s">
        <v>36</v>
      </c>
      <c r="C89" s="446"/>
      <c r="D89" s="446"/>
      <c r="E89" s="446"/>
      <c r="F89" s="446"/>
      <c r="G89" s="446"/>
      <c r="H89" s="446"/>
      <c r="I89" s="446"/>
      <c r="J89" s="446"/>
      <c r="K89" s="446"/>
      <c r="L89" s="446"/>
      <c r="M89" s="379"/>
      <c r="N89" s="379"/>
      <c r="O89" s="379"/>
      <c r="P89" s="379"/>
      <c r="Q89" s="379"/>
      <c r="R89" s="379"/>
      <c r="S89" s="440"/>
      <c r="T89" s="379"/>
      <c r="U89" s="441"/>
      <c r="V89" s="410"/>
      <c r="W89" s="6"/>
      <c r="X89" s="64"/>
    </row>
    <row r="90" spans="1:24" ht="15.6">
      <c r="A90" s="444">
        <v>1</v>
      </c>
      <c r="B90" s="379" t="s">
        <v>37</v>
      </c>
      <c r="C90" s="379"/>
      <c r="D90" s="379"/>
      <c r="E90" s="379"/>
      <c r="F90" s="379"/>
      <c r="G90" s="379"/>
      <c r="H90" s="379"/>
      <c r="I90" s="379"/>
      <c r="J90" s="379"/>
      <c r="K90" s="379"/>
      <c r="L90" s="379"/>
      <c r="M90" s="379"/>
      <c r="N90" s="379"/>
      <c r="O90" s="379"/>
      <c r="P90" s="379"/>
      <c r="Q90" s="379"/>
      <c r="R90" s="379"/>
      <c r="S90" s="379"/>
      <c r="T90" s="379"/>
      <c r="U90" s="441">
        <v>-2</v>
      </c>
      <c r="V90" s="410"/>
      <c r="W90" s="6"/>
    </row>
    <row r="91" spans="1:24" ht="15.6">
      <c r="A91" s="444">
        <f>A90+1</f>
        <v>2</v>
      </c>
      <c r="B91" s="379" t="s">
        <v>168</v>
      </c>
      <c r="C91" s="379"/>
      <c r="D91" s="379"/>
      <c r="E91" s="379"/>
      <c r="F91" s="379"/>
      <c r="G91" s="379"/>
      <c r="H91" s="379"/>
      <c r="I91" s="379"/>
      <c r="J91" s="379"/>
      <c r="K91" s="379"/>
      <c r="L91" s="379"/>
      <c r="M91" s="379"/>
      <c r="N91" s="379"/>
      <c r="O91" s="379"/>
      <c r="P91" s="379"/>
      <c r="Q91" s="379"/>
      <c r="R91" s="379"/>
      <c r="S91" s="379"/>
      <c r="T91" s="379"/>
      <c r="U91" s="441">
        <f>-98-28-1</f>
        <v>-127</v>
      </c>
      <c r="V91" s="410"/>
      <c r="W91" s="6"/>
      <c r="X91" s="64"/>
    </row>
    <row r="92" spans="1:24" ht="15.6">
      <c r="A92" s="444">
        <v>3</v>
      </c>
      <c r="B92" s="379" t="s">
        <v>38</v>
      </c>
      <c r="C92" s="379"/>
      <c r="D92" s="379"/>
      <c r="E92" s="379"/>
      <c r="F92" s="379"/>
      <c r="G92" s="379"/>
      <c r="H92" s="379"/>
      <c r="I92" s="379"/>
      <c r="J92" s="379"/>
      <c r="K92" s="379"/>
      <c r="L92" s="379"/>
      <c r="M92" s="379"/>
      <c r="N92" s="379"/>
      <c r="O92" s="379"/>
      <c r="P92" s="379"/>
      <c r="Q92" s="379"/>
      <c r="R92" s="379"/>
      <c r="S92" s="379"/>
      <c r="T92" s="379"/>
      <c r="U92" s="441">
        <v>-15</v>
      </c>
      <c r="V92" s="410"/>
      <c r="W92" s="6"/>
      <c r="X92" s="64"/>
    </row>
    <row r="93" spans="1:24" ht="15.6">
      <c r="A93" s="447" t="s">
        <v>190</v>
      </c>
      <c r="B93" s="379" t="s">
        <v>169</v>
      </c>
      <c r="C93" s="379"/>
      <c r="D93" s="379"/>
      <c r="E93" s="379"/>
      <c r="F93" s="379"/>
      <c r="G93" s="379"/>
      <c r="H93" s="379"/>
      <c r="I93" s="379"/>
      <c r="J93" s="379"/>
      <c r="K93" s="379"/>
      <c r="L93" s="379"/>
      <c r="M93" s="379"/>
      <c r="N93" s="379"/>
      <c r="O93" s="379"/>
      <c r="P93" s="379"/>
      <c r="Q93" s="379"/>
      <c r="R93" s="379"/>
      <c r="S93" s="379"/>
      <c r="T93" s="379"/>
      <c r="U93" s="441">
        <v>-49</v>
      </c>
      <c r="V93" s="410"/>
      <c r="W93" s="6"/>
      <c r="X93" s="64"/>
    </row>
    <row r="94" spans="1:24" ht="15.6">
      <c r="A94" s="447" t="s">
        <v>191</v>
      </c>
      <c r="B94" s="379" t="s">
        <v>170</v>
      </c>
      <c r="C94" s="379"/>
      <c r="D94" s="379"/>
      <c r="E94" s="379"/>
      <c r="F94" s="379"/>
      <c r="G94" s="379"/>
      <c r="H94" s="379"/>
      <c r="I94" s="379"/>
      <c r="J94" s="379"/>
      <c r="K94" s="379"/>
      <c r="L94" s="379"/>
      <c r="M94" s="379"/>
      <c r="N94" s="379"/>
      <c r="O94" s="379"/>
      <c r="P94" s="379"/>
      <c r="Q94" s="379"/>
      <c r="R94" s="379"/>
      <c r="S94" s="379"/>
      <c r="T94" s="379"/>
      <c r="U94" s="441">
        <v>-64</v>
      </c>
      <c r="V94" s="410"/>
      <c r="W94" s="6"/>
      <c r="X94" s="182"/>
    </row>
    <row r="95" spans="1:24" ht="15.6">
      <c r="A95" s="444">
        <v>5</v>
      </c>
      <c r="B95" s="379" t="s">
        <v>171</v>
      </c>
      <c r="C95" s="379"/>
      <c r="D95" s="379"/>
      <c r="E95" s="379"/>
      <c r="F95" s="379"/>
      <c r="G95" s="379"/>
      <c r="H95" s="379"/>
      <c r="I95" s="379"/>
      <c r="J95" s="379"/>
      <c r="K95" s="379"/>
      <c r="L95" s="379"/>
      <c r="M95" s="379"/>
      <c r="N95" s="379"/>
      <c r="O95" s="379"/>
      <c r="P95" s="379"/>
      <c r="Q95" s="379"/>
      <c r="R95" s="379"/>
      <c r="S95" s="379"/>
      <c r="T95" s="379"/>
      <c r="U95" s="441">
        <v>-8</v>
      </c>
      <c r="V95" s="410"/>
      <c r="W95" s="6"/>
    </row>
    <row r="96" spans="1:24" ht="15.6">
      <c r="A96" s="447" t="s">
        <v>174</v>
      </c>
      <c r="B96" s="379" t="s">
        <v>172</v>
      </c>
      <c r="C96" s="379"/>
      <c r="D96" s="379"/>
      <c r="E96" s="379"/>
      <c r="F96" s="379"/>
      <c r="G96" s="379"/>
      <c r="H96" s="379"/>
      <c r="I96" s="379"/>
      <c r="J96" s="379"/>
      <c r="K96" s="379"/>
      <c r="L96" s="379"/>
      <c r="M96" s="379"/>
      <c r="N96" s="379"/>
      <c r="O96" s="379"/>
      <c r="P96" s="379"/>
      <c r="Q96" s="379"/>
      <c r="R96" s="379"/>
      <c r="S96" s="379"/>
      <c r="T96" s="379"/>
      <c r="U96" s="441">
        <v>-22</v>
      </c>
      <c r="V96" s="410"/>
      <c r="W96" s="6"/>
      <c r="X96" s="182"/>
    </row>
    <row r="97" spans="1:24" ht="15.6">
      <c r="A97" s="447" t="s">
        <v>176</v>
      </c>
      <c r="B97" s="379" t="s">
        <v>173</v>
      </c>
      <c r="C97" s="379"/>
      <c r="D97" s="379"/>
      <c r="E97" s="379"/>
      <c r="F97" s="379"/>
      <c r="G97" s="379"/>
      <c r="H97" s="379"/>
      <c r="I97" s="379"/>
      <c r="J97" s="379"/>
      <c r="K97" s="379"/>
      <c r="L97" s="379"/>
      <c r="M97" s="379"/>
      <c r="N97" s="379"/>
      <c r="O97" s="379"/>
      <c r="P97" s="379"/>
      <c r="Q97" s="379"/>
      <c r="R97" s="379"/>
      <c r="S97" s="379"/>
      <c r="T97" s="379"/>
      <c r="U97" s="441">
        <v>-35</v>
      </c>
      <c r="V97" s="410"/>
      <c r="W97" s="119"/>
      <c r="X97" s="182"/>
    </row>
    <row r="98" spans="1:24" ht="15.6">
      <c r="A98" s="447" t="s">
        <v>178</v>
      </c>
      <c r="B98" s="379" t="s">
        <v>175</v>
      </c>
      <c r="C98" s="379"/>
      <c r="D98" s="379"/>
      <c r="E98" s="379"/>
      <c r="F98" s="379"/>
      <c r="G98" s="379"/>
      <c r="H98" s="379"/>
      <c r="I98" s="379"/>
      <c r="J98" s="379"/>
      <c r="K98" s="379"/>
      <c r="L98" s="379"/>
      <c r="M98" s="379"/>
      <c r="N98" s="379"/>
      <c r="O98" s="379"/>
      <c r="P98" s="379"/>
      <c r="Q98" s="379"/>
      <c r="R98" s="379"/>
      <c r="S98" s="379"/>
      <c r="T98" s="379"/>
      <c r="U98" s="441">
        <v>-35</v>
      </c>
      <c r="V98" s="410"/>
      <c r="W98" s="6"/>
      <c r="X98" s="182"/>
    </row>
    <row r="99" spans="1:24" ht="15.6">
      <c r="A99" s="447" t="s">
        <v>180</v>
      </c>
      <c r="B99" s="379" t="s">
        <v>177</v>
      </c>
      <c r="C99" s="379"/>
      <c r="D99" s="379"/>
      <c r="E99" s="379"/>
      <c r="F99" s="379"/>
      <c r="G99" s="379"/>
      <c r="H99" s="379"/>
      <c r="I99" s="379"/>
      <c r="J99" s="379"/>
      <c r="K99" s="379"/>
      <c r="L99" s="379"/>
      <c r="M99" s="379"/>
      <c r="N99" s="379"/>
      <c r="O99" s="379"/>
      <c r="P99" s="379"/>
      <c r="Q99" s="379"/>
      <c r="R99" s="379"/>
      <c r="S99" s="379"/>
      <c r="T99" s="379"/>
      <c r="U99" s="441">
        <v>-45</v>
      </c>
      <c r="V99" s="410"/>
      <c r="W99" s="119"/>
      <c r="X99" s="182"/>
    </row>
    <row r="100" spans="1:24" ht="15.6">
      <c r="A100" s="447" t="s">
        <v>192</v>
      </c>
      <c r="B100" s="379" t="s">
        <v>179</v>
      </c>
      <c r="C100" s="379"/>
      <c r="D100" s="379"/>
      <c r="E100" s="379"/>
      <c r="F100" s="379"/>
      <c r="G100" s="379"/>
      <c r="H100" s="379"/>
      <c r="I100" s="379"/>
      <c r="J100" s="379"/>
      <c r="K100" s="379"/>
      <c r="L100" s="379"/>
      <c r="M100" s="379"/>
      <c r="N100" s="379"/>
      <c r="O100" s="379"/>
      <c r="P100" s="379"/>
      <c r="Q100" s="379"/>
      <c r="R100" s="379"/>
      <c r="S100" s="379"/>
      <c r="T100" s="379"/>
      <c r="U100" s="441">
        <v>-66</v>
      </c>
      <c r="V100" s="410"/>
      <c r="W100" s="6"/>
      <c r="X100" s="182"/>
    </row>
    <row r="101" spans="1:24" ht="15.6">
      <c r="A101" s="447" t="s">
        <v>193</v>
      </c>
      <c r="B101" s="379" t="s">
        <v>181</v>
      </c>
      <c r="C101" s="379"/>
      <c r="D101" s="379"/>
      <c r="E101" s="379"/>
      <c r="F101" s="379"/>
      <c r="G101" s="379"/>
      <c r="H101" s="379"/>
      <c r="I101" s="379"/>
      <c r="J101" s="379"/>
      <c r="K101" s="379"/>
      <c r="L101" s="379"/>
      <c r="M101" s="379"/>
      <c r="N101" s="379"/>
      <c r="O101" s="379"/>
      <c r="P101" s="379"/>
      <c r="Q101" s="379"/>
      <c r="R101" s="379"/>
      <c r="S101" s="379"/>
      <c r="T101" s="379"/>
      <c r="U101" s="441">
        <v>-57</v>
      </c>
      <c r="V101" s="410"/>
      <c r="W101" s="119"/>
      <c r="X101" s="182"/>
    </row>
    <row r="102" spans="1:24" ht="15.6">
      <c r="A102" s="444">
        <v>9</v>
      </c>
      <c r="B102" s="379" t="s">
        <v>257</v>
      </c>
      <c r="C102" s="379"/>
      <c r="D102" s="379"/>
      <c r="E102" s="379"/>
      <c r="F102" s="379"/>
      <c r="G102" s="379"/>
      <c r="H102" s="379"/>
      <c r="I102" s="379"/>
      <c r="J102" s="379"/>
      <c r="K102" s="379"/>
      <c r="L102" s="379"/>
      <c r="M102" s="379"/>
      <c r="N102" s="379"/>
      <c r="O102" s="379"/>
      <c r="P102" s="379"/>
      <c r="Q102" s="379"/>
      <c r="R102" s="379"/>
      <c r="S102" s="379"/>
      <c r="T102" s="379"/>
      <c r="U102" s="441">
        <f>+S219-U32</f>
        <v>-4123.7015999999858</v>
      </c>
      <c r="V102" s="410"/>
      <c r="W102" s="6"/>
      <c r="X102" s="182"/>
    </row>
    <row r="103" spans="1:24" ht="15.6">
      <c r="A103" s="444">
        <v>10</v>
      </c>
      <c r="B103" s="379" t="s">
        <v>234</v>
      </c>
      <c r="C103" s="379"/>
      <c r="D103" s="379"/>
      <c r="E103" s="379"/>
      <c r="F103" s="379"/>
      <c r="G103" s="379"/>
      <c r="H103" s="379"/>
      <c r="I103" s="379"/>
      <c r="J103" s="379"/>
      <c r="K103" s="379"/>
      <c r="L103" s="379"/>
      <c r="M103" s="379"/>
      <c r="N103" s="379"/>
      <c r="O103" s="379"/>
      <c r="P103" s="379"/>
      <c r="Q103" s="379"/>
      <c r="R103" s="379"/>
      <c r="S103" s="379"/>
      <c r="T103" s="379"/>
      <c r="U103" s="441">
        <v>-40500</v>
      </c>
      <c r="V103" s="410"/>
      <c r="W103" s="6"/>
      <c r="X103" s="64"/>
    </row>
    <row r="104" spans="1:24" ht="15.6">
      <c r="A104" s="444">
        <v>11</v>
      </c>
      <c r="B104" s="379" t="s">
        <v>183</v>
      </c>
      <c r="C104" s="379"/>
      <c r="D104" s="379"/>
      <c r="E104" s="379"/>
      <c r="F104" s="379"/>
      <c r="G104" s="379"/>
      <c r="H104" s="379"/>
      <c r="I104" s="379"/>
      <c r="J104" s="379"/>
      <c r="K104" s="379"/>
      <c r="L104" s="379"/>
      <c r="M104" s="379"/>
      <c r="N104" s="379"/>
      <c r="O104" s="379"/>
      <c r="P104" s="379"/>
      <c r="Q104" s="379"/>
      <c r="R104" s="379"/>
      <c r="S104" s="379"/>
      <c r="T104" s="379"/>
      <c r="U104" s="441">
        <v>0</v>
      </c>
      <c r="V104" s="410"/>
      <c r="W104" s="6"/>
      <c r="X104" s="64"/>
    </row>
    <row r="105" spans="1:24" ht="15.6">
      <c r="A105" s="444">
        <v>12</v>
      </c>
      <c r="B105" s="379" t="s">
        <v>184</v>
      </c>
      <c r="C105" s="379"/>
      <c r="D105" s="379"/>
      <c r="E105" s="379"/>
      <c r="F105" s="379"/>
      <c r="G105" s="379"/>
      <c r="H105" s="379"/>
      <c r="I105" s="379"/>
      <c r="J105" s="379"/>
      <c r="K105" s="379"/>
      <c r="L105" s="379"/>
      <c r="M105" s="379"/>
      <c r="N105" s="379"/>
      <c r="O105" s="379"/>
      <c r="P105" s="379"/>
      <c r="Q105" s="379"/>
      <c r="R105" s="379"/>
      <c r="S105" s="379"/>
      <c r="T105" s="379"/>
      <c r="U105" s="441">
        <v>-111</v>
      </c>
      <c r="V105" s="410"/>
      <c r="W105" s="6"/>
      <c r="X105" s="182"/>
    </row>
    <row r="106" spans="1:24" ht="15.6">
      <c r="A106" s="444">
        <v>13</v>
      </c>
      <c r="B106" s="379" t="s">
        <v>40</v>
      </c>
      <c r="C106" s="379"/>
      <c r="D106" s="379"/>
      <c r="E106" s="379"/>
      <c r="F106" s="379"/>
      <c r="G106" s="379"/>
      <c r="H106" s="379"/>
      <c r="I106" s="379"/>
      <c r="J106" s="379"/>
      <c r="K106" s="379"/>
      <c r="L106" s="379"/>
      <c r="M106" s="379"/>
      <c r="N106" s="379"/>
      <c r="O106" s="379"/>
      <c r="P106" s="379"/>
      <c r="Q106" s="379"/>
      <c r="R106" s="379"/>
      <c r="S106" s="379"/>
      <c r="T106" s="379"/>
      <c r="U106" s="441">
        <f>-SUM(U87:V105)</f>
        <v>-2145.2984000000142</v>
      </c>
      <c r="V106" s="410"/>
      <c r="W106" s="6"/>
      <c r="X106" s="182"/>
    </row>
    <row r="107" spans="1:24" ht="15.6">
      <c r="A107" s="316"/>
      <c r="B107" s="443"/>
      <c r="C107" s="364"/>
      <c r="D107" s="364"/>
      <c r="E107" s="364"/>
      <c r="F107" s="364"/>
      <c r="G107" s="364"/>
      <c r="H107" s="364"/>
      <c r="I107" s="364"/>
      <c r="J107" s="364"/>
      <c r="K107" s="364"/>
      <c r="L107" s="364"/>
      <c r="M107" s="364"/>
      <c r="N107" s="364"/>
      <c r="O107" s="364"/>
      <c r="P107" s="364"/>
      <c r="Q107" s="364"/>
      <c r="R107" s="364"/>
      <c r="S107" s="360"/>
      <c r="T107" s="360"/>
      <c r="U107" s="360"/>
      <c r="V107" s="303"/>
      <c r="W107" s="6"/>
      <c r="X107" s="182"/>
    </row>
    <row r="108" spans="1:24" ht="15.6">
      <c r="A108" s="316"/>
      <c r="B108" s="317"/>
      <c r="C108" s="288"/>
      <c r="D108" s="288"/>
      <c r="E108" s="288"/>
      <c r="F108" s="288"/>
      <c r="G108" s="288"/>
      <c r="H108" s="288"/>
      <c r="I108" s="288"/>
      <c r="J108" s="288"/>
      <c r="K108" s="288"/>
      <c r="L108" s="288"/>
      <c r="M108" s="288"/>
      <c r="N108" s="288"/>
      <c r="O108" s="288"/>
      <c r="P108" s="288"/>
      <c r="Q108" s="288"/>
      <c r="R108" s="288"/>
      <c r="S108" s="318"/>
      <c r="T108" s="318"/>
      <c r="U108" s="318"/>
      <c r="V108" s="303"/>
      <c r="W108" s="6"/>
    </row>
    <row r="109" spans="1:24" ht="16.2" thickBot="1">
      <c r="A109" s="319"/>
      <c r="B109" s="304" t="str">
        <f>+B59</f>
        <v>PPAF3 INVESTOR REPORT QUARTER ENDING JUNE 2015</v>
      </c>
      <c r="C109" s="305"/>
      <c r="D109" s="305"/>
      <c r="E109" s="305"/>
      <c r="F109" s="305"/>
      <c r="G109" s="305"/>
      <c r="H109" s="305"/>
      <c r="I109" s="305"/>
      <c r="J109" s="305"/>
      <c r="K109" s="305"/>
      <c r="L109" s="305"/>
      <c r="M109" s="305"/>
      <c r="N109" s="305"/>
      <c r="O109" s="305"/>
      <c r="P109" s="305"/>
      <c r="Q109" s="305"/>
      <c r="R109" s="305"/>
      <c r="S109" s="320"/>
      <c r="T109" s="320"/>
      <c r="U109" s="320"/>
      <c r="V109" s="307"/>
      <c r="W109" s="6"/>
    </row>
    <row r="110" spans="1:24" ht="15.6">
      <c r="A110" s="238"/>
      <c r="B110" s="240"/>
      <c r="C110" s="240"/>
      <c r="D110" s="240"/>
      <c r="E110" s="240"/>
      <c r="F110" s="240"/>
      <c r="G110" s="240"/>
      <c r="H110" s="240"/>
      <c r="I110" s="240"/>
      <c r="J110" s="240"/>
      <c r="K110" s="240"/>
      <c r="L110" s="240"/>
      <c r="M110" s="240"/>
      <c r="N110" s="240"/>
      <c r="O110" s="240"/>
      <c r="P110" s="240"/>
      <c r="Q110" s="240"/>
      <c r="R110" s="240"/>
      <c r="S110" s="269"/>
      <c r="T110" s="269"/>
      <c r="U110" s="269"/>
      <c r="V110" s="241"/>
      <c r="W110" s="6"/>
    </row>
    <row r="111" spans="1:24" ht="15.6">
      <c r="A111" s="321"/>
      <c r="B111" s="517" t="s">
        <v>41</v>
      </c>
      <c r="C111" s="322"/>
      <c r="D111" s="322"/>
      <c r="E111" s="322"/>
      <c r="F111" s="322"/>
      <c r="G111" s="322"/>
      <c r="H111" s="322"/>
      <c r="I111" s="322"/>
      <c r="J111" s="322"/>
      <c r="K111" s="322"/>
      <c r="L111" s="322"/>
      <c r="M111" s="322"/>
      <c r="N111" s="322"/>
      <c r="O111" s="322"/>
      <c r="P111" s="322"/>
      <c r="Q111" s="322"/>
      <c r="R111" s="322"/>
      <c r="S111" s="322"/>
      <c r="T111" s="322"/>
      <c r="U111" s="323"/>
      <c r="V111" s="324"/>
      <c r="W111" s="6"/>
    </row>
    <row r="112" spans="1:24" ht="15.6">
      <c r="A112" s="270"/>
      <c r="B112" s="271"/>
      <c r="C112" s="271"/>
      <c r="D112" s="271"/>
      <c r="E112" s="271"/>
      <c r="F112" s="271"/>
      <c r="G112" s="271"/>
      <c r="H112" s="271"/>
      <c r="I112" s="271"/>
      <c r="J112" s="271"/>
      <c r="K112" s="271"/>
      <c r="L112" s="271"/>
      <c r="M112" s="271"/>
      <c r="N112" s="271"/>
      <c r="O112" s="271"/>
      <c r="P112" s="271"/>
      <c r="Q112" s="271"/>
      <c r="R112" s="271"/>
      <c r="S112" s="271"/>
      <c r="T112" s="271"/>
      <c r="U112" s="272"/>
      <c r="V112" s="273"/>
      <c r="W112" s="6"/>
    </row>
    <row r="113" spans="1:24" ht="15.6">
      <c r="A113" s="242"/>
      <c r="B113" s="274" t="s">
        <v>42</v>
      </c>
      <c r="C113" s="252"/>
      <c r="D113" s="252"/>
      <c r="E113" s="252"/>
      <c r="F113" s="252"/>
      <c r="G113" s="252"/>
      <c r="H113" s="252"/>
      <c r="I113" s="252"/>
      <c r="J113" s="252"/>
      <c r="K113" s="252"/>
      <c r="L113" s="252"/>
      <c r="M113" s="244"/>
      <c r="N113" s="244"/>
      <c r="O113" s="244"/>
      <c r="P113" s="244"/>
      <c r="Q113" s="244"/>
      <c r="R113" s="244"/>
      <c r="S113" s="244"/>
      <c r="T113" s="244"/>
      <c r="U113" s="263"/>
      <c r="V113" s="245"/>
      <c r="W113" s="6"/>
    </row>
    <row r="114" spans="1:24" ht="15.6">
      <c r="A114" s="378"/>
      <c r="B114" s="379" t="s">
        <v>43</v>
      </c>
      <c r="C114" s="379"/>
      <c r="D114" s="379"/>
      <c r="E114" s="379"/>
      <c r="F114" s="379"/>
      <c r="G114" s="379"/>
      <c r="H114" s="379"/>
      <c r="I114" s="379"/>
      <c r="J114" s="379"/>
      <c r="K114" s="379"/>
      <c r="L114" s="379"/>
      <c r="M114" s="379"/>
      <c r="N114" s="379"/>
      <c r="O114" s="379"/>
      <c r="P114" s="379"/>
      <c r="Q114" s="379"/>
      <c r="R114" s="379"/>
      <c r="S114" s="379"/>
      <c r="T114" s="379"/>
      <c r="U114" s="441">
        <v>40500</v>
      </c>
      <c r="V114" s="410"/>
      <c r="W114" s="6"/>
    </row>
    <row r="115" spans="1:24" ht="15.6">
      <c r="A115" s="378"/>
      <c r="B115" s="379" t="s">
        <v>240</v>
      </c>
      <c r="C115" s="379"/>
      <c r="D115" s="379"/>
      <c r="E115" s="379"/>
      <c r="F115" s="379"/>
      <c r="G115" s="379"/>
      <c r="H115" s="379"/>
      <c r="I115" s="379"/>
      <c r="J115" s="379"/>
      <c r="K115" s="379"/>
      <c r="L115" s="379"/>
      <c r="M115" s="379"/>
      <c r="N115" s="379"/>
      <c r="O115" s="379"/>
      <c r="P115" s="379"/>
      <c r="Q115" s="379"/>
      <c r="R115" s="379"/>
      <c r="S115" s="379"/>
      <c r="T115" s="379"/>
      <c r="U115" s="441">
        <v>40500</v>
      </c>
      <c r="V115" s="410"/>
      <c r="W115" s="6"/>
    </row>
    <row r="116" spans="1:24" ht="15.6">
      <c r="A116" s="378"/>
      <c r="B116" s="379" t="s">
        <v>241</v>
      </c>
      <c r="C116" s="379"/>
      <c r="D116" s="379"/>
      <c r="E116" s="379"/>
      <c r="F116" s="379"/>
      <c r="G116" s="379"/>
      <c r="H116" s="379"/>
      <c r="I116" s="379"/>
      <c r="J116" s="379"/>
      <c r="K116" s="379"/>
      <c r="L116" s="379"/>
      <c r="M116" s="379"/>
      <c r="N116" s="379"/>
      <c r="O116" s="379"/>
      <c r="P116" s="379"/>
      <c r="Q116" s="379"/>
      <c r="R116" s="379"/>
      <c r="S116" s="379"/>
      <c r="T116" s="379"/>
      <c r="U116" s="441">
        <v>0</v>
      </c>
      <c r="V116" s="410"/>
      <c r="W116" s="6"/>
    </row>
    <row r="117" spans="1:24" ht="15.6">
      <c r="A117" s="378"/>
      <c r="B117" s="379" t="s">
        <v>209</v>
      </c>
      <c r="C117" s="379"/>
      <c r="D117" s="379"/>
      <c r="E117" s="379"/>
      <c r="F117" s="379"/>
      <c r="G117" s="379"/>
      <c r="H117" s="379"/>
      <c r="I117" s="379"/>
      <c r="J117" s="379"/>
      <c r="K117" s="379"/>
      <c r="L117" s="379"/>
      <c r="M117" s="379"/>
      <c r="N117" s="379"/>
      <c r="O117" s="379"/>
      <c r="P117" s="379"/>
      <c r="Q117" s="379"/>
      <c r="R117" s="379"/>
      <c r="S117" s="379"/>
      <c r="T117" s="379"/>
      <c r="U117" s="441">
        <v>0</v>
      </c>
      <c r="V117" s="410"/>
      <c r="W117" s="6"/>
    </row>
    <row r="118" spans="1:24" ht="15.6">
      <c r="A118" s="378"/>
      <c r="B118" s="379" t="s">
        <v>210</v>
      </c>
      <c r="C118" s="379"/>
      <c r="D118" s="379"/>
      <c r="E118" s="379"/>
      <c r="F118" s="379"/>
      <c r="G118" s="379"/>
      <c r="H118" s="379"/>
      <c r="I118" s="379"/>
      <c r="J118" s="379"/>
      <c r="K118" s="379"/>
      <c r="L118" s="379"/>
      <c r="M118" s="379"/>
      <c r="N118" s="379"/>
      <c r="O118" s="379"/>
      <c r="P118" s="379"/>
      <c r="Q118" s="379"/>
      <c r="R118" s="379"/>
      <c r="S118" s="379"/>
      <c r="T118" s="379"/>
      <c r="U118" s="441">
        <v>0</v>
      </c>
      <c r="V118" s="410"/>
      <c r="W118" s="6"/>
    </row>
    <row r="119" spans="1:24" ht="15.6">
      <c r="A119" s="378"/>
      <c r="B119" s="379" t="s">
        <v>211</v>
      </c>
      <c r="C119" s="379"/>
      <c r="D119" s="379"/>
      <c r="E119" s="379"/>
      <c r="F119" s="379"/>
      <c r="G119" s="379"/>
      <c r="H119" s="379"/>
      <c r="I119" s="379"/>
      <c r="J119" s="379"/>
      <c r="K119" s="379"/>
      <c r="L119" s="379"/>
      <c r="M119" s="379"/>
      <c r="N119" s="379"/>
      <c r="O119" s="379"/>
      <c r="P119" s="379"/>
      <c r="Q119" s="379"/>
      <c r="R119" s="379"/>
      <c r="S119" s="379"/>
      <c r="T119" s="379"/>
      <c r="U119" s="441">
        <v>0</v>
      </c>
      <c r="V119" s="410"/>
      <c r="W119" s="6"/>
    </row>
    <row r="120" spans="1:24" ht="15.6">
      <c r="A120" s="378"/>
      <c r="B120" s="379" t="s">
        <v>212</v>
      </c>
      <c r="C120" s="379"/>
      <c r="D120" s="379"/>
      <c r="E120" s="379"/>
      <c r="F120" s="379"/>
      <c r="G120" s="379"/>
      <c r="H120" s="379"/>
      <c r="I120" s="379"/>
      <c r="J120" s="379"/>
      <c r="K120" s="379"/>
      <c r="L120" s="379"/>
      <c r="M120" s="379"/>
      <c r="N120" s="379"/>
      <c r="O120" s="379"/>
      <c r="P120" s="379"/>
      <c r="Q120" s="379"/>
      <c r="R120" s="379"/>
      <c r="S120" s="379"/>
      <c r="T120" s="379"/>
      <c r="U120" s="441">
        <v>0</v>
      </c>
      <c r="V120" s="410"/>
      <c r="W120" s="6"/>
    </row>
    <row r="121" spans="1:24" ht="15.6">
      <c r="A121" s="378"/>
      <c r="B121" s="379" t="s">
        <v>242</v>
      </c>
      <c r="C121" s="379"/>
      <c r="D121" s="379"/>
      <c r="E121" s="379"/>
      <c r="F121" s="379"/>
      <c r="G121" s="379"/>
      <c r="H121" s="379"/>
      <c r="I121" s="379"/>
      <c r="J121" s="379"/>
      <c r="K121" s="379"/>
      <c r="L121" s="379"/>
      <c r="M121" s="379"/>
      <c r="N121" s="379"/>
      <c r="O121" s="379"/>
      <c r="P121" s="379"/>
      <c r="Q121" s="379"/>
      <c r="R121" s="379"/>
      <c r="S121" s="379"/>
      <c r="T121" s="379"/>
      <c r="U121" s="441">
        <v>0</v>
      </c>
      <c r="V121" s="410"/>
      <c r="W121" s="6"/>
    </row>
    <row r="122" spans="1:24" ht="15.6">
      <c r="A122" s="378"/>
      <c r="B122" s="379" t="s">
        <v>45</v>
      </c>
      <c r="C122" s="379"/>
      <c r="D122" s="379"/>
      <c r="E122" s="379"/>
      <c r="F122" s="379"/>
      <c r="G122" s="379"/>
      <c r="H122" s="379"/>
      <c r="I122" s="379"/>
      <c r="J122" s="379"/>
      <c r="K122" s="379"/>
      <c r="L122" s="379"/>
      <c r="M122" s="379"/>
      <c r="N122" s="379"/>
      <c r="O122" s="379"/>
      <c r="P122" s="379"/>
      <c r="Q122" s="379"/>
      <c r="R122" s="379"/>
      <c r="S122" s="379"/>
      <c r="T122" s="379"/>
      <c r="U122" s="441">
        <f>SUM(U115:U121)</f>
        <v>40500</v>
      </c>
      <c r="V122" s="410"/>
      <c r="W122" s="6"/>
    </row>
    <row r="123" spans="1:24" ht="15.6">
      <c r="A123" s="242"/>
      <c r="B123" s="438"/>
      <c r="C123" s="438"/>
      <c r="D123" s="438"/>
      <c r="E123" s="438"/>
      <c r="F123" s="438"/>
      <c r="G123" s="438"/>
      <c r="H123" s="438"/>
      <c r="I123" s="438"/>
      <c r="J123" s="438"/>
      <c r="K123" s="438"/>
      <c r="L123" s="438"/>
      <c r="M123" s="438"/>
      <c r="N123" s="438"/>
      <c r="O123" s="438"/>
      <c r="P123" s="438"/>
      <c r="Q123" s="438"/>
      <c r="R123" s="438"/>
      <c r="S123" s="438"/>
      <c r="T123" s="438"/>
      <c r="U123" s="448"/>
      <c r="V123" s="245"/>
      <c r="W123" s="6"/>
    </row>
    <row r="124" spans="1:24" ht="15.6">
      <c r="A124" s="242"/>
      <c r="B124" s="274" t="s">
        <v>46</v>
      </c>
      <c r="C124" s="252"/>
      <c r="D124" s="252"/>
      <c r="E124" s="252"/>
      <c r="F124" s="252"/>
      <c r="G124" s="252"/>
      <c r="H124" s="252"/>
      <c r="I124" s="252"/>
      <c r="J124" s="252"/>
      <c r="K124" s="252"/>
      <c r="L124" s="252"/>
      <c r="M124" s="244"/>
      <c r="N124" s="244"/>
      <c r="O124" s="244"/>
      <c r="P124" s="275"/>
      <c r="Q124" s="244"/>
      <c r="R124" s="244"/>
      <c r="S124" s="244"/>
      <c r="T124" s="244"/>
      <c r="U124" s="276"/>
      <c r="V124" s="245"/>
      <c r="W124" s="6"/>
    </row>
    <row r="125" spans="1:24" ht="15.6">
      <c r="A125" s="230"/>
      <c r="B125" s="511"/>
      <c r="C125" s="232" t="s">
        <v>185</v>
      </c>
      <c r="D125" s="232"/>
      <c r="E125" s="232" t="s">
        <v>99</v>
      </c>
      <c r="F125" s="232"/>
      <c r="G125" s="232" t="s">
        <v>102</v>
      </c>
      <c r="H125" s="232"/>
      <c r="I125" s="232" t="s">
        <v>108</v>
      </c>
      <c r="J125" s="232"/>
      <c r="K125" s="232"/>
      <c r="L125" s="232"/>
      <c r="M125" s="232"/>
      <c r="N125" s="232"/>
      <c r="O125" s="232"/>
      <c r="P125" s="326"/>
      <c r="Q125" s="326"/>
      <c r="R125" s="231"/>
      <c r="S125" s="231"/>
      <c r="T125" s="231"/>
      <c r="U125" s="309"/>
      <c r="V125" s="237"/>
      <c r="W125" s="6"/>
    </row>
    <row r="126" spans="1:24" ht="15.6">
      <c r="A126" s="257"/>
      <c r="B126" s="294" t="s">
        <v>122</v>
      </c>
      <c r="C126" s="310">
        <f>+N199-'March 15'!N199</f>
        <v>-47</v>
      </c>
      <c r="D126" s="294"/>
      <c r="E126" s="310">
        <f>+S199-'March 15'!S199</f>
        <v>-14</v>
      </c>
      <c r="F126" s="294"/>
      <c r="G126" s="310">
        <f>+'June 15'!N212-'March 15'!N212</f>
        <v>-197</v>
      </c>
      <c r="H126" s="294"/>
      <c r="I126" s="310">
        <f>+S212-'March 15'!S212</f>
        <v>-12</v>
      </c>
      <c r="J126" s="294"/>
      <c r="K126" s="294"/>
      <c r="L126" s="294"/>
      <c r="M126" s="294"/>
      <c r="N126" s="294"/>
      <c r="O126" s="294"/>
      <c r="P126" s="325"/>
      <c r="Q126" s="325"/>
      <c r="R126" s="294"/>
      <c r="S126" s="294"/>
      <c r="T126" s="294"/>
      <c r="U126" s="311">
        <f>SUM(C126:I126)</f>
        <v>-270</v>
      </c>
      <c r="V126" s="298"/>
      <c r="W126" s="6"/>
      <c r="X126" s="182"/>
    </row>
    <row r="127" spans="1:24" ht="15.6">
      <c r="A127" s="378"/>
      <c r="B127" s="379" t="s">
        <v>47</v>
      </c>
      <c r="C127" s="379">
        <v>29</v>
      </c>
      <c r="D127" s="379"/>
      <c r="E127" s="379">
        <v>0</v>
      </c>
      <c r="F127" s="379"/>
      <c r="G127" s="379">
        <v>183</v>
      </c>
      <c r="H127" s="379"/>
      <c r="I127" s="440">
        <v>18</v>
      </c>
      <c r="J127" s="379"/>
      <c r="K127" s="379"/>
      <c r="L127" s="379"/>
      <c r="M127" s="379"/>
      <c r="N127" s="379"/>
      <c r="O127" s="379"/>
      <c r="P127" s="450"/>
      <c r="Q127" s="450"/>
      <c r="R127" s="379"/>
      <c r="S127" s="379"/>
      <c r="T127" s="379"/>
      <c r="U127" s="441">
        <f>SUM(C127:I127)</f>
        <v>230</v>
      </c>
      <c r="V127" s="410"/>
      <c r="W127" s="6"/>
    </row>
    <row r="128" spans="1:24" ht="15.6">
      <c r="A128" s="242"/>
      <c r="B128" s="364" t="s">
        <v>48</v>
      </c>
      <c r="C128" s="364"/>
      <c r="D128" s="364"/>
      <c r="E128" s="364"/>
      <c r="F128" s="364"/>
      <c r="G128" s="364"/>
      <c r="H128" s="364"/>
      <c r="I128" s="364"/>
      <c r="J128" s="364"/>
      <c r="K128" s="364"/>
      <c r="L128" s="364"/>
      <c r="M128" s="364"/>
      <c r="N128" s="364"/>
      <c r="O128" s="364"/>
      <c r="P128" s="364"/>
      <c r="Q128" s="364"/>
      <c r="R128" s="364"/>
      <c r="S128" s="364"/>
      <c r="T128" s="364"/>
      <c r="U128" s="449">
        <f>SUM(U126:U127)</f>
        <v>-40</v>
      </c>
      <c r="V128" s="303"/>
      <c r="W128" s="6"/>
      <c r="X128" s="182"/>
    </row>
    <row r="129" spans="1:25" ht="15.6">
      <c r="A129" s="242"/>
      <c r="B129" s="274" t="s">
        <v>49</v>
      </c>
      <c r="C129" s="252"/>
      <c r="D129" s="252"/>
      <c r="E129" s="252"/>
      <c r="F129" s="252"/>
      <c r="G129" s="252"/>
      <c r="H129" s="252"/>
      <c r="I129" s="252"/>
      <c r="J129" s="252"/>
      <c r="K129" s="252"/>
      <c r="L129" s="252"/>
      <c r="M129" s="244"/>
      <c r="N129" s="244"/>
      <c r="O129" s="244"/>
      <c r="P129" s="244"/>
      <c r="Q129" s="244"/>
      <c r="R129" s="244"/>
      <c r="S129" s="244"/>
      <c r="T129" s="244"/>
      <c r="U129" s="263"/>
      <c r="V129" s="245"/>
      <c r="W129" s="6"/>
    </row>
    <row r="130" spans="1:25" ht="15.6">
      <c r="A130" s="444"/>
      <c r="B130" s="379" t="s">
        <v>50</v>
      </c>
      <c r="C130" s="386"/>
      <c r="D130" s="386"/>
      <c r="E130" s="386"/>
      <c r="F130" s="386"/>
      <c r="G130" s="386"/>
      <c r="H130" s="386"/>
      <c r="I130" s="386"/>
      <c r="J130" s="386"/>
      <c r="K130" s="386"/>
      <c r="L130" s="386"/>
      <c r="M130" s="379"/>
      <c r="N130" s="379"/>
      <c r="O130" s="379"/>
      <c r="P130" s="379"/>
      <c r="Q130" s="379"/>
      <c r="R130" s="379"/>
      <c r="S130" s="379"/>
      <c r="T130" s="379"/>
      <c r="U130" s="441">
        <f>U75+U77</f>
        <v>94611</v>
      </c>
      <c r="V130" s="410"/>
      <c r="W130" s="6"/>
      <c r="X130" s="182"/>
    </row>
    <row r="131" spans="1:25" ht="15.6">
      <c r="A131" s="444"/>
      <c r="B131" s="379" t="s">
        <v>51</v>
      </c>
      <c r="C131" s="386"/>
      <c r="D131" s="386"/>
      <c r="E131" s="386"/>
      <c r="F131" s="386"/>
      <c r="G131" s="386"/>
      <c r="H131" s="386"/>
      <c r="I131" s="386"/>
      <c r="J131" s="386"/>
      <c r="K131" s="386"/>
      <c r="L131" s="386"/>
      <c r="M131" s="379"/>
      <c r="N131" s="379"/>
      <c r="O131" s="379"/>
      <c r="P131" s="379"/>
      <c r="Q131" s="379"/>
      <c r="R131" s="379"/>
      <c r="S131" s="379"/>
      <c r="T131" s="379"/>
      <c r="U131" s="441">
        <v>0</v>
      </c>
      <c r="V131" s="410"/>
      <c r="W131" s="6"/>
      <c r="Y131" s="182"/>
    </row>
    <row r="132" spans="1:25" ht="15.6">
      <c r="A132" s="444"/>
      <c r="B132" s="379" t="s">
        <v>52</v>
      </c>
      <c r="C132" s="386"/>
      <c r="D132" s="386"/>
      <c r="E132" s="386"/>
      <c r="F132" s="386"/>
      <c r="G132" s="386"/>
      <c r="H132" s="386"/>
      <c r="I132" s="386"/>
      <c r="J132" s="386"/>
      <c r="K132" s="386"/>
      <c r="L132" s="386"/>
      <c r="M132" s="379"/>
      <c r="N132" s="379"/>
      <c r="O132" s="379"/>
      <c r="P132" s="379"/>
      <c r="Q132" s="379"/>
      <c r="R132" s="379"/>
      <c r="S132" s="379"/>
      <c r="T132" s="379"/>
      <c r="U132" s="441">
        <f>+U130+U131</f>
        <v>94611</v>
      </c>
      <c r="V132" s="410"/>
      <c r="W132" s="6"/>
    </row>
    <row r="133" spans="1:25" ht="15.6">
      <c r="A133" s="444"/>
      <c r="B133" s="379" t="s">
        <v>53</v>
      </c>
      <c r="C133" s="386"/>
      <c r="D133" s="386"/>
      <c r="E133" s="386"/>
      <c r="F133" s="386"/>
      <c r="G133" s="386"/>
      <c r="H133" s="386"/>
      <c r="I133" s="386"/>
      <c r="J133" s="386"/>
      <c r="K133" s="386"/>
      <c r="L133" s="386"/>
      <c r="M133" s="379"/>
      <c r="N133" s="379"/>
      <c r="O133" s="379"/>
      <c r="P133" s="379"/>
      <c r="Q133" s="379"/>
      <c r="R133" s="379"/>
      <c r="S133" s="379"/>
      <c r="T133" s="379"/>
      <c r="U133" s="441">
        <f>U80</f>
        <v>94611</v>
      </c>
      <c r="V133" s="410"/>
      <c r="W133" s="6"/>
      <c r="X133" s="64"/>
    </row>
    <row r="134" spans="1:25" ht="15.6">
      <c r="A134" s="242"/>
      <c r="B134" s="438"/>
      <c r="C134" s="438"/>
      <c r="D134" s="438"/>
      <c r="E134" s="438"/>
      <c r="F134" s="438"/>
      <c r="G134" s="438"/>
      <c r="H134" s="438"/>
      <c r="I134" s="438"/>
      <c r="J134" s="438"/>
      <c r="K134" s="438"/>
      <c r="L134" s="438"/>
      <c r="M134" s="438"/>
      <c r="N134" s="438"/>
      <c r="O134" s="438"/>
      <c r="P134" s="438"/>
      <c r="Q134" s="438"/>
      <c r="R134" s="438"/>
      <c r="S134" s="438"/>
      <c r="T134" s="438"/>
      <c r="U134" s="451"/>
      <c r="V134" s="245"/>
      <c r="W134" s="6"/>
    </row>
    <row r="135" spans="1:25" ht="15.6">
      <c r="A135" s="242"/>
      <c r="B135" s="274" t="s">
        <v>54</v>
      </c>
      <c r="C135" s="247"/>
      <c r="D135" s="247"/>
      <c r="E135" s="247"/>
      <c r="F135" s="247"/>
      <c r="G135" s="247"/>
      <c r="H135" s="247"/>
      <c r="I135" s="247"/>
      <c r="J135" s="247"/>
      <c r="K135" s="247"/>
      <c r="L135" s="247"/>
      <c r="M135" s="247"/>
      <c r="N135" s="247"/>
      <c r="O135" s="247"/>
      <c r="P135" s="247"/>
      <c r="Q135" s="277" t="s">
        <v>112</v>
      </c>
      <c r="R135" s="278"/>
      <c r="S135" s="277" t="s">
        <v>114</v>
      </c>
      <c r="T135" s="247"/>
      <c r="U135" s="279" t="s">
        <v>90</v>
      </c>
      <c r="V135" s="245"/>
      <c r="W135" s="6"/>
    </row>
    <row r="136" spans="1:25" ht="15.6">
      <c r="A136" s="378"/>
      <c r="B136" s="379" t="s">
        <v>55</v>
      </c>
      <c r="C136" s="379"/>
      <c r="D136" s="379"/>
      <c r="E136" s="379"/>
      <c r="F136" s="379"/>
      <c r="G136" s="379"/>
      <c r="H136" s="379"/>
      <c r="I136" s="379"/>
      <c r="J136" s="379"/>
      <c r="K136" s="379"/>
      <c r="L136" s="379"/>
      <c r="M136" s="379"/>
      <c r="N136" s="379"/>
      <c r="O136" s="379"/>
      <c r="P136" s="379"/>
      <c r="Q136" s="441">
        <v>0</v>
      </c>
      <c r="R136" s="379"/>
      <c r="S136" s="453" t="s">
        <v>115</v>
      </c>
      <c r="T136" s="379"/>
      <c r="U136" s="441">
        <f>Q136</f>
        <v>0</v>
      </c>
      <c r="V136" s="385"/>
      <c r="W136" s="6"/>
    </row>
    <row r="137" spans="1:25" ht="15.6">
      <c r="A137" s="378"/>
      <c r="B137" s="379" t="s">
        <v>56</v>
      </c>
      <c r="C137" s="379"/>
      <c r="D137" s="379"/>
      <c r="E137" s="379"/>
      <c r="F137" s="379"/>
      <c r="G137" s="379"/>
      <c r="H137" s="379"/>
      <c r="I137" s="379"/>
      <c r="J137" s="379"/>
      <c r="K137" s="379"/>
      <c r="L137" s="379"/>
      <c r="M137" s="379"/>
      <c r="N137" s="379"/>
      <c r="O137" s="379"/>
      <c r="P137" s="379"/>
      <c r="Q137" s="441">
        <f>+'March 15'!Q139</f>
        <v>4229</v>
      </c>
      <c r="R137" s="379"/>
      <c r="S137" s="453" t="s">
        <v>115</v>
      </c>
      <c r="T137" s="379"/>
      <c r="U137" s="441">
        <f>Q137</f>
        <v>4229</v>
      </c>
      <c r="V137" s="385"/>
      <c r="W137" s="6"/>
    </row>
    <row r="138" spans="1:25" ht="15.6">
      <c r="A138" s="378"/>
      <c r="B138" s="379" t="s">
        <v>57</v>
      </c>
      <c r="C138" s="379"/>
      <c r="D138" s="379"/>
      <c r="E138" s="379"/>
      <c r="F138" s="379"/>
      <c r="G138" s="379"/>
      <c r="H138" s="379"/>
      <c r="I138" s="379"/>
      <c r="J138" s="379"/>
      <c r="K138" s="379"/>
      <c r="L138" s="379"/>
      <c r="M138" s="379"/>
      <c r="N138" s="379"/>
      <c r="O138" s="379"/>
      <c r="P138" s="379"/>
      <c r="Q138" s="441">
        <v>0</v>
      </c>
      <c r="R138" s="379"/>
      <c r="S138" s="453" t="s">
        <v>115</v>
      </c>
      <c r="T138" s="379"/>
      <c r="U138" s="441">
        <f>Q138</f>
        <v>0</v>
      </c>
      <c r="V138" s="385"/>
      <c r="W138" s="6"/>
    </row>
    <row r="139" spans="1:25" ht="15.6">
      <c r="A139" s="378"/>
      <c r="B139" s="379" t="s">
        <v>58</v>
      </c>
      <c r="C139" s="379"/>
      <c r="D139" s="379"/>
      <c r="E139" s="379"/>
      <c r="F139" s="379"/>
      <c r="G139" s="379"/>
      <c r="H139" s="379"/>
      <c r="I139" s="379"/>
      <c r="J139" s="379"/>
      <c r="K139" s="379"/>
      <c r="L139" s="379"/>
      <c r="M139" s="379"/>
      <c r="N139" s="379"/>
      <c r="O139" s="379"/>
      <c r="P139" s="379"/>
      <c r="Q139" s="441">
        <f>SUM(Q137:Q138)</f>
        <v>4229</v>
      </c>
      <c r="R139" s="379"/>
      <c r="S139" s="453" t="s">
        <v>115</v>
      </c>
      <c r="T139" s="379"/>
      <c r="U139" s="441">
        <f>Q139</f>
        <v>4229</v>
      </c>
      <c r="V139" s="385"/>
      <c r="W139" s="6"/>
    </row>
    <row r="140" spans="1:25" ht="15.6">
      <c r="A140" s="378"/>
      <c r="B140" s="379" t="s">
        <v>215</v>
      </c>
      <c r="C140" s="379"/>
      <c r="D140" s="379"/>
      <c r="E140" s="379"/>
      <c r="F140" s="379"/>
      <c r="G140" s="379"/>
      <c r="H140" s="379"/>
      <c r="I140" s="379"/>
      <c r="J140" s="379"/>
      <c r="K140" s="379"/>
      <c r="L140" s="379"/>
      <c r="M140" s="379"/>
      <c r="N140" s="379"/>
      <c r="O140" s="379"/>
      <c r="P140" s="379"/>
      <c r="Q140" s="441"/>
      <c r="R140" s="379"/>
      <c r="S140" s="453"/>
      <c r="T140" s="379"/>
      <c r="U140" s="441"/>
      <c r="V140" s="385"/>
      <c r="W140" s="6"/>
    </row>
    <row r="141" spans="1:25" ht="15.6">
      <c r="A141" s="378"/>
      <c r="B141" s="454"/>
      <c r="C141" s="454"/>
      <c r="D141" s="454"/>
      <c r="E141" s="454"/>
      <c r="F141" s="454"/>
      <c r="G141" s="454"/>
      <c r="H141" s="454"/>
      <c r="I141" s="454"/>
      <c r="J141" s="454"/>
      <c r="K141" s="454"/>
      <c r="L141" s="454"/>
      <c r="M141" s="454"/>
      <c r="N141" s="454"/>
      <c r="O141" s="454"/>
      <c r="P141" s="454"/>
      <c r="Q141" s="454"/>
      <c r="R141" s="454"/>
      <c r="S141" s="454"/>
      <c r="T141" s="454"/>
      <c r="U141" s="454"/>
      <c r="V141" s="385"/>
      <c r="W141" s="6"/>
    </row>
    <row r="142" spans="1:25" ht="15.6">
      <c r="A142" s="242"/>
      <c r="B142" s="452"/>
      <c r="C142" s="452"/>
      <c r="D142" s="452"/>
      <c r="E142" s="452"/>
      <c r="F142" s="452"/>
      <c r="G142" s="452"/>
      <c r="H142" s="452"/>
      <c r="I142" s="452"/>
      <c r="J142" s="452"/>
      <c r="K142" s="452"/>
      <c r="L142" s="452"/>
      <c r="M142" s="452"/>
      <c r="N142" s="452"/>
      <c r="O142" s="452"/>
      <c r="P142" s="452"/>
      <c r="Q142" s="452"/>
      <c r="R142" s="452"/>
      <c r="S142" s="452"/>
      <c r="T142" s="452"/>
      <c r="U142" s="452"/>
      <c r="V142" s="284"/>
      <c r="W142" s="6"/>
    </row>
    <row r="143" spans="1:25" ht="15.6">
      <c r="A143" s="230"/>
      <c r="B143" s="511" t="s">
        <v>59</v>
      </c>
      <c r="C143" s="518"/>
      <c r="D143" s="518"/>
      <c r="E143" s="518"/>
      <c r="F143" s="518"/>
      <c r="G143" s="518"/>
      <c r="H143" s="518"/>
      <c r="I143" s="518"/>
      <c r="J143" s="518"/>
      <c r="K143" s="518"/>
      <c r="L143" s="518"/>
      <c r="M143" s="518"/>
      <c r="N143" s="518"/>
      <c r="O143" s="518"/>
      <c r="P143" s="519"/>
      <c r="Q143" s="519"/>
      <c r="R143" s="519"/>
      <c r="S143" s="519">
        <v>42185</v>
      </c>
      <c r="T143" s="231"/>
      <c r="U143" s="231"/>
      <c r="V143" s="237"/>
      <c r="W143" s="6"/>
    </row>
    <row r="144" spans="1:25" ht="15.6">
      <c r="A144" s="281"/>
      <c r="B144" s="294" t="s">
        <v>60</v>
      </c>
      <c r="C144" s="329"/>
      <c r="D144" s="329"/>
      <c r="E144" s="329"/>
      <c r="F144" s="329"/>
      <c r="G144" s="329"/>
      <c r="H144" s="329"/>
      <c r="I144" s="329"/>
      <c r="J144" s="329"/>
      <c r="K144" s="329"/>
      <c r="L144" s="329"/>
      <c r="M144" s="329"/>
      <c r="N144" s="329"/>
      <c r="O144" s="329"/>
      <c r="P144" s="300"/>
      <c r="Q144" s="300"/>
      <c r="R144" s="300"/>
      <c r="S144" s="299">
        <v>0.10630000000000001</v>
      </c>
      <c r="T144" s="294"/>
      <c r="U144" s="294"/>
      <c r="V144" s="260"/>
      <c r="W144" s="6"/>
    </row>
    <row r="145" spans="1:23" ht="15.6">
      <c r="A145" s="458"/>
      <c r="B145" s="379" t="s">
        <v>61</v>
      </c>
      <c r="C145" s="459"/>
      <c r="D145" s="459"/>
      <c r="E145" s="459"/>
      <c r="F145" s="459"/>
      <c r="G145" s="459"/>
      <c r="H145" s="459"/>
      <c r="I145" s="459"/>
      <c r="J145" s="459"/>
      <c r="K145" s="459"/>
      <c r="L145" s="459"/>
      <c r="M145" s="459"/>
      <c r="N145" s="459"/>
      <c r="O145" s="459"/>
      <c r="P145" s="433"/>
      <c r="Q145" s="433"/>
      <c r="R145" s="433"/>
      <c r="S145" s="427">
        <v>5.2200000000000003E-2</v>
      </c>
      <c r="T145" s="427"/>
      <c r="U145" s="379"/>
      <c r="V145" s="385"/>
      <c r="W145" s="6"/>
    </row>
    <row r="146" spans="1:23" ht="15.6">
      <c r="A146" s="458"/>
      <c r="B146" s="379" t="s">
        <v>62</v>
      </c>
      <c r="C146" s="459"/>
      <c r="D146" s="459"/>
      <c r="E146" s="459"/>
      <c r="F146" s="459"/>
      <c r="G146" s="459"/>
      <c r="H146" s="459"/>
      <c r="I146" s="459"/>
      <c r="J146" s="459"/>
      <c r="K146" s="459"/>
      <c r="L146" s="459"/>
      <c r="M146" s="459"/>
      <c r="N146" s="459"/>
      <c r="O146" s="459"/>
      <c r="P146" s="433"/>
      <c r="Q146" s="433"/>
      <c r="R146" s="433"/>
      <c r="S146" s="427">
        <f>S144-S145</f>
        <v>5.4100000000000002E-2</v>
      </c>
      <c r="T146" s="379"/>
      <c r="U146" s="379"/>
      <c r="V146" s="385"/>
      <c r="W146" s="6"/>
    </row>
    <row r="147" spans="1:23" ht="15.6">
      <c r="A147" s="458"/>
      <c r="B147" s="379" t="s">
        <v>63</v>
      </c>
      <c r="C147" s="459"/>
      <c r="D147" s="459"/>
      <c r="E147" s="459"/>
      <c r="F147" s="459"/>
      <c r="G147" s="459"/>
      <c r="H147" s="459"/>
      <c r="I147" s="459"/>
      <c r="J147" s="459"/>
      <c r="K147" s="459"/>
      <c r="L147" s="459"/>
      <c r="M147" s="459"/>
      <c r="N147" s="459"/>
      <c r="O147" s="459"/>
      <c r="P147" s="433"/>
      <c r="Q147" s="433"/>
      <c r="R147" s="433"/>
      <c r="S147" s="554">
        <v>9.078201653935003E-2</v>
      </c>
      <c r="T147" s="379"/>
      <c r="U147" s="379"/>
      <c r="V147" s="385"/>
      <c r="W147" s="6"/>
    </row>
    <row r="148" spans="1:23" ht="15.6">
      <c r="A148" s="458"/>
      <c r="B148" s="379" t="s">
        <v>64</v>
      </c>
      <c r="C148" s="459"/>
      <c r="D148" s="459"/>
      <c r="E148" s="459"/>
      <c r="F148" s="459"/>
      <c r="G148" s="459"/>
      <c r="H148" s="459"/>
      <c r="I148" s="459"/>
      <c r="J148" s="459"/>
      <c r="K148" s="459"/>
      <c r="L148" s="459"/>
      <c r="M148" s="459"/>
      <c r="N148" s="459"/>
      <c r="O148" s="459"/>
      <c r="P148" s="433"/>
      <c r="Q148" s="433"/>
      <c r="R148" s="433"/>
      <c r="S148" s="427">
        <f>+U40</f>
        <v>1.5157813079259261E-2</v>
      </c>
      <c r="T148" s="379"/>
      <c r="U148" s="379"/>
      <c r="V148" s="385"/>
      <c r="W148" s="6"/>
    </row>
    <row r="149" spans="1:23" ht="15.6">
      <c r="A149" s="458"/>
      <c r="B149" s="379" t="s">
        <v>65</v>
      </c>
      <c r="C149" s="459"/>
      <c r="D149" s="459"/>
      <c r="E149" s="459"/>
      <c r="F149" s="459"/>
      <c r="G149" s="459"/>
      <c r="H149" s="459"/>
      <c r="I149" s="459"/>
      <c r="J149" s="459"/>
      <c r="K149" s="459"/>
      <c r="L149" s="459"/>
      <c r="M149" s="459"/>
      <c r="N149" s="459"/>
      <c r="O149" s="459"/>
      <c r="P149" s="433"/>
      <c r="Q149" s="433"/>
      <c r="R149" s="433"/>
      <c r="S149" s="427">
        <f>S147-S148</f>
        <v>7.5624203460090772E-2</v>
      </c>
      <c r="T149" s="379"/>
      <c r="U149" s="379"/>
      <c r="V149" s="385"/>
      <c r="W149" s="6"/>
    </row>
    <row r="150" spans="1:23" ht="15.6">
      <c r="A150" s="458"/>
      <c r="B150" s="379" t="s">
        <v>204</v>
      </c>
      <c r="C150" s="459"/>
      <c r="D150" s="459"/>
      <c r="E150" s="459"/>
      <c r="F150" s="459"/>
      <c r="G150" s="459"/>
      <c r="H150" s="459"/>
      <c r="I150" s="459"/>
      <c r="J150" s="459"/>
      <c r="K150" s="459"/>
      <c r="L150" s="459"/>
      <c r="M150" s="459"/>
      <c r="N150" s="459"/>
      <c r="O150" s="459"/>
      <c r="P150" s="433"/>
      <c r="Q150" s="433"/>
      <c r="R150" s="433"/>
      <c r="S150" s="429">
        <v>49780</v>
      </c>
      <c r="T150" s="379"/>
      <c r="U150" s="379"/>
      <c r="V150" s="385"/>
      <c r="W150" s="6"/>
    </row>
    <row r="151" spans="1:23" ht="15.6">
      <c r="A151" s="458"/>
      <c r="B151" s="379" t="s">
        <v>205</v>
      </c>
      <c r="C151" s="459"/>
      <c r="D151" s="459"/>
      <c r="E151" s="459"/>
      <c r="F151" s="459"/>
      <c r="G151" s="459"/>
      <c r="H151" s="459"/>
      <c r="I151" s="459"/>
      <c r="J151" s="459"/>
      <c r="K151" s="459"/>
      <c r="L151" s="459"/>
      <c r="M151" s="459"/>
      <c r="N151" s="459"/>
      <c r="O151" s="459"/>
      <c r="P151" s="433"/>
      <c r="Q151" s="433"/>
      <c r="R151" s="433"/>
      <c r="S151" s="429">
        <v>49780</v>
      </c>
      <c r="T151" s="379"/>
      <c r="U151" s="379"/>
      <c r="V151" s="385"/>
      <c r="W151" s="6"/>
    </row>
    <row r="152" spans="1:23" ht="15.6">
      <c r="A152" s="458"/>
      <c r="B152" s="379" t="s">
        <v>206</v>
      </c>
      <c r="C152" s="459"/>
      <c r="D152" s="459"/>
      <c r="E152" s="459"/>
      <c r="F152" s="459"/>
      <c r="G152" s="459"/>
      <c r="H152" s="459"/>
      <c r="I152" s="459"/>
      <c r="J152" s="459"/>
      <c r="K152" s="459"/>
      <c r="L152" s="459"/>
      <c r="M152" s="459"/>
      <c r="N152" s="459"/>
      <c r="O152" s="459"/>
      <c r="P152" s="433"/>
      <c r="Q152" s="433"/>
      <c r="R152" s="433"/>
      <c r="S152" s="429">
        <v>49780</v>
      </c>
      <c r="T152" s="379"/>
      <c r="U152" s="379"/>
      <c r="V152" s="385"/>
      <c r="W152" s="6"/>
    </row>
    <row r="153" spans="1:23" ht="15.6">
      <c r="A153" s="458"/>
      <c r="B153" s="379" t="s">
        <v>207</v>
      </c>
      <c r="C153" s="459"/>
      <c r="D153" s="459"/>
      <c r="E153" s="459"/>
      <c r="F153" s="459"/>
      <c r="G153" s="459"/>
      <c r="H153" s="459"/>
      <c r="I153" s="459"/>
      <c r="J153" s="459"/>
      <c r="K153" s="459"/>
      <c r="L153" s="459"/>
      <c r="M153" s="459"/>
      <c r="N153" s="459"/>
      <c r="O153" s="459"/>
      <c r="P153" s="433"/>
      <c r="Q153" s="433"/>
      <c r="R153" s="433"/>
      <c r="S153" s="429">
        <v>49780</v>
      </c>
      <c r="T153" s="379"/>
      <c r="U153" s="379"/>
      <c r="V153" s="385"/>
      <c r="W153" s="6"/>
    </row>
    <row r="154" spans="1:23" ht="15.6">
      <c r="A154" s="458"/>
      <c r="B154" s="379" t="s">
        <v>221</v>
      </c>
      <c r="C154" s="459"/>
      <c r="D154" s="459"/>
      <c r="E154" s="459"/>
      <c r="F154" s="459"/>
      <c r="G154" s="459"/>
      <c r="H154" s="459"/>
      <c r="I154" s="459"/>
      <c r="J154" s="459"/>
      <c r="K154" s="459"/>
      <c r="L154" s="459"/>
      <c r="M154" s="459"/>
      <c r="N154" s="459"/>
      <c r="O154" s="459"/>
      <c r="P154" s="433"/>
      <c r="Q154" s="433"/>
      <c r="R154" s="433"/>
      <c r="S154" s="432">
        <v>111.34</v>
      </c>
      <c r="T154" s="379"/>
      <c r="U154" s="379"/>
      <c r="V154" s="385"/>
      <c r="W154" s="6"/>
    </row>
    <row r="155" spans="1:23" ht="15.6">
      <c r="A155" s="458"/>
      <c r="B155" s="379" t="s">
        <v>222</v>
      </c>
      <c r="C155" s="459"/>
      <c r="D155" s="459"/>
      <c r="E155" s="459"/>
      <c r="F155" s="459"/>
      <c r="G155" s="459"/>
      <c r="H155" s="459"/>
      <c r="I155" s="459"/>
      <c r="J155" s="459"/>
      <c r="K155" s="459"/>
      <c r="L155" s="459"/>
      <c r="M155" s="459"/>
      <c r="N155" s="459"/>
      <c r="O155" s="459"/>
      <c r="P155" s="433"/>
      <c r="Q155" s="433"/>
      <c r="R155" s="433"/>
      <c r="S155" s="555">
        <v>138.8896978044385</v>
      </c>
      <c r="T155" s="379"/>
      <c r="U155" s="379"/>
      <c r="V155" s="385"/>
      <c r="W155" s="6"/>
    </row>
    <row r="156" spans="1:23" ht="15.6">
      <c r="A156" s="458" t="s">
        <v>223</v>
      </c>
      <c r="B156" s="379" t="s">
        <v>66</v>
      </c>
      <c r="C156" s="459"/>
      <c r="D156" s="459"/>
      <c r="E156" s="459"/>
      <c r="F156" s="459"/>
      <c r="G156" s="459"/>
      <c r="H156" s="459"/>
      <c r="I156" s="459"/>
      <c r="J156" s="459"/>
      <c r="K156" s="459"/>
      <c r="L156" s="459"/>
      <c r="M156" s="459"/>
      <c r="N156" s="459"/>
      <c r="O156" s="459"/>
      <c r="P156" s="433"/>
      <c r="Q156" s="433"/>
      <c r="R156" s="433"/>
      <c r="S156" s="427">
        <v>4.2200000000000001E-2</v>
      </c>
      <c r="T156" s="379"/>
      <c r="U156" s="379"/>
      <c r="V156" s="385"/>
      <c r="W156" s="6"/>
    </row>
    <row r="157" spans="1:23" ht="15.6">
      <c r="A157" s="458"/>
      <c r="B157" s="379" t="s">
        <v>67</v>
      </c>
      <c r="C157" s="459"/>
      <c r="D157" s="459"/>
      <c r="E157" s="459"/>
      <c r="F157" s="459"/>
      <c r="G157" s="459"/>
      <c r="H157" s="459"/>
      <c r="I157" s="459"/>
      <c r="J157" s="459"/>
      <c r="K157" s="459"/>
      <c r="L157" s="459"/>
      <c r="M157" s="459"/>
      <c r="N157" s="459"/>
      <c r="O157" s="459"/>
      <c r="P157" s="433"/>
      <c r="Q157" s="433"/>
      <c r="R157" s="433"/>
      <c r="S157" s="427">
        <v>0.25950000000000001</v>
      </c>
      <c r="T157" s="379"/>
      <c r="U157" s="379"/>
      <c r="V157" s="385"/>
      <c r="W157" s="6"/>
    </row>
    <row r="158" spans="1:23" ht="15.6">
      <c r="A158" s="280"/>
      <c r="B158" s="364"/>
      <c r="C158" s="364"/>
      <c r="D158" s="364"/>
      <c r="E158" s="364"/>
      <c r="F158" s="364"/>
      <c r="G158" s="364"/>
      <c r="H158" s="364"/>
      <c r="I158" s="364"/>
      <c r="J158" s="364"/>
      <c r="K158" s="364"/>
      <c r="L158" s="364"/>
      <c r="M158" s="364"/>
      <c r="N158" s="364"/>
      <c r="O158" s="364"/>
      <c r="P158" s="364"/>
      <c r="Q158" s="364"/>
      <c r="R158" s="455"/>
      <c r="S158" s="456"/>
      <c r="T158" s="364"/>
      <c r="U158" s="457"/>
      <c r="V158" s="245"/>
      <c r="W158" s="6"/>
    </row>
    <row r="159" spans="1:23" ht="15.6">
      <c r="A159" s="280"/>
      <c r="B159" s="288"/>
      <c r="C159" s="288"/>
      <c r="D159" s="288"/>
      <c r="E159" s="288"/>
      <c r="F159" s="288"/>
      <c r="G159" s="288"/>
      <c r="H159" s="288"/>
      <c r="I159" s="288"/>
      <c r="J159" s="288"/>
      <c r="K159" s="288"/>
      <c r="L159" s="288"/>
      <c r="M159" s="288"/>
      <c r="N159" s="288"/>
      <c r="O159" s="288"/>
      <c r="P159" s="288"/>
      <c r="Q159" s="288"/>
      <c r="R159" s="331"/>
      <c r="S159" s="332"/>
      <c r="T159" s="288"/>
      <c r="U159" s="333"/>
      <c r="V159" s="245"/>
      <c r="W159" s="6"/>
    </row>
    <row r="160" spans="1:23" ht="16.2" thickBot="1">
      <c r="A160" s="282"/>
      <c r="B160" s="304" t="str">
        <f>+B109</f>
        <v>PPAF3 INVESTOR REPORT QUARTER ENDING JUNE 2015</v>
      </c>
      <c r="C160" s="305"/>
      <c r="D160" s="305"/>
      <c r="E160" s="305"/>
      <c r="F160" s="305"/>
      <c r="G160" s="305"/>
      <c r="H160" s="305"/>
      <c r="I160" s="305"/>
      <c r="J160" s="305"/>
      <c r="K160" s="305"/>
      <c r="L160" s="305"/>
      <c r="M160" s="305"/>
      <c r="N160" s="305"/>
      <c r="O160" s="305"/>
      <c r="P160" s="305"/>
      <c r="Q160" s="305"/>
      <c r="R160" s="334"/>
      <c r="S160" s="335"/>
      <c r="T160" s="305"/>
      <c r="U160" s="336"/>
      <c r="V160" s="262"/>
      <c r="W160" s="6"/>
    </row>
    <row r="161" spans="1:23" ht="15.6">
      <c r="A161" s="337"/>
      <c r="B161" s="520" t="s">
        <v>68</v>
      </c>
      <c r="C161" s="521"/>
      <c r="D161" s="521"/>
      <c r="E161" s="521"/>
      <c r="F161" s="521"/>
      <c r="G161" s="521"/>
      <c r="H161" s="521"/>
      <c r="I161" s="521"/>
      <c r="J161" s="521"/>
      <c r="K161" s="521"/>
      <c r="L161" s="521"/>
      <c r="M161" s="522"/>
      <c r="N161" s="521"/>
      <c r="O161" s="522"/>
      <c r="P161" s="521"/>
      <c r="Q161" s="522"/>
      <c r="R161" s="521" t="s">
        <v>94</v>
      </c>
      <c r="S161" s="522" t="s">
        <v>116</v>
      </c>
      <c r="T161" s="340"/>
      <c r="U161" s="340"/>
      <c r="V161" s="341"/>
      <c r="W161" s="6"/>
    </row>
    <row r="162" spans="1:23" ht="15.6">
      <c r="A162" s="283"/>
      <c r="B162" s="294" t="s">
        <v>216</v>
      </c>
      <c r="C162" s="310"/>
      <c r="D162" s="310"/>
      <c r="E162" s="310"/>
      <c r="F162" s="310"/>
      <c r="G162" s="310"/>
      <c r="H162" s="310"/>
      <c r="I162" s="310"/>
      <c r="J162" s="310"/>
      <c r="K162" s="310"/>
      <c r="L162" s="310"/>
      <c r="M162" s="310"/>
      <c r="N162" s="310"/>
      <c r="O162" s="294"/>
      <c r="P162" s="294"/>
      <c r="Q162" s="294"/>
      <c r="R162" s="310">
        <v>489</v>
      </c>
      <c r="S162" s="311">
        <v>11346</v>
      </c>
      <c r="T162" s="311"/>
      <c r="U162" s="330"/>
      <c r="V162" s="342"/>
      <c r="W162" s="6"/>
    </row>
    <row r="163" spans="1:23" ht="15.6">
      <c r="A163" s="465"/>
      <c r="B163" s="379" t="s">
        <v>217</v>
      </c>
      <c r="C163" s="440"/>
      <c r="D163" s="440"/>
      <c r="E163" s="440"/>
      <c r="F163" s="440"/>
      <c r="G163" s="440"/>
      <c r="H163" s="440"/>
      <c r="I163" s="440"/>
      <c r="J163" s="440"/>
      <c r="K163" s="440"/>
      <c r="L163" s="440"/>
      <c r="M163" s="440"/>
      <c r="N163" s="440"/>
      <c r="O163" s="379"/>
      <c r="P163" s="379"/>
      <c r="Q163" s="379"/>
      <c r="R163" s="545">
        <v>6</v>
      </c>
      <c r="S163" s="546">
        <v>21</v>
      </c>
      <c r="T163" s="441"/>
      <c r="U163" s="466"/>
      <c r="V163" s="467"/>
      <c r="W163" s="6"/>
    </row>
    <row r="164" spans="1:23" ht="15.6">
      <c r="A164" s="465"/>
      <c r="B164" s="379" t="s">
        <v>218</v>
      </c>
      <c r="C164" s="440"/>
      <c r="D164" s="440"/>
      <c r="E164" s="440"/>
      <c r="F164" s="440"/>
      <c r="G164" s="440"/>
      <c r="H164" s="440"/>
      <c r="I164" s="440"/>
      <c r="J164" s="440"/>
      <c r="K164" s="440"/>
      <c r="L164" s="440"/>
      <c r="M164" s="440"/>
      <c r="N164" s="440"/>
      <c r="O164" s="379"/>
      <c r="P164" s="379"/>
      <c r="Q164" s="379"/>
      <c r="R164" s="545">
        <v>99</v>
      </c>
      <c r="S164" s="546">
        <v>90</v>
      </c>
      <c r="T164" s="441"/>
      <c r="U164" s="466"/>
      <c r="V164" s="467"/>
      <c r="W164" s="6"/>
    </row>
    <row r="165" spans="1:23" ht="15.6">
      <c r="A165" s="465"/>
      <c r="B165" s="379" t="s">
        <v>219</v>
      </c>
      <c r="C165" s="440"/>
      <c r="D165" s="440"/>
      <c r="E165" s="440"/>
      <c r="F165" s="440"/>
      <c r="G165" s="440"/>
      <c r="H165" s="440"/>
      <c r="I165" s="440"/>
      <c r="J165" s="440"/>
      <c r="K165" s="440"/>
      <c r="L165" s="440"/>
      <c r="M165" s="440"/>
      <c r="N165" s="440"/>
      <c r="O165" s="379"/>
      <c r="P165" s="379"/>
      <c r="Q165" s="379"/>
      <c r="R165" s="545">
        <v>75</v>
      </c>
      <c r="S165" s="546">
        <v>121</v>
      </c>
      <c r="T165" s="441"/>
      <c r="U165" s="466"/>
      <c r="V165" s="467"/>
      <c r="W165" s="6"/>
    </row>
    <row r="166" spans="1:23" ht="15.6">
      <c r="A166" s="465"/>
      <c r="B166" s="379" t="s">
        <v>90</v>
      </c>
      <c r="C166" s="440"/>
      <c r="D166" s="440"/>
      <c r="E166" s="440"/>
      <c r="F166" s="440"/>
      <c r="G166" s="440"/>
      <c r="H166" s="440"/>
      <c r="I166" s="440"/>
      <c r="J166" s="440"/>
      <c r="K166" s="440"/>
      <c r="L166" s="440"/>
      <c r="M166" s="440"/>
      <c r="N166" s="440"/>
      <c r="O166" s="379"/>
      <c r="P166" s="379"/>
      <c r="Q166" s="379"/>
      <c r="R166" s="547">
        <f>SUM(R162:R165)</f>
        <v>669</v>
      </c>
      <c r="S166" s="546">
        <f>SUM(S162:S165)</f>
        <v>11578</v>
      </c>
      <c r="T166" s="441"/>
      <c r="U166" s="466"/>
      <c r="V166" s="467"/>
      <c r="W166" s="6"/>
    </row>
    <row r="167" spans="1:23" ht="15.6">
      <c r="A167" s="465"/>
      <c r="B167" s="379"/>
      <c r="C167" s="440"/>
      <c r="D167" s="440"/>
      <c r="E167" s="440"/>
      <c r="F167" s="440"/>
      <c r="G167" s="440"/>
      <c r="H167" s="440"/>
      <c r="I167" s="440"/>
      <c r="J167" s="440"/>
      <c r="K167" s="440"/>
      <c r="L167" s="440"/>
      <c r="M167" s="440"/>
      <c r="N167" s="440"/>
      <c r="O167" s="379"/>
      <c r="P167" s="379"/>
      <c r="Q167" s="379"/>
      <c r="R167" s="545"/>
      <c r="S167" s="546"/>
      <c r="T167" s="441"/>
      <c r="U167" s="466"/>
      <c r="V167" s="467"/>
      <c r="W167" s="6"/>
    </row>
    <row r="168" spans="1:23" ht="15.6">
      <c r="A168" s="465"/>
      <c r="B168" s="379" t="s">
        <v>220</v>
      </c>
      <c r="C168" s="440"/>
      <c r="D168" s="440"/>
      <c r="E168" s="440"/>
      <c r="F168" s="440"/>
      <c r="G168" s="440"/>
      <c r="H168" s="440"/>
      <c r="I168" s="440"/>
      <c r="J168" s="440"/>
      <c r="K168" s="440"/>
      <c r="L168" s="440"/>
      <c r="M168" s="440"/>
      <c r="N168" s="440"/>
      <c r="O168" s="379"/>
      <c r="P168" s="379"/>
      <c r="Q168" s="379"/>
      <c r="R168" s="545">
        <v>0</v>
      </c>
      <c r="S168" s="546">
        <v>0</v>
      </c>
      <c r="T168" s="441"/>
      <c r="U168" s="466"/>
      <c r="V168" s="467"/>
      <c r="W168" s="6"/>
    </row>
    <row r="169" spans="1:23" ht="15.6">
      <c r="A169" s="465"/>
      <c r="B169" s="379" t="s">
        <v>224</v>
      </c>
      <c r="C169" s="440"/>
      <c r="D169" s="440"/>
      <c r="E169" s="440"/>
      <c r="F169" s="440"/>
      <c r="G169" s="440"/>
      <c r="H169" s="440"/>
      <c r="I169" s="440"/>
      <c r="J169" s="440"/>
      <c r="K169" s="440"/>
      <c r="L169" s="440"/>
      <c r="M169" s="440"/>
      <c r="N169" s="440"/>
      <c r="O169" s="379"/>
      <c r="P169" s="379"/>
      <c r="Q169" s="379"/>
      <c r="R169" s="545">
        <v>9</v>
      </c>
      <c r="S169" s="546">
        <v>230</v>
      </c>
      <c r="T169" s="441"/>
      <c r="U169" s="466"/>
      <c r="V169" s="467"/>
      <c r="W169" s="6"/>
    </row>
    <row r="170" spans="1:23" ht="15.6">
      <c r="A170" s="465"/>
      <c r="B170" s="468" t="s">
        <v>69</v>
      </c>
      <c r="C170" s="469"/>
      <c r="D170" s="469"/>
      <c r="E170" s="469"/>
      <c r="F170" s="469"/>
      <c r="G170" s="469"/>
      <c r="H170" s="469"/>
      <c r="I170" s="469"/>
      <c r="J170" s="469"/>
      <c r="K170" s="469"/>
      <c r="L170" s="469"/>
      <c r="M170" s="469"/>
      <c r="N170" s="469"/>
      <c r="O170" s="454"/>
      <c r="P170" s="454"/>
      <c r="Q170" s="454"/>
      <c r="R170" s="539"/>
      <c r="S170" s="540">
        <v>0</v>
      </c>
      <c r="T170" s="454"/>
      <c r="U170" s="470"/>
      <c r="V170" s="471"/>
      <c r="W170" s="6"/>
    </row>
    <row r="171" spans="1:23" ht="15.6">
      <c r="A171" s="465"/>
      <c r="B171" s="468" t="s">
        <v>70</v>
      </c>
      <c r="C171" s="469"/>
      <c r="D171" s="469"/>
      <c r="E171" s="469"/>
      <c r="F171" s="469"/>
      <c r="G171" s="469"/>
      <c r="H171" s="469"/>
      <c r="I171" s="469"/>
      <c r="J171" s="469"/>
      <c r="K171" s="469"/>
      <c r="L171" s="469"/>
      <c r="M171" s="469"/>
      <c r="N171" s="469"/>
      <c r="O171" s="454"/>
      <c r="P171" s="454"/>
      <c r="Q171" s="454"/>
      <c r="R171" s="539"/>
      <c r="S171" s="540">
        <f>Q75</f>
        <v>0</v>
      </c>
      <c r="T171" s="454"/>
      <c r="U171" s="470"/>
      <c r="V171" s="471"/>
      <c r="W171" s="6"/>
    </row>
    <row r="172" spans="1:23" ht="15.6">
      <c r="A172" s="472"/>
      <c r="B172" s="468" t="s">
        <v>71</v>
      </c>
      <c r="C172" s="469"/>
      <c r="D172" s="469"/>
      <c r="E172" s="469"/>
      <c r="F172" s="469"/>
      <c r="G172" s="469"/>
      <c r="H172" s="469"/>
      <c r="I172" s="469"/>
      <c r="J172" s="469"/>
      <c r="K172" s="469"/>
      <c r="L172" s="469"/>
      <c r="M172" s="473"/>
      <c r="N172" s="473"/>
      <c r="O172" s="473"/>
      <c r="P172" s="454"/>
      <c r="Q172" s="454"/>
      <c r="R172" s="379"/>
      <c r="S172" s="500"/>
      <c r="T172" s="454"/>
      <c r="U172" s="470"/>
      <c r="V172" s="474"/>
      <c r="W172" s="6"/>
    </row>
    <row r="173" spans="1:23" ht="15.6">
      <c r="A173" s="465"/>
      <c r="B173" s="379" t="s">
        <v>72</v>
      </c>
      <c r="C173" s="469"/>
      <c r="D173" s="469"/>
      <c r="E173" s="469"/>
      <c r="F173" s="469"/>
      <c r="G173" s="469"/>
      <c r="H173" s="469"/>
      <c r="I173" s="469"/>
      <c r="J173" s="469"/>
      <c r="K173" s="469"/>
      <c r="L173" s="469"/>
      <c r="M173" s="469"/>
      <c r="N173" s="469"/>
      <c r="O173" s="469"/>
      <c r="P173" s="454"/>
      <c r="Q173" s="454"/>
      <c r="R173" s="379"/>
      <c r="S173" s="546">
        <f>U128</f>
        <v>-40</v>
      </c>
      <c r="T173" s="454"/>
      <c r="U173" s="470"/>
      <c r="V173" s="474"/>
      <c r="W173" s="6"/>
    </row>
    <row r="174" spans="1:23" ht="15.6">
      <c r="A174" s="465"/>
      <c r="B174" s="379" t="s">
        <v>73</v>
      </c>
      <c r="C174" s="469"/>
      <c r="D174" s="469"/>
      <c r="E174" s="469"/>
      <c r="F174" s="469"/>
      <c r="G174" s="469"/>
      <c r="H174" s="469"/>
      <c r="I174" s="469"/>
      <c r="J174" s="469"/>
      <c r="K174" s="469"/>
      <c r="L174" s="469"/>
      <c r="M174" s="469"/>
      <c r="N174" s="469"/>
      <c r="O174" s="469"/>
      <c r="P174" s="454"/>
      <c r="Q174" s="454"/>
      <c r="R174" s="379"/>
      <c r="S174" s="546">
        <f>'March 15'!S174+S173</f>
        <v>89233</v>
      </c>
      <c r="T174" s="454"/>
      <c r="U174" s="470"/>
      <c r="V174" s="474"/>
      <c r="W174" s="6"/>
    </row>
    <row r="175" spans="1:23" ht="15.6">
      <c r="A175" s="465"/>
      <c r="B175" s="379" t="s">
        <v>74</v>
      </c>
      <c r="C175" s="469"/>
      <c r="D175" s="469"/>
      <c r="E175" s="469"/>
      <c r="F175" s="469"/>
      <c r="G175" s="469"/>
      <c r="H175" s="469"/>
      <c r="I175" s="469"/>
      <c r="J175" s="469"/>
      <c r="K175" s="469"/>
      <c r="L175" s="469"/>
      <c r="M175" s="469"/>
      <c r="N175" s="469"/>
      <c r="O175" s="469"/>
      <c r="P175" s="454"/>
      <c r="Q175" s="454"/>
      <c r="R175" s="379"/>
      <c r="S175" s="546">
        <f>'March 15'!S175+898</f>
        <v>26912</v>
      </c>
      <c r="T175" s="454"/>
      <c r="U175" s="470"/>
      <c r="V175" s="474"/>
      <c r="W175" s="6"/>
    </row>
    <row r="176" spans="1:23" ht="15.6">
      <c r="A176" s="465"/>
      <c r="B176" s="473"/>
      <c r="C176" s="469"/>
      <c r="D176" s="469"/>
      <c r="E176" s="469"/>
      <c r="F176" s="469"/>
      <c r="G176" s="469"/>
      <c r="H176" s="469"/>
      <c r="I176" s="469"/>
      <c r="J176" s="469"/>
      <c r="K176" s="469"/>
      <c r="L176" s="469"/>
      <c r="M176" s="469"/>
      <c r="N176" s="469"/>
      <c r="O176" s="469"/>
      <c r="P176" s="454"/>
      <c r="Q176" s="454"/>
      <c r="R176" s="379"/>
      <c r="S176" s="546"/>
      <c r="T176" s="454"/>
      <c r="U176" s="470"/>
      <c r="V176" s="474"/>
      <c r="W176" s="6"/>
    </row>
    <row r="177" spans="1:23" ht="15.6">
      <c r="A177" s="472"/>
      <c r="B177" s="468" t="s">
        <v>259</v>
      </c>
      <c r="C177" s="469"/>
      <c r="D177" s="469"/>
      <c r="E177" s="469"/>
      <c r="F177" s="469"/>
      <c r="G177" s="469"/>
      <c r="H177" s="469"/>
      <c r="I177" s="469"/>
      <c r="J177" s="469"/>
      <c r="K177" s="469"/>
      <c r="L177" s="469"/>
      <c r="M177" s="473"/>
      <c r="N177" s="473"/>
      <c r="O177" s="473"/>
      <c r="P177" s="454"/>
      <c r="Q177" s="454"/>
      <c r="R177" s="379"/>
      <c r="S177" s="548"/>
      <c r="T177" s="454"/>
      <c r="U177" s="470"/>
      <c r="V177" s="474"/>
      <c r="W177" s="6"/>
    </row>
    <row r="178" spans="1:23" ht="15.6">
      <c r="A178" s="472"/>
      <c r="B178" s="379" t="s">
        <v>254</v>
      </c>
      <c r="C178" s="469"/>
      <c r="D178" s="469"/>
      <c r="E178" s="469"/>
      <c r="F178" s="469"/>
      <c r="G178" s="469"/>
      <c r="H178" s="469"/>
      <c r="I178" s="469"/>
      <c r="J178" s="469"/>
      <c r="K178" s="469"/>
      <c r="L178" s="469"/>
      <c r="M178" s="473"/>
      <c r="N178" s="473"/>
      <c r="O178" s="473"/>
      <c r="P178" s="454"/>
      <c r="Q178" s="454"/>
      <c r="R178" s="379"/>
      <c r="S178" s="548">
        <v>4</v>
      </c>
      <c r="T178" s="454"/>
      <c r="U178" s="470"/>
      <c r="V178" s="474"/>
      <c r="W178" s="6"/>
    </row>
    <row r="179" spans="1:23" ht="15.6">
      <c r="A179" s="465"/>
      <c r="B179" s="379" t="s">
        <v>75</v>
      </c>
      <c r="C179" s="469"/>
      <c r="D179" s="469"/>
      <c r="E179" s="469"/>
      <c r="F179" s="469"/>
      <c r="G179" s="469"/>
      <c r="H179" s="469"/>
      <c r="I179" s="469"/>
      <c r="J179" s="469"/>
      <c r="K179" s="469"/>
      <c r="L179" s="469"/>
      <c r="M179" s="475"/>
      <c r="N179" s="475"/>
      <c r="O179" s="476"/>
      <c r="P179" s="454"/>
      <c r="Q179" s="454"/>
      <c r="R179" s="379"/>
      <c r="S179" s="549">
        <v>18.850000000000001</v>
      </c>
      <c r="T179" s="454"/>
      <c r="U179" s="470"/>
      <c r="V179" s="474"/>
      <c r="W179" s="6"/>
    </row>
    <row r="180" spans="1:23" ht="15.6">
      <c r="A180" s="465"/>
      <c r="B180" s="379" t="s">
        <v>76</v>
      </c>
      <c r="C180" s="469"/>
      <c r="D180" s="469"/>
      <c r="E180" s="469"/>
      <c r="F180" s="469"/>
      <c r="G180" s="469"/>
      <c r="H180" s="469"/>
      <c r="I180" s="469"/>
      <c r="J180" s="469"/>
      <c r="K180" s="469"/>
      <c r="L180" s="469"/>
      <c r="M180" s="475"/>
      <c r="N180" s="475"/>
      <c r="O180" s="476"/>
      <c r="P180" s="454"/>
      <c r="Q180" s="454"/>
      <c r="R180" s="379"/>
      <c r="S180" s="548">
        <v>1048</v>
      </c>
      <c r="T180" s="454"/>
      <c r="U180" s="470"/>
      <c r="V180" s="474"/>
      <c r="W180" s="6"/>
    </row>
    <row r="181" spans="1:23" ht="15.6">
      <c r="A181" s="465"/>
      <c r="B181" s="473"/>
      <c r="C181" s="469"/>
      <c r="D181" s="469"/>
      <c r="E181" s="469"/>
      <c r="F181" s="469"/>
      <c r="G181" s="469"/>
      <c r="H181" s="469"/>
      <c r="I181" s="469"/>
      <c r="J181" s="469"/>
      <c r="K181" s="469"/>
      <c r="L181" s="469"/>
      <c r="M181" s="477"/>
      <c r="N181" s="475"/>
      <c r="O181" s="476"/>
      <c r="P181" s="454"/>
      <c r="Q181" s="454"/>
      <c r="R181" s="379"/>
      <c r="S181" s="537"/>
      <c r="T181" s="454"/>
      <c r="U181" s="470"/>
      <c r="V181" s="474"/>
      <c r="W181" s="6"/>
    </row>
    <row r="182" spans="1:23" ht="15.6">
      <c r="A182" s="465"/>
      <c r="B182" s="468" t="s">
        <v>77</v>
      </c>
      <c r="C182" s="469"/>
      <c r="D182" s="469"/>
      <c r="E182" s="469"/>
      <c r="F182" s="469"/>
      <c r="G182" s="469"/>
      <c r="H182" s="469"/>
      <c r="I182" s="469"/>
      <c r="J182" s="469"/>
      <c r="K182" s="469"/>
      <c r="L182" s="469"/>
      <c r="M182" s="469"/>
      <c r="N182" s="477"/>
      <c r="O182" s="475"/>
      <c r="P182" s="476"/>
      <c r="Q182" s="454"/>
      <c r="R182" s="380"/>
      <c r="S182" s="538"/>
      <c r="T182" s="478"/>
      <c r="U182" s="390"/>
      <c r="V182" s="479"/>
      <c r="W182" s="6"/>
    </row>
    <row r="183" spans="1:23" ht="15.6">
      <c r="A183" s="465"/>
      <c r="B183" s="379" t="s">
        <v>78</v>
      </c>
      <c r="C183" s="469"/>
      <c r="D183" s="469"/>
      <c r="E183" s="469"/>
      <c r="F183" s="469"/>
      <c r="G183" s="469"/>
      <c r="H183" s="469"/>
      <c r="I183" s="469"/>
      <c r="J183" s="469"/>
      <c r="K183" s="469"/>
      <c r="L183" s="469"/>
      <c r="M183" s="469"/>
      <c r="N183" s="477"/>
      <c r="O183" s="475"/>
      <c r="P183" s="476"/>
      <c r="Q183" s="454"/>
      <c r="R183" s="380"/>
      <c r="S183" s="550">
        <v>0</v>
      </c>
      <c r="T183" s="480"/>
      <c r="U183" s="390"/>
      <c r="V183" s="479"/>
      <c r="W183" s="6"/>
    </row>
    <row r="184" spans="1:23" ht="15.6">
      <c r="A184" s="465"/>
      <c r="B184" s="379" t="s">
        <v>75</v>
      </c>
      <c r="C184" s="469"/>
      <c r="D184" s="469"/>
      <c r="E184" s="469"/>
      <c r="F184" s="469"/>
      <c r="G184" s="469"/>
      <c r="H184" s="469"/>
      <c r="I184" s="469"/>
      <c r="J184" s="469"/>
      <c r="K184" s="469"/>
      <c r="L184" s="469"/>
      <c r="M184" s="469"/>
      <c r="N184" s="477"/>
      <c r="O184" s="475"/>
      <c r="P184" s="476"/>
      <c r="Q184" s="454"/>
      <c r="R184" s="380"/>
      <c r="S184" s="550">
        <v>0</v>
      </c>
      <c r="T184" s="480"/>
      <c r="U184" s="390"/>
      <c r="V184" s="479"/>
      <c r="W184" s="6"/>
    </row>
    <row r="185" spans="1:23" ht="15.6">
      <c r="A185" s="465"/>
      <c r="B185" s="379" t="s">
        <v>79</v>
      </c>
      <c r="C185" s="469"/>
      <c r="D185" s="469"/>
      <c r="E185" s="469"/>
      <c r="F185" s="469"/>
      <c r="G185" s="469"/>
      <c r="H185" s="469"/>
      <c r="I185" s="469"/>
      <c r="J185" s="469"/>
      <c r="K185" s="469"/>
      <c r="L185" s="469"/>
      <c r="M185" s="469"/>
      <c r="N185" s="477"/>
      <c r="O185" s="475"/>
      <c r="P185" s="476"/>
      <c r="Q185" s="454"/>
      <c r="R185" s="380"/>
      <c r="S185" s="550">
        <v>0</v>
      </c>
      <c r="T185" s="480"/>
      <c r="U185" s="390"/>
      <c r="V185" s="479"/>
      <c r="W185" s="6"/>
    </row>
    <row r="186" spans="1:23" ht="15.6">
      <c r="A186" s="465"/>
      <c r="B186" s="473"/>
      <c r="C186" s="469"/>
      <c r="D186" s="469"/>
      <c r="E186" s="469"/>
      <c r="F186" s="469"/>
      <c r="G186" s="469"/>
      <c r="H186" s="469"/>
      <c r="I186" s="469"/>
      <c r="J186" s="469"/>
      <c r="K186" s="469"/>
      <c r="L186" s="469"/>
      <c r="M186" s="477"/>
      <c r="N186" s="475"/>
      <c r="O186" s="476"/>
      <c r="P186" s="454"/>
      <c r="Q186" s="454"/>
      <c r="R186" s="454"/>
      <c r="S186" s="537"/>
      <c r="T186" s="454"/>
      <c r="U186" s="470"/>
      <c r="V186" s="474"/>
      <c r="W186" s="6"/>
    </row>
    <row r="187" spans="1:23" ht="17.399999999999999">
      <c r="A187" s="465"/>
      <c r="B187" s="482" t="s">
        <v>196</v>
      </c>
      <c r="C187" s="469"/>
      <c r="D187" s="469"/>
      <c r="E187" s="469"/>
      <c r="F187" s="469"/>
      <c r="G187" s="469"/>
      <c r="H187" s="469"/>
      <c r="I187" s="469"/>
      <c r="J187" s="469"/>
      <c r="K187" s="483" t="s">
        <v>195</v>
      </c>
      <c r="L187" s="469"/>
      <c r="M187" s="477"/>
      <c r="N187" s="475"/>
      <c r="O187" s="476"/>
      <c r="P187" s="454"/>
      <c r="Q187" s="454"/>
      <c r="R187" s="454"/>
      <c r="S187" s="481"/>
      <c r="T187" s="454"/>
      <c r="U187" s="470"/>
      <c r="V187" s="474"/>
      <c r="W187" s="6"/>
    </row>
    <row r="188" spans="1:23" ht="15.6">
      <c r="A188" s="242"/>
      <c r="B188" s="460"/>
      <c r="C188" s="461"/>
      <c r="D188" s="461"/>
      <c r="E188" s="461"/>
      <c r="F188" s="461"/>
      <c r="G188" s="461"/>
      <c r="H188" s="461"/>
      <c r="I188" s="461"/>
      <c r="J188" s="461"/>
      <c r="K188" s="461"/>
      <c r="L188" s="461"/>
      <c r="M188" s="462"/>
      <c r="N188" s="461"/>
      <c r="O188" s="462"/>
      <c r="P188" s="461"/>
      <c r="Q188" s="462"/>
      <c r="R188" s="461"/>
      <c r="S188" s="462"/>
      <c r="T188" s="461"/>
      <c r="U188" s="463"/>
      <c r="V188" s="464"/>
      <c r="W188" s="6"/>
    </row>
    <row r="189" spans="1:23" ht="15.6">
      <c r="A189" s="348"/>
      <c r="B189" s="525" t="s">
        <v>80</v>
      </c>
      <c r="C189" s="343"/>
      <c r="D189" s="343"/>
      <c r="E189" s="343"/>
      <c r="F189" s="343"/>
      <c r="G189" s="343"/>
      <c r="H189" s="343"/>
      <c r="I189" s="343"/>
      <c r="J189" s="343"/>
      <c r="K189" s="343"/>
      <c r="L189" s="343"/>
      <c r="M189" s="525" t="s">
        <v>100</v>
      </c>
      <c r="N189" s="526"/>
      <c r="O189" s="527"/>
      <c r="P189" s="526"/>
      <c r="Q189" s="525"/>
      <c r="R189" s="525" t="s">
        <v>26</v>
      </c>
      <c r="S189" s="527"/>
      <c r="T189" s="526"/>
      <c r="U189" s="346"/>
      <c r="V189" s="528"/>
      <c r="W189" s="6"/>
    </row>
    <row r="190" spans="1:23" ht="15.6">
      <c r="A190" s="365"/>
      <c r="B190" s="366"/>
      <c r="C190" s="529"/>
      <c r="D190" s="529"/>
      <c r="E190" s="529"/>
      <c r="F190" s="529"/>
      <c r="G190" s="529"/>
      <c r="H190" s="529"/>
      <c r="I190" s="529"/>
      <c r="J190" s="529"/>
      <c r="K190" s="529"/>
      <c r="L190" s="529" t="s">
        <v>94</v>
      </c>
      <c r="M190" s="530" t="s">
        <v>101</v>
      </c>
      <c r="N190" s="529" t="s">
        <v>103</v>
      </c>
      <c r="O190" s="530" t="s">
        <v>101</v>
      </c>
      <c r="P190" s="530"/>
      <c r="Q190" s="529" t="s">
        <v>94</v>
      </c>
      <c r="R190" s="530" t="s">
        <v>101</v>
      </c>
      <c r="S190" s="529" t="s">
        <v>103</v>
      </c>
      <c r="T190" s="530" t="s">
        <v>101</v>
      </c>
      <c r="U190" s="369"/>
      <c r="V190" s="531"/>
      <c r="W190" s="6"/>
    </row>
    <row r="191" spans="1:23" ht="15.6">
      <c r="A191" s="316"/>
      <c r="B191" s="360" t="s">
        <v>81</v>
      </c>
      <c r="C191" s="361"/>
      <c r="D191" s="361"/>
      <c r="E191" s="361"/>
      <c r="F191" s="361"/>
      <c r="G191" s="361"/>
      <c r="H191" s="361"/>
      <c r="I191" s="361"/>
      <c r="J191" s="361"/>
      <c r="K191" s="361"/>
      <c r="L191" s="361">
        <v>253</v>
      </c>
      <c r="M191" s="362">
        <f t="shared" ref="M191:M197" si="0">+L191/$L$198</f>
        <v>0.68937329700272476</v>
      </c>
      <c r="N191" s="361">
        <v>877</v>
      </c>
      <c r="O191" s="362">
        <f t="shared" ref="O191:O197" si="1">N191/$N$198</f>
        <v>0.83523809523809522</v>
      </c>
      <c r="P191" s="363"/>
      <c r="Q191" s="361">
        <v>56</v>
      </c>
      <c r="R191" s="362">
        <f t="shared" ref="R191:R197" si="2">+Q191/$Q$198</f>
        <v>0.25688073394495414</v>
      </c>
      <c r="S191" s="552">
        <v>48</v>
      </c>
      <c r="T191" s="362">
        <f>+S191/$S$198</f>
        <v>0.2742857142857143</v>
      </c>
      <c r="U191" s="364"/>
      <c r="V191" s="312"/>
      <c r="W191" s="6"/>
    </row>
    <row r="192" spans="1:23" ht="15.6">
      <c r="A192" s="444"/>
      <c r="B192" s="440" t="s">
        <v>82</v>
      </c>
      <c r="C192" s="489"/>
      <c r="D192" s="489"/>
      <c r="E192" s="489"/>
      <c r="F192" s="489"/>
      <c r="G192" s="489"/>
      <c r="H192" s="489"/>
      <c r="I192" s="489"/>
      <c r="J192" s="489"/>
      <c r="K192" s="489"/>
      <c r="L192" s="489">
        <v>6</v>
      </c>
      <c r="M192" s="427">
        <f t="shared" si="0"/>
        <v>1.6348773841961851E-2</v>
      </c>
      <c r="N192" s="553">
        <v>16</v>
      </c>
      <c r="O192" s="427">
        <f t="shared" si="1"/>
        <v>1.5238095238095238E-2</v>
      </c>
      <c r="P192" s="381"/>
      <c r="Q192" s="489">
        <v>7</v>
      </c>
      <c r="R192" s="427">
        <f t="shared" si="2"/>
        <v>3.2110091743119268E-2</v>
      </c>
      <c r="S192" s="553">
        <v>1</v>
      </c>
      <c r="T192" s="427">
        <f>+S192/$S$198</f>
        <v>5.7142857142857143E-3</v>
      </c>
      <c r="U192" s="379"/>
      <c r="V192" s="435"/>
      <c r="W192" s="6"/>
    </row>
    <row r="193" spans="1:24" ht="15.6">
      <c r="A193" s="444"/>
      <c r="B193" s="440" t="s">
        <v>83</v>
      </c>
      <c r="C193" s="489"/>
      <c r="D193" s="489"/>
      <c r="E193" s="489"/>
      <c r="F193" s="489"/>
      <c r="G193" s="489"/>
      <c r="H193" s="489"/>
      <c r="I193" s="489"/>
      <c r="J193" s="489"/>
      <c r="K193" s="489"/>
      <c r="L193" s="489">
        <v>12</v>
      </c>
      <c r="M193" s="427">
        <f t="shared" si="0"/>
        <v>3.2697547683923703E-2</v>
      </c>
      <c r="N193" s="489">
        <v>22</v>
      </c>
      <c r="O193" s="427">
        <f t="shared" si="1"/>
        <v>2.0952380952380951E-2</v>
      </c>
      <c r="P193" s="381"/>
      <c r="Q193" s="489">
        <v>7</v>
      </c>
      <c r="R193" s="427">
        <f t="shared" si="2"/>
        <v>3.2110091743119268E-2</v>
      </c>
      <c r="S193" s="553">
        <v>7</v>
      </c>
      <c r="T193" s="427">
        <f>+S193/$S$198</f>
        <v>0.04</v>
      </c>
      <c r="U193" s="379"/>
      <c r="V193" s="435"/>
      <c r="W193" s="6"/>
    </row>
    <row r="194" spans="1:24" ht="15.6">
      <c r="A194" s="444"/>
      <c r="B194" s="440" t="s">
        <v>186</v>
      </c>
      <c r="C194" s="489"/>
      <c r="D194" s="489"/>
      <c r="E194" s="489"/>
      <c r="F194" s="489"/>
      <c r="G194" s="489"/>
      <c r="H194" s="489"/>
      <c r="I194" s="489"/>
      <c r="J194" s="489"/>
      <c r="K194" s="489"/>
      <c r="L194" s="489">
        <v>5</v>
      </c>
      <c r="M194" s="427">
        <f t="shared" si="0"/>
        <v>1.3623978201634877E-2</v>
      </c>
      <c r="N194" s="489">
        <v>3</v>
      </c>
      <c r="O194" s="427">
        <f t="shared" si="1"/>
        <v>2.8571428571428571E-3</v>
      </c>
      <c r="P194" s="381"/>
      <c r="Q194" s="489">
        <v>14</v>
      </c>
      <c r="R194" s="551">
        <f t="shared" si="2"/>
        <v>6.4220183486238536E-2</v>
      </c>
      <c r="S194" s="489">
        <v>8</v>
      </c>
      <c r="T194" s="427">
        <f>+S194/$S$198</f>
        <v>4.5714285714285714E-2</v>
      </c>
      <c r="U194" s="379"/>
      <c r="V194" s="435"/>
      <c r="W194" s="6"/>
    </row>
    <row r="195" spans="1:24" ht="15.6">
      <c r="A195" s="444"/>
      <c r="B195" s="440" t="s">
        <v>187</v>
      </c>
      <c r="C195" s="489"/>
      <c r="D195" s="489"/>
      <c r="E195" s="489"/>
      <c r="F195" s="489"/>
      <c r="G195" s="489"/>
      <c r="H195" s="489"/>
      <c r="I195" s="489"/>
      <c r="J195" s="489"/>
      <c r="K195" s="489"/>
      <c r="L195" s="489">
        <v>9</v>
      </c>
      <c r="M195" s="427">
        <f t="shared" si="0"/>
        <v>2.4523160762942781E-2</v>
      </c>
      <c r="N195" s="489">
        <v>12</v>
      </c>
      <c r="O195" s="427">
        <f t="shared" si="1"/>
        <v>1.1428571428571429E-2</v>
      </c>
      <c r="P195" s="381"/>
      <c r="Q195" s="489">
        <v>17</v>
      </c>
      <c r="R195" s="427">
        <f t="shared" si="2"/>
        <v>7.7981651376146793E-2</v>
      </c>
      <c r="S195" s="489">
        <v>10</v>
      </c>
      <c r="T195" s="427">
        <f>+S195/$S$198</f>
        <v>5.7142857142857141E-2</v>
      </c>
      <c r="U195" s="379"/>
      <c r="V195" s="435"/>
      <c r="W195" s="6"/>
    </row>
    <row r="196" spans="1:24" ht="15.6">
      <c r="A196" s="444"/>
      <c r="B196" s="440" t="s">
        <v>188</v>
      </c>
      <c r="C196" s="489"/>
      <c r="D196" s="489"/>
      <c r="E196" s="489"/>
      <c r="F196" s="489"/>
      <c r="G196" s="489"/>
      <c r="H196" s="489"/>
      <c r="I196" s="489"/>
      <c r="J196" s="489"/>
      <c r="K196" s="489"/>
      <c r="L196" s="489">
        <v>8</v>
      </c>
      <c r="M196" s="427">
        <f t="shared" si="0"/>
        <v>2.1798365122615803E-2</v>
      </c>
      <c r="N196" s="489">
        <v>6</v>
      </c>
      <c r="O196" s="427">
        <f t="shared" si="1"/>
        <v>5.7142857142857143E-3</v>
      </c>
      <c r="P196" s="381"/>
      <c r="Q196" s="489">
        <v>18</v>
      </c>
      <c r="R196" s="427">
        <f t="shared" si="2"/>
        <v>8.2568807339449546E-2</v>
      </c>
      <c r="S196" s="489">
        <v>11</v>
      </c>
      <c r="T196" s="427">
        <f t="shared" ref="T196:T197" si="3">+S196/$S$198</f>
        <v>6.2857142857142861E-2</v>
      </c>
      <c r="U196" s="379"/>
      <c r="V196" s="435"/>
      <c r="W196" s="6"/>
    </row>
    <row r="197" spans="1:24" ht="15.6">
      <c r="A197" s="444"/>
      <c r="B197" s="440" t="s">
        <v>189</v>
      </c>
      <c r="C197" s="489"/>
      <c r="D197" s="489"/>
      <c r="E197" s="489"/>
      <c r="F197" s="489"/>
      <c r="G197" s="489"/>
      <c r="H197" s="489"/>
      <c r="I197" s="489"/>
      <c r="J197" s="489"/>
      <c r="K197" s="489"/>
      <c r="L197" s="489">
        <v>74</v>
      </c>
      <c r="M197" s="427">
        <f t="shared" si="0"/>
        <v>0.20163487738419619</v>
      </c>
      <c r="N197" s="489">
        <v>114</v>
      </c>
      <c r="O197" s="427">
        <f t="shared" si="1"/>
        <v>0.10857142857142857</v>
      </c>
      <c r="P197" s="381"/>
      <c r="Q197" s="489">
        <v>99</v>
      </c>
      <c r="R197" s="427">
        <f t="shared" si="2"/>
        <v>0.45412844036697247</v>
      </c>
      <c r="S197" s="489">
        <v>90</v>
      </c>
      <c r="T197" s="427">
        <f t="shared" si="3"/>
        <v>0.51428571428571423</v>
      </c>
      <c r="U197" s="379"/>
      <c r="V197" s="435"/>
      <c r="W197" s="6"/>
    </row>
    <row r="198" spans="1:24" ht="15.6">
      <c r="A198" s="444"/>
      <c r="B198" s="440" t="s">
        <v>84</v>
      </c>
      <c r="C198" s="489"/>
      <c r="D198" s="489"/>
      <c r="E198" s="489"/>
      <c r="F198" s="489"/>
      <c r="G198" s="489"/>
      <c r="H198" s="489"/>
      <c r="I198" s="489"/>
      <c r="J198" s="489"/>
      <c r="K198" s="489"/>
      <c r="L198" s="489">
        <f>SUM(L191:L197)</f>
        <v>367</v>
      </c>
      <c r="M198" s="427">
        <f>SUM(M191:M197)</f>
        <v>1</v>
      </c>
      <c r="N198" s="489">
        <f>SUM(N191:N197)</f>
        <v>1050</v>
      </c>
      <c r="O198" s="427">
        <f>SUM(O191:O197)</f>
        <v>1</v>
      </c>
      <c r="P198" s="381"/>
      <c r="Q198" s="489">
        <f>SUM(Q191:Q197)</f>
        <v>218</v>
      </c>
      <c r="R198" s="427">
        <f>SUM(R191:R197)</f>
        <v>1.0000000000000002</v>
      </c>
      <c r="S198" s="489">
        <f>SUM(S191:S197)</f>
        <v>175</v>
      </c>
      <c r="T198" s="427">
        <f>SUM(T191:T197)</f>
        <v>1</v>
      </c>
      <c r="U198" s="379"/>
      <c r="V198" s="435"/>
      <c r="W198" s="6"/>
      <c r="X198" s="64"/>
    </row>
    <row r="199" spans="1:24" ht="15.6">
      <c r="A199" s="444"/>
      <c r="B199" s="440" t="s">
        <v>85</v>
      </c>
      <c r="C199" s="489"/>
      <c r="D199" s="489"/>
      <c r="E199" s="489"/>
      <c r="F199" s="489"/>
      <c r="G199" s="489"/>
      <c r="H199" s="489"/>
      <c r="I199" s="489"/>
      <c r="J199" s="489"/>
      <c r="K199" s="489"/>
      <c r="L199" s="489">
        <v>825</v>
      </c>
      <c r="M199" s="380"/>
      <c r="N199" s="489">
        <v>4788</v>
      </c>
      <c r="O199" s="380"/>
      <c r="P199" s="381"/>
      <c r="Q199" s="489">
        <v>484</v>
      </c>
      <c r="R199" s="380"/>
      <c r="S199" s="489">
        <v>1070</v>
      </c>
      <c r="T199" s="380"/>
      <c r="U199" s="379"/>
      <c r="V199" s="435"/>
      <c r="W199" s="6"/>
      <c r="X199" s="64"/>
    </row>
    <row r="200" spans="1:24" ht="15.6">
      <c r="A200" s="444"/>
      <c r="B200" s="440" t="s">
        <v>86</v>
      </c>
      <c r="C200" s="489"/>
      <c r="D200" s="489"/>
      <c r="E200" s="489"/>
      <c r="F200" s="489"/>
      <c r="G200" s="489"/>
      <c r="H200" s="489"/>
      <c r="I200" s="489"/>
      <c r="J200" s="489"/>
      <c r="K200" s="489"/>
      <c r="L200" s="489">
        <f>SUM(L198:L199)</f>
        <v>1192</v>
      </c>
      <c r="M200" s="450"/>
      <c r="N200" s="489">
        <f>SUM(N198:N199)</f>
        <v>5838</v>
      </c>
      <c r="O200" s="490"/>
      <c r="P200" s="450"/>
      <c r="Q200" s="489">
        <f>SUM(Q198:Q199)</f>
        <v>702</v>
      </c>
      <c r="R200" s="450"/>
      <c r="S200" s="489">
        <f>SUM(S198:S199)</f>
        <v>1245</v>
      </c>
      <c r="T200" s="450"/>
      <c r="U200" s="450"/>
      <c r="V200" s="435"/>
      <c r="W200" s="6"/>
      <c r="X200" s="64"/>
    </row>
    <row r="201" spans="1:24" ht="15.6">
      <c r="A201" s="242"/>
      <c r="B201" s="484"/>
      <c r="C201" s="485"/>
      <c r="D201" s="485"/>
      <c r="E201" s="485"/>
      <c r="F201" s="485"/>
      <c r="G201" s="485"/>
      <c r="H201" s="485"/>
      <c r="I201" s="485"/>
      <c r="J201" s="485"/>
      <c r="K201" s="485"/>
      <c r="L201" s="532"/>
      <c r="M201" s="533"/>
      <c r="N201" s="532"/>
      <c r="O201" s="533"/>
      <c r="P201" s="488"/>
      <c r="Q201" s="532"/>
      <c r="R201" s="533"/>
      <c r="S201" s="532"/>
      <c r="T201" s="533"/>
      <c r="U201" s="463"/>
      <c r="V201" s="464"/>
      <c r="W201" s="6"/>
    </row>
    <row r="202" spans="1:24" ht="15.6">
      <c r="A202" s="349"/>
      <c r="B202" s="525" t="s">
        <v>80</v>
      </c>
      <c r="C202" s="526"/>
      <c r="D202" s="526"/>
      <c r="E202" s="526"/>
      <c r="F202" s="526"/>
      <c r="G202" s="526"/>
      <c r="H202" s="526"/>
      <c r="I202" s="526"/>
      <c r="J202" s="526"/>
      <c r="K202" s="526"/>
      <c r="L202" s="526"/>
      <c r="M202" s="525" t="s">
        <v>27</v>
      </c>
      <c r="N202" s="526"/>
      <c r="O202" s="527"/>
      <c r="P202" s="526"/>
      <c r="Q202" s="525"/>
      <c r="R202" s="525" t="s">
        <v>28</v>
      </c>
      <c r="S202" s="527"/>
      <c r="T202" s="526"/>
      <c r="U202" s="346"/>
      <c r="V202" s="528"/>
      <c r="W202" s="6"/>
    </row>
    <row r="203" spans="1:24" ht="15.6">
      <c r="A203" s="371"/>
      <c r="B203" s="372"/>
      <c r="C203" s="534"/>
      <c r="D203" s="534"/>
      <c r="E203" s="534"/>
      <c r="F203" s="534"/>
      <c r="G203" s="534"/>
      <c r="H203" s="534"/>
      <c r="I203" s="534"/>
      <c r="J203" s="534"/>
      <c r="K203" s="534"/>
      <c r="L203" s="534" t="s">
        <v>94</v>
      </c>
      <c r="M203" s="535" t="s">
        <v>101</v>
      </c>
      <c r="N203" s="534" t="s">
        <v>103</v>
      </c>
      <c r="O203" s="535" t="s">
        <v>101</v>
      </c>
      <c r="P203" s="535"/>
      <c r="Q203" s="534" t="s">
        <v>94</v>
      </c>
      <c r="R203" s="535" t="s">
        <v>101</v>
      </c>
      <c r="S203" s="534" t="s">
        <v>103</v>
      </c>
      <c r="T203" s="535" t="s">
        <v>101</v>
      </c>
      <c r="U203" s="375"/>
      <c r="V203" s="536"/>
      <c r="W203" s="6"/>
    </row>
    <row r="204" spans="1:24" ht="15.6">
      <c r="A204" s="315"/>
      <c r="B204" s="310" t="s">
        <v>81</v>
      </c>
      <c r="C204" s="351"/>
      <c r="D204" s="351"/>
      <c r="E204" s="351"/>
      <c r="F204" s="351"/>
      <c r="G204" s="351"/>
      <c r="H204" s="351"/>
      <c r="I204" s="351"/>
      <c r="J204" s="351"/>
      <c r="K204" s="351"/>
      <c r="L204" s="351">
        <v>3873</v>
      </c>
      <c r="M204" s="299">
        <f t="shared" ref="M204:M210" si="4">+L204/$L$211</f>
        <v>0.88789546079779913</v>
      </c>
      <c r="N204" s="351">
        <v>81722</v>
      </c>
      <c r="O204" s="299">
        <f t="shared" ref="O204:O210" si="5">+N204/$N$211</f>
        <v>0.87808913912408126</v>
      </c>
      <c r="P204" s="296"/>
      <c r="Q204" s="351">
        <v>42</v>
      </c>
      <c r="R204" s="299">
        <f t="shared" ref="R204:R210" si="6">Q204/$Q$211</f>
        <v>0.79245283018867929</v>
      </c>
      <c r="S204" s="351">
        <v>235</v>
      </c>
      <c r="T204" s="299">
        <f t="shared" ref="T204:T210" si="7">+S204/$S$211</f>
        <v>0.73899371069182385</v>
      </c>
      <c r="U204" s="294"/>
      <c r="V204" s="301"/>
      <c r="W204" s="6"/>
    </row>
    <row r="205" spans="1:24" ht="15.6">
      <c r="A205" s="444"/>
      <c r="B205" s="440" t="s">
        <v>82</v>
      </c>
      <c r="C205" s="489"/>
      <c r="D205" s="489"/>
      <c r="E205" s="489"/>
      <c r="F205" s="489"/>
      <c r="G205" s="489"/>
      <c r="H205" s="489"/>
      <c r="I205" s="489"/>
      <c r="J205" s="489"/>
      <c r="K205" s="489"/>
      <c r="L205" s="489">
        <v>108</v>
      </c>
      <c r="M205" s="427">
        <f t="shared" si="4"/>
        <v>2.4759284731774415E-2</v>
      </c>
      <c r="N205" s="489">
        <v>2395</v>
      </c>
      <c r="O205" s="427">
        <f t="shared" si="5"/>
        <v>2.573387200756436E-2</v>
      </c>
      <c r="P205" s="381"/>
      <c r="Q205" s="489">
        <v>7</v>
      </c>
      <c r="R205" s="427">
        <f t="shared" si="6"/>
        <v>0.13207547169811321</v>
      </c>
      <c r="S205" s="489">
        <v>71</v>
      </c>
      <c r="T205" s="427">
        <f t="shared" si="7"/>
        <v>0.22327044025157233</v>
      </c>
      <c r="U205" s="379"/>
      <c r="V205" s="435"/>
      <c r="W205" s="6"/>
    </row>
    <row r="206" spans="1:24" ht="15.6">
      <c r="A206" s="444"/>
      <c r="B206" s="440" t="s">
        <v>83</v>
      </c>
      <c r="C206" s="489"/>
      <c r="D206" s="489"/>
      <c r="E206" s="489"/>
      <c r="F206" s="489"/>
      <c r="G206" s="489"/>
      <c r="H206" s="489"/>
      <c r="I206" s="489"/>
      <c r="J206" s="489"/>
      <c r="K206" s="489"/>
      <c r="L206" s="489">
        <v>66</v>
      </c>
      <c r="M206" s="427">
        <f t="shared" si="4"/>
        <v>1.5130674002751032E-2</v>
      </c>
      <c r="N206" s="489">
        <v>1462</v>
      </c>
      <c r="O206" s="427">
        <f t="shared" si="5"/>
        <v>1.5708943997936993E-2</v>
      </c>
      <c r="P206" s="381"/>
      <c r="Q206" s="489">
        <v>0</v>
      </c>
      <c r="R206" s="427">
        <f t="shared" si="6"/>
        <v>0</v>
      </c>
      <c r="S206" s="489">
        <v>0</v>
      </c>
      <c r="T206" s="427">
        <f t="shared" si="7"/>
        <v>0</v>
      </c>
      <c r="U206" s="379"/>
      <c r="V206" s="435"/>
      <c r="W206" s="6"/>
      <c r="X206" s="182"/>
    </row>
    <row r="207" spans="1:24" ht="15.6">
      <c r="A207" s="444"/>
      <c r="B207" s="440" t="s">
        <v>186</v>
      </c>
      <c r="C207" s="489"/>
      <c r="D207" s="489"/>
      <c r="E207" s="489"/>
      <c r="F207" s="489"/>
      <c r="G207" s="489"/>
      <c r="H207" s="489"/>
      <c r="I207" s="489"/>
      <c r="J207" s="489"/>
      <c r="K207" s="489"/>
      <c r="L207" s="489">
        <v>48</v>
      </c>
      <c r="M207" s="427">
        <f t="shared" si="4"/>
        <v>1.1004126547455296E-2</v>
      </c>
      <c r="N207" s="489">
        <v>1080</v>
      </c>
      <c r="O207" s="427">
        <f t="shared" si="5"/>
        <v>1.1604418274809817E-2</v>
      </c>
      <c r="P207" s="381"/>
      <c r="Q207" s="489">
        <v>0</v>
      </c>
      <c r="R207" s="427">
        <f t="shared" si="6"/>
        <v>0</v>
      </c>
      <c r="S207" s="489">
        <v>0</v>
      </c>
      <c r="T207" s="427">
        <f t="shared" si="7"/>
        <v>0</v>
      </c>
      <c r="U207" s="379"/>
      <c r="V207" s="435"/>
      <c r="W207" s="6"/>
    </row>
    <row r="208" spans="1:24" ht="15.6">
      <c r="A208" s="444"/>
      <c r="B208" s="440" t="s">
        <v>187</v>
      </c>
      <c r="C208" s="489"/>
      <c r="D208" s="489"/>
      <c r="E208" s="489"/>
      <c r="F208" s="489"/>
      <c r="G208" s="489"/>
      <c r="H208" s="489"/>
      <c r="I208" s="489"/>
      <c r="J208" s="489"/>
      <c r="K208" s="489"/>
      <c r="L208" s="489">
        <v>45</v>
      </c>
      <c r="M208" s="427">
        <f t="shared" si="4"/>
        <v>1.0316368638239339E-2</v>
      </c>
      <c r="N208" s="489">
        <v>1084</v>
      </c>
      <c r="O208" s="427">
        <f t="shared" si="5"/>
        <v>1.1647397601753557E-2</v>
      </c>
      <c r="P208" s="381"/>
      <c r="Q208" s="489">
        <v>0</v>
      </c>
      <c r="R208" s="427">
        <f t="shared" si="6"/>
        <v>0</v>
      </c>
      <c r="S208" s="489">
        <v>0</v>
      </c>
      <c r="T208" s="427">
        <f t="shared" si="7"/>
        <v>0</v>
      </c>
      <c r="U208" s="379"/>
      <c r="V208" s="435"/>
      <c r="W208" s="6"/>
    </row>
    <row r="209" spans="1:24" ht="15.6">
      <c r="A209" s="444"/>
      <c r="B209" s="440" t="s">
        <v>188</v>
      </c>
      <c r="C209" s="489"/>
      <c r="D209" s="489"/>
      <c r="E209" s="489"/>
      <c r="F209" s="489"/>
      <c r="G209" s="489"/>
      <c r="H209" s="489"/>
      <c r="I209" s="489"/>
      <c r="J209" s="489"/>
      <c r="K209" s="489"/>
      <c r="L209" s="489">
        <v>36</v>
      </c>
      <c r="M209" s="427">
        <f t="shared" si="4"/>
        <v>8.253094910591471E-3</v>
      </c>
      <c r="N209" s="489">
        <v>852</v>
      </c>
      <c r="O209" s="427">
        <f t="shared" si="5"/>
        <v>9.1545966390166322E-3</v>
      </c>
      <c r="P209" s="381"/>
      <c r="Q209" s="489">
        <v>0</v>
      </c>
      <c r="R209" s="427">
        <f t="shared" si="6"/>
        <v>0</v>
      </c>
      <c r="S209" s="489">
        <v>0</v>
      </c>
      <c r="T209" s="427">
        <f t="shared" si="7"/>
        <v>0</v>
      </c>
      <c r="U209" s="379"/>
      <c r="V209" s="435"/>
      <c r="W209" s="6"/>
    </row>
    <row r="210" spans="1:24" ht="15.6">
      <c r="A210" s="444"/>
      <c r="B210" s="440" t="s">
        <v>189</v>
      </c>
      <c r="C210" s="489"/>
      <c r="D210" s="489"/>
      <c r="E210" s="489"/>
      <c r="F210" s="489"/>
      <c r="G210" s="489"/>
      <c r="H210" s="489"/>
      <c r="I210" s="489"/>
      <c r="J210" s="489"/>
      <c r="K210" s="489"/>
      <c r="L210" s="489">
        <v>186</v>
      </c>
      <c r="M210" s="427">
        <f t="shared" si="4"/>
        <v>4.264099037138927E-2</v>
      </c>
      <c r="N210" s="489">
        <v>4473</v>
      </c>
      <c r="O210" s="427">
        <f t="shared" si="5"/>
        <v>4.8061632354837326E-2</v>
      </c>
      <c r="P210" s="381"/>
      <c r="Q210" s="489">
        <v>4</v>
      </c>
      <c r="R210" s="427">
        <f t="shared" si="6"/>
        <v>7.5471698113207544E-2</v>
      </c>
      <c r="S210" s="489">
        <v>12</v>
      </c>
      <c r="T210" s="427">
        <f t="shared" si="7"/>
        <v>3.7735849056603772E-2</v>
      </c>
      <c r="U210" s="379"/>
      <c r="V210" s="435"/>
      <c r="W210" s="6"/>
    </row>
    <row r="211" spans="1:24" ht="15.6">
      <c r="A211" s="444"/>
      <c r="B211" s="440" t="str">
        <f>B198</f>
        <v>Total Performing  Assets</v>
      </c>
      <c r="C211" s="489"/>
      <c r="D211" s="489"/>
      <c r="E211" s="489"/>
      <c r="F211" s="489"/>
      <c r="G211" s="489"/>
      <c r="H211" s="489"/>
      <c r="I211" s="489"/>
      <c r="J211" s="489"/>
      <c r="K211" s="489"/>
      <c r="L211" s="489">
        <f>SUM(L204:L210)</f>
        <v>4362</v>
      </c>
      <c r="M211" s="427">
        <f>SUM(M204:M210)</f>
        <v>1</v>
      </c>
      <c r="N211" s="489">
        <f>SUM(N204:N210)</f>
        <v>93068</v>
      </c>
      <c r="O211" s="427">
        <f>SUM(O204:O210)</f>
        <v>1</v>
      </c>
      <c r="P211" s="381"/>
      <c r="Q211" s="489">
        <f>SUM(Q204:Q210)</f>
        <v>53</v>
      </c>
      <c r="R211" s="427">
        <f>SUM(R204:R210)</f>
        <v>1</v>
      </c>
      <c r="S211" s="489">
        <f>SUM(S204:S210)</f>
        <v>318</v>
      </c>
      <c r="T211" s="427">
        <f>SUM(T204:T210)</f>
        <v>1</v>
      </c>
      <c r="U211" s="379"/>
      <c r="V211" s="435"/>
      <c r="W211" s="6"/>
    </row>
    <row r="212" spans="1:24" ht="15.6">
      <c r="A212" s="444"/>
      <c r="B212" s="440" t="s">
        <v>85</v>
      </c>
      <c r="C212" s="489"/>
      <c r="D212" s="489"/>
      <c r="E212" s="489"/>
      <c r="F212" s="489"/>
      <c r="G212" s="489"/>
      <c r="H212" s="489"/>
      <c r="I212" s="489"/>
      <c r="J212" s="489"/>
      <c r="K212" s="489"/>
      <c r="L212" s="489">
        <v>295</v>
      </c>
      <c r="M212" s="381"/>
      <c r="N212" s="489">
        <v>8270</v>
      </c>
      <c r="O212" s="380"/>
      <c r="P212" s="381"/>
      <c r="Q212" s="489">
        <v>11</v>
      </c>
      <c r="R212" s="381"/>
      <c r="S212" s="489">
        <v>178</v>
      </c>
      <c r="T212" s="381"/>
      <c r="U212" s="379"/>
      <c r="V212" s="435"/>
      <c r="W212" s="6"/>
    </row>
    <row r="213" spans="1:24" ht="15.6">
      <c r="A213" s="444"/>
      <c r="B213" s="440" t="s">
        <v>86</v>
      </c>
      <c r="C213" s="489"/>
      <c r="D213" s="489"/>
      <c r="E213" s="489"/>
      <c r="F213" s="489"/>
      <c r="G213" s="489"/>
      <c r="H213" s="489"/>
      <c r="I213" s="489"/>
      <c r="J213" s="489"/>
      <c r="K213" s="489"/>
      <c r="L213" s="489">
        <f>SUM(L211:L212)</f>
        <v>4657</v>
      </c>
      <c r="M213" s="450"/>
      <c r="N213" s="489">
        <f>SUM(N211:N212)</f>
        <v>101338</v>
      </c>
      <c r="O213" s="427"/>
      <c r="P213" s="450"/>
      <c r="Q213" s="489">
        <f>SUM(Q211:Q212)</f>
        <v>64</v>
      </c>
      <c r="R213" s="450"/>
      <c r="S213" s="489">
        <f>SUM(S211:S212)</f>
        <v>496</v>
      </c>
      <c r="T213" s="450"/>
      <c r="U213" s="450"/>
      <c r="V213" s="492"/>
    </row>
    <row r="214" spans="1:24" ht="15.6">
      <c r="A214" s="444"/>
      <c r="B214" s="440"/>
      <c r="C214" s="381"/>
      <c r="D214" s="381"/>
      <c r="E214" s="381"/>
      <c r="F214" s="381"/>
      <c r="G214" s="381"/>
      <c r="H214" s="381"/>
      <c r="I214" s="381"/>
      <c r="J214" s="381"/>
      <c r="K214" s="381"/>
      <c r="L214" s="381"/>
      <c r="M214" s="493"/>
      <c r="N214" s="381"/>
      <c r="O214" s="493"/>
      <c r="P214" s="381"/>
      <c r="Q214" s="493"/>
      <c r="R214" s="381"/>
      <c r="S214" s="489"/>
      <c r="T214" s="381"/>
      <c r="U214" s="379"/>
      <c r="V214" s="435"/>
      <c r="W214" s="6"/>
    </row>
    <row r="215" spans="1:24" ht="15.6">
      <c r="A215" s="444"/>
      <c r="B215" s="440" t="s">
        <v>86</v>
      </c>
      <c r="C215" s="381"/>
      <c r="D215" s="381"/>
      <c r="E215" s="381"/>
      <c r="F215" s="381"/>
      <c r="G215" s="381"/>
      <c r="H215" s="381"/>
      <c r="I215" s="381"/>
      <c r="J215" s="381"/>
      <c r="K215" s="381"/>
      <c r="L215" s="493"/>
      <c r="M215" s="493"/>
      <c r="N215" s="493"/>
      <c r="O215" s="493"/>
      <c r="P215" s="381"/>
      <c r="Q215" s="493"/>
      <c r="R215" s="381"/>
      <c r="S215" s="489">
        <f>+N200+S200+N213+S213</f>
        <v>108917</v>
      </c>
      <c r="T215" s="490"/>
      <c r="U215" s="379"/>
      <c r="V215" s="435"/>
      <c r="W215" s="6"/>
      <c r="X215" s="182"/>
    </row>
    <row r="216" spans="1:24" ht="15.6">
      <c r="A216" s="316"/>
      <c r="B216" s="360"/>
      <c r="C216" s="363"/>
      <c r="D216" s="363"/>
      <c r="E216" s="363"/>
      <c r="F216" s="363"/>
      <c r="G216" s="363"/>
      <c r="H216" s="363"/>
      <c r="I216" s="363"/>
      <c r="J216" s="363"/>
      <c r="K216" s="363"/>
      <c r="L216" s="491"/>
      <c r="M216" s="491"/>
      <c r="N216" s="491"/>
      <c r="O216" s="491"/>
      <c r="P216" s="363"/>
      <c r="Q216" s="491"/>
      <c r="R216" s="363"/>
      <c r="S216" s="361"/>
      <c r="T216" s="363"/>
      <c r="U216" s="364"/>
      <c r="V216" s="312"/>
      <c r="W216" s="6"/>
    </row>
    <row r="217" spans="1:24" ht="15.6">
      <c r="A217" s="349"/>
      <c r="B217" s="357" t="s">
        <v>87</v>
      </c>
      <c r="C217" s="526"/>
      <c r="D217" s="526"/>
      <c r="E217" s="526"/>
      <c r="F217" s="526"/>
      <c r="G217" s="526"/>
      <c r="H217" s="526"/>
      <c r="I217" s="526"/>
      <c r="J217" s="526"/>
      <c r="K217" s="526"/>
      <c r="L217" s="526"/>
      <c r="M217" s="527"/>
      <c r="N217" s="526"/>
      <c r="O217" s="527"/>
      <c r="P217" s="526"/>
      <c r="Q217" s="527"/>
      <c r="R217" s="526"/>
      <c r="S217" s="358"/>
      <c r="T217" s="526"/>
      <c r="U217" s="350"/>
      <c r="V217" s="528"/>
      <c r="W217" s="6"/>
    </row>
    <row r="218" spans="1:24" ht="15.6">
      <c r="A218" s="315"/>
      <c r="B218" s="310"/>
      <c r="C218" s="296"/>
      <c r="D218" s="296"/>
      <c r="E218" s="296"/>
      <c r="F218" s="296"/>
      <c r="G218" s="296"/>
      <c r="H218" s="296"/>
      <c r="I218" s="296"/>
      <c r="J218" s="296"/>
      <c r="K218" s="296"/>
      <c r="L218" s="296"/>
      <c r="M218" s="352"/>
      <c r="N218" s="296"/>
      <c r="O218" s="352"/>
      <c r="P218" s="296"/>
      <c r="Q218" s="352"/>
      <c r="R218" s="296"/>
      <c r="S218" s="351"/>
      <c r="T218" s="296"/>
      <c r="U218" s="294"/>
      <c r="V218" s="301"/>
      <c r="W218" s="6"/>
    </row>
    <row r="219" spans="1:24" ht="15.6">
      <c r="A219" s="444"/>
      <c r="B219" s="440" t="s">
        <v>88</v>
      </c>
      <c r="C219" s="381"/>
      <c r="D219" s="381"/>
      <c r="E219" s="381"/>
      <c r="F219" s="381"/>
      <c r="G219" s="381"/>
      <c r="H219" s="381"/>
      <c r="I219" s="381"/>
      <c r="J219" s="381"/>
      <c r="K219" s="381"/>
      <c r="L219" s="381"/>
      <c r="M219" s="493"/>
      <c r="N219" s="381"/>
      <c r="O219" s="493"/>
      <c r="P219" s="381"/>
      <c r="Q219" s="493"/>
      <c r="R219" s="381"/>
      <c r="S219" s="489">
        <f>+N198+S198+N211+S211</f>
        <v>94611</v>
      </c>
      <c r="T219" s="381"/>
      <c r="U219" s="379"/>
      <c r="V219" s="435"/>
      <c r="W219" s="6"/>
      <c r="X219" s="182"/>
    </row>
    <row r="220" spans="1:24" ht="15.6">
      <c r="A220" s="444"/>
      <c r="B220" s="440" t="s">
        <v>89</v>
      </c>
      <c r="C220" s="381"/>
      <c r="D220" s="381"/>
      <c r="E220" s="381"/>
      <c r="F220" s="381"/>
      <c r="G220" s="381"/>
      <c r="H220" s="381"/>
      <c r="I220" s="381"/>
      <c r="J220" s="381"/>
      <c r="K220" s="381"/>
      <c r="L220" s="381"/>
      <c r="M220" s="493"/>
      <c r="N220" s="381"/>
      <c r="O220" s="493"/>
      <c r="P220" s="381"/>
      <c r="Q220" s="493"/>
      <c r="R220" s="381"/>
      <c r="S220" s="489">
        <f>+U78</f>
        <v>0</v>
      </c>
      <c r="T220" s="381"/>
      <c r="U220" s="379"/>
      <c r="V220" s="435"/>
      <c r="W220" s="119"/>
    </row>
    <row r="221" spans="1:24" ht="15.6">
      <c r="A221" s="444"/>
      <c r="B221" s="440" t="s">
        <v>90</v>
      </c>
      <c r="C221" s="381"/>
      <c r="D221" s="381"/>
      <c r="E221" s="381"/>
      <c r="F221" s="381"/>
      <c r="G221" s="381"/>
      <c r="H221" s="381"/>
      <c r="I221" s="381"/>
      <c r="J221" s="381"/>
      <c r="K221" s="381"/>
      <c r="L221" s="381"/>
      <c r="M221" s="493"/>
      <c r="N221" s="381"/>
      <c r="O221" s="493"/>
      <c r="P221" s="381"/>
      <c r="Q221" s="493"/>
      <c r="R221" s="381"/>
      <c r="S221" s="489">
        <f>SUM(S219:S220)</f>
        <v>94611</v>
      </c>
      <c r="T221" s="381"/>
      <c r="U221" s="379"/>
      <c r="V221" s="435"/>
      <c r="W221" s="6"/>
    </row>
    <row r="222" spans="1:24" ht="15.6">
      <c r="A222" s="444"/>
      <c r="B222" s="440"/>
      <c r="C222" s="381"/>
      <c r="D222" s="381"/>
      <c r="E222" s="381"/>
      <c r="F222" s="381"/>
      <c r="G222" s="381"/>
      <c r="H222" s="381"/>
      <c r="I222" s="381"/>
      <c r="J222" s="381"/>
      <c r="K222" s="381"/>
      <c r="L222" s="381"/>
      <c r="M222" s="493"/>
      <c r="N222" s="493"/>
      <c r="O222" s="493"/>
      <c r="P222" s="381"/>
      <c r="Q222" s="493"/>
      <c r="R222" s="381"/>
      <c r="S222" s="489"/>
      <c r="T222" s="381"/>
      <c r="U222" s="379"/>
      <c r="V222" s="435"/>
      <c r="W222" s="6"/>
    </row>
    <row r="223" spans="1:24" ht="15.6">
      <c r="A223" s="444"/>
      <c r="B223" s="440" t="s">
        <v>91</v>
      </c>
      <c r="C223" s="381"/>
      <c r="D223" s="381"/>
      <c r="E223" s="381"/>
      <c r="F223" s="381"/>
      <c r="G223" s="381"/>
      <c r="H223" s="381"/>
      <c r="I223" s="381"/>
      <c r="J223" s="381"/>
      <c r="K223" s="381"/>
      <c r="L223" s="381"/>
      <c r="M223" s="493"/>
      <c r="N223" s="381"/>
      <c r="O223" s="493"/>
      <c r="P223" s="381"/>
      <c r="Q223" s="493"/>
      <c r="R223" s="381"/>
      <c r="S223" s="489">
        <f>U33</f>
        <v>94610.919600000008</v>
      </c>
      <c r="T223" s="381"/>
      <c r="U223" s="379"/>
      <c r="V223" s="435"/>
      <c r="W223" s="6"/>
    </row>
    <row r="224" spans="1:24" ht="15.6">
      <c r="A224" s="444"/>
      <c r="B224" s="440"/>
      <c r="C224" s="381"/>
      <c r="D224" s="381"/>
      <c r="E224" s="381"/>
      <c r="F224" s="381"/>
      <c r="G224" s="381"/>
      <c r="H224" s="381"/>
      <c r="I224" s="381"/>
      <c r="J224" s="381"/>
      <c r="K224" s="381"/>
      <c r="L224" s="381"/>
      <c r="M224" s="493"/>
      <c r="N224" s="381"/>
      <c r="O224" s="493"/>
      <c r="P224" s="381"/>
      <c r="Q224" s="493"/>
      <c r="R224" s="381"/>
      <c r="S224" s="489"/>
      <c r="T224" s="381"/>
      <c r="U224" s="379"/>
      <c r="V224" s="435"/>
      <c r="W224" s="6"/>
    </row>
    <row r="225" spans="1:23" ht="15.6">
      <c r="A225" s="444"/>
      <c r="B225" s="440" t="s">
        <v>92</v>
      </c>
      <c r="C225" s="381"/>
      <c r="D225" s="381"/>
      <c r="E225" s="381"/>
      <c r="F225" s="381"/>
      <c r="G225" s="381"/>
      <c r="H225" s="381"/>
      <c r="I225" s="381"/>
      <c r="J225" s="381"/>
      <c r="K225" s="381"/>
      <c r="L225" s="381"/>
      <c r="M225" s="493"/>
      <c r="N225" s="381"/>
      <c r="O225" s="493"/>
      <c r="P225" s="381"/>
      <c r="Q225" s="493"/>
      <c r="R225" s="381"/>
      <c r="S225" s="489">
        <f>S221/S223</f>
        <v>1.0000008497962003</v>
      </c>
      <c r="T225" s="381"/>
      <c r="U225" s="379"/>
      <c r="V225" s="435"/>
      <c r="W225" s="6"/>
    </row>
    <row r="226" spans="1:23" ht="15.6">
      <c r="A226" s="444"/>
      <c r="B226" s="379"/>
      <c r="C226" s="379"/>
      <c r="D226" s="379"/>
      <c r="E226" s="379"/>
      <c r="F226" s="379"/>
      <c r="G226" s="379"/>
      <c r="H226" s="379"/>
      <c r="I226" s="379"/>
      <c r="J226" s="379"/>
      <c r="K226" s="379"/>
      <c r="L226" s="379"/>
      <c r="M226" s="380"/>
      <c r="N226" s="379"/>
      <c r="O226" s="379"/>
      <c r="P226" s="379"/>
      <c r="Q226" s="440"/>
      <c r="R226" s="497"/>
      <c r="S226" s="441"/>
      <c r="T226" s="497"/>
      <c r="U226" s="466"/>
      <c r="V226" s="410"/>
      <c r="W226" s="6"/>
    </row>
    <row r="227" spans="1:23" ht="15.6">
      <c r="A227" s="353"/>
      <c r="B227" s="494" t="s">
        <v>127</v>
      </c>
      <c r="C227" s="495"/>
      <c r="D227" s="495"/>
      <c r="E227" s="495"/>
      <c r="F227" s="495"/>
      <c r="G227" s="495"/>
      <c r="H227" s="495"/>
      <c r="I227" s="495"/>
      <c r="J227" s="495"/>
      <c r="K227" s="495"/>
      <c r="L227" s="495"/>
      <c r="M227" s="363"/>
      <c r="N227" s="364"/>
      <c r="O227" s="494"/>
      <c r="P227" s="443"/>
      <c r="Q227" s="443"/>
      <c r="R227" s="443"/>
      <c r="S227" s="496"/>
      <c r="T227" s="443"/>
      <c r="U227" s="443"/>
      <c r="V227" s="355"/>
      <c r="W227" s="6"/>
    </row>
    <row r="228" spans="1:23" ht="15.6">
      <c r="A228" s="353"/>
      <c r="B228" s="287" t="s">
        <v>128</v>
      </c>
      <c r="C228" s="354"/>
      <c r="D228" s="354"/>
      <c r="E228" s="354"/>
      <c r="F228" s="354"/>
      <c r="G228" s="354"/>
      <c r="H228" s="354"/>
      <c r="I228" s="354"/>
      <c r="J228" s="354"/>
      <c r="K228" s="354"/>
      <c r="L228" s="354"/>
      <c r="M228" s="290"/>
      <c r="N228" s="287"/>
      <c r="O228" s="287"/>
      <c r="P228" s="354"/>
      <c r="Q228" s="354"/>
      <c r="R228" s="317"/>
      <c r="S228" s="317"/>
      <c r="T228" s="317"/>
      <c r="U228" s="317"/>
      <c r="V228" s="355"/>
      <c r="W228" s="6"/>
    </row>
    <row r="229" spans="1:23" ht="15.6">
      <c r="A229" s="353"/>
      <c r="B229" s="287" t="s">
        <v>246</v>
      </c>
      <c r="C229" s="287"/>
      <c r="D229" s="287"/>
      <c r="E229" s="287"/>
      <c r="F229" s="287"/>
      <c r="G229" s="287"/>
      <c r="H229" s="287"/>
      <c r="I229" s="287"/>
      <c r="J229" s="287"/>
      <c r="K229" s="287"/>
      <c r="L229" s="287"/>
      <c r="M229" s="287"/>
      <c r="N229" s="287"/>
      <c r="O229" s="287"/>
      <c r="P229" s="287"/>
      <c r="Q229" s="287"/>
      <c r="R229" s="287"/>
      <c r="S229" s="287"/>
      <c r="T229" s="287"/>
      <c r="U229" s="287"/>
      <c r="V229" s="355"/>
      <c r="W229" s="6"/>
    </row>
    <row r="230" spans="1:23" ht="15.6">
      <c r="A230" s="353"/>
      <c r="B230" s="287" t="s">
        <v>129</v>
      </c>
      <c r="C230" s="354"/>
      <c r="D230" s="354"/>
      <c r="E230" s="354"/>
      <c r="F230" s="354"/>
      <c r="G230" s="354"/>
      <c r="H230" s="354"/>
      <c r="I230" s="354"/>
      <c r="J230" s="354"/>
      <c r="K230" s="354"/>
      <c r="L230" s="354"/>
      <c r="M230" s="290"/>
      <c r="N230" s="287"/>
      <c r="O230" s="287"/>
      <c r="P230" s="354"/>
      <c r="Q230" s="354"/>
      <c r="R230" s="317"/>
      <c r="S230" s="317"/>
      <c r="T230" s="317"/>
      <c r="U230" s="317"/>
      <c r="V230" s="355"/>
      <c r="W230" s="6"/>
    </row>
    <row r="231" spans="1:23" ht="15.6">
      <c r="A231" s="353"/>
      <c r="B231" s="287"/>
      <c r="C231" s="354"/>
      <c r="D231" s="354"/>
      <c r="E231" s="354"/>
      <c r="F231" s="354"/>
      <c r="G231" s="354"/>
      <c r="H231" s="354"/>
      <c r="I231" s="354"/>
      <c r="J231" s="354"/>
      <c r="K231" s="354"/>
      <c r="L231" s="354"/>
      <c r="M231" s="290"/>
      <c r="N231" s="287"/>
      <c r="O231" s="287"/>
      <c r="P231" s="354"/>
      <c r="Q231" s="354"/>
      <c r="R231" s="317"/>
      <c r="S231" s="317"/>
      <c r="T231" s="317"/>
      <c r="U231" s="317"/>
      <c r="V231" s="355"/>
      <c r="W231" s="6"/>
    </row>
    <row r="232" spans="1:23" ht="15.6">
      <c r="A232" s="353"/>
      <c r="B232" s="287"/>
      <c r="C232" s="354"/>
      <c r="D232" s="354"/>
      <c r="E232" s="354"/>
      <c r="F232" s="354"/>
      <c r="G232" s="354"/>
      <c r="H232" s="354"/>
      <c r="I232" s="354"/>
      <c r="J232" s="354"/>
      <c r="K232" s="354"/>
      <c r="L232" s="354"/>
      <c r="M232" s="290"/>
      <c r="N232" s="287"/>
      <c r="O232" s="287"/>
      <c r="P232" s="354"/>
      <c r="Q232" s="354"/>
      <c r="R232" s="317"/>
      <c r="S232" s="317"/>
      <c r="T232" s="317"/>
      <c r="U232" s="317"/>
      <c r="V232" s="355"/>
      <c r="W232" s="6"/>
    </row>
    <row r="233" spans="1:23" ht="16.2" thickBot="1">
      <c r="A233" s="353"/>
      <c r="B233" s="287" t="str">
        <f>+B160</f>
        <v>PPAF3 INVESTOR REPORT QUARTER ENDING JUNE 2015</v>
      </c>
      <c r="C233" s="354"/>
      <c r="D233" s="354"/>
      <c r="E233" s="354"/>
      <c r="F233" s="354"/>
      <c r="G233" s="354"/>
      <c r="H233" s="354"/>
      <c r="I233" s="354"/>
      <c r="J233" s="354"/>
      <c r="K233" s="354"/>
      <c r="L233" s="354"/>
      <c r="M233" s="290"/>
      <c r="N233" s="287"/>
      <c r="O233" s="287"/>
      <c r="P233" s="354"/>
      <c r="Q233" s="354"/>
      <c r="R233" s="317"/>
      <c r="S233" s="317"/>
      <c r="T233" s="317"/>
      <c r="U233" s="317"/>
      <c r="V233" s="356"/>
      <c r="W233" s="6"/>
    </row>
    <row r="234" spans="1:2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row>
  </sheetData>
  <hyperlinks>
    <hyperlink ref="I9" r:id="rId1"/>
    <hyperlink ref="K187"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21" man="1"/>
    <brk id="109" max="16383" man="1"/>
    <brk id="160" max="21" man="1"/>
    <brk id="239" man="1"/>
  </rowBreaks>
  <colBreaks count="1" manualBreakCount="1">
    <brk id="23" max="1048575" man="1"/>
  </colBreaks>
  <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808080"/>
  </sheetPr>
  <dimension ref="A1:Y234"/>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38" t="s">
        <v>223</v>
      </c>
      <c r="B1" s="285" t="s">
        <v>123</v>
      </c>
      <c r="C1" s="239"/>
      <c r="D1" s="239"/>
      <c r="E1" s="239"/>
      <c r="F1" s="239"/>
      <c r="G1" s="239"/>
      <c r="H1" s="239"/>
      <c r="I1" s="239"/>
      <c r="J1" s="239"/>
      <c r="K1" s="239"/>
      <c r="L1" s="239"/>
      <c r="M1" s="240"/>
      <c r="N1" s="240"/>
      <c r="O1" s="240"/>
      <c r="P1" s="240"/>
      <c r="Q1" s="240"/>
      <c r="R1" s="240"/>
      <c r="S1" s="240"/>
      <c r="T1" s="240"/>
      <c r="U1" s="240"/>
      <c r="V1" s="241"/>
      <c r="W1" s="6"/>
    </row>
    <row r="2" spans="1:23" ht="15.6">
      <c r="A2" s="242"/>
      <c r="B2" s="243"/>
      <c r="C2" s="243"/>
      <c r="D2" s="243"/>
      <c r="E2" s="243"/>
      <c r="F2" s="243"/>
      <c r="G2" s="243"/>
      <c r="H2" s="243"/>
      <c r="I2" s="243"/>
      <c r="J2" s="243"/>
      <c r="K2" s="243"/>
      <c r="L2" s="243"/>
      <c r="M2" s="244"/>
      <c r="N2" s="244"/>
      <c r="O2" s="244"/>
      <c r="P2" s="244"/>
      <c r="Q2" s="244"/>
      <c r="R2" s="244"/>
      <c r="S2" s="244"/>
      <c r="T2" s="244"/>
      <c r="U2" s="244"/>
      <c r="V2" s="245"/>
      <c r="W2" s="6"/>
    </row>
    <row r="3" spans="1:23" ht="15.6">
      <c r="A3" s="246"/>
      <c r="B3" s="247" t="s">
        <v>125</v>
      </c>
      <c r="C3" s="244"/>
      <c r="D3" s="244"/>
      <c r="E3" s="244"/>
      <c r="F3" s="244"/>
      <c r="G3" s="244"/>
      <c r="H3" s="244"/>
      <c r="I3" s="244"/>
      <c r="J3" s="244"/>
      <c r="K3" s="244"/>
      <c r="L3" s="244"/>
      <c r="M3" s="244"/>
      <c r="N3" s="244"/>
      <c r="O3" s="244"/>
      <c r="P3" s="244"/>
      <c r="Q3" s="244"/>
      <c r="R3" s="244"/>
      <c r="S3" s="244"/>
      <c r="T3" s="244"/>
      <c r="U3" s="244"/>
      <c r="V3" s="245"/>
      <c r="W3" s="6"/>
    </row>
    <row r="4" spans="1:23" ht="15.6">
      <c r="A4" s="242"/>
      <c r="B4" s="243"/>
      <c r="C4" s="243"/>
      <c r="D4" s="243"/>
      <c r="E4" s="243"/>
      <c r="F4" s="243"/>
      <c r="G4" s="243"/>
      <c r="H4" s="243"/>
      <c r="I4" s="243"/>
      <c r="J4" s="243"/>
      <c r="K4" s="243"/>
      <c r="L4" s="243"/>
      <c r="M4" s="244"/>
      <c r="N4" s="244"/>
      <c r="O4" s="244"/>
      <c r="P4" s="244"/>
      <c r="Q4" s="244"/>
      <c r="R4" s="244"/>
      <c r="S4" s="244"/>
      <c r="T4" s="244"/>
      <c r="U4" s="244"/>
      <c r="V4" s="245"/>
      <c r="W4" s="6"/>
    </row>
    <row r="5" spans="1:23" ht="16.2">
      <c r="A5" s="242"/>
      <c r="B5" s="286" t="s">
        <v>0</v>
      </c>
      <c r="C5" s="248"/>
      <c r="D5" s="248"/>
      <c r="E5" s="248"/>
      <c r="F5" s="248"/>
      <c r="G5" s="248"/>
      <c r="H5" s="248"/>
      <c r="I5" s="248"/>
      <c r="J5" s="248"/>
      <c r="K5" s="248"/>
      <c r="L5" s="248"/>
      <c r="M5" s="244"/>
      <c r="N5" s="244"/>
      <c r="O5" s="244"/>
      <c r="P5" s="244"/>
      <c r="Q5" s="244"/>
      <c r="R5" s="244"/>
      <c r="S5" s="244"/>
      <c r="T5" s="244"/>
      <c r="U5" s="244"/>
      <c r="V5" s="245"/>
      <c r="W5" s="6"/>
    </row>
    <row r="6" spans="1:23" ht="16.2">
      <c r="A6" s="242"/>
      <c r="B6" s="286" t="s">
        <v>1</v>
      </c>
      <c r="C6" s="248"/>
      <c r="D6" s="248"/>
      <c r="E6" s="248"/>
      <c r="F6" s="248"/>
      <c r="G6" s="248"/>
      <c r="H6" s="248"/>
      <c r="I6" s="248"/>
      <c r="J6" s="248"/>
      <c r="K6" s="248"/>
      <c r="L6" s="248"/>
      <c r="M6" s="244"/>
      <c r="N6" s="244"/>
      <c r="O6" s="244"/>
      <c r="P6" s="244"/>
      <c r="Q6" s="244"/>
      <c r="R6" s="244"/>
      <c r="S6" s="244"/>
      <c r="T6" s="244"/>
      <c r="U6" s="244"/>
      <c r="V6" s="245"/>
      <c r="W6" s="6"/>
    </row>
    <row r="7" spans="1:23" ht="16.2">
      <c r="A7" s="242"/>
      <c r="B7" s="286" t="s">
        <v>2</v>
      </c>
      <c r="C7" s="248"/>
      <c r="D7" s="248"/>
      <c r="E7" s="248"/>
      <c r="F7" s="248"/>
      <c r="G7" s="248"/>
      <c r="H7" s="248"/>
      <c r="I7" s="248"/>
      <c r="J7" s="248"/>
      <c r="K7" s="248"/>
      <c r="L7" s="248"/>
      <c r="M7" s="244"/>
      <c r="N7" s="244"/>
      <c r="O7" s="244"/>
      <c r="P7" s="244"/>
      <c r="Q7" s="244"/>
      <c r="R7" s="244"/>
      <c r="S7" s="244"/>
      <c r="T7" s="244"/>
      <c r="U7" s="244"/>
      <c r="V7" s="245"/>
      <c r="W7" s="6"/>
    </row>
    <row r="8" spans="1:23" ht="16.2">
      <c r="A8" s="242"/>
      <c r="B8" s="249"/>
      <c r="C8" s="248"/>
      <c r="D8" s="248"/>
      <c r="E8" s="248"/>
      <c r="F8" s="248"/>
      <c r="G8" s="248"/>
      <c r="H8" s="248"/>
      <c r="I8" s="248"/>
      <c r="J8" s="248"/>
      <c r="K8" s="248"/>
      <c r="L8" s="248"/>
      <c r="M8" s="244"/>
      <c r="N8" s="244"/>
      <c r="O8" s="244"/>
      <c r="P8" s="244"/>
      <c r="Q8" s="244"/>
      <c r="R8" s="244"/>
      <c r="S8" s="244"/>
      <c r="T8" s="244"/>
      <c r="U8" s="244"/>
      <c r="V8" s="245"/>
      <c r="W8" s="6"/>
    </row>
    <row r="9" spans="1:23" ht="18">
      <c r="A9" s="242"/>
      <c r="B9" s="250" t="s">
        <v>194</v>
      </c>
      <c r="C9" s="248"/>
      <c r="D9" s="248"/>
      <c r="E9" s="248"/>
      <c r="F9" s="248"/>
      <c r="G9" s="248"/>
      <c r="H9" s="248"/>
      <c r="I9" s="251" t="s">
        <v>195</v>
      </c>
      <c r="J9" s="248"/>
      <c r="K9" s="248"/>
      <c r="L9" s="248"/>
      <c r="M9" s="244"/>
      <c r="N9" s="244"/>
      <c r="O9" s="244"/>
      <c r="P9" s="244"/>
      <c r="Q9" s="244"/>
      <c r="R9" s="244"/>
      <c r="S9" s="244"/>
      <c r="T9" s="244"/>
      <c r="U9" s="244"/>
      <c r="V9" s="245"/>
      <c r="W9" s="6"/>
    </row>
    <row r="10" spans="1:23" ht="16.2">
      <c r="A10" s="242"/>
      <c r="B10" s="248"/>
      <c r="C10" s="248"/>
      <c r="D10" s="248"/>
      <c r="E10" s="248"/>
      <c r="F10" s="248"/>
      <c r="G10" s="248"/>
      <c r="H10" s="248"/>
      <c r="I10" s="248"/>
      <c r="J10" s="248"/>
      <c r="K10" s="248"/>
      <c r="L10" s="248"/>
      <c r="M10" s="252"/>
      <c r="N10" s="252"/>
      <c r="O10" s="244"/>
      <c r="P10" s="244"/>
      <c r="Q10" s="244"/>
      <c r="R10" s="244"/>
      <c r="S10" s="244"/>
      <c r="T10" s="244"/>
      <c r="U10" s="244"/>
      <c r="V10" s="245"/>
      <c r="W10" s="6"/>
    </row>
    <row r="11" spans="1:23" ht="15.6">
      <c r="A11" s="242"/>
      <c r="B11" s="287" t="s">
        <v>3</v>
      </c>
      <c r="C11" s="252"/>
      <c r="D11" s="252"/>
      <c r="E11" s="252"/>
      <c r="F11" s="252"/>
      <c r="G11" s="252"/>
      <c r="H11" s="252"/>
      <c r="I11" s="252"/>
      <c r="J11" s="252"/>
      <c r="K11" s="252"/>
      <c r="L11" s="252"/>
      <c r="M11" s="244"/>
      <c r="N11" s="244"/>
      <c r="O11" s="244"/>
      <c r="P11" s="244"/>
      <c r="Q11" s="244"/>
      <c r="R11" s="244"/>
      <c r="S11" s="244"/>
      <c r="T11" s="244"/>
      <c r="U11" s="244"/>
      <c r="V11" s="245"/>
      <c r="W11" s="6"/>
    </row>
    <row r="12" spans="1:23" ht="16.2" thickBot="1">
      <c r="A12" s="242"/>
      <c r="B12" s="252"/>
      <c r="C12" s="252"/>
      <c r="D12" s="252"/>
      <c r="E12" s="252"/>
      <c r="F12" s="252"/>
      <c r="G12" s="252"/>
      <c r="H12" s="252"/>
      <c r="I12" s="252"/>
      <c r="J12" s="252"/>
      <c r="K12" s="252"/>
      <c r="L12" s="252"/>
      <c r="M12" s="244"/>
      <c r="N12" s="244"/>
      <c r="O12" s="244"/>
      <c r="P12" s="244"/>
      <c r="Q12" s="244"/>
      <c r="R12" s="244"/>
      <c r="S12" s="244"/>
      <c r="T12" s="244"/>
      <c r="U12" s="244"/>
      <c r="V12" s="245"/>
      <c r="W12" s="6"/>
    </row>
    <row r="13" spans="1:23" ht="15.6">
      <c r="A13" s="238"/>
      <c r="B13" s="240"/>
      <c r="C13" s="240"/>
      <c r="D13" s="240"/>
      <c r="E13" s="240"/>
      <c r="F13" s="240"/>
      <c r="G13" s="240"/>
      <c r="H13" s="240"/>
      <c r="I13" s="240"/>
      <c r="J13" s="240"/>
      <c r="K13" s="240"/>
      <c r="L13" s="240"/>
      <c r="M13" s="240"/>
      <c r="N13" s="240"/>
      <c r="O13" s="240"/>
      <c r="P13" s="240"/>
      <c r="Q13" s="240"/>
      <c r="R13" s="240"/>
      <c r="S13" s="240"/>
      <c r="T13" s="240"/>
      <c r="U13" s="240"/>
      <c r="V13" s="241"/>
      <c r="W13" s="6"/>
    </row>
    <row r="14" spans="1:23" ht="15.6">
      <c r="A14" s="242"/>
      <c r="B14" s="287" t="s">
        <v>4</v>
      </c>
      <c r="C14" s="253"/>
      <c r="D14" s="253"/>
      <c r="E14" s="253"/>
      <c r="F14" s="253"/>
      <c r="G14" s="253"/>
      <c r="H14" s="253"/>
      <c r="I14" s="253"/>
      <c r="J14" s="253"/>
      <c r="K14" s="253"/>
      <c r="L14" s="253"/>
      <c r="M14" s="288"/>
      <c r="N14" s="288"/>
      <c r="O14" s="288"/>
      <c r="P14" s="288"/>
      <c r="Q14" s="288"/>
      <c r="R14" s="288"/>
      <c r="S14" s="288"/>
      <c r="T14" s="288"/>
      <c r="U14" s="289" t="s">
        <v>126</v>
      </c>
      <c r="V14" s="245"/>
      <c r="W14" s="6"/>
    </row>
    <row r="15" spans="1:23" ht="15.6">
      <c r="A15" s="242"/>
      <c r="B15" s="287" t="s">
        <v>5</v>
      </c>
      <c r="C15" s="253"/>
      <c r="D15" s="253"/>
      <c r="E15" s="253"/>
      <c r="F15" s="253"/>
      <c r="G15" s="253"/>
      <c r="H15" s="253"/>
      <c r="I15" s="253"/>
      <c r="J15" s="253"/>
      <c r="K15" s="253"/>
      <c r="L15" s="253"/>
      <c r="M15" s="290" t="s">
        <v>93</v>
      </c>
      <c r="N15" s="291">
        <v>0.1492</v>
      </c>
      <c r="O15" s="290" t="s">
        <v>99</v>
      </c>
      <c r="P15" s="291">
        <v>5.4399999999999997E-2</v>
      </c>
      <c r="Q15" s="290" t="s">
        <v>102</v>
      </c>
      <c r="R15" s="291">
        <v>0.48899999999999999</v>
      </c>
      <c r="S15" s="290" t="s">
        <v>108</v>
      </c>
      <c r="T15" s="291">
        <v>0.30740000000000001</v>
      </c>
      <c r="U15" s="289"/>
      <c r="V15" s="254"/>
      <c r="W15" s="6"/>
    </row>
    <row r="16" spans="1:23" ht="15.6">
      <c r="A16" s="242"/>
      <c r="B16" s="287" t="s">
        <v>6</v>
      </c>
      <c r="C16" s="253"/>
      <c r="D16" s="253"/>
      <c r="E16" s="253"/>
      <c r="F16" s="253"/>
      <c r="G16" s="253"/>
      <c r="H16" s="253"/>
      <c r="I16" s="253"/>
      <c r="J16" s="253"/>
      <c r="K16" s="253"/>
      <c r="L16" s="253"/>
      <c r="M16" s="290" t="s">
        <v>93</v>
      </c>
      <c r="N16" s="291">
        <f>+N198/S221</f>
        <v>1.0988645435997516E-2</v>
      </c>
      <c r="O16" s="290" t="s">
        <v>99</v>
      </c>
      <c r="P16" s="291">
        <f>+S198/S221</f>
        <v>1.6632662113013395E-3</v>
      </c>
      <c r="Q16" s="290" t="s">
        <v>102</v>
      </c>
      <c r="R16" s="291">
        <f>+N211/S221</f>
        <v>0.98434312073095009</v>
      </c>
      <c r="S16" s="290" t="s">
        <v>108</v>
      </c>
      <c r="T16" s="291">
        <f>+S211/S221</f>
        <v>3.0049676217510867E-3</v>
      </c>
      <c r="U16" s="289"/>
      <c r="V16" s="254"/>
      <c r="W16" s="6"/>
    </row>
    <row r="17" spans="1:23" ht="15.6">
      <c r="A17" s="242"/>
      <c r="B17" s="287" t="s">
        <v>7</v>
      </c>
      <c r="C17" s="253"/>
      <c r="D17" s="253"/>
      <c r="E17" s="253"/>
      <c r="F17" s="253"/>
      <c r="G17" s="253"/>
      <c r="H17" s="253"/>
      <c r="I17" s="253"/>
      <c r="J17" s="253"/>
      <c r="K17" s="253"/>
      <c r="L17" s="253"/>
      <c r="M17" s="288"/>
      <c r="N17" s="288"/>
      <c r="O17" s="288"/>
      <c r="P17" s="288"/>
      <c r="Q17" s="288"/>
      <c r="R17" s="288"/>
      <c r="S17" s="288"/>
      <c r="T17" s="288"/>
      <c r="U17" s="292">
        <v>38491</v>
      </c>
      <c r="V17" s="245"/>
      <c r="W17" s="6"/>
    </row>
    <row r="18" spans="1:23" ht="15.6">
      <c r="A18" s="242"/>
      <c r="B18" s="287" t="s">
        <v>8</v>
      </c>
      <c r="C18" s="253"/>
      <c r="D18" s="253"/>
      <c r="E18" s="253"/>
      <c r="F18" s="253"/>
      <c r="G18" s="253"/>
      <c r="H18" s="253"/>
      <c r="I18" s="253"/>
      <c r="J18" s="253"/>
      <c r="K18" s="253"/>
      <c r="L18" s="253"/>
      <c r="M18" s="288"/>
      <c r="N18" s="288"/>
      <c r="O18" s="288"/>
      <c r="P18" s="288"/>
      <c r="Q18" s="288"/>
      <c r="R18" s="288"/>
      <c r="S18" s="288"/>
      <c r="T18" s="288"/>
      <c r="U18" s="292">
        <v>42298</v>
      </c>
      <c r="V18" s="245"/>
      <c r="W18" s="6"/>
    </row>
    <row r="19" spans="1:23" ht="15.6">
      <c r="A19" s="242"/>
      <c r="B19" s="288"/>
      <c r="C19" s="244"/>
      <c r="D19" s="244"/>
      <c r="E19" s="244"/>
      <c r="F19" s="244"/>
      <c r="G19" s="244"/>
      <c r="H19" s="244"/>
      <c r="I19" s="244"/>
      <c r="J19" s="244"/>
      <c r="K19" s="244"/>
      <c r="L19" s="244"/>
      <c r="M19" s="244"/>
      <c r="N19" s="244"/>
      <c r="O19" s="244"/>
      <c r="P19" s="244"/>
      <c r="Q19" s="244"/>
      <c r="R19" s="244"/>
      <c r="S19" s="244"/>
      <c r="T19" s="244"/>
      <c r="U19" s="255"/>
      <c r="V19" s="245"/>
      <c r="W19" s="6"/>
    </row>
    <row r="20" spans="1:23" ht="15.6">
      <c r="A20" s="242"/>
      <c r="B20" s="293" t="s">
        <v>9</v>
      </c>
      <c r="C20" s="244"/>
      <c r="D20" s="244"/>
      <c r="E20" s="244"/>
      <c r="F20" s="244"/>
      <c r="G20" s="244"/>
      <c r="H20" s="244"/>
      <c r="I20" s="244"/>
      <c r="J20" s="244"/>
      <c r="K20" s="244"/>
      <c r="L20" s="244"/>
      <c r="M20" s="244"/>
      <c r="N20" s="244"/>
      <c r="O20" s="244"/>
      <c r="P20" s="244"/>
      <c r="Q20" s="244"/>
      <c r="R20" s="244"/>
      <c r="S20" s="255"/>
      <c r="T20" s="244"/>
      <c r="U20" s="249"/>
      <c r="V20" s="245"/>
      <c r="W20" s="6"/>
    </row>
    <row r="21" spans="1:23" ht="15.6">
      <c r="A21" s="242"/>
      <c r="B21" s="244"/>
      <c r="C21" s="244"/>
      <c r="D21" s="244"/>
      <c r="E21" s="244"/>
      <c r="F21" s="244"/>
      <c r="G21" s="244"/>
      <c r="H21" s="244"/>
      <c r="I21" s="244"/>
      <c r="J21" s="244"/>
      <c r="K21" s="244"/>
      <c r="L21" s="244"/>
      <c r="M21" s="244"/>
      <c r="N21" s="244"/>
      <c r="O21" s="244"/>
      <c r="P21" s="244"/>
      <c r="Q21" s="244"/>
      <c r="R21" s="244"/>
      <c r="S21" s="244"/>
      <c r="T21" s="244"/>
      <c r="U21" s="256"/>
      <c r="V21" s="245"/>
      <c r="W21" s="6"/>
    </row>
    <row r="22" spans="1:23" ht="15.6">
      <c r="A22" s="230"/>
      <c r="B22" s="231"/>
      <c r="C22" s="232" t="s">
        <v>130</v>
      </c>
      <c r="D22" s="232"/>
      <c r="E22" s="232" t="s">
        <v>131</v>
      </c>
      <c r="F22" s="232"/>
      <c r="G22" s="232" t="s">
        <v>132</v>
      </c>
      <c r="H22" s="232"/>
      <c r="I22" s="232" t="s">
        <v>133</v>
      </c>
      <c r="J22" s="232"/>
      <c r="K22" s="232" t="s">
        <v>134</v>
      </c>
      <c r="L22" s="232"/>
      <c r="M22" s="233" t="s">
        <v>135</v>
      </c>
      <c r="N22" s="233"/>
      <c r="O22" s="233" t="s">
        <v>136</v>
      </c>
      <c r="P22" s="233"/>
      <c r="Q22" s="233" t="s">
        <v>137</v>
      </c>
      <c r="R22" s="233"/>
      <c r="S22" s="235"/>
      <c r="T22" s="236"/>
      <c r="U22" s="236"/>
      <c r="V22" s="237"/>
      <c r="W22" s="6"/>
    </row>
    <row r="23" spans="1:23" ht="15.6">
      <c r="A23" s="257"/>
      <c r="B23" s="294" t="s">
        <v>10</v>
      </c>
      <c r="C23" s="295" t="s">
        <v>96</v>
      </c>
      <c r="D23" s="295"/>
      <c r="E23" s="295" t="s">
        <v>96</v>
      </c>
      <c r="F23" s="295"/>
      <c r="G23" s="295" t="s">
        <v>138</v>
      </c>
      <c r="H23" s="295"/>
      <c r="I23" s="295" t="s">
        <v>138</v>
      </c>
      <c r="J23" s="295"/>
      <c r="K23" s="295" t="s">
        <v>104</v>
      </c>
      <c r="L23" s="296"/>
      <c r="M23" s="297" t="s">
        <v>104</v>
      </c>
      <c r="N23" s="297"/>
      <c r="O23" s="297" t="s">
        <v>109</v>
      </c>
      <c r="P23" s="297"/>
      <c r="Q23" s="297" t="s">
        <v>109</v>
      </c>
      <c r="R23" s="258"/>
      <c r="S23" s="258"/>
      <c r="T23" s="259"/>
      <c r="U23" s="259"/>
      <c r="V23" s="260"/>
      <c r="W23" s="6"/>
    </row>
    <row r="24" spans="1:23" ht="15.6">
      <c r="A24" s="378"/>
      <c r="B24" s="379" t="s">
        <v>11</v>
      </c>
      <c r="C24" s="380" t="s">
        <v>97</v>
      </c>
      <c r="D24" s="380"/>
      <c r="E24" s="380" t="s">
        <v>97</v>
      </c>
      <c r="F24" s="380"/>
      <c r="G24" s="380" t="s">
        <v>139</v>
      </c>
      <c r="H24" s="380"/>
      <c r="I24" s="380" t="s">
        <v>139</v>
      </c>
      <c r="J24" s="380"/>
      <c r="K24" s="380" t="s">
        <v>105</v>
      </c>
      <c r="L24" s="381"/>
      <c r="M24" s="382" t="s">
        <v>105</v>
      </c>
      <c r="N24" s="382"/>
      <c r="O24" s="382" t="s">
        <v>110</v>
      </c>
      <c r="P24" s="382"/>
      <c r="Q24" s="382" t="s">
        <v>110</v>
      </c>
      <c r="R24" s="383"/>
      <c r="S24" s="383"/>
      <c r="T24" s="384"/>
      <c r="U24" s="384"/>
      <c r="V24" s="385"/>
      <c r="W24" s="6"/>
    </row>
    <row r="25" spans="1:23" ht="15.6">
      <c r="A25" s="378"/>
      <c r="B25" s="386" t="s">
        <v>12</v>
      </c>
      <c r="C25" s="381" t="s">
        <v>284</v>
      </c>
      <c r="D25" s="381"/>
      <c r="E25" s="381" t="s">
        <v>284</v>
      </c>
      <c r="F25" s="381"/>
      <c r="G25" s="381" t="s">
        <v>284</v>
      </c>
      <c r="H25" s="381"/>
      <c r="I25" s="381" t="s">
        <v>284</v>
      </c>
      <c r="J25" s="386"/>
      <c r="K25" s="381" t="s">
        <v>284</v>
      </c>
      <c r="L25" s="386"/>
      <c r="M25" s="387" t="s">
        <v>284</v>
      </c>
      <c r="N25" s="382"/>
      <c r="O25" s="387" t="s">
        <v>284</v>
      </c>
      <c r="P25" s="382"/>
      <c r="Q25" s="387" t="s">
        <v>284</v>
      </c>
      <c r="R25" s="388"/>
      <c r="S25" s="388"/>
      <c r="T25" s="389"/>
      <c r="U25" s="384"/>
      <c r="V25" s="385"/>
      <c r="W25" s="6"/>
    </row>
    <row r="26" spans="1:23" ht="15.6">
      <c r="A26" s="378"/>
      <c r="B26" s="386" t="s">
        <v>13</v>
      </c>
      <c r="C26" s="381" t="s">
        <v>139</v>
      </c>
      <c r="D26" s="381"/>
      <c r="E26" s="381" t="s">
        <v>139</v>
      </c>
      <c r="F26" s="381"/>
      <c r="G26" s="381" t="s">
        <v>139</v>
      </c>
      <c r="H26" s="381"/>
      <c r="I26" s="381" t="s">
        <v>139</v>
      </c>
      <c r="J26" s="386"/>
      <c r="K26" s="381" t="s">
        <v>280</v>
      </c>
      <c r="L26" s="386"/>
      <c r="M26" s="387" t="s">
        <v>280</v>
      </c>
      <c r="N26" s="382"/>
      <c r="O26" s="387" t="s">
        <v>110</v>
      </c>
      <c r="P26" s="382"/>
      <c r="Q26" s="387" t="s">
        <v>110</v>
      </c>
      <c r="R26" s="388"/>
      <c r="S26" s="388"/>
      <c r="T26" s="389"/>
      <c r="U26" s="384"/>
      <c r="V26" s="385"/>
      <c r="W26" s="6"/>
    </row>
    <row r="27" spans="1:23" ht="15.6">
      <c r="A27" s="378"/>
      <c r="B27" s="379" t="s">
        <v>14</v>
      </c>
      <c r="C27" s="380" t="s">
        <v>140</v>
      </c>
      <c r="D27" s="379"/>
      <c r="E27" s="380" t="s">
        <v>141</v>
      </c>
      <c r="F27" s="379"/>
      <c r="G27" s="380" t="s">
        <v>142</v>
      </c>
      <c r="H27" s="379"/>
      <c r="I27" s="380" t="s">
        <v>258</v>
      </c>
      <c r="J27" s="379"/>
      <c r="K27" s="380" t="s">
        <v>143</v>
      </c>
      <c r="L27" s="379"/>
      <c r="M27" s="379" t="s">
        <v>144</v>
      </c>
      <c r="N27" s="382"/>
      <c r="O27" s="379" t="s">
        <v>145</v>
      </c>
      <c r="P27" s="382"/>
      <c r="Q27" s="379" t="s">
        <v>146</v>
      </c>
      <c r="R27" s="383"/>
      <c r="S27" s="390"/>
      <c r="T27" s="384"/>
      <c r="U27" s="384"/>
      <c r="V27" s="385"/>
      <c r="W27" s="6"/>
    </row>
    <row r="28" spans="1:23" ht="15.6">
      <c r="A28" s="378"/>
      <c r="B28" s="379" t="s">
        <v>147</v>
      </c>
      <c r="C28" s="391">
        <v>146000</v>
      </c>
      <c r="D28" s="380"/>
      <c r="E28" s="392">
        <v>259500</v>
      </c>
      <c r="F28" s="380"/>
      <c r="G28" s="391">
        <v>16000</v>
      </c>
      <c r="H28" s="380"/>
      <c r="I28" s="392">
        <v>35500</v>
      </c>
      <c r="J28" s="379"/>
      <c r="K28" s="391">
        <v>18000</v>
      </c>
      <c r="L28" s="379"/>
      <c r="M28" s="392">
        <v>33000</v>
      </c>
      <c r="N28" s="393"/>
      <c r="O28" s="394">
        <v>24500</v>
      </c>
      <c r="P28" s="394"/>
      <c r="Q28" s="392">
        <v>30000</v>
      </c>
      <c r="R28" s="395"/>
      <c r="S28" s="395"/>
      <c r="T28" s="396"/>
      <c r="U28" s="395"/>
      <c r="V28" s="397"/>
      <c r="W28" s="6"/>
    </row>
    <row r="29" spans="1:23" ht="15.6">
      <c r="A29" s="378"/>
      <c r="B29" s="379" t="s">
        <v>15</v>
      </c>
      <c r="C29" s="391">
        <f>C28*C35</f>
        <v>18747.801600000003</v>
      </c>
      <c r="D29" s="398"/>
      <c r="E29" s="392">
        <f>E28*E35</f>
        <v>33322.2912</v>
      </c>
      <c r="F29" s="398"/>
      <c r="G29" s="391">
        <f>G28*G35</f>
        <v>6730.9472000000005</v>
      </c>
      <c r="H29" s="398"/>
      <c r="I29" s="392">
        <f>I28*I35</f>
        <v>14934.2891</v>
      </c>
      <c r="J29" s="399"/>
      <c r="K29" s="391">
        <f>K28*K35</f>
        <v>7572.3155999999999</v>
      </c>
      <c r="L29" s="399"/>
      <c r="M29" s="392">
        <f>M28*M35</f>
        <v>13882.578600000001</v>
      </c>
      <c r="N29" s="393"/>
      <c r="O29" s="391">
        <f>O28*O35</f>
        <v>10306.7629</v>
      </c>
      <c r="P29" s="394"/>
      <c r="Q29" s="392">
        <f>Q28*Q35</f>
        <v>12620.526</v>
      </c>
      <c r="R29" s="400"/>
      <c r="S29" s="395"/>
      <c r="T29" s="396"/>
      <c r="U29" s="395"/>
      <c r="V29" s="397"/>
      <c r="W29" s="6"/>
    </row>
    <row r="30" spans="1:23" ht="15.6">
      <c r="A30" s="401"/>
      <c r="B30" s="386" t="s">
        <v>148</v>
      </c>
      <c r="C30" s="415">
        <f>C34*C28</f>
        <v>17870.545999999998</v>
      </c>
      <c r="D30" s="505"/>
      <c r="E30" s="406">
        <f>E34*E28</f>
        <v>31763.059499999999</v>
      </c>
      <c r="F30" s="505"/>
      <c r="G30" s="415">
        <f>G34*G28</f>
        <v>6416.0544</v>
      </c>
      <c r="H30" s="505"/>
      <c r="I30" s="406">
        <f>I34*I28</f>
        <v>14235.620699999999</v>
      </c>
      <c r="J30" s="506"/>
      <c r="K30" s="415">
        <f>K34*K28</f>
        <v>7218.0612000000001</v>
      </c>
      <c r="L30" s="399"/>
      <c r="M30" s="406">
        <f>M34*M28</f>
        <v>13233.1122</v>
      </c>
      <c r="N30" s="407"/>
      <c r="O30" s="415">
        <f>O34*O28</f>
        <v>9824.5833000000002</v>
      </c>
      <c r="P30" s="408"/>
      <c r="Q30" s="406">
        <f>Q34*Q28</f>
        <v>12030.102000000001</v>
      </c>
      <c r="R30" s="408"/>
      <c r="S30" s="408"/>
      <c r="T30" s="409"/>
      <c r="U30" s="408"/>
      <c r="V30" s="410"/>
      <c r="W30" s="6"/>
    </row>
    <row r="31" spans="1:23" ht="15.6">
      <c r="A31" s="401"/>
      <c r="B31" s="379" t="s">
        <v>260</v>
      </c>
      <c r="C31" s="391">
        <v>146000</v>
      </c>
      <c r="D31" s="398"/>
      <c r="E31" s="391">
        <v>178000</v>
      </c>
      <c r="F31" s="391"/>
      <c r="G31" s="391">
        <v>16000</v>
      </c>
      <c r="H31" s="391"/>
      <c r="I31" s="391">
        <v>24500</v>
      </c>
      <c r="J31" s="412"/>
      <c r="K31" s="391">
        <v>18000</v>
      </c>
      <c r="L31" s="412"/>
      <c r="M31" s="391">
        <v>22500</v>
      </c>
      <c r="N31" s="414"/>
      <c r="O31" s="391">
        <v>24500</v>
      </c>
      <c r="P31" s="415"/>
      <c r="Q31" s="391">
        <v>20500</v>
      </c>
      <c r="R31" s="408"/>
      <c r="S31" s="408"/>
      <c r="T31" s="409"/>
      <c r="U31" s="394">
        <f>+Q31+O31+M31+K31+I31+G31+E31+C31</f>
        <v>450000</v>
      </c>
      <c r="V31" s="410"/>
      <c r="W31" s="6"/>
    </row>
    <row r="32" spans="1:23" ht="15.6">
      <c r="A32" s="401"/>
      <c r="B32" s="379" t="s">
        <v>261</v>
      </c>
      <c r="C32" s="391">
        <f>C28*C35</f>
        <v>18747.801600000003</v>
      </c>
      <c r="D32" s="398"/>
      <c r="E32" s="391">
        <f>E31*E35</f>
        <v>22856.908800000001</v>
      </c>
      <c r="F32" s="391"/>
      <c r="G32" s="391">
        <f>G28*G35</f>
        <v>6730.9472000000005</v>
      </c>
      <c r="H32" s="391"/>
      <c r="I32" s="391">
        <f>I31*I35</f>
        <v>10306.7629</v>
      </c>
      <c r="J32" s="412"/>
      <c r="K32" s="391">
        <f>K28*K35</f>
        <v>7572.3155999999999</v>
      </c>
      <c r="L32" s="412"/>
      <c r="M32" s="391">
        <f>M31*M35</f>
        <v>9465.3945000000003</v>
      </c>
      <c r="N32" s="414"/>
      <c r="O32" s="391">
        <f>O28*O35</f>
        <v>10306.7629</v>
      </c>
      <c r="P32" s="415"/>
      <c r="Q32" s="391">
        <f>Q31*Q35</f>
        <v>8624.026100000001</v>
      </c>
      <c r="R32" s="391"/>
      <c r="S32" s="408"/>
      <c r="T32" s="409"/>
      <c r="U32" s="394">
        <f>+Q32+O32+M32+K32+I32+G32+E32+C32</f>
        <v>94610.919600000008</v>
      </c>
      <c r="V32" s="410"/>
      <c r="W32" s="6"/>
    </row>
    <row r="33" spans="1:23" ht="15.6">
      <c r="A33" s="401"/>
      <c r="B33" s="386" t="s">
        <v>262</v>
      </c>
      <c r="C33" s="415">
        <f>C34*C28</f>
        <v>17870.545999999998</v>
      </c>
      <c r="D33" s="415"/>
      <c r="E33" s="415">
        <f>E34*E31</f>
        <v>21787.378000000001</v>
      </c>
      <c r="F33" s="415"/>
      <c r="G33" s="415">
        <f>G34*G28</f>
        <v>6416.0544</v>
      </c>
      <c r="H33" s="415"/>
      <c r="I33" s="415">
        <f>I34*I31</f>
        <v>9824.5833000000002</v>
      </c>
      <c r="J33" s="414"/>
      <c r="K33" s="415">
        <f>K34*K28</f>
        <v>7218.0612000000001</v>
      </c>
      <c r="L33" s="414"/>
      <c r="M33" s="415">
        <f>M34*M31</f>
        <v>9022.576500000001</v>
      </c>
      <c r="N33" s="414"/>
      <c r="O33" s="415">
        <f>O34*O28</f>
        <v>9824.5833000000002</v>
      </c>
      <c r="P33" s="415"/>
      <c r="Q33" s="415">
        <f>Q34*Q31</f>
        <v>8220.5697</v>
      </c>
      <c r="R33" s="408"/>
      <c r="S33" s="408"/>
      <c r="T33" s="409"/>
      <c r="U33" s="408">
        <f>+Q33+O33+M33+K33+I33+G33+E33+C33</f>
        <v>90184.352400000003</v>
      </c>
      <c r="V33" s="410"/>
      <c r="W33" s="6"/>
    </row>
    <row r="34" spans="1:23" ht="15.6">
      <c r="A34" s="401"/>
      <c r="B34" s="468" t="s">
        <v>149</v>
      </c>
      <c r="C34" s="507">
        <v>0.122401</v>
      </c>
      <c r="D34" s="507"/>
      <c r="E34" s="507">
        <v>0.122401</v>
      </c>
      <c r="F34" s="507"/>
      <c r="G34" s="507">
        <v>0.40100340000000001</v>
      </c>
      <c r="H34" s="507"/>
      <c r="I34" s="507">
        <v>0.40100340000000001</v>
      </c>
      <c r="J34" s="507"/>
      <c r="K34" s="507">
        <v>0.40100340000000001</v>
      </c>
      <c r="L34" s="507"/>
      <c r="M34" s="507">
        <v>0.40100340000000001</v>
      </c>
      <c r="N34" s="507"/>
      <c r="O34" s="507">
        <v>0.40100340000000001</v>
      </c>
      <c r="P34" s="507"/>
      <c r="Q34" s="507">
        <v>0.40100340000000001</v>
      </c>
      <c r="R34" s="508"/>
      <c r="S34" s="420"/>
      <c r="T34" s="421"/>
      <c r="U34" s="420"/>
      <c r="V34" s="385"/>
      <c r="W34" s="6"/>
    </row>
    <row r="35" spans="1:23" ht="15.6">
      <c r="A35" s="401"/>
      <c r="B35" s="468" t="s">
        <v>150</v>
      </c>
      <c r="C35" s="507">
        <v>0.12840960000000001</v>
      </c>
      <c r="D35" s="507"/>
      <c r="E35" s="507">
        <v>0.12840960000000001</v>
      </c>
      <c r="F35" s="507"/>
      <c r="G35" s="507">
        <v>0.42068420000000001</v>
      </c>
      <c r="H35" s="507"/>
      <c r="I35" s="507">
        <v>0.42068420000000001</v>
      </c>
      <c r="J35" s="507"/>
      <c r="K35" s="507">
        <v>0.42068420000000001</v>
      </c>
      <c r="L35" s="507"/>
      <c r="M35" s="507">
        <v>0.42068420000000001</v>
      </c>
      <c r="N35" s="507"/>
      <c r="O35" s="507">
        <v>0.42068420000000001</v>
      </c>
      <c r="P35" s="507"/>
      <c r="Q35" s="507">
        <v>0.42068420000000001</v>
      </c>
      <c r="R35" s="508"/>
      <c r="S35" s="420"/>
      <c r="T35" s="421"/>
      <c r="U35" s="420"/>
      <c r="V35" s="385"/>
      <c r="W35" s="6"/>
    </row>
    <row r="36" spans="1:23" ht="15.6">
      <c r="A36" s="378"/>
      <c r="B36" s="379" t="s">
        <v>153</v>
      </c>
      <c r="C36" s="380" t="s">
        <v>163</v>
      </c>
      <c r="D36" s="380"/>
      <c r="E36" s="380" t="s">
        <v>163</v>
      </c>
      <c r="F36" s="380"/>
      <c r="G36" s="380" t="s">
        <v>164</v>
      </c>
      <c r="H36" s="380"/>
      <c r="I36" s="380" t="s">
        <v>164</v>
      </c>
      <c r="J36" s="380"/>
      <c r="K36" s="380" t="s">
        <v>106</v>
      </c>
      <c r="L36" s="380"/>
      <c r="M36" s="380" t="s">
        <v>165</v>
      </c>
      <c r="N36" s="380"/>
      <c r="O36" s="380" t="s">
        <v>166</v>
      </c>
      <c r="P36" s="380"/>
      <c r="Q36" s="380" t="s">
        <v>167</v>
      </c>
      <c r="R36" s="380"/>
      <c r="S36" s="380"/>
      <c r="T36" s="379"/>
      <c r="U36" s="424"/>
      <c r="V36" s="410"/>
      <c r="W36" s="6"/>
    </row>
    <row r="37" spans="1:23" ht="15.6">
      <c r="A37" s="378"/>
      <c r="B37" s="379" t="s">
        <v>151</v>
      </c>
      <c r="C37" s="509">
        <v>1.0240600000000001E-2</v>
      </c>
      <c r="D37" s="509"/>
      <c r="E37" s="509">
        <v>4.2100000000000002E-3</v>
      </c>
      <c r="F37" s="509"/>
      <c r="G37" s="509">
        <v>1.24406E-2</v>
      </c>
      <c r="H37" s="509"/>
      <c r="I37" s="509">
        <v>6.4099999999999999E-3</v>
      </c>
      <c r="J37" s="509"/>
      <c r="K37" s="509">
        <v>1.7840600000000002E-2</v>
      </c>
      <c r="L37" s="509"/>
      <c r="M37" s="509">
        <v>1.1209999999999999E-2</v>
      </c>
      <c r="N37" s="509"/>
      <c r="O37" s="509">
        <v>2.4840600000000001E-2</v>
      </c>
      <c r="P37" s="509"/>
      <c r="Q37" s="509">
        <v>1.7809999999999999E-2</v>
      </c>
      <c r="R37" s="427"/>
      <c r="S37" s="509"/>
      <c r="T37" s="379"/>
      <c r="U37" s="380"/>
      <c r="V37" s="410"/>
      <c r="W37" s="6"/>
    </row>
    <row r="38" spans="1:23" ht="15.6">
      <c r="A38" s="378"/>
      <c r="B38" s="379" t="s">
        <v>152</v>
      </c>
      <c r="C38" s="509">
        <v>1.01213E-2</v>
      </c>
      <c r="D38" s="509"/>
      <c r="E38" s="509">
        <v>4.5100000000000001E-3</v>
      </c>
      <c r="F38" s="509"/>
      <c r="G38" s="509">
        <v>1.23213E-2</v>
      </c>
      <c r="H38" s="509"/>
      <c r="I38" s="509">
        <v>6.7099999999999998E-3</v>
      </c>
      <c r="J38" s="509"/>
      <c r="K38" s="509">
        <v>1.7721299999999999E-2</v>
      </c>
      <c r="L38" s="509"/>
      <c r="M38" s="509">
        <v>1.1509999999999999E-2</v>
      </c>
      <c r="N38" s="509"/>
      <c r="O38" s="509">
        <v>2.4721300000000002E-2</v>
      </c>
      <c r="P38" s="509"/>
      <c r="Q38" s="509">
        <v>1.8110000000000001E-2</v>
      </c>
      <c r="R38" s="427"/>
      <c r="S38" s="509"/>
      <c r="T38" s="379"/>
      <c r="U38" s="424"/>
      <c r="V38" s="410"/>
      <c r="W38" s="6"/>
    </row>
    <row r="39" spans="1:23" ht="15.6">
      <c r="A39" s="378"/>
      <c r="B39" s="379" t="s">
        <v>263</v>
      </c>
      <c r="C39" s="380" t="s">
        <v>163</v>
      </c>
      <c r="D39" s="379"/>
      <c r="E39" s="380" t="s">
        <v>228</v>
      </c>
      <c r="F39" s="379"/>
      <c r="G39" s="380" t="s">
        <v>164</v>
      </c>
      <c r="H39" s="379"/>
      <c r="I39" s="380" t="s">
        <v>226</v>
      </c>
      <c r="J39" s="379"/>
      <c r="K39" s="380" t="s">
        <v>106</v>
      </c>
      <c r="L39" s="379"/>
      <c r="M39" s="380" t="s">
        <v>227</v>
      </c>
      <c r="N39" s="379"/>
      <c r="O39" s="380" t="s">
        <v>166</v>
      </c>
      <c r="P39" s="380"/>
      <c r="Q39" s="380" t="s">
        <v>229</v>
      </c>
      <c r="R39" s="427"/>
      <c r="S39" s="509"/>
      <c r="T39" s="379"/>
      <c r="U39" s="424"/>
      <c r="V39" s="410"/>
      <c r="W39" s="6"/>
    </row>
    <row r="40" spans="1:23" ht="15.6">
      <c r="A40" s="378"/>
      <c r="B40" s="379" t="s">
        <v>264</v>
      </c>
      <c r="C40" s="509">
        <f>+C37</f>
        <v>1.0240600000000001E-2</v>
      </c>
      <c r="D40" s="509"/>
      <c r="E40" s="509">
        <v>1.0816599999999999E-2</v>
      </c>
      <c r="F40" s="509"/>
      <c r="G40" s="509">
        <f>+G37</f>
        <v>1.24406E-2</v>
      </c>
      <c r="H40" s="509"/>
      <c r="I40" s="509">
        <v>1.3173600000000001E-2</v>
      </c>
      <c r="J40" s="509"/>
      <c r="K40" s="509">
        <f>+K37</f>
        <v>1.7840600000000002E-2</v>
      </c>
      <c r="L40" s="510"/>
      <c r="M40" s="509">
        <v>1.8401000000000001E-2</v>
      </c>
      <c r="N40" s="510"/>
      <c r="O40" s="509">
        <f>+O37</f>
        <v>2.4840600000000001E-2</v>
      </c>
      <c r="P40" s="509"/>
      <c r="Q40" s="509">
        <v>2.5666999999999999E-2</v>
      </c>
      <c r="R40" s="427"/>
      <c r="S40" s="509"/>
      <c r="T40" s="379"/>
      <c r="U40" s="427">
        <f>SUMPRODUCT(C40:Q40,C32:Q32)/U32</f>
        <v>1.5277130871023685E-2</v>
      </c>
      <c r="V40" s="410"/>
      <c r="W40" s="6"/>
    </row>
    <row r="41" spans="1:23" ht="15.6">
      <c r="A41" s="378"/>
      <c r="B41" s="379" t="s">
        <v>265</v>
      </c>
      <c r="C41" s="509">
        <f>+C38</f>
        <v>1.01213E-2</v>
      </c>
      <c r="D41" s="509"/>
      <c r="E41" s="509">
        <v>1.06973E-2</v>
      </c>
      <c r="F41" s="509"/>
      <c r="G41" s="509">
        <f>+G38</f>
        <v>1.23213E-2</v>
      </c>
      <c r="H41" s="509"/>
      <c r="I41" s="509">
        <v>1.30543E-2</v>
      </c>
      <c r="J41" s="509"/>
      <c r="K41" s="509">
        <f>+K38</f>
        <v>1.7721299999999999E-2</v>
      </c>
      <c r="L41" s="510"/>
      <c r="M41" s="509">
        <v>1.8281700000000001E-2</v>
      </c>
      <c r="N41" s="510"/>
      <c r="O41" s="509">
        <f>+O38</f>
        <v>2.4721300000000002E-2</v>
      </c>
      <c r="P41" s="509"/>
      <c r="Q41" s="509">
        <v>2.55477E-2</v>
      </c>
      <c r="R41" s="427"/>
      <c r="S41" s="509"/>
      <c r="T41" s="379"/>
      <c r="U41" s="424"/>
      <c r="V41" s="410"/>
      <c r="W41" s="6"/>
    </row>
    <row r="42" spans="1:23" ht="15.6">
      <c r="A42" s="378"/>
      <c r="B42" s="379" t="s">
        <v>17</v>
      </c>
      <c r="C42" s="429">
        <v>39918</v>
      </c>
      <c r="D42" s="429"/>
      <c r="E42" s="429">
        <v>39918</v>
      </c>
      <c r="F42" s="429"/>
      <c r="G42" s="429">
        <v>39918</v>
      </c>
      <c r="H42" s="429"/>
      <c r="I42" s="429">
        <v>39918</v>
      </c>
      <c r="J42" s="429"/>
      <c r="K42" s="429">
        <v>39918</v>
      </c>
      <c r="L42" s="429"/>
      <c r="M42" s="429">
        <v>39918</v>
      </c>
      <c r="N42" s="429"/>
      <c r="O42" s="429">
        <v>39918</v>
      </c>
      <c r="P42" s="429"/>
      <c r="Q42" s="429">
        <v>39918</v>
      </c>
      <c r="R42" s="380"/>
      <c r="S42" s="380"/>
      <c r="T42" s="379"/>
      <c r="U42" s="424"/>
      <c r="V42" s="410"/>
      <c r="W42" s="6"/>
    </row>
    <row r="43" spans="1:23" ht="15.6">
      <c r="A43" s="378"/>
      <c r="B43" s="379" t="s">
        <v>18</v>
      </c>
      <c r="C43" s="429">
        <v>40283</v>
      </c>
      <c r="D43" s="430"/>
      <c r="E43" s="429">
        <v>40283</v>
      </c>
      <c r="F43" s="430"/>
      <c r="G43" s="429">
        <v>40283</v>
      </c>
      <c r="H43" s="430"/>
      <c r="I43" s="429">
        <v>40283</v>
      </c>
      <c r="J43" s="430"/>
      <c r="K43" s="429">
        <v>40283</v>
      </c>
      <c r="L43" s="430"/>
      <c r="M43" s="429">
        <v>40283</v>
      </c>
      <c r="N43" s="430"/>
      <c r="O43" s="429">
        <v>40283</v>
      </c>
      <c r="P43" s="429"/>
      <c r="Q43" s="429">
        <v>40283</v>
      </c>
      <c r="R43" s="380"/>
      <c r="S43" s="380"/>
      <c r="T43" s="424"/>
      <c r="U43" s="424"/>
      <c r="V43" s="410"/>
      <c r="W43" s="6"/>
    </row>
    <row r="44" spans="1:23" ht="15.6">
      <c r="A44" s="378"/>
      <c r="B44" s="379" t="s">
        <v>154</v>
      </c>
      <c r="C44" s="380" t="s">
        <v>163</v>
      </c>
      <c r="D44" s="380"/>
      <c r="E44" s="380" t="s">
        <v>163</v>
      </c>
      <c r="F44" s="380"/>
      <c r="G44" s="380" t="s">
        <v>164</v>
      </c>
      <c r="H44" s="380"/>
      <c r="I44" s="380" t="s">
        <v>164</v>
      </c>
      <c r="J44" s="380"/>
      <c r="K44" s="380" t="s">
        <v>106</v>
      </c>
      <c r="L44" s="380"/>
      <c r="M44" s="380" t="s">
        <v>165</v>
      </c>
      <c r="N44" s="380"/>
      <c r="O44" s="380" t="s">
        <v>166</v>
      </c>
      <c r="P44" s="380"/>
      <c r="Q44" s="380" t="s">
        <v>167</v>
      </c>
      <c r="R44" s="380"/>
      <c r="S44" s="380"/>
      <c r="T44" s="424"/>
      <c r="U44" s="424"/>
      <c r="V44" s="410"/>
      <c r="W44" s="6"/>
    </row>
    <row r="45" spans="1:23" ht="15.6">
      <c r="A45" s="378"/>
      <c r="B45" s="379" t="s">
        <v>266</v>
      </c>
      <c r="C45" s="380" t="s">
        <v>163</v>
      </c>
      <c r="D45" s="379"/>
      <c r="E45" s="380" t="s">
        <v>228</v>
      </c>
      <c r="F45" s="379"/>
      <c r="G45" s="380" t="s">
        <v>164</v>
      </c>
      <c r="H45" s="379"/>
      <c r="I45" s="380" t="s">
        <v>226</v>
      </c>
      <c r="J45" s="379"/>
      <c r="K45" s="380" t="s">
        <v>106</v>
      </c>
      <c r="L45" s="379"/>
      <c r="M45" s="380" t="s">
        <v>227</v>
      </c>
      <c r="N45" s="379"/>
      <c r="O45" s="380" t="s">
        <v>166</v>
      </c>
      <c r="P45" s="380"/>
      <c r="Q45" s="380" t="s">
        <v>229</v>
      </c>
      <c r="R45" s="380"/>
      <c r="S45" s="380"/>
      <c r="T45" s="424"/>
      <c r="U45" s="424"/>
      <c r="V45" s="410"/>
      <c r="W45" s="6"/>
    </row>
    <row r="46" spans="1:23" ht="15.6">
      <c r="A46" s="378"/>
      <c r="B46" s="379"/>
      <c r="C46" s="379"/>
      <c r="D46" s="379"/>
      <c r="E46" s="379"/>
      <c r="F46" s="379"/>
      <c r="G46" s="379"/>
      <c r="H46" s="379"/>
      <c r="I46" s="379"/>
      <c r="J46" s="379"/>
      <c r="K46" s="379"/>
      <c r="L46" s="379"/>
      <c r="M46" s="431"/>
      <c r="N46" s="431"/>
      <c r="O46" s="379"/>
      <c r="P46" s="431"/>
      <c r="Q46" s="431"/>
      <c r="R46" s="431"/>
      <c r="S46" s="431"/>
      <c r="T46" s="431"/>
      <c r="U46" s="431"/>
      <c r="V46" s="410"/>
      <c r="W46" s="6"/>
    </row>
    <row r="47" spans="1:23" ht="15.6">
      <c r="A47" s="378"/>
      <c r="B47" s="379" t="s">
        <v>201</v>
      </c>
      <c r="C47" s="379"/>
      <c r="D47" s="379"/>
      <c r="E47" s="379"/>
      <c r="F47" s="379"/>
      <c r="G47" s="379"/>
      <c r="H47" s="379"/>
      <c r="I47" s="379"/>
      <c r="J47" s="379"/>
      <c r="K47" s="379"/>
      <c r="L47" s="379"/>
      <c r="M47" s="379"/>
      <c r="N47" s="379"/>
      <c r="O47" s="379"/>
      <c r="P47" s="379"/>
      <c r="Q47" s="379"/>
      <c r="R47" s="379"/>
      <c r="S47" s="379"/>
      <c r="T47" s="379"/>
      <c r="U47" s="427">
        <f>SUM(G31:Q31)/(C31+E31)</f>
        <v>0.3888888888888889</v>
      </c>
      <c r="V47" s="410"/>
      <c r="W47" s="6"/>
    </row>
    <row r="48" spans="1:23" ht="15.6">
      <c r="A48" s="378"/>
      <c r="B48" s="379" t="s">
        <v>202</v>
      </c>
      <c r="C48" s="379"/>
      <c r="D48" s="379"/>
      <c r="E48" s="379"/>
      <c r="F48" s="379"/>
      <c r="G48" s="379"/>
      <c r="H48" s="379"/>
      <c r="I48" s="379"/>
      <c r="J48" s="379"/>
      <c r="K48" s="379"/>
      <c r="L48" s="379"/>
      <c r="M48" s="379"/>
      <c r="N48" s="379"/>
      <c r="O48" s="379"/>
      <c r="P48" s="379"/>
      <c r="Q48" s="379"/>
      <c r="R48" s="379"/>
      <c r="S48" s="379"/>
      <c r="T48" s="379"/>
      <c r="U48" s="427">
        <f>SUM(F33:Q33)/(C33+E33)</f>
        <v>1.2740563121760988</v>
      </c>
      <c r="V48" s="410"/>
      <c r="W48" s="6"/>
    </row>
    <row r="49" spans="1:25" ht="15.6">
      <c r="A49" s="378"/>
      <c r="B49" s="379" t="s">
        <v>203</v>
      </c>
      <c r="C49" s="379"/>
      <c r="D49" s="379"/>
      <c r="E49" s="379"/>
      <c r="F49" s="379"/>
      <c r="G49" s="379"/>
      <c r="H49" s="379"/>
      <c r="I49" s="379"/>
      <c r="J49" s="379"/>
      <c r="K49" s="379"/>
      <c r="L49" s="379"/>
      <c r="M49" s="379"/>
      <c r="N49" s="379"/>
      <c r="O49" s="379"/>
      <c r="P49" s="379"/>
      <c r="Q49" s="379"/>
      <c r="R49" s="379"/>
      <c r="S49" s="380" t="s">
        <v>95</v>
      </c>
      <c r="T49" s="380" t="s">
        <v>117</v>
      </c>
      <c r="U49" s="394">
        <v>99000</v>
      </c>
      <c r="V49" s="410"/>
      <c r="W49" s="6"/>
    </row>
    <row r="50" spans="1:25" ht="15.6">
      <c r="A50" s="378"/>
      <c r="B50" s="379"/>
      <c r="C50" s="379"/>
      <c r="D50" s="379"/>
      <c r="E50" s="379"/>
      <c r="F50" s="379"/>
      <c r="G50" s="379"/>
      <c r="H50" s="379"/>
      <c r="I50" s="379"/>
      <c r="J50" s="379"/>
      <c r="K50" s="379"/>
      <c r="L50" s="379"/>
      <c r="M50" s="379"/>
      <c r="N50" s="379"/>
      <c r="O50" s="379"/>
      <c r="P50" s="379"/>
      <c r="Q50" s="379"/>
      <c r="R50" s="379"/>
      <c r="S50" s="379" t="s">
        <v>213</v>
      </c>
      <c r="T50" s="379"/>
      <c r="U50" s="432"/>
      <c r="V50" s="410"/>
      <c r="W50" s="6"/>
    </row>
    <row r="51" spans="1:25" ht="15.6">
      <c r="A51" s="378"/>
      <c r="B51" s="379" t="s">
        <v>19</v>
      </c>
      <c r="C51" s="379"/>
      <c r="D51" s="379"/>
      <c r="E51" s="379"/>
      <c r="F51" s="379"/>
      <c r="G51" s="379"/>
      <c r="H51" s="379"/>
      <c r="I51" s="379"/>
      <c r="J51" s="379"/>
      <c r="K51" s="379"/>
      <c r="L51" s="379"/>
      <c r="M51" s="379"/>
      <c r="N51" s="379"/>
      <c r="O51" s="379"/>
      <c r="P51" s="379"/>
      <c r="Q51" s="379"/>
      <c r="R51" s="379"/>
      <c r="S51" s="380"/>
      <c r="T51" s="380"/>
      <c r="U51" s="380" t="s">
        <v>118</v>
      </c>
      <c r="V51" s="410"/>
      <c r="W51" s="6"/>
    </row>
    <row r="52" spans="1:25" ht="15.6">
      <c r="A52" s="401"/>
      <c r="B52" s="386" t="s">
        <v>20</v>
      </c>
      <c r="C52" s="386"/>
      <c r="D52" s="386"/>
      <c r="E52" s="386"/>
      <c r="F52" s="386"/>
      <c r="G52" s="386"/>
      <c r="H52" s="386"/>
      <c r="I52" s="386"/>
      <c r="J52" s="386"/>
      <c r="K52" s="386"/>
      <c r="L52" s="386"/>
      <c r="M52" s="386"/>
      <c r="N52" s="386"/>
      <c r="O52" s="386"/>
      <c r="P52" s="386"/>
      <c r="Q52" s="386"/>
      <c r="R52" s="386"/>
      <c r="S52" s="433"/>
      <c r="T52" s="433"/>
      <c r="U52" s="434">
        <v>42292</v>
      </c>
      <c r="V52" s="435"/>
      <c r="W52" s="6"/>
    </row>
    <row r="53" spans="1:25" ht="15.6">
      <c r="A53" s="378"/>
      <c r="B53" s="379" t="s">
        <v>155</v>
      </c>
      <c r="C53" s="379"/>
      <c r="D53" s="379"/>
      <c r="E53" s="379"/>
      <c r="F53" s="379"/>
      <c r="G53" s="379"/>
      <c r="H53" s="379"/>
      <c r="I53" s="379"/>
      <c r="J53" s="379"/>
      <c r="K53" s="379"/>
      <c r="L53" s="379"/>
      <c r="M53" s="379"/>
      <c r="N53" s="379"/>
      <c r="O53" s="379"/>
      <c r="P53" s="379"/>
      <c r="Q53" s="424"/>
      <c r="R53" s="379">
        <f>U53-S53+1</f>
        <v>91</v>
      </c>
      <c r="S53" s="436">
        <v>42109</v>
      </c>
      <c r="T53" s="429"/>
      <c r="U53" s="436">
        <v>42199</v>
      </c>
      <c r="V53" s="410"/>
      <c r="W53" s="6"/>
    </row>
    <row r="54" spans="1:25" ht="15.6">
      <c r="A54" s="378"/>
      <c r="B54" s="379" t="s">
        <v>156</v>
      </c>
      <c r="C54" s="379"/>
      <c r="D54" s="379"/>
      <c r="E54" s="379"/>
      <c r="F54" s="379"/>
      <c r="G54" s="379"/>
      <c r="H54" s="379"/>
      <c r="I54" s="379"/>
      <c r="J54" s="379"/>
      <c r="K54" s="379"/>
      <c r="L54" s="379"/>
      <c r="M54" s="379"/>
      <c r="N54" s="379"/>
      <c r="O54" s="379"/>
      <c r="P54" s="379"/>
      <c r="Q54" s="424"/>
      <c r="R54" s="379">
        <f>U54-S54+1</f>
        <v>92</v>
      </c>
      <c r="S54" s="436">
        <v>42200</v>
      </c>
      <c r="T54" s="429"/>
      <c r="U54" s="436">
        <v>42291</v>
      </c>
      <c r="V54" s="410"/>
      <c r="W54" s="6"/>
    </row>
    <row r="55" spans="1:25" ht="15.6">
      <c r="A55" s="378"/>
      <c r="B55" s="379" t="s">
        <v>21</v>
      </c>
      <c r="C55" s="379"/>
      <c r="D55" s="379"/>
      <c r="E55" s="379"/>
      <c r="F55" s="379"/>
      <c r="G55" s="379"/>
      <c r="H55" s="379"/>
      <c r="I55" s="379"/>
      <c r="J55" s="379"/>
      <c r="K55" s="379"/>
      <c r="L55" s="379"/>
      <c r="M55" s="379"/>
      <c r="N55" s="379"/>
      <c r="O55" s="379"/>
      <c r="P55" s="379"/>
      <c r="Q55" s="379"/>
      <c r="R55" s="379"/>
      <c r="S55" s="436"/>
      <c r="T55" s="429"/>
      <c r="U55" s="436" t="s">
        <v>119</v>
      </c>
      <c r="V55" s="410"/>
      <c r="W55" s="6"/>
    </row>
    <row r="56" spans="1:25" ht="15.6">
      <c r="A56" s="378"/>
      <c r="B56" s="379" t="s">
        <v>22</v>
      </c>
      <c r="C56" s="379"/>
      <c r="D56" s="379"/>
      <c r="E56" s="379"/>
      <c r="F56" s="379"/>
      <c r="G56" s="379"/>
      <c r="H56" s="379"/>
      <c r="I56" s="379"/>
      <c r="J56" s="379"/>
      <c r="K56" s="379"/>
      <c r="L56" s="379"/>
      <c r="M56" s="379"/>
      <c r="N56" s="379"/>
      <c r="O56" s="379"/>
      <c r="P56" s="379"/>
      <c r="Q56" s="379"/>
      <c r="R56" s="379"/>
      <c r="S56" s="436"/>
      <c r="T56" s="429"/>
      <c r="U56" s="436">
        <v>42278</v>
      </c>
      <c r="V56" s="410"/>
      <c r="W56" s="6"/>
    </row>
    <row r="57" spans="1:25" ht="15.6">
      <c r="A57" s="242"/>
      <c r="B57" s="364"/>
      <c r="C57" s="364"/>
      <c r="D57" s="364"/>
      <c r="E57" s="364"/>
      <c r="F57" s="364"/>
      <c r="G57" s="364"/>
      <c r="H57" s="364"/>
      <c r="I57" s="364"/>
      <c r="J57" s="364"/>
      <c r="K57" s="364"/>
      <c r="L57" s="364"/>
      <c r="M57" s="364"/>
      <c r="N57" s="364"/>
      <c r="O57" s="364"/>
      <c r="P57" s="364"/>
      <c r="Q57" s="364"/>
      <c r="R57" s="364"/>
      <c r="S57" s="364"/>
      <c r="T57" s="364"/>
      <c r="U57" s="377"/>
      <c r="V57" s="303"/>
      <c r="W57" s="6"/>
    </row>
    <row r="58" spans="1:25" ht="15.6">
      <c r="A58" s="242"/>
      <c r="B58" s="288"/>
      <c r="C58" s="288"/>
      <c r="D58" s="288"/>
      <c r="E58" s="288"/>
      <c r="F58" s="288"/>
      <c r="G58" s="288"/>
      <c r="H58" s="288"/>
      <c r="I58" s="288"/>
      <c r="J58" s="288"/>
      <c r="K58" s="288"/>
      <c r="L58" s="288"/>
      <c r="M58" s="288"/>
      <c r="N58" s="288"/>
      <c r="O58" s="288"/>
      <c r="P58" s="288"/>
      <c r="Q58" s="288"/>
      <c r="R58" s="288"/>
      <c r="S58" s="288"/>
      <c r="T58" s="288"/>
      <c r="U58" s="302"/>
      <c r="V58" s="303"/>
      <c r="W58" s="6"/>
    </row>
    <row r="59" spans="1:25" ht="16.2" thickBot="1">
      <c r="A59" s="261"/>
      <c r="B59" s="304" t="s">
        <v>295</v>
      </c>
      <c r="C59" s="305"/>
      <c r="D59" s="305"/>
      <c r="E59" s="305"/>
      <c r="F59" s="305"/>
      <c r="G59" s="305"/>
      <c r="H59" s="305"/>
      <c r="I59" s="305"/>
      <c r="J59" s="305"/>
      <c r="K59" s="305"/>
      <c r="L59" s="305"/>
      <c r="M59" s="305"/>
      <c r="N59" s="305"/>
      <c r="O59" s="305"/>
      <c r="P59" s="305"/>
      <c r="Q59" s="305"/>
      <c r="R59" s="305"/>
      <c r="S59" s="305"/>
      <c r="T59" s="305"/>
      <c r="U59" s="306"/>
      <c r="V59" s="307"/>
      <c r="W59" s="6"/>
    </row>
    <row r="60" spans="1:25" ht="15.6">
      <c r="A60" s="230"/>
      <c r="B60" s="511" t="s">
        <v>23</v>
      </c>
      <c r="C60" s="511"/>
      <c r="D60" s="511"/>
      <c r="E60" s="511"/>
      <c r="F60" s="511"/>
      <c r="G60" s="511"/>
      <c r="H60" s="511"/>
      <c r="I60" s="511"/>
      <c r="J60" s="511"/>
      <c r="K60" s="511"/>
      <c r="L60" s="511"/>
      <c r="M60" s="231"/>
      <c r="N60" s="231"/>
      <c r="O60" s="231"/>
      <c r="P60" s="231"/>
      <c r="Q60" s="231"/>
      <c r="R60" s="231"/>
      <c r="S60" s="231"/>
      <c r="T60" s="231"/>
      <c r="U60" s="309"/>
      <c r="V60" s="237"/>
      <c r="W60" s="6"/>
    </row>
    <row r="61" spans="1:25" ht="15.6">
      <c r="A61" s="242"/>
      <c r="B61" s="252"/>
      <c r="C61" s="252"/>
      <c r="D61" s="252"/>
      <c r="E61" s="252"/>
      <c r="F61" s="252"/>
      <c r="G61" s="252"/>
      <c r="H61" s="252"/>
      <c r="I61" s="252"/>
      <c r="J61" s="252"/>
      <c r="K61" s="252"/>
      <c r="L61" s="252"/>
      <c r="M61" s="244"/>
      <c r="N61" s="244"/>
      <c r="O61" s="244"/>
      <c r="P61" s="244"/>
      <c r="Q61" s="244"/>
      <c r="R61" s="244"/>
      <c r="S61" s="244"/>
      <c r="T61" s="244"/>
      <c r="U61" s="263"/>
      <c r="V61" s="245"/>
      <c r="W61" s="6"/>
    </row>
    <row r="62" spans="1:25" s="151" customFormat="1" ht="46.8">
      <c r="A62" s="264"/>
      <c r="B62" s="512"/>
      <c r="C62" s="513"/>
      <c r="D62" s="513"/>
      <c r="E62" s="513"/>
      <c r="F62" s="513"/>
      <c r="G62" s="513"/>
      <c r="H62" s="513"/>
      <c r="I62" s="513"/>
      <c r="J62" s="513"/>
      <c r="K62" s="513" t="s">
        <v>197</v>
      </c>
      <c r="L62" s="513"/>
      <c r="M62" s="513" t="s">
        <v>98</v>
      </c>
      <c r="N62" s="513"/>
      <c r="O62" s="513" t="s">
        <v>107</v>
      </c>
      <c r="P62" s="513"/>
      <c r="Q62" s="513" t="s">
        <v>111</v>
      </c>
      <c r="R62" s="513"/>
      <c r="S62" s="513" t="s">
        <v>113</v>
      </c>
      <c r="T62" s="513"/>
      <c r="U62" s="514" t="s">
        <v>120</v>
      </c>
      <c r="V62" s="515"/>
      <c r="W62" s="150"/>
    </row>
    <row r="63" spans="1:25" ht="15.6">
      <c r="A63" s="378"/>
      <c r="B63" s="379" t="s">
        <v>24</v>
      </c>
      <c r="C63" s="440"/>
      <c r="D63" s="440"/>
      <c r="E63" s="440"/>
      <c r="F63" s="440"/>
      <c r="G63" s="440"/>
      <c r="H63" s="440"/>
      <c r="I63" s="440"/>
      <c r="J63" s="440"/>
      <c r="K63" s="440">
        <f>265+63566+3306</f>
        <v>67137</v>
      </c>
      <c r="L63" s="440"/>
      <c r="M63" s="440">
        <v>5838</v>
      </c>
      <c r="N63" s="440"/>
      <c r="O63" s="440">
        <f>111+2+56</f>
        <v>169</v>
      </c>
      <c r="P63" s="440"/>
      <c r="Q63" s="440">
        <v>0</v>
      </c>
      <c r="R63" s="440"/>
      <c r="S63" s="440">
        <v>0</v>
      </c>
      <c r="T63" s="440"/>
      <c r="U63" s="441">
        <f>+M63-O63+Q63-S63</f>
        <v>5669</v>
      </c>
      <c r="V63" s="410"/>
      <c r="W63" s="6"/>
      <c r="Y63" s="182"/>
    </row>
    <row r="64" spans="1:25" ht="15.6">
      <c r="A64" s="378"/>
      <c r="B64" s="379" t="s">
        <v>25</v>
      </c>
      <c r="C64" s="440"/>
      <c r="D64" s="440"/>
      <c r="E64" s="440"/>
      <c r="F64" s="440"/>
      <c r="G64" s="440"/>
      <c r="H64" s="440"/>
      <c r="I64" s="440"/>
      <c r="J64" s="440"/>
      <c r="K64" s="440"/>
      <c r="L64" s="440"/>
      <c r="M64" s="440"/>
      <c r="N64" s="440"/>
      <c r="O64" s="440"/>
      <c r="P64" s="440"/>
      <c r="Q64" s="440">
        <v>0</v>
      </c>
      <c r="R64" s="440"/>
      <c r="S64" s="440">
        <v>0</v>
      </c>
      <c r="T64" s="440"/>
      <c r="U64" s="441">
        <f>M64-O64</f>
        <v>0</v>
      </c>
      <c r="V64" s="410"/>
      <c r="W64" s="6"/>
    </row>
    <row r="65" spans="1:25" ht="15.6">
      <c r="A65" s="378"/>
      <c r="B65" s="379"/>
      <c r="C65" s="440"/>
      <c r="D65" s="440"/>
      <c r="E65" s="440"/>
      <c r="F65" s="440"/>
      <c r="G65" s="440"/>
      <c r="H65" s="440"/>
      <c r="I65" s="440"/>
      <c r="J65" s="440"/>
      <c r="K65" s="440"/>
      <c r="L65" s="440"/>
      <c r="M65" s="440"/>
      <c r="N65" s="440"/>
      <c r="O65" s="440"/>
      <c r="P65" s="440"/>
      <c r="Q65" s="440"/>
      <c r="R65" s="440"/>
      <c r="S65" s="440"/>
      <c r="T65" s="440"/>
      <c r="U65" s="441"/>
      <c r="V65" s="410"/>
      <c r="W65" s="6"/>
    </row>
    <row r="66" spans="1:25" ht="15.6">
      <c r="A66" s="378"/>
      <c r="B66" s="379" t="s">
        <v>26</v>
      </c>
      <c r="C66" s="440"/>
      <c r="D66" s="440"/>
      <c r="E66" s="440"/>
      <c r="F66" s="440"/>
      <c r="G66" s="440"/>
      <c r="H66" s="440"/>
      <c r="I66" s="440"/>
      <c r="J66" s="440"/>
      <c r="K66" s="440">
        <v>24470</v>
      </c>
      <c r="L66" s="440"/>
      <c r="M66" s="440">
        <v>1245</v>
      </c>
      <c r="N66" s="440"/>
      <c r="O66" s="440">
        <v>40</v>
      </c>
      <c r="P66" s="440"/>
      <c r="Q66" s="440">
        <v>0</v>
      </c>
      <c r="R66" s="440"/>
      <c r="S66" s="440">
        <f>SUM(S63:S65)</f>
        <v>0</v>
      </c>
      <c r="T66" s="440"/>
      <c r="U66" s="441">
        <f>+M66-O66+Q66-S66</f>
        <v>1205</v>
      </c>
      <c r="V66" s="410"/>
      <c r="W66" s="6"/>
      <c r="Y66" s="182"/>
    </row>
    <row r="67" spans="1:25" ht="15.6">
      <c r="A67" s="378"/>
      <c r="B67" s="379" t="s">
        <v>25</v>
      </c>
      <c r="C67" s="440"/>
      <c r="D67" s="440"/>
      <c r="E67" s="440"/>
      <c r="F67" s="440"/>
      <c r="G67" s="440"/>
      <c r="H67" s="440"/>
      <c r="I67" s="440"/>
      <c r="J67" s="440"/>
      <c r="K67" s="440"/>
      <c r="L67" s="440"/>
      <c r="M67" s="440"/>
      <c r="N67" s="440"/>
      <c r="O67" s="440"/>
      <c r="P67" s="440"/>
      <c r="Q67" s="440">
        <v>0</v>
      </c>
      <c r="R67" s="440"/>
      <c r="S67" s="440">
        <v>0</v>
      </c>
      <c r="T67" s="440"/>
      <c r="U67" s="440"/>
      <c r="V67" s="410"/>
      <c r="W67" s="6"/>
    </row>
    <row r="68" spans="1:25" ht="15.6">
      <c r="A68" s="378"/>
      <c r="B68" s="386"/>
      <c r="C68" s="440"/>
      <c r="D68" s="440"/>
      <c r="E68" s="440"/>
      <c r="F68" s="440"/>
      <c r="G68" s="440"/>
      <c r="H68" s="440"/>
      <c r="I68" s="440"/>
      <c r="J68" s="440"/>
      <c r="K68" s="440"/>
      <c r="L68" s="440"/>
      <c r="M68" s="440"/>
      <c r="N68" s="440"/>
      <c r="O68" s="442"/>
      <c r="P68" s="440"/>
      <c r="Q68" s="440"/>
      <c r="R68" s="440"/>
      <c r="S68" s="440"/>
      <c r="T68" s="440"/>
      <c r="U68" s="440"/>
      <c r="V68" s="410"/>
      <c r="W68" s="6"/>
    </row>
    <row r="69" spans="1:25" ht="15.6">
      <c r="A69" s="378"/>
      <c r="B69" s="379" t="s">
        <v>27</v>
      </c>
      <c r="C69" s="440"/>
      <c r="D69" s="440"/>
      <c r="E69" s="440"/>
      <c r="F69" s="440"/>
      <c r="G69" s="440"/>
      <c r="H69" s="440"/>
      <c r="I69" s="440"/>
      <c r="J69" s="440"/>
      <c r="K69" s="440">
        <v>220072</v>
      </c>
      <c r="L69" s="440"/>
      <c r="M69" s="440">
        <v>101338</v>
      </c>
      <c r="N69" s="440"/>
      <c r="O69" s="440">
        <f>3965+236</f>
        <v>4201</v>
      </c>
      <c r="P69" s="440"/>
      <c r="Q69" s="440">
        <v>0</v>
      </c>
      <c r="R69" s="440"/>
      <c r="S69" s="440">
        <v>0</v>
      </c>
      <c r="T69" s="440"/>
      <c r="U69" s="441">
        <f>+M69-O69+Q69-S69</f>
        <v>97137</v>
      </c>
      <c r="V69" s="410"/>
      <c r="W69" s="6"/>
      <c r="Y69" s="182"/>
    </row>
    <row r="70" spans="1:25" ht="15.6">
      <c r="A70" s="378"/>
      <c r="B70" s="379" t="s">
        <v>25</v>
      </c>
      <c r="C70" s="440"/>
      <c r="D70" s="440"/>
      <c r="E70" s="440"/>
      <c r="F70" s="440"/>
      <c r="G70" s="440"/>
      <c r="H70" s="440"/>
      <c r="I70" s="440"/>
      <c r="J70" s="440"/>
      <c r="K70" s="440"/>
      <c r="L70" s="440"/>
      <c r="M70" s="440"/>
      <c r="N70" s="440"/>
      <c r="O70" s="440"/>
      <c r="P70" s="440"/>
      <c r="Q70" s="440">
        <v>0</v>
      </c>
      <c r="R70" s="440"/>
      <c r="S70" s="440">
        <v>0</v>
      </c>
      <c r="T70" s="440"/>
      <c r="U70" s="441">
        <f>M70-O70+Q70-S70</f>
        <v>0</v>
      </c>
      <c r="V70" s="410"/>
      <c r="W70" s="6"/>
    </row>
    <row r="71" spans="1:25" ht="15.6">
      <c r="A71" s="378"/>
      <c r="B71" s="379"/>
      <c r="C71" s="440"/>
      <c r="D71" s="440"/>
      <c r="E71" s="440"/>
      <c r="F71" s="440"/>
      <c r="G71" s="440"/>
      <c r="H71" s="440"/>
      <c r="I71" s="440"/>
      <c r="J71" s="440"/>
      <c r="K71" s="440"/>
      <c r="L71" s="440"/>
      <c r="M71" s="440"/>
      <c r="N71" s="440"/>
      <c r="O71" s="440"/>
      <c r="P71" s="440"/>
      <c r="Q71" s="440"/>
      <c r="R71" s="440"/>
      <c r="S71" s="440"/>
      <c r="T71" s="440"/>
      <c r="U71" s="441"/>
      <c r="V71" s="410"/>
      <c r="W71" s="6"/>
    </row>
    <row r="72" spans="1:25" ht="15.6">
      <c r="A72" s="378"/>
      <c r="B72" s="379" t="s">
        <v>28</v>
      </c>
      <c r="C72" s="440"/>
      <c r="D72" s="440"/>
      <c r="E72" s="440"/>
      <c r="F72" s="440"/>
      <c r="G72" s="440"/>
      <c r="H72" s="440"/>
      <c r="I72" s="440"/>
      <c r="J72" s="440"/>
      <c r="K72" s="440">
        <v>138321</v>
      </c>
      <c r="L72" s="440"/>
      <c r="M72" s="440">
        <v>496</v>
      </c>
      <c r="N72" s="440"/>
      <c r="O72" s="440">
        <f>47</f>
        <v>47</v>
      </c>
      <c r="P72" s="440"/>
      <c r="Q72" s="440">
        <v>0</v>
      </c>
      <c r="R72" s="440"/>
      <c r="S72" s="440">
        <v>0</v>
      </c>
      <c r="T72" s="440"/>
      <c r="U72" s="441">
        <f>+M72-O72+Q72-S72</f>
        <v>449</v>
      </c>
      <c r="V72" s="410"/>
      <c r="W72" s="6"/>
      <c r="X72" s="182"/>
      <c r="Y72" s="182"/>
    </row>
    <row r="73" spans="1:25" ht="15.6">
      <c r="A73" s="378"/>
      <c r="B73" s="379" t="s">
        <v>25</v>
      </c>
      <c r="C73" s="440"/>
      <c r="D73" s="440"/>
      <c r="E73" s="440"/>
      <c r="F73" s="440"/>
      <c r="G73" s="440"/>
      <c r="H73" s="440"/>
      <c r="I73" s="440"/>
      <c r="J73" s="440"/>
      <c r="K73" s="440"/>
      <c r="L73" s="440"/>
      <c r="M73" s="440"/>
      <c r="N73" s="440"/>
      <c r="O73" s="440"/>
      <c r="P73" s="440"/>
      <c r="Q73" s="440">
        <v>0</v>
      </c>
      <c r="R73" s="440"/>
      <c r="S73" s="440">
        <v>0</v>
      </c>
      <c r="T73" s="440"/>
      <c r="U73" s="441"/>
      <c r="V73" s="410"/>
      <c r="W73" s="6"/>
    </row>
    <row r="74" spans="1:25" ht="15.6">
      <c r="A74" s="378"/>
      <c r="B74" s="440"/>
      <c r="C74" s="440"/>
      <c r="D74" s="440"/>
      <c r="E74" s="440"/>
      <c r="F74" s="440"/>
      <c r="G74" s="440"/>
      <c r="H74" s="440"/>
      <c r="I74" s="440"/>
      <c r="J74" s="440"/>
      <c r="K74" s="440"/>
      <c r="L74" s="440"/>
      <c r="M74" s="440"/>
      <c r="N74" s="440"/>
      <c r="O74" s="440"/>
      <c r="P74" s="440"/>
      <c r="Q74" s="440"/>
      <c r="R74" s="440"/>
      <c r="S74" s="440"/>
      <c r="T74" s="440"/>
      <c r="U74" s="441"/>
      <c r="V74" s="410"/>
      <c r="W74" s="6"/>
    </row>
    <row r="75" spans="1:25" ht="15.6">
      <c r="A75" s="378"/>
      <c r="B75" s="379" t="s">
        <v>29</v>
      </c>
      <c r="C75" s="440"/>
      <c r="D75" s="440"/>
      <c r="E75" s="440"/>
      <c r="F75" s="440"/>
      <c r="G75" s="440"/>
      <c r="H75" s="440"/>
      <c r="I75" s="440"/>
      <c r="J75" s="440"/>
      <c r="K75" s="440">
        <f>SUM(K63:K72)</f>
        <v>450000</v>
      </c>
      <c r="L75" s="440"/>
      <c r="M75" s="440">
        <f>SUM(M63:M72)</f>
        <v>108917</v>
      </c>
      <c r="N75" s="440"/>
      <c r="O75" s="440">
        <f>SUM(O63:O73)</f>
        <v>4457</v>
      </c>
      <c r="P75" s="440"/>
      <c r="Q75" s="440">
        <f>SUM(Q63:Q73)</f>
        <v>0</v>
      </c>
      <c r="R75" s="440"/>
      <c r="S75" s="440">
        <f>SUM(S70:S74)</f>
        <v>0</v>
      </c>
      <c r="T75" s="440"/>
      <c r="U75" s="440">
        <f>SUM(U63:U73)</f>
        <v>104460</v>
      </c>
      <c r="V75" s="410"/>
      <c r="W75" s="6"/>
      <c r="X75" s="182"/>
      <c r="Y75" s="182"/>
    </row>
    <row r="76" spans="1:25" ht="15.6">
      <c r="A76" s="378"/>
      <c r="B76" s="379"/>
      <c r="C76" s="440"/>
      <c r="D76" s="440"/>
      <c r="E76" s="440"/>
      <c r="F76" s="440"/>
      <c r="G76" s="440"/>
      <c r="H76" s="440"/>
      <c r="I76" s="440"/>
      <c r="J76" s="440"/>
      <c r="K76" s="440"/>
      <c r="L76" s="440"/>
      <c r="M76" s="440"/>
      <c r="N76" s="440"/>
      <c r="O76" s="440"/>
      <c r="P76" s="440"/>
      <c r="Q76" s="440"/>
      <c r="R76" s="440"/>
      <c r="S76" s="440"/>
      <c r="T76" s="440"/>
      <c r="U76" s="440"/>
      <c r="V76" s="410"/>
      <c r="W76" s="6"/>
    </row>
    <row r="77" spans="1:25" ht="15.6">
      <c r="A77" s="378"/>
      <c r="B77" s="379" t="s">
        <v>214</v>
      </c>
      <c r="C77" s="440"/>
      <c r="D77" s="440"/>
      <c r="E77" s="440"/>
      <c r="F77" s="440"/>
      <c r="G77" s="440"/>
      <c r="H77" s="440"/>
      <c r="I77" s="440"/>
      <c r="J77" s="440"/>
      <c r="K77" s="440">
        <v>0</v>
      </c>
      <c r="L77" s="440"/>
      <c r="M77" s="440">
        <v>-14306</v>
      </c>
      <c r="N77" s="440"/>
      <c r="O77" s="440">
        <v>-30</v>
      </c>
      <c r="P77" s="440"/>
      <c r="Q77" s="440"/>
      <c r="R77" s="440"/>
      <c r="S77" s="440"/>
      <c r="T77" s="440"/>
      <c r="U77" s="441">
        <f>+M77-O77</f>
        <v>-14276</v>
      </c>
      <c r="V77" s="410"/>
      <c r="W77" s="6"/>
      <c r="Y77" s="182"/>
    </row>
    <row r="78" spans="1:25" ht="15.6">
      <c r="A78" s="378"/>
      <c r="B78" s="379" t="s">
        <v>30</v>
      </c>
      <c r="C78" s="440"/>
      <c r="D78" s="440"/>
      <c r="E78" s="440"/>
      <c r="F78" s="440"/>
      <c r="G78" s="440"/>
      <c r="H78" s="440"/>
      <c r="I78" s="440"/>
      <c r="J78" s="440"/>
      <c r="K78" s="440">
        <v>0</v>
      </c>
      <c r="L78" s="440"/>
      <c r="M78" s="440">
        <v>0</v>
      </c>
      <c r="N78" s="440"/>
      <c r="O78" s="440">
        <v>0</v>
      </c>
      <c r="P78" s="440"/>
      <c r="Q78" s="440">
        <v>0</v>
      </c>
      <c r="R78" s="440"/>
      <c r="S78" s="440"/>
      <c r="T78" s="440"/>
      <c r="U78" s="440">
        <v>0</v>
      </c>
      <c r="V78" s="410"/>
      <c r="W78" s="6"/>
      <c r="X78" s="182"/>
    </row>
    <row r="79" spans="1:25" ht="15.6">
      <c r="A79" s="378"/>
      <c r="B79" s="379" t="s">
        <v>31</v>
      </c>
      <c r="C79" s="440"/>
      <c r="D79" s="440"/>
      <c r="E79" s="440"/>
      <c r="F79" s="440"/>
      <c r="G79" s="440"/>
      <c r="H79" s="440"/>
      <c r="I79" s="440"/>
      <c r="J79" s="440"/>
      <c r="K79" s="440">
        <v>0</v>
      </c>
      <c r="L79" s="440"/>
      <c r="M79" s="440">
        <v>0</v>
      </c>
      <c r="N79" s="440"/>
      <c r="O79" s="440"/>
      <c r="P79" s="440"/>
      <c r="Q79" s="440">
        <v>0</v>
      </c>
      <c r="R79" s="440"/>
      <c r="S79" s="440"/>
      <c r="T79" s="440"/>
      <c r="U79" s="440">
        <f>Q79+M79</f>
        <v>0</v>
      </c>
      <c r="V79" s="410"/>
      <c r="W79" s="6"/>
    </row>
    <row r="80" spans="1:25" ht="15.6">
      <c r="A80" s="378"/>
      <c r="B80" s="379" t="s">
        <v>16</v>
      </c>
      <c r="C80" s="440"/>
      <c r="D80" s="440"/>
      <c r="E80" s="440"/>
      <c r="F80" s="440"/>
      <c r="G80" s="440"/>
      <c r="H80" s="440"/>
      <c r="I80" s="440"/>
      <c r="J80" s="440"/>
      <c r="K80" s="440">
        <f>SUM(K75:K79)</f>
        <v>450000</v>
      </c>
      <c r="L80" s="440"/>
      <c r="M80" s="440">
        <f>SUM(M75:M79)</f>
        <v>94611</v>
      </c>
      <c r="N80" s="440"/>
      <c r="O80" s="440">
        <f>O78-O79</f>
        <v>0</v>
      </c>
      <c r="P80" s="440"/>
      <c r="Q80" s="440"/>
      <c r="R80" s="440"/>
      <c r="S80" s="440"/>
      <c r="T80" s="440"/>
      <c r="U80" s="440">
        <f>SUM(U75:U79)</f>
        <v>90184</v>
      </c>
      <c r="V80" s="410"/>
      <c r="W80" s="6"/>
      <c r="X80" s="182"/>
      <c r="Y80" s="182"/>
    </row>
    <row r="81" spans="1:24" ht="15.6">
      <c r="A81" s="242"/>
      <c r="B81" s="437"/>
      <c r="C81" s="438"/>
      <c r="D81" s="438"/>
      <c r="E81" s="438"/>
      <c r="F81" s="438"/>
      <c r="G81" s="438"/>
      <c r="H81" s="438"/>
      <c r="I81" s="438"/>
      <c r="J81" s="438"/>
      <c r="K81" s="438"/>
      <c r="L81" s="438"/>
      <c r="M81" s="438"/>
      <c r="N81" s="438"/>
      <c r="O81" s="438"/>
      <c r="P81" s="438"/>
      <c r="Q81" s="438"/>
      <c r="R81" s="438"/>
      <c r="S81" s="439"/>
      <c r="T81" s="438"/>
      <c r="U81" s="439"/>
      <c r="V81" s="245"/>
      <c r="W81" s="6"/>
    </row>
    <row r="82" spans="1:24" ht="15.6">
      <c r="A82" s="230"/>
      <c r="B82" s="511" t="s">
        <v>32</v>
      </c>
      <c r="C82" s="511"/>
      <c r="D82" s="511"/>
      <c r="E82" s="511"/>
      <c r="F82" s="511"/>
      <c r="G82" s="511"/>
      <c r="H82" s="511"/>
      <c r="I82" s="511"/>
      <c r="J82" s="511"/>
      <c r="K82" s="511"/>
      <c r="L82" s="511"/>
      <c r="M82" s="511"/>
      <c r="N82" s="511"/>
      <c r="O82" s="511"/>
      <c r="P82" s="511"/>
      <c r="Q82" s="511"/>
      <c r="R82" s="232"/>
      <c r="S82" s="232"/>
      <c r="T82" s="232"/>
      <c r="U82" s="232" t="s">
        <v>121</v>
      </c>
      <c r="V82" s="516"/>
      <c r="W82" s="6"/>
    </row>
    <row r="83" spans="1:24" ht="15.6">
      <c r="A83" s="315"/>
      <c r="B83" s="294" t="s">
        <v>33</v>
      </c>
      <c r="C83" s="294"/>
      <c r="D83" s="294"/>
      <c r="E83" s="294"/>
      <c r="F83" s="294"/>
      <c r="G83" s="294"/>
      <c r="H83" s="294"/>
      <c r="I83" s="294"/>
      <c r="J83" s="294"/>
      <c r="K83" s="294"/>
      <c r="L83" s="294"/>
      <c r="M83" s="294"/>
      <c r="N83" s="294"/>
      <c r="O83" s="310"/>
      <c r="P83" s="294"/>
      <c r="Q83" s="294"/>
      <c r="R83" s="294"/>
      <c r="S83" s="310"/>
      <c r="T83" s="294"/>
      <c r="U83" s="311">
        <v>47316</v>
      </c>
      <c r="V83" s="298"/>
      <c r="W83" s="6"/>
    </row>
    <row r="84" spans="1:24" ht="15.6">
      <c r="A84" s="444"/>
      <c r="B84" s="379" t="s">
        <v>34</v>
      </c>
      <c r="C84" s="431"/>
      <c r="D84" s="431"/>
      <c r="E84" s="431"/>
      <c r="F84" s="431"/>
      <c r="G84" s="431"/>
      <c r="H84" s="431"/>
      <c r="I84" s="431"/>
      <c r="J84" s="431"/>
      <c r="K84" s="431"/>
      <c r="L84" s="431"/>
      <c r="M84" s="430"/>
      <c r="N84" s="379"/>
      <c r="O84" s="379"/>
      <c r="P84" s="379"/>
      <c r="Q84" s="379"/>
      <c r="R84" s="379"/>
      <c r="S84" s="440"/>
      <c r="T84" s="379"/>
      <c r="U84" s="441">
        <f>-44+130+54</f>
        <v>140</v>
      </c>
      <c r="V84" s="410"/>
      <c r="W84" s="6"/>
    </row>
    <row r="85" spans="1:24" ht="15.6">
      <c r="A85" s="444"/>
      <c r="B85" s="379" t="s">
        <v>230</v>
      </c>
      <c r="C85" s="379"/>
      <c r="D85" s="379"/>
      <c r="E85" s="379"/>
      <c r="F85" s="379"/>
      <c r="G85" s="379"/>
      <c r="H85" s="379"/>
      <c r="I85" s="379"/>
      <c r="J85" s="379"/>
      <c r="K85" s="379"/>
      <c r="L85" s="379"/>
      <c r="M85" s="379"/>
      <c r="N85" s="379"/>
      <c r="O85" s="379"/>
      <c r="P85" s="379"/>
      <c r="Q85" s="379"/>
      <c r="R85" s="379"/>
      <c r="S85" s="440"/>
      <c r="T85" s="379"/>
      <c r="U85" s="441">
        <v>0</v>
      </c>
      <c r="V85" s="410"/>
      <c r="W85" s="6"/>
      <c r="X85" s="64"/>
    </row>
    <row r="86" spans="1:24" ht="15.6">
      <c r="A86" s="444"/>
      <c r="B86" s="379" t="s">
        <v>231</v>
      </c>
      <c r="C86" s="379"/>
      <c r="D86" s="379"/>
      <c r="E86" s="379"/>
      <c r="F86" s="379"/>
      <c r="G86" s="379"/>
      <c r="H86" s="379"/>
      <c r="I86" s="379"/>
      <c r="J86" s="379"/>
      <c r="K86" s="379"/>
      <c r="L86" s="379"/>
      <c r="M86" s="379"/>
      <c r="N86" s="379"/>
      <c r="O86" s="379"/>
      <c r="P86" s="379"/>
      <c r="Q86" s="379"/>
      <c r="R86" s="379"/>
      <c r="S86" s="440"/>
      <c r="T86" s="379"/>
      <c r="U86" s="441">
        <v>0</v>
      </c>
      <c r="V86" s="410"/>
      <c r="W86" s="6"/>
      <c r="X86" s="64"/>
    </row>
    <row r="87" spans="1:24" ht="15.6">
      <c r="A87" s="444"/>
      <c r="B87" s="379" t="s">
        <v>35</v>
      </c>
      <c r="C87" s="379"/>
      <c r="D87" s="379"/>
      <c r="E87" s="379"/>
      <c r="F87" s="379"/>
      <c r="G87" s="379"/>
      <c r="H87" s="379"/>
      <c r="I87" s="379"/>
      <c r="J87" s="379"/>
      <c r="K87" s="379"/>
      <c r="L87" s="379"/>
      <c r="M87" s="379"/>
      <c r="N87" s="379"/>
      <c r="O87" s="379"/>
      <c r="P87" s="379"/>
      <c r="Q87" s="379"/>
      <c r="R87" s="379"/>
      <c r="S87" s="440"/>
      <c r="T87" s="379"/>
      <c r="U87" s="441">
        <f>SUM(U83:U86)</f>
        <v>47456</v>
      </c>
      <c r="V87" s="410"/>
      <c r="W87" s="6"/>
      <c r="X87" s="64"/>
    </row>
    <row r="88" spans="1:24" ht="15.6">
      <c r="A88" s="444"/>
      <c r="B88" s="379"/>
      <c r="C88" s="379"/>
      <c r="D88" s="379"/>
      <c r="E88" s="379"/>
      <c r="F88" s="379"/>
      <c r="G88" s="379"/>
      <c r="H88" s="379"/>
      <c r="I88" s="379"/>
      <c r="J88" s="379"/>
      <c r="K88" s="379"/>
      <c r="L88" s="379"/>
      <c r="M88" s="379"/>
      <c r="N88" s="379"/>
      <c r="O88" s="379"/>
      <c r="P88" s="379"/>
      <c r="Q88" s="379"/>
      <c r="R88" s="379"/>
      <c r="S88" s="440"/>
      <c r="T88" s="379"/>
      <c r="U88" s="440"/>
      <c r="V88" s="410"/>
      <c r="W88" s="6"/>
    </row>
    <row r="89" spans="1:24" ht="15.6">
      <c r="A89" s="444"/>
      <c r="B89" s="446" t="s">
        <v>36</v>
      </c>
      <c r="C89" s="446"/>
      <c r="D89" s="446"/>
      <c r="E89" s="446"/>
      <c r="F89" s="446"/>
      <c r="G89" s="446"/>
      <c r="H89" s="446"/>
      <c r="I89" s="446"/>
      <c r="J89" s="446"/>
      <c r="K89" s="446"/>
      <c r="L89" s="446"/>
      <c r="M89" s="379"/>
      <c r="N89" s="379"/>
      <c r="O89" s="379"/>
      <c r="P89" s="379"/>
      <c r="Q89" s="379"/>
      <c r="R89" s="379"/>
      <c r="S89" s="440"/>
      <c r="T89" s="379"/>
      <c r="U89" s="441"/>
      <c r="V89" s="410"/>
      <c r="W89" s="6"/>
      <c r="X89" s="64"/>
    </row>
    <row r="90" spans="1:24" ht="15.6">
      <c r="A90" s="444">
        <v>1</v>
      </c>
      <c r="B90" s="379" t="s">
        <v>37</v>
      </c>
      <c r="C90" s="379"/>
      <c r="D90" s="379"/>
      <c r="E90" s="379"/>
      <c r="F90" s="379"/>
      <c r="G90" s="379"/>
      <c r="H90" s="379"/>
      <c r="I90" s="379"/>
      <c r="J90" s="379"/>
      <c r="K90" s="379"/>
      <c r="L90" s="379"/>
      <c r="M90" s="379"/>
      <c r="N90" s="379"/>
      <c r="O90" s="379"/>
      <c r="P90" s="379"/>
      <c r="Q90" s="379"/>
      <c r="R90" s="379"/>
      <c r="S90" s="379"/>
      <c r="T90" s="379"/>
      <c r="U90" s="441">
        <v>-2</v>
      </c>
      <c r="V90" s="410"/>
      <c r="W90" s="6"/>
    </row>
    <row r="91" spans="1:24" ht="15.6">
      <c r="A91" s="444">
        <f>A90+1</f>
        <v>2</v>
      </c>
      <c r="B91" s="379" t="s">
        <v>168</v>
      </c>
      <c r="C91" s="379"/>
      <c r="D91" s="379"/>
      <c r="E91" s="379"/>
      <c r="F91" s="379"/>
      <c r="G91" s="379"/>
      <c r="H91" s="379"/>
      <c r="I91" s="379"/>
      <c r="J91" s="379"/>
      <c r="K91" s="379"/>
      <c r="L91" s="379"/>
      <c r="M91" s="379"/>
      <c r="N91" s="379"/>
      <c r="O91" s="379"/>
      <c r="P91" s="379"/>
      <c r="Q91" s="379"/>
      <c r="R91" s="379"/>
      <c r="S91" s="379"/>
      <c r="T91" s="379"/>
      <c r="U91" s="441">
        <f>-95-28-1</f>
        <v>-124</v>
      </c>
      <c r="V91" s="410"/>
      <c r="W91" s="6"/>
      <c r="X91" s="64"/>
    </row>
    <row r="92" spans="1:24" ht="15.6">
      <c r="A92" s="444">
        <v>3</v>
      </c>
      <c r="B92" s="379" t="s">
        <v>38</v>
      </c>
      <c r="C92" s="379"/>
      <c r="D92" s="379"/>
      <c r="E92" s="379"/>
      <c r="F92" s="379"/>
      <c r="G92" s="379"/>
      <c r="H92" s="379"/>
      <c r="I92" s="379"/>
      <c r="J92" s="379"/>
      <c r="K92" s="379"/>
      <c r="L92" s="379"/>
      <c r="M92" s="379"/>
      <c r="N92" s="379"/>
      <c r="O92" s="379"/>
      <c r="P92" s="379"/>
      <c r="Q92" s="379"/>
      <c r="R92" s="379"/>
      <c r="S92" s="379"/>
      <c r="T92" s="379"/>
      <c r="U92" s="441">
        <v>-13</v>
      </c>
      <c r="V92" s="410"/>
      <c r="W92" s="6"/>
      <c r="X92" s="64"/>
    </row>
    <row r="93" spans="1:24" ht="15.6">
      <c r="A93" s="447" t="s">
        <v>190</v>
      </c>
      <c r="B93" s="379" t="s">
        <v>169</v>
      </c>
      <c r="C93" s="379"/>
      <c r="D93" s="379"/>
      <c r="E93" s="379"/>
      <c r="F93" s="379"/>
      <c r="G93" s="379"/>
      <c r="H93" s="379"/>
      <c r="I93" s="379"/>
      <c r="J93" s="379"/>
      <c r="K93" s="379"/>
      <c r="L93" s="379"/>
      <c r="M93" s="379"/>
      <c r="N93" s="379"/>
      <c r="O93" s="379"/>
      <c r="P93" s="379"/>
      <c r="Q93" s="379"/>
      <c r="R93" s="379"/>
      <c r="S93" s="379"/>
      <c r="T93" s="379"/>
      <c r="U93" s="441">
        <v>-48</v>
      </c>
      <c r="V93" s="410"/>
      <c r="W93" s="6"/>
      <c r="X93" s="64"/>
    </row>
    <row r="94" spans="1:24" ht="15.6">
      <c r="A94" s="447" t="s">
        <v>191</v>
      </c>
      <c r="B94" s="379" t="s">
        <v>170</v>
      </c>
      <c r="C94" s="379"/>
      <c r="D94" s="379"/>
      <c r="E94" s="379"/>
      <c r="F94" s="379"/>
      <c r="G94" s="379"/>
      <c r="H94" s="379"/>
      <c r="I94" s="379"/>
      <c r="J94" s="379"/>
      <c r="K94" s="379"/>
      <c r="L94" s="379"/>
      <c r="M94" s="379"/>
      <c r="N94" s="379"/>
      <c r="O94" s="379"/>
      <c r="P94" s="379"/>
      <c r="Q94" s="379"/>
      <c r="R94" s="379"/>
      <c r="S94" s="379"/>
      <c r="T94" s="379"/>
      <c r="U94" s="441">
        <v>-63</v>
      </c>
      <c r="V94" s="410"/>
      <c r="W94" s="6"/>
      <c r="X94" s="182"/>
    </row>
    <row r="95" spans="1:24" ht="15.6">
      <c r="A95" s="444">
        <v>5</v>
      </c>
      <c r="B95" s="379" t="s">
        <v>171</v>
      </c>
      <c r="C95" s="379"/>
      <c r="D95" s="379"/>
      <c r="E95" s="379"/>
      <c r="F95" s="379"/>
      <c r="G95" s="379"/>
      <c r="H95" s="379"/>
      <c r="I95" s="379"/>
      <c r="J95" s="379"/>
      <c r="K95" s="379"/>
      <c r="L95" s="379"/>
      <c r="M95" s="379"/>
      <c r="N95" s="379"/>
      <c r="O95" s="379"/>
      <c r="P95" s="379"/>
      <c r="Q95" s="379"/>
      <c r="R95" s="379"/>
      <c r="S95" s="379"/>
      <c r="T95" s="379"/>
      <c r="U95" s="441">
        <v>-8</v>
      </c>
      <c r="V95" s="410"/>
      <c r="W95" s="6"/>
    </row>
    <row r="96" spans="1:24" ht="15.6">
      <c r="A96" s="447" t="s">
        <v>174</v>
      </c>
      <c r="B96" s="379" t="s">
        <v>172</v>
      </c>
      <c r="C96" s="379"/>
      <c r="D96" s="379"/>
      <c r="E96" s="379"/>
      <c r="F96" s="379"/>
      <c r="G96" s="379"/>
      <c r="H96" s="379"/>
      <c r="I96" s="379"/>
      <c r="J96" s="379"/>
      <c r="K96" s="379"/>
      <c r="L96" s="379"/>
      <c r="M96" s="379"/>
      <c r="N96" s="379"/>
      <c r="O96" s="379"/>
      <c r="P96" s="379"/>
      <c r="Q96" s="379"/>
      <c r="R96" s="379"/>
      <c r="S96" s="379"/>
      <c r="T96" s="379"/>
      <c r="U96" s="441">
        <v>-21</v>
      </c>
      <c r="V96" s="410"/>
      <c r="W96" s="6"/>
      <c r="X96" s="182"/>
    </row>
    <row r="97" spans="1:24" ht="15.6">
      <c r="A97" s="447" t="s">
        <v>176</v>
      </c>
      <c r="B97" s="379" t="s">
        <v>173</v>
      </c>
      <c r="C97" s="379"/>
      <c r="D97" s="379"/>
      <c r="E97" s="379"/>
      <c r="F97" s="379"/>
      <c r="G97" s="379"/>
      <c r="H97" s="379"/>
      <c r="I97" s="379"/>
      <c r="J97" s="379"/>
      <c r="K97" s="379"/>
      <c r="L97" s="379"/>
      <c r="M97" s="379"/>
      <c r="N97" s="379"/>
      <c r="O97" s="379"/>
      <c r="P97" s="379"/>
      <c r="Q97" s="379"/>
      <c r="R97" s="379"/>
      <c r="S97" s="379"/>
      <c r="T97" s="379"/>
      <c r="U97" s="441">
        <v>-34</v>
      </c>
      <c r="V97" s="410"/>
      <c r="W97" s="119"/>
      <c r="X97" s="182"/>
    </row>
    <row r="98" spans="1:24" ht="15.6">
      <c r="A98" s="447" t="s">
        <v>178</v>
      </c>
      <c r="B98" s="379" t="s">
        <v>175</v>
      </c>
      <c r="C98" s="379"/>
      <c r="D98" s="379"/>
      <c r="E98" s="379"/>
      <c r="F98" s="379"/>
      <c r="G98" s="379"/>
      <c r="H98" s="379"/>
      <c r="I98" s="379"/>
      <c r="J98" s="379"/>
      <c r="K98" s="379"/>
      <c r="L98" s="379"/>
      <c r="M98" s="379"/>
      <c r="N98" s="379"/>
      <c r="O98" s="379"/>
      <c r="P98" s="379"/>
      <c r="Q98" s="379"/>
      <c r="R98" s="379"/>
      <c r="S98" s="379"/>
      <c r="T98" s="379"/>
      <c r="U98" s="441">
        <v>-34</v>
      </c>
      <c r="V98" s="410"/>
      <c r="W98" s="6"/>
      <c r="X98" s="182"/>
    </row>
    <row r="99" spans="1:24" ht="15.6">
      <c r="A99" s="447" t="s">
        <v>180</v>
      </c>
      <c r="B99" s="379" t="s">
        <v>177</v>
      </c>
      <c r="C99" s="379"/>
      <c r="D99" s="379"/>
      <c r="E99" s="379"/>
      <c r="F99" s="379"/>
      <c r="G99" s="379"/>
      <c r="H99" s="379"/>
      <c r="I99" s="379"/>
      <c r="J99" s="379"/>
      <c r="K99" s="379"/>
      <c r="L99" s="379"/>
      <c r="M99" s="379"/>
      <c r="N99" s="379"/>
      <c r="O99" s="379"/>
      <c r="P99" s="379"/>
      <c r="Q99" s="379"/>
      <c r="R99" s="379"/>
      <c r="S99" s="379"/>
      <c r="T99" s="379"/>
      <c r="U99" s="441">
        <v>-44</v>
      </c>
      <c r="V99" s="410"/>
      <c r="W99" s="119"/>
      <c r="X99" s="182"/>
    </row>
    <row r="100" spans="1:24" ht="15.6">
      <c r="A100" s="447" t="s">
        <v>192</v>
      </c>
      <c r="B100" s="379" t="s">
        <v>179</v>
      </c>
      <c r="C100" s="379"/>
      <c r="D100" s="379"/>
      <c r="E100" s="379"/>
      <c r="F100" s="379"/>
      <c r="G100" s="379"/>
      <c r="H100" s="379"/>
      <c r="I100" s="379"/>
      <c r="J100" s="379"/>
      <c r="K100" s="379"/>
      <c r="L100" s="379"/>
      <c r="M100" s="379"/>
      <c r="N100" s="379"/>
      <c r="O100" s="379"/>
      <c r="P100" s="379"/>
      <c r="Q100" s="379"/>
      <c r="R100" s="379"/>
      <c r="S100" s="379"/>
      <c r="T100" s="379"/>
      <c r="U100" s="441">
        <v>-65</v>
      </c>
      <c r="V100" s="410"/>
      <c r="W100" s="6"/>
      <c r="X100" s="182"/>
    </row>
    <row r="101" spans="1:24" ht="15.6">
      <c r="A101" s="447" t="s">
        <v>193</v>
      </c>
      <c r="B101" s="379" t="s">
        <v>181</v>
      </c>
      <c r="C101" s="379"/>
      <c r="D101" s="379"/>
      <c r="E101" s="379"/>
      <c r="F101" s="379"/>
      <c r="G101" s="379"/>
      <c r="H101" s="379"/>
      <c r="I101" s="379"/>
      <c r="J101" s="379"/>
      <c r="K101" s="379"/>
      <c r="L101" s="379"/>
      <c r="M101" s="379"/>
      <c r="N101" s="379"/>
      <c r="O101" s="379"/>
      <c r="P101" s="379"/>
      <c r="Q101" s="379"/>
      <c r="R101" s="379"/>
      <c r="S101" s="379"/>
      <c r="T101" s="379"/>
      <c r="U101" s="441">
        <v>-55</v>
      </c>
      <c r="V101" s="410"/>
      <c r="W101" s="119"/>
      <c r="X101" s="182"/>
    </row>
    <row r="102" spans="1:24" ht="15.6">
      <c r="A102" s="444">
        <v>9</v>
      </c>
      <c r="B102" s="379" t="s">
        <v>257</v>
      </c>
      <c r="C102" s="379"/>
      <c r="D102" s="379"/>
      <c r="E102" s="379"/>
      <c r="F102" s="379"/>
      <c r="G102" s="379"/>
      <c r="H102" s="379"/>
      <c r="I102" s="379"/>
      <c r="J102" s="379"/>
      <c r="K102" s="379"/>
      <c r="L102" s="379"/>
      <c r="M102" s="379"/>
      <c r="N102" s="379"/>
      <c r="O102" s="379"/>
      <c r="P102" s="379"/>
      <c r="Q102" s="379"/>
      <c r="R102" s="379"/>
      <c r="S102" s="379"/>
      <c r="T102" s="379"/>
      <c r="U102" s="441">
        <f>+S219-U32</f>
        <v>-4426.9196000000084</v>
      </c>
      <c r="V102" s="410"/>
      <c r="W102" s="6"/>
      <c r="X102" s="182"/>
    </row>
    <row r="103" spans="1:24" ht="15.6">
      <c r="A103" s="444">
        <v>10</v>
      </c>
      <c r="B103" s="379" t="s">
        <v>234</v>
      </c>
      <c r="C103" s="379"/>
      <c r="D103" s="379"/>
      <c r="E103" s="379"/>
      <c r="F103" s="379"/>
      <c r="G103" s="379"/>
      <c r="H103" s="379"/>
      <c r="I103" s="379"/>
      <c r="J103" s="379"/>
      <c r="K103" s="379"/>
      <c r="L103" s="379"/>
      <c r="M103" s="379"/>
      <c r="N103" s="379"/>
      <c r="O103" s="379"/>
      <c r="P103" s="379"/>
      <c r="Q103" s="379"/>
      <c r="R103" s="379"/>
      <c r="S103" s="379"/>
      <c r="T103" s="379"/>
      <c r="U103" s="441">
        <v>-40500</v>
      </c>
      <c r="V103" s="410"/>
      <c r="W103" s="6"/>
      <c r="X103" s="64"/>
    </row>
    <row r="104" spans="1:24" ht="15.6">
      <c r="A104" s="444">
        <v>11</v>
      </c>
      <c r="B104" s="379" t="s">
        <v>183</v>
      </c>
      <c r="C104" s="379"/>
      <c r="D104" s="379"/>
      <c r="E104" s="379"/>
      <c r="F104" s="379"/>
      <c r="G104" s="379"/>
      <c r="H104" s="379"/>
      <c r="I104" s="379"/>
      <c r="J104" s="379"/>
      <c r="K104" s="379"/>
      <c r="L104" s="379"/>
      <c r="M104" s="379"/>
      <c r="N104" s="379"/>
      <c r="O104" s="379"/>
      <c r="P104" s="379"/>
      <c r="Q104" s="379"/>
      <c r="R104" s="379"/>
      <c r="S104" s="379"/>
      <c r="T104" s="379"/>
      <c r="U104" s="441">
        <v>0</v>
      </c>
      <c r="V104" s="410"/>
      <c r="W104" s="6"/>
      <c r="X104" s="64"/>
    </row>
    <row r="105" spans="1:24" ht="15.6">
      <c r="A105" s="444">
        <v>12</v>
      </c>
      <c r="B105" s="379" t="s">
        <v>184</v>
      </c>
      <c r="C105" s="379"/>
      <c r="D105" s="379"/>
      <c r="E105" s="379"/>
      <c r="F105" s="379"/>
      <c r="G105" s="379"/>
      <c r="H105" s="379"/>
      <c r="I105" s="379"/>
      <c r="J105" s="379"/>
      <c r="K105" s="379"/>
      <c r="L105" s="379"/>
      <c r="M105" s="379"/>
      <c r="N105" s="379"/>
      <c r="O105" s="379"/>
      <c r="P105" s="379"/>
      <c r="Q105" s="379"/>
      <c r="R105" s="379"/>
      <c r="S105" s="379"/>
      <c r="T105" s="379"/>
      <c r="U105" s="441">
        <v>-107</v>
      </c>
      <c r="V105" s="410"/>
      <c r="W105" s="6"/>
      <c r="X105" s="182"/>
    </row>
    <row r="106" spans="1:24" ht="15.6">
      <c r="A106" s="444">
        <v>13</v>
      </c>
      <c r="B106" s="379" t="s">
        <v>40</v>
      </c>
      <c r="C106" s="379"/>
      <c r="D106" s="379"/>
      <c r="E106" s="379"/>
      <c r="F106" s="379"/>
      <c r="G106" s="379"/>
      <c r="H106" s="379"/>
      <c r="I106" s="379"/>
      <c r="J106" s="379"/>
      <c r="K106" s="379"/>
      <c r="L106" s="379"/>
      <c r="M106" s="379"/>
      <c r="N106" s="379"/>
      <c r="O106" s="379"/>
      <c r="P106" s="379"/>
      <c r="Q106" s="379"/>
      <c r="R106" s="379"/>
      <c r="S106" s="379"/>
      <c r="T106" s="379"/>
      <c r="U106" s="441">
        <f>-SUM(U87:V105)</f>
        <v>-1911.0803999999916</v>
      </c>
      <c r="V106" s="410"/>
      <c r="W106" s="6"/>
      <c r="X106" s="182"/>
    </row>
    <row r="107" spans="1:24" ht="15.6">
      <c r="A107" s="316"/>
      <c r="B107" s="443"/>
      <c r="C107" s="364"/>
      <c r="D107" s="364"/>
      <c r="E107" s="364"/>
      <c r="F107" s="364"/>
      <c r="G107" s="364"/>
      <c r="H107" s="364"/>
      <c r="I107" s="364"/>
      <c r="J107" s="364"/>
      <c r="K107" s="364"/>
      <c r="L107" s="364"/>
      <c r="M107" s="364"/>
      <c r="N107" s="364"/>
      <c r="O107" s="364"/>
      <c r="P107" s="364"/>
      <c r="Q107" s="364"/>
      <c r="R107" s="364"/>
      <c r="S107" s="360"/>
      <c r="T107" s="360"/>
      <c r="U107" s="360"/>
      <c r="V107" s="303"/>
      <c r="W107" s="6"/>
      <c r="X107" s="182"/>
    </row>
    <row r="108" spans="1:24" ht="15.6">
      <c r="A108" s="316"/>
      <c r="B108" s="317"/>
      <c r="C108" s="288"/>
      <c r="D108" s="288"/>
      <c r="E108" s="288"/>
      <c r="F108" s="288"/>
      <c r="G108" s="288"/>
      <c r="H108" s="288"/>
      <c r="I108" s="288"/>
      <c r="J108" s="288"/>
      <c r="K108" s="288"/>
      <c r="L108" s="288"/>
      <c r="M108" s="288"/>
      <c r="N108" s="288"/>
      <c r="O108" s="288"/>
      <c r="P108" s="288"/>
      <c r="Q108" s="288"/>
      <c r="R108" s="288"/>
      <c r="S108" s="318"/>
      <c r="T108" s="318"/>
      <c r="U108" s="318"/>
      <c r="V108" s="303"/>
      <c r="W108" s="6"/>
    </row>
    <row r="109" spans="1:24" ht="16.2" thickBot="1">
      <c r="A109" s="319"/>
      <c r="B109" s="304" t="str">
        <f>+B59</f>
        <v>PPAF3 INVESTOR REPORT QUARTER ENDING SEPTEMBER 2015</v>
      </c>
      <c r="C109" s="305"/>
      <c r="D109" s="305"/>
      <c r="E109" s="305"/>
      <c r="F109" s="305"/>
      <c r="G109" s="305"/>
      <c r="H109" s="305"/>
      <c r="I109" s="305"/>
      <c r="J109" s="305"/>
      <c r="K109" s="305"/>
      <c r="L109" s="305"/>
      <c r="M109" s="305"/>
      <c r="N109" s="305"/>
      <c r="O109" s="305"/>
      <c r="P109" s="305"/>
      <c r="Q109" s="305"/>
      <c r="R109" s="305"/>
      <c r="S109" s="320"/>
      <c r="T109" s="320"/>
      <c r="U109" s="320"/>
      <c r="V109" s="307"/>
      <c r="W109" s="6"/>
    </row>
    <row r="110" spans="1:24" ht="15.6">
      <c r="A110" s="238"/>
      <c r="B110" s="240"/>
      <c r="C110" s="240"/>
      <c r="D110" s="240"/>
      <c r="E110" s="240"/>
      <c r="F110" s="240"/>
      <c r="G110" s="240"/>
      <c r="H110" s="240"/>
      <c r="I110" s="240"/>
      <c r="J110" s="240"/>
      <c r="K110" s="240"/>
      <c r="L110" s="240"/>
      <c r="M110" s="240"/>
      <c r="N110" s="240"/>
      <c r="O110" s="240"/>
      <c r="P110" s="240"/>
      <c r="Q110" s="240"/>
      <c r="R110" s="240"/>
      <c r="S110" s="269"/>
      <c r="T110" s="269"/>
      <c r="U110" s="269"/>
      <c r="V110" s="241"/>
      <c r="W110" s="6"/>
    </row>
    <row r="111" spans="1:24" ht="15.6">
      <c r="A111" s="321"/>
      <c r="B111" s="517" t="s">
        <v>41</v>
      </c>
      <c r="C111" s="322"/>
      <c r="D111" s="322"/>
      <c r="E111" s="322"/>
      <c r="F111" s="322"/>
      <c r="G111" s="322"/>
      <c r="H111" s="322"/>
      <c r="I111" s="322"/>
      <c r="J111" s="322"/>
      <c r="K111" s="322"/>
      <c r="L111" s="322"/>
      <c r="M111" s="322"/>
      <c r="N111" s="322"/>
      <c r="O111" s="322"/>
      <c r="P111" s="322"/>
      <c r="Q111" s="322"/>
      <c r="R111" s="322"/>
      <c r="S111" s="322"/>
      <c r="T111" s="322"/>
      <c r="U111" s="323"/>
      <c r="V111" s="324"/>
      <c r="W111" s="6"/>
    </row>
    <row r="112" spans="1:24" ht="15.6">
      <c r="A112" s="270"/>
      <c r="B112" s="271"/>
      <c r="C112" s="271"/>
      <c r="D112" s="271"/>
      <c r="E112" s="271"/>
      <c r="F112" s="271"/>
      <c r="G112" s="271"/>
      <c r="H112" s="271"/>
      <c r="I112" s="271"/>
      <c r="J112" s="271"/>
      <c r="K112" s="271"/>
      <c r="L112" s="271"/>
      <c r="M112" s="271"/>
      <c r="N112" s="271"/>
      <c r="O112" s="271"/>
      <c r="P112" s="271"/>
      <c r="Q112" s="271"/>
      <c r="R112" s="271"/>
      <c r="S112" s="271"/>
      <c r="T112" s="271"/>
      <c r="U112" s="272"/>
      <c r="V112" s="273"/>
      <c r="W112" s="6"/>
    </row>
    <row r="113" spans="1:24" ht="15.6">
      <c r="A113" s="242"/>
      <c r="B113" s="274" t="s">
        <v>42</v>
      </c>
      <c r="C113" s="252"/>
      <c r="D113" s="252"/>
      <c r="E113" s="252"/>
      <c r="F113" s="252"/>
      <c r="G113" s="252"/>
      <c r="H113" s="252"/>
      <c r="I113" s="252"/>
      <c r="J113" s="252"/>
      <c r="K113" s="252"/>
      <c r="L113" s="252"/>
      <c r="M113" s="244"/>
      <c r="N113" s="244"/>
      <c r="O113" s="244"/>
      <c r="P113" s="244"/>
      <c r="Q113" s="244"/>
      <c r="R113" s="244"/>
      <c r="S113" s="244"/>
      <c r="T113" s="244"/>
      <c r="U113" s="263"/>
      <c r="V113" s="245"/>
      <c r="W113" s="6"/>
    </row>
    <row r="114" spans="1:24" ht="15.6">
      <c r="A114" s="378"/>
      <c r="B114" s="379" t="s">
        <v>43</v>
      </c>
      <c r="C114" s="379"/>
      <c r="D114" s="379"/>
      <c r="E114" s="379"/>
      <c r="F114" s="379"/>
      <c r="G114" s="379"/>
      <c r="H114" s="379"/>
      <c r="I114" s="379"/>
      <c r="J114" s="379"/>
      <c r="K114" s="379"/>
      <c r="L114" s="379"/>
      <c r="M114" s="379"/>
      <c r="N114" s="379"/>
      <c r="O114" s="379"/>
      <c r="P114" s="379"/>
      <c r="Q114" s="379"/>
      <c r="R114" s="379"/>
      <c r="S114" s="379"/>
      <c r="T114" s="379"/>
      <c r="U114" s="441">
        <v>40500</v>
      </c>
      <c r="V114" s="410"/>
      <c r="W114" s="6"/>
    </row>
    <row r="115" spans="1:24" ht="15.6">
      <c r="A115" s="378"/>
      <c r="B115" s="379" t="s">
        <v>240</v>
      </c>
      <c r="C115" s="379"/>
      <c r="D115" s="379"/>
      <c r="E115" s="379"/>
      <c r="F115" s="379"/>
      <c r="G115" s="379"/>
      <c r="H115" s="379"/>
      <c r="I115" s="379"/>
      <c r="J115" s="379"/>
      <c r="K115" s="379"/>
      <c r="L115" s="379"/>
      <c r="M115" s="379"/>
      <c r="N115" s="379"/>
      <c r="O115" s="379"/>
      <c r="P115" s="379"/>
      <c r="Q115" s="379"/>
      <c r="R115" s="379"/>
      <c r="S115" s="379"/>
      <c r="T115" s="379"/>
      <c r="U115" s="441">
        <v>40500</v>
      </c>
      <c r="V115" s="410"/>
      <c r="W115" s="6"/>
    </row>
    <row r="116" spans="1:24" ht="15.6">
      <c r="A116" s="378"/>
      <c r="B116" s="379" t="s">
        <v>241</v>
      </c>
      <c r="C116" s="379"/>
      <c r="D116" s="379"/>
      <c r="E116" s="379"/>
      <c r="F116" s="379"/>
      <c r="G116" s="379"/>
      <c r="H116" s="379"/>
      <c r="I116" s="379"/>
      <c r="J116" s="379"/>
      <c r="K116" s="379"/>
      <c r="L116" s="379"/>
      <c r="M116" s="379"/>
      <c r="N116" s="379"/>
      <c r="O116" s="379"/>
      <c r="P116" s="379"/>
      <c r="Q116" s="379"/>
      <c r="R116" s="379"/>
      <c r="S116" s="379"/>
      <c r="T116" s="379"/>
      <c r="U116" s="441">
        <v>0</v>
      </c>
      <c r="V116" s="410"/>
      <c r="W116" s="6"/>
    </row>
    <row r="117" spans="1:24" ht="15.6">
      <c r="A117" s="378"/>
      <c r="B117" s="379" t="s">
        <v>209</v>
      </c>
      <c r="C117" s="379"/>
      <c r="D117" s="379"/>
      <c r="E117" s="379"/>
      <c r="F117" s="379"/>
      <c r="G117" s="379"/>
      <c r="H117" s="379"/>
      <c r="I117" s="379"/>
      <c r="J117" s="379"/>
      <c r="K117" s="379"/>
      <c r="L117" s="379"/>
      <c r="M117" s="379"/>
      <c r="N117" s="379"/>
      <c r="O117" s="379"/>
      <c r="P117" s="379"/>
      <c r="Q117" s="379"/>
      <c r="R117" s="379"/>
      <c r="S117" s="379"/>
      <c r="T117" s="379"/>
      <c r="U117" s="441">
        <v>0</v>
      </c>
      <c r="V117" s="410"/>
      <c r="W117" s="6"/>
    </row>
    <row r="118" spans="1:24" ht="15.6">
      <c r="A118" s="378"/>
      <c r="B118" s="379" t="s">
        <v>210</v>
      </c>
      <c r="C118" s="379"/>
      <c r="D118" s="379"/>
      <c r="E118" s="379"/>
      <c r="F118" s="379"/>
      <c r="G118" s="379"/>
      <c r="H118" s="379"/>
      <c r="I118" s="379"/>
      <c r="J118" s="379"/>
      <c r="K118" s="379"/>
      <c r="L118" s="379"/>
      <c r="M118" s="379"/>
      <c r="N118" s="379"/>
      <c r="O118" s="379"/>
      <c r="P118" s="379"/>
      <c r="Q118" s="379"/>
      <c r="R118" s="379"/>
      <c r="S118" s="379"/>
      <c r="T118" s="379"/>
      <c r="U118" s="441">
        <v>0</v>
      </c>
      <c r="V118" s="410"/>
      <c r="W118" s="6"/>
    </row>
    <row r="119" spans="1:24" ht="15.6">
      <c r="A119" s="378"/>
      <c r="B119" s="379" t="s">
        <v>211</v>
      </c>
      <c r="C119" s="379"/>
      <c r="D119" s="379"/>
      <c r="E119" s="379"/>
      <c r="F119" s="379"/>
      <c r="G119" s="379"/>
      <c r="H119" s="379"/>
      <c r="I119" s="379"/>
      <c r="J119" s="379"/>
      <c r="K119" s="379"/>
      <c r="L119" s="379"/>
      <c r="M119" s="379"/>
      <c r="N119" s="379"/>
      <c r="O119" s="379"/>
      <c r="P119" s="379"/>
      <c r="Q119" s="379"/>
      <c r="R119" s="379"/>
      <c r="S119" s="379"/>
      <c r="T119" s="379"/>
      <c r="U119" s="441">
        <v>0</v>
      </c>
      <c r="V119" s="410"/>
      <c r="W119" s="6"/>
    </row>
    <row r="120" spans="1:24" ht="15.6">
      <c r="A120" s="378"/>
      <c r="B120" s="379" t="s">
        <v>212</v>
      </c>
      <c r="C120" s="379"/>
      <c r="D120" s="379"/>
      <c r="E120" s="379"/>
      <c r="F120" s="379"/>
      <c r="G120" s="379"/>
      <c r="H120" s="379"/>
      <c r="I120" s="379"/>
      <c r="J120" s="379"/>
      <c r="K120" s="379"/>
      <c r="L120" s="379"/>
      <c r="M120" s="379"/>
      <c r="N120" s="379"/>
      <c r="O120" s="379"/>
      <c r="P120" s="379"/>
      <c r="Q120" s="379"/>
      <c r="R120" s="379"/>
      <c r="S120" s="379"/>
      <c r="T120" s="379"/>
      <c r="U120" s="441">
        <v>0</v>
      </c>
      <c r="V120" s="410"/>
      <c r="W120" s="6"/>
    </row>
    <row r="121" spans="1:24" ht="15.6">
      <c r="A121" s="378"/>
      <c r="B121" s="379" t="s">
        <v>242</v>
      </c>
      <c r="C121" s="379"/>
      <c r="D121" s="379"/>
      <c r="E121" s="379"/>
      <c r="F121" s="379"/>
      <c r="G121" s="379"/>
      <c r="H121" s="379"/>
      <c r="I121" s="379"/>
      <c r="J121" s="379"/>
      <c r="K121" s="379"/>
      <c r="L121" s="379"/>
      <c r="M121" s="379"/>
      <c r="N121" s="379"/>
      <c r="O121" s="379"/>
      <c r="P121" s="379"/>
      <c r="Q121" s="379"/>
      <c r="R121" s="379"/>
      <c r="S121" s="379"/>
      <c r="T121" s="379"/>
      <c r="U121" s="441">
        <v>0</v>
      </c>
      <c r="V121" s="410"/>
      <c r="W121" s="6"/>
    </row>
    <row r="122" spans="1:24" ht="15.6">
      <c r="A122" s="378"/>
      <c r="B122" s="379" t="s">
        <v>45</v>
      </c>
      <c r="C122" s="379"/>
      <c r="D122" s="379"/>
      <c r="E122" s="379"/>
      <c r="F122" s="379"/>
      <c r="G122" s="379"/>
      <c r="H122" s="379"/>
      <c r="I122" s="379"/>
      <c r="J122" s="379"/>
      <c r="K122" s="379"/>
      <c r="L122" s="379"/>
      <c r="M122" s="379"/>
      <c r="N122" s="379"/>
      <c r="O122" s="379"/>
      <c r="P122" s="379"/>
      <c r="Q122" s="379"/>
      <c r="R122" s="379"/>
      <c r="S122" s="379"/>
      <c r="T122" s="379"/>
      <c r="U122" s="441">
        <f>SUM(U115:U121)</f>
        <v>40500</v>
      </c>
      <c r="V122" s="410"/>
      <c r="W122" s="6"/>
    </row>
    <row r="123" spans="1:24" ht="15.6">
      <c r="A123" s="242"/>
      <c r="B123" s="438"/>
      <c r="C123" s="438"/>
      <c r="D123" s="438"/>
      <c r="E123" s="438"/>
      <c r="F123" s="438"/>
      <c r="G123" s="438"/>
      <c r="H123" s="438"/>
      <c r="I123" s="438"/>
      <c r="J123" s="438"/>
      <c r="K123" s="438"/>
      <c r="L123" s="438"/>
      <c r="M123" s="438"/>
      <c r="N123" s="438"/>
      <c r="O123" s="438"/>
      <c r="P123" s="438"/>
      <c r="Q123" s="438"/>
      <c r="R123" s="438"/>
      <c r="S123" s="438"/>
      <c r="T123" s="438"/>
      <c r="U123" s="448"/>
      <c r="V123" s="245"/>
      <c r="W123" s="6"/>
    </row>
    <row r="124" spans="1:24" ht="15.6">
      <c r="A124" s="242"/>
      <c r="B124" s="274" t="s">
        <v>46</v>
      </c>
      <c r="C124" s="252"/>
      <c r="D124" s="252"/>
      <c r="E124" s="252"/>
      <c r="F124" s="252"/>
      <c r="G124" s="252"/>
      <c r="H124" s="252"/>
      <c r="I124" s="252"/>
      <c r="J124" s="252"/>
      <c r="K124" s="252"/>
      <c r="L124" s="252"/>
      <c r="M124" s="244"/>
      <c r="N124" s="244"/>
      <c r="O124" s="244"/>
      <c r="P124" s="275"/>
      <c r="Q124" s="244"/>
      <c r="R124" s="244"/>
      <c r="S124" s="244"/>
      <c r="T124" s="244"/>
      <c r="U124" s="276"/>
      <c r="V124" s="245"/>
      <c r="W124" s="6"/>
    </row>
    <row r="125" spans="1:24" ht="15.6">
      <c r="A125" s="230"/>
      <c r="B125" s="511"/>
      <c r="C125" s="232" t="s">
        <v>185</v>
      </c>
      <c r="D125" s="232"/>
      <c r="E125" s="232" t="s">
        <v>99</v>
      </c>
      <c r="F125" s="232"/>
      <c r="G125" s="232" t="s">
        <v>102</v>
      </c>
      <c r="H125" s="232"/>
      <c r="I125" s="232" t="s">
        <v>108</v>
      </c>
      <c r="J125" s="232"/>
      <c r="K125" s="232"/>
      <c r="L125" s="232"/>
      <c r="M125" s="232"/>
      <c r="N125" s="232"/>
      <c r="O125" s="232"/>
      <c r="P125" s="326"/>
      <c r="Q125" s="326"/>
      <c r="R125" s="231"/>
      <c r="S125" s="231"/>
      <c r="T125" s="231"/>
      <c r="U125" s="309"/>
      <c r="V125" s="237"/>
      <c r="W125" s="6"/>
    </row>
    <row r="126" spans="1:24" ht="15.6">
      <c r="A126" s="257"/>
      <c r="B126" s="294" t="s">
        <v>122</v>
      </c>
      <c r="C126" s="310">
        <f>+N199-'June 15'!N199</f>
        <v>-109</v>
      </c>
      <c r="D126" s="294"/>
      <c r="E126" s="310">
        <f>+S199-'June 15'!S199</f>
        <v>-15</v>
      </c>
      <c r="F126" s="294"/>
      <c r="G126" s="310">
        <f>+'Sept 15'!N212-'June 15'!N212</f>
        <v>94</v>
      </c>
      <c r="H126" s="294"/>
      <c r="I126" s="310">
        <f>+S212-'June 15'!S212</f>
        <v>0</v>
      </c>
      <c r="J126" s="294"/>
      <c r="K126" s="294"/>
      <c r="L126" s="294"/>
      <c r="M126" s="294"/>
      <c r="N126" s="294"/>
      <c r="O126" s="294"/>
      <c r="P126" s="325"/>
      <c r="Q126" s="325"/>
      <c r="R126" s="294"/>
      <c r="S126" s="294"/>
      <c r="T126" s="294"/>
      <c r="U126" s="311">
        <f>SUM(C126:I126)</f>
        <v>-30</v>
      </c>
      <c r="V126" s="298"/>
      <c r="W126" s="6"/>
      <c r="X126" s="182"/>
    </row>
    <row r="127" spans="1:24" ht="15.6">
      <c r="A127" s="378"/>
      <c r="B127" s="379" t="s">
        <v>47</v>
      </c>
      <c r="C127" s="379">
        <v>56</v>
      </c>
      <c r="D127" s="379"/>
      <c r="E127" s="379">
        <v>0</v>
      </c>
      <c r="F127" s="379"/>
      <c r="G127" s="379">
        <v>236</v>
      </c>
      <c r="H127" s="379"/>
      <c r="I127" s="440">
        <v>0</v>
      </c>
      <c r="J127" s="379"/>
      <c r="K127" s="379"/>
      <c r="L127" s="379"/>
      <c r="M127" s="379"/>
      <c r="N127" s="379"/>
      <c r="O127" s="379"/>
      <c r="P127" s="450"/>
      <c r="Q127" s="450"/>
      <c r="R127" s="379"/>
      <c r="S127" s="379"/>
      <c r="T127" s="379"/>
      <c r="U127" s="441">
        <f>SUM(C127:I127)</f>
        <v>292</v>
      </c>
      <c r="V127" s="410"/>
      <c r="W127" s="6"/>
    </row>
    <row r="128" spans="1:24" ht="15.6">
      <c r="A128" s="242"/>
      <c r="B128" s="364" t="s">
        <v>48</v>
      </c>
      <c r="C128" s="364"/>
      <c r="D128" s="364"/>
      <c r="E128" s="364"/>
      <c r="F128" s="364"/>
      <c r="G128" s="364"/>
      <c r="H128" s="364"/>
      <c r="I128" s="364"/>
      <c r="J128" s="364"/>
      <c r="K128" s="364"/>
      <c r="L128" s="364"/>
      <c r="M128" s="364"/>
      <c r="N128" s="364"/>
      <c r="O128" s="364"/>
      <c r="P128" s="364"/>
      <c r="Q128" s="364"/>
      <c r="R128" s="364"/>
      <c r="S128" s="364"/>
      <c r="T128" s="364"/>
      <c r="U128" s="449">
        <f>SUM(U126:U127)</f>
        <v>262</v>
      </c>
      <c r="V128" s="303"/>
      <c r="W128" s="6"/>
      <c r="X128" s="182"/>
    </row>
    <row r="129" spans="1:25" ht="15.6">
      <c r="A129" s="242"/>
      <c r="B129" s="274" t="s">
        <v>49</v>
      </c>
      <c r="C129" s="252"/>
      <c r="D129" s="252"/>
      <c r="E129" s="252"/>
      <c r="F129" s="252"/>
      <c r="G129" s="252"/>
      <c r="H129" s="252"/>
      <c r="I129" s="252"/>
      <c r="J129" s="252"/>
      <c r="K129" s="252"/>
      <c r="L129" s="252"/>
      <c r="M129" s="244"/>
      <c r="N129" s="244"/>
      <c r="O129" s="244"/>
      <c r="P129" s="244"/>
      <c r="Q129" s="244"/>
      <c r="R129" s="244"/>
      <c r="S129" s="244"/>
      <c r="T129" s="244"/>
      <c r="U129" s="263"/>
      <c r="V129" s="245"/>
      <c r="W129" s="6"/>
    </row>
    <row r="130" spans="1:25" ht="15.6">
      <c r="A130" s="444"/>
      <c r="B130" s="379" t="s">
        <v>50</v>
      </c>
      <c r="C130" s="386"/>
      <c r="D130" s="386"/>
      <c r="E130" s="386"/>
      <c r="F130" s="386"/>
      <c r="G130" s="386"/>
      <c r="H130" s="386"/>
      <c r="I130" s="386"/>
      <c r="J130" s="386"/>
      <c r="K130" s="386"/>
      <c r="L130" s="386"/>
      <c r="M130" s="379"/>
      <c r="N130" s="379"/>
      <c r="O130" s="379"/>
      <c r="P130" s="379"/>
      <c r="Q130" s="379"/>
      <c r="R130" s="379"/>
      <c r="S130" s="379"/>
      <c r="T130" s="379"/>
      <c r="U130" s="441">
        <f>U75+U77</f>
        <v>90184</v>
      </c>
      <c r="V130" s="410"/>
      <c r="W130" s="6"/>
      <c r="X130" s="182"/>
    </row>
    <row r="131" spans="1:25" ht="15.6">
      <c r="A131" s="444"/>
      <c r="B131" s="379" t="s">
        <v>51</v>
      </c>
      <c r="C131" s="386"/>
      <c r="D131" s="386"/>
      <c r="E131" s="386"/>
      <c r="F131" s="386"/>
      <c r="G131" s="386"/>
      <c r="H131" s="386"/>
      <c r="I131" s="386"/>
      <c r="J131" s="386"/>
      <c r="K131" s="386"/>
      <c r="L131" s="386"/>
      <c r="M131" s="379"/>
      <c r="N131" s="379"/>
      <c r="O131" s="379"/>
      <c r="P131" s="379"/>
      <c r="Q131" s="379"/>
      <c r="R131" s="379"/>
      <c r="S131" s="379"/>
      <c r="T131" s="379"/>
      <c r="U131" s="441">
        <v>0</v>
      </c>
      <c r="V131" s="410"/>
      <c r="W131" s="6"/>
      <c r="Y131" s="182"/>
    </row>
    <row r="132" spans="1:25" ht="15.6">
      <c r="A132" s="444"/>
      <c r="B132" s="379" t="s">
        <v>52</v>
      </c>
      <c r="C132" s="386"/>
      <c r="D132" s="386"/>
      <c r="E132" s="386"/>
      <c r="F132" s="386"/>
      <c r="G132" s="386"/>
      <c r="H132" s="386"/>
      <c r="I132" s="386"/>
      <c r="J132" s="386"/>
      <c r="K132" s="386"/>
      <c r="L132" s="386"/>
      <c r="M132" s="379"/>
      <c r="N132" s="379"/>
      <c r="O132" s="379"/>
      <c r="P132" s="379"/>
      <c r="Q132" s="379"/>
      <c r="R132" s="379"/>
      <c r="S132" s="379"/>
      <c r="T132" s="379"/>
      <c r="U132" s="441">
        <f>+U130+U131</f>
        <v>90184</v>
      </c>
      <c r="V132" s="410"/>
      <c r="W132" s="6"/>
    </row>
    <row r="133" spans="1:25" ht="15.6">
      <c r="A133" s="444"/>
      <c r="B133" s="379" t="s">
        <v>53</v>
      </c>
      <c r="C133" s="386"/>
      <c r="D133" s="386"/>
      <c r="E133" s="386"/>
      <c r="F133" s="386"/>
      <c r="G133" s="386"/>
      <c r="H133" s="386"/>
      <c r="I133" s="386"/>
      <c r="J133" s="386"/>
      <c r="K133" s="386"/>
      <c r="L133" s="386"/>
      <c r="M133" s="379"/>
      <c r="N133" s="379"/>
      <c r="O133" s="379"/>
      <c r="P133" s="379"/>
      <c r="Q133" s="379"/>
      <c r="R133" s="379"/>
      <c r="S133" s="379"/>
      <c r="T133" s="379"/>
      <c r="U133" s="441">
        <f>U80</f>
        <v>90184</v>
      </c>
      <c r="V133" s="410"/>
      <c r="W133" s="6"/>
      <c r="X133" s="64"/>
    </row>
    <row r="134" spans="1:25" ht="15.6">
      <c r="A134" s="242"/>
      <c r="B134" s="438"/>
      <c r="C134" s="438"/>
      <c r="D134" s="438"/>
      <c r="E134" s="438"/>
      <c r="F134" s="438"/>
      <c r="G134" s="438"/>
      <c r="H134" s="438"/>
      <c r="I134" s="438"/>
      <c r="J134" s="438"/>
      <c r="K134" s="438"/>
      <c r="L134" s="438"/>
      <c r="M134" s="438"/>
      <c r="N134" s="438"/>
      <c r="O134" s="438"/>
      <c r="P134" s="438"/>
      <c r="Q134" s="438"/>
      <c r="R134" s="438"/>
      <c r="S134" s="438"/>
      <c r="T134" s="438"/>
      <c r="U134" s="451"/>
      <c r="V134" s="245"/>
      <c r="W134" s="6"/>
    </row>
    <row r="135" spans="1:25" ht="15.6">
      <c r="A135" s="242"/>
      <c r="B135" s="274" t="s">
        <v>54</v>
      </c>
      <c r="C135" s="247"/>
      <c r="D135" s="247"/>
      <c r="E135" s="247"/>
      <c r="F135" s="247"/>
      <c r="G135" s="247"/>
      <c r="H135" s="247"/>
      <c r="I135" s="247"/>
      <c r="J135" s="247"/>
      <c r="K135" s="247"/>
      <c r="L135" s="247"/>
      <c r="M135" s="247"/>
      <c r="N135" s="247"/>
      <c r="O135" s="247"/>
      <c r="P135" s="247"/>
      <c r="Q135" s="277" t="s">
        <v>112</v>
      </c>
      <c r="R135" s="278"/>
      <c r="S135" s="277" t="s">
        <v>114</v>
      </c>
      <c r="T135" s="247"/>
      <c r="U135" s="279" t="s">
        <v>90</v>
      </c>
      <c r="V135" s="245"/>
      <c r="W135" s="6"/>
    </row>
    <row r="136" spans="1:25" ht="15.6">
      <c r="A136" s="378"/>
      <c r="B136" s="379" t="s">
        <v>55</v>
      </c>
      <c r="C136" s="379"/>
      <c r="D136" s="379"/>
      <c r="E136" s="379"/>
      <c r="F136" s="379"/>
      <c r="G136" s="379"/>
      <c r="H136" s="379"/>
      <c r="I136" s="379"/>
      <c r="J136" s="379"/>
      <c r="K136" s="379"/>
      <c r="L136" s="379"/>
      <c r="M136" s="379"/>
      <c r="N136" s="379"/>
      <c r="O136" s="379"/>
      <c r="P136" s="379"/>
      <c r="Q136" s="441">
        <v>0</v>
      </c>
      <c r="R136" s="379"/>
      <c r="S136" s="453" t="s">
        <v>115</v>
      </c>
      <c r="T136" s="379"/>
      <c r="U136" s="441">
        <f>Q136</f>
        <v>0</v>
      </c>
      <c r="V136" s="385"/>
      <c r="W136" s="6"/>
    </row>
    <row r="137" spans="1:25" ht="15.6">
      <c r="A137" s="378"/>
      <c r="B137" s="379" t="s">
        <v>56</v>
      </c>
      <c r="C137" s="379"/>
      <c r="D137" s="379"/>
      <c r="E137" s="379"/>
      <c r="F137" s="379"/>
      <c r="G137" s="379"/>
      <c r="H137" s="379"/>
      <c r="I137" s="379"/>
      <c r="J137" s="379"/>
      <c r="K137" s="379"/>
      <c r="L137" s="379"/>
      <c r="M137" s="379"/>
      <c r="N137" s="379"/>
      <c r="O137" s="379"/>
      <c r="P137" s="379"/>
      <c r="Q137" s="441">
        <f>+'June 15'!Q139</f>
        <v>4229</v>
      </c>
      <c r="R137" s="379"/>
      <c r="S137" s="453" t="s">
        <v>115</v>
      </c>
      <c r="T137" s="379"/>
      <c r="U137" s="441">
        <f>Q137</f>
        <v>4229</v>
      </c>
      <c r="V137" s="385"/>
      <c r="W137" s="6"/>
    </row>
    <row r="138" spans="1:25" ht="15.6">
      <c r="A138" s="378"/>
      <c r="B138" s="379" t="s">
        <v>57</v>
      </c>
      <c r="C138" s="379"/>
      <c r="D138" s="379"/>
      <c r="E138" s="379"/>
      <c r="F138" s="379"/>
      <c r="G138" s="379"/>
      <c r="H138" s="379"/>
      <c r="I138" s="379"/>
      <c r="J138" s="379"/>
      <c r="K138" s="379"/>
      <c r="L138" s="379"/>
      <c r="M138" s="379"/>
      <c r="N138" s="379"/>
      <c r="O138" s="379"/>
      <c r="P138" s="379"/>
      <c r="Q138" s="441">
        <v>0</v>
      </c>
      <c r="R138" s="379"/>
      <c r="S138" s="453" t="s">
        <v>115</v>
      </c>
      <c r="T138" s="379"/>
      <c r="U138" s="441">
        <f>Q138</f>
        <v>0</v>
      </c>
      <c r="V138" s="385"/>
      <c r="W138" s="6"/>
    </row>
    <row r="139" spans="1:25" ht="15.6">
      <c r="A139" s="378"/>
      <c r="B139" s="379" t="s">
        <v>58</v>
      </c>
      <c r="C139" s="379"/>
      <c r="D139" s="379"/>
      <c r="E139" s="379"/>
      <c r="F139" s="379"/>
      <c r="G139" s="379"/>
      <c r="H139" s="379"/>
      <c r="I139" s="379"/>
      <c r="J139" s="379"/>
      <c r="K139" s="379"/>
      <c r="L139" s="379"/>
      <c r="M139" s="379"/>
      <c r="N139" s="379"/>
      <c r="O139" s="379"/>
      <c r="P139" s="379"/>
      <c r="Q139" s="441">
        <f>SUM(Q137:Q138)</f>
        <v>4229</v>
      </c>
      <c r="R139" s="379"/>
      <c r="S139" s="453" t="s">
        <v>115</v>
      </c>
      <c r="T139" s="379"/>
      <c r="U139" s="441">
        <f>Q139</f>
        <v>4229</v>
      </c>
      <c r="V139" s="385"/>
      <c r="W139" s="6"/>
    </row>
    <row r="140" spans="1:25" ht="15.6">
      <c r="A140" s="378"/>
      <c r="B140" s="379" t="s">
        <v>215</v>
      </c>
      <c r="C140" s="379"/>
      <c r="D140" s="379"/>
      <c r="E140" s="379"/>
      <c r="F140" s="379"/>
      <c r="G140" s="379"/>
      <c r="H140" s="379"/>
      <c r="I140" s="379"/>
      <c r="J140" s="379"/>
      <c r="K140" s="379"/>
      <c r="L140" s="379"/>
      <c r="M140" s="379"/>
      <c r="N140" s="379"/>
      <c r="O140" s="379"/>
      <c r="P140" s="379"/>
      <c r="Q140" s="441"/>
      <c r="R140" s="379"/>
      <c r="S140" s="453"/>
      <c r="T140" s="379"/>
      <c r="U140" s="441"/>
      <c r="V140" s="385"/>
      <c r="W140" s="6"/>
    </row>
    <row r="141" spans="1:25" ht="15.6">
      <c r="A141" s="378"/>
      <c r="B141" s="454"/>
      <c r="C141" s="454"/>
      <c r="D141" s="454"/>
      <c r="E141" s="454"/>
      <c r="F141" s="454"/>
      <c r="G141" s="454"/>
      <c r="H141" s="454"/>
      <c r="I141" s="454"/>
      <c r="J141" s="454"/>
      <c r="K141" s="454"/>
      <c r="L141" s="454"/>
      <c r="M141" s="454"/>
      <c r="N141" s="454"/>
      <c r="O141" s="454"/>
      <c r="P141" s="454"/>
      <c r="Q141" s="454"/>
      <c r="R141" s="454"/>
      <c r="S141" s="454"/>
      <c r="T141" s="454"/>
      <c r="U141" s="454"/>
      <c r="V141" s="385"/>
      <c r="W141" s="6"/>
    </row>
    <row r="142" spans="1:25" ht="15.6">
      <c r="A142" s="242"/>
      <c r="B142" s="452"/>
      <c r="C142" s="452"/>
      <c r="D142" s="452"/>
      <c r="E142" s="452"/>
      <c r="F142" s="452"/>
      <c r="G142" s="452"/>
      <c r="H142" s="452"/>
      <c r="I142" s="452"/>
      <c r="J142" s="452"/>
      <c r="K142" s="452"/>
      <c r="L142" s="452"/>
      <c r="M142" s="452"/>
      <c r="N142" s="452"/>
      <c r="O142" s="452"/>
      <c r="P142" s="452"/>
      <c r="Q142" s="452"/>
      <c r="R142" s="452"/>
      <c r="S142" s="452"/>
      <c r="T142" s="452"/>
      <c r="U142" s="452"/>
      <c r="V142" s="284"/>
      <c r="W142" s="6"/>
    </row>
    <row r="143" spans="1:25" ht="15.6">
      <c r="A143" s="230"/>
      <c r="B143" s="511" t="s">
        <v>59</v>
      </c>
      <c r="C143" s="518"/>
      <c r="D143" s="518"/>
      <c r="E143" s="518"/>
      <c r="F143" s="518"/>
      <c r="G143" s="518"/>
      <c r="H143" s="518"/>
      <c r="I143" s="518"/>
      <c r="J143" s="518"/>
      <c r="K143" s="518"/>
      <c r="L143" s="518"/>
      <c r="M143" s="518"/>
      <c r="N143" s="518"/>
      <c r="O143" s="518"/>
      <c r="P143" s="519"/>
      <c r="Q143" s="519"/>
      <c r="R143" s="519"/>
      <c r="S143" s="519">
        <v>42277</v>
      </c>
      <c r="T143" s="231"/>
      <c r="U143" s="231"/>
      <c r="V143" s="237"/>
      <c r="W143" s="6"/>
    </row>
    <row r="144" spans="1:25" ht="15.6">
      <c r="A144" s="281"/>
      <c r="B144" s="294" t="s">
        <v>60</v>
      </c>
      <c r="C144" s="329"/>
      <c r="D144" s="329"/>
      <c r="E144" s="329"/>
      <c r="F144" s="329"/>
      <c r="G144" s="329"/>
      <c r="H144" s="329"/>
      <c r="I144" s="329"/>
      <c r="J144" s="329"/>
      <c r="K144" s="329"/>
      <c r="L144" s="329"/>
      <c r="M144" s="329"/>
      <c r="N144" s="329"/>
      <c r="O144" s="329"/>
      <c r="P144" s="300"/>
      <c r="Q144" s="300"/>
      <c r="R144" s="300"/>
      <c r="S144" s="299">
        <v>0.10630000000000001</v>
      </c>
      <c r="T144" s="294"/>
      <c r="U144" s="294"/>
      <c r="V144" s="260"/>
      <c r="W144" s="6"/>
    </row>
    <row r="145" spans="1:23" ht="15.6">
      <c r="A145" s="458"/>
      <c r="B145" s="379" t="s">
        <v>61</v>
      </c>
      <c r="C145" s="459"/>
      <c r="D145" s="459"/>
      <c r="E145" s="459"/>
      <c r="F145" s="459"/>
      <c r="G145" s="459"/>
      <c r="H145" s="459"/>
      <c r="I145" s="459"/>
      <c r="J145" s="459"/>
      <c r="K145" s="459"/>
      <c r="L145" s="459"/>
      <c r="M145" s="459"/>
      <c r="N145" s="459"/>
      <c r="O145" s="459"/>
      <c r="P145" s="433"/>
      <c r="Q145" s="433"/>
      <c r="R145" s="433"/>
      <c r="S145" s="427">
        <v>5.2200000000000003E-2</v>
      </c>
      <c r="T145" s="427"/>
      <c r="U145" s="379"/>
      <c r="V145" s="385"/>
      <c r="W145" s="6"/>
    </row>
    <row r="146" spans="1:23" ht="15.6">
      <c r="A146" s="458"/>
      <c r="B146" s="379" t="s">
        <v>62</v>
      </c>
      <c r="C146" s="459"/>
      <c r="D146" s="459"/>
      <c r="E146" s="459"/>
      <c r="F146" s="459"/>
      <c r="G146" s="459"/>
      <c r="H146" s="459"/>
      <c r="I146" s="459"/>
      <c r="J146" s="459"/>
      <c r="K146" s="459"/>
      <c r="L146" s="459"/>
      <c r="M146" s="459"/>
      <c r="N146" s="459"/>
      <c r="O146" s="459"/>
      <c r="P146" s="433"/>
      <c r="Q146" s="433"/>
      <c r="R146" s="433"/>
      <c r="S146" s="427">
        <f>S144-S145</f>
        <v>5.4100000000000002E-2</v>
      </c>
      <c r="T146" s="379"/>
      <c r="U146" s="379"/>
      <c r="V146" s="385"/>
      <c r="W146" s="6"/>
    </row>
    <row r="147" spans="1:23" ht="15.6">
      <c r="A147" s="458"/>
      <c r="B147" s="379" t="s">
        <v>63</v>
      </c>
      <c r="C147" s="459"/>
      <c r="D147" s="459"/>
      <c r="E147" s="459"/>
      <c r="F147" s="459"/>
      <c r="G147" s="459"/>
      <c r="H147" s="459"/>
      <c r="I147" s="459"/>
      <c r="J147" s="459"/>
      <c r="K147" s="459"/>
      <c r="L147" s="459"/>
      <c r="M147" s="459"/>
      <c r="N147" s="459"/>
      <c r="O147" s="459"/>
      <c r="P147" s="433"/>
      <c r="Q147" s="433"/>
      <c r="R147" s="433"/>
      <c r="S147" s="554">
        <v>9.0649999999999994E-2</v>
      </c>
      <c r="T147" s="379"/>
      <c r="U147" s="379"/>
      <c r="V147" s="385"/>
      <c r="W147" s="6"/>
    </row>
    <row r="148" spans="1:23" ht="15.6">
      <c r="A148" s="458"/>
      <c r="B148" s="379" t="s">
        <v>64</v>
      </c>
      <c r="C148" s="459"/>
      <c r="D148" s="459"/>
      <c r="E148" s="459"/>
      <c r="F148" s="459"/>
      <c r="G148" s="459"/>
      <c r="H148" s="459"/>
      <c r="I148" s="459"/>
      <c r="J148" s="459"/>
      <c r="K148" s="459"/>
      <c r="L148" s="459"/>
      <c r="M148" s="459"/>
      <c r="N148" s="459"/>
      <c r="O148" s="459"/>
      <c r="P148" s="433"/>
      <c r="Q148" s="433"/>
      <c r="R148" s="433"/>
      <c r="S148" s="427">
        <f>+U40</f>
        <v>1.5277130871023685E-2</v>
      </c>
      <c r="T148" s="379"/>
      <c r="U148" s="379"/>
      <c r="V148" s="385"/>
      <c r="W148" s="6"/>
    </row>
    <row r="149" spans="1:23" ht="15.6">
      <c r="A149" s="458"/>
      <c r="B149" s="379" t="s">
        <v>65</v>
      </c>
      <c r="C149" s="459"/>
      <c r="D149" s="459"/>
      <c r="E149" s="459"/>
      <c r="F149" s="459"/>
      <c r="G149" s="459"/>
      <c r="H149" s="459"/>
      <c r="I149" s="459"/>
      <c r="J149" s="459"/>
      <c r="K149" s="459"/>
      <c r="L149" s="459"/>
      <c r="M149" s="459"/>
      <c r="N149" s="459"/>
      <c r="O149" s="459"/>
      <c r="P149" s="433"/>
      <c r="Q149" s="433"/>
      <c r="R149" s="433"/>
      <c r="S149" s="427">
        <f>S147-S148</f>
        <v>7.5372869128976311E-2</v>
      </c>
      <c r="T149" s="379"/>
      <c r="U149" s="379"/>
      <c r="V149" s="385"/>
      <c r="W149" s="6"/>
    </row>
    <row r="150" spans="1:23" ht="15.6">
      <c r="A150" s="458"/>
      <c r="B150" s="379" t="s">
        <v>204</v>
      </c>
      <c r="C150" s="459"/>
      <c r="D150" s="459"/>
      <c r="E150" s="459"/>
      <c r="F150" s="459"/>
      <c r="G150" s="459"/>
      <c r="H150" s="459"/>
      <c r="I150" s="459"/>
      <c r="J150" s="459"/>
      <c r="K150" s="459"/>
      <c r="L150" s="459"/>
      <c r="M150" s="459"/>
      <c r="N150" s="459"/>
      <c r="O150" s="459"/>
      <c r="P150" s="433"/>
      <c r="Q150" s="433"/>
      <c r="R150" s="433"/>
      <c r="S150" s="429">
        <v>49780</v>
      </c>
      <c r="T150" s="379"/>
      <c r="U150" s="379"/>
      <c r="V150" s="385"/>
      <c r="W150" s="6"/>
    </row>
    <row r="151" spans="1:23" ht="15.6">
      <c r="A151" s="458"/>
      <c r="B151" s="379" t="s">
        <v>205</v>
      </c>
      <c r="C151" s="459"/>
      <c r="D151" s="459"/>
      <c r="E151" s="459"/>
      <c r="F151" s="459"/>
      <c r="G151" s="459"/>
      <c r="H151" s="459"/>
      <c r="I151" s="459"/>
      <c r="J151" s="459"/>
      <c r="K151" s="459"/>
      <c r="L151" s="459"/>
      <c r="M151" s="459"/>
      <c r="N151" s="459"/>
      <c r="O151" s="459"/>
      <c r="P151" s="433"/>
      <c r="Q151" s="433"/>
      <c r="R151" s="433"/>
      <c r="S151" s="429">
        <v>49780</v>
      </c>
      <c r="T151" s="379"/>
      <c r="U151" s="379"/>
      <c r="V151" s="385"/>
      <c r="W151" s="6"/>
    </row>
    <row r="152" spans="1:23" ht="15.6">
      <c r="A152" s="458"/>
      <c r="B152" s="379" t="s">
        <v>206</v>
      </c>
      <c r="C152" s="459"/>
      <c r="D152" s="459"/>
      <c r="E152" s="459"/>
      <c r="F152" s="459"/>
      <c r="G152" s="459"/>
      <c r="H152" s="459"/>
      <c r="I152" s="459"/>
      <c r="J152" s="459"/>
      <c r="K152" s="459"/>
      <c r="L152" s="459"/>
      <c r="M152" s="459"/>
      <c r="N152" s="459"/>
      <c r="O152" s="459"/>
      <c r="P152" s="433"/>
      <c r="Q152" s="433"/>
      <c r="R152" s="433"/>
      <c r="S152" s="429">
        <v>49780</v>
      </c>
      <c r="T152" s="379"/>
      <c r="U152" s="379"/>
      <c r="V152" s="385"/>
      <c r="W152" s="6"/>
    </row>
    <row r="153" spans="1:23" ht="15.6">
      <c r="A153" s="458"/>
      <c r="B153" s="379" t="s">
        <v>207</v>
      </c>
      <c r="C153" s="459"/>
      <c r="D153" s="459"/>
      <c r="E153" s="459"/>
      <c r="F153" s="459"/>
      <c r="G153" s="459"/>
      <c r="H153" s="459"/>
      <c r="I153" s="459"/>
      <c r="J153" s="459"/>
      <c r="K153" s="459"/>
      <c r="L153" s="459"/>
      <c r="M153" s="459"/>
      <c r="N153" s="459"/>
      <c r="O153" s="459"/>
      <c r="P153" s="433"/>
      <c r="Q153" s="433"/>
      <c r="R153" s="433"/>
      <c r="S153" s="429">
        <v>49780</v>
      </c>
      <c r="T153" s="379"/>
      <c r="U153" s="379"/>
      <c r="V153" s="385"/>
      <c r="W153" s="6"/>
    </row>
    <row r="154" spans="1:23" ht="15.6">
      <c r="A154" s="458"/>
      <c r="B154" s="379" t="s">
        <v>221</v>
      </c>
      <c r="C154" s="459"/>
      <c r="D154" s="459"/>
      <c r="E154" s="459"/>
      <c r="F154" s="459"/>
      <c r="G154" s="459"/>
      <c r="H154" s="459"/>
      <c r="I154" s="459"/>
      <c r="J154" s="459"/>
      <c r="K154" s="459"/>
      <c r="L154" s="459"/>
      <c r="M154" s="459"/>
      <c r="N154" s="459"/>
      <c r="O154" s="459"/>
      <c r="P154" s="433"/>
      <c r="Q154" s="433"/>
      <c r="R154" s="433"/>
      <c r="S154" s="432">
        <v>111.34</v>
      </c>
      <c r="T154" s="379"/>
      <c r="U154" s="379"/>
      <c r="V154" s="385"/>
      <c r="W154" s="6"/>
    </row>
    <row r="155" spans="1:23" ht="15.6">
      <c r="A155" s="458"/>
      <c r="B155" s="379" t="s">
        <v>222</v>
      </c>
      <c r="C155" s="459"/>
      <c r="D155" s="459"/>
      <c r="E155" s="459"/>
      <c r="F155" s="459"/>
      <c r="G155" s="459"/>
      <c r="H155" s="459"/>
      <c r="I155" s="459"/>
      <c r="J155" s="459"/>
      <c r="K155" s="459"/>
      <c r="L155" s="459"/>
      <c r="M155" s="459"/>
      <c r="N155" s="459"/>
      <c r="O155" s="459"/>
      <c r="P155" s="433"/>
      <c r="Q155" s="433"/>
      <c r="R155" s="433"/>
      <c r="S155" s="555">
        <v>137.30000000000001</v>
      </c>
      <c r="T155" s="379"/>
      <c r="U155" s="379"/>
      <c r="V155" s="385"/>
      <c r="W155" s="6"/>
    </row>
    <row r="156" spans="1:23" ht="15.6">
      <c r="A156" s="458" t="s">
        <v>223</v>
      </c>
      <c r="B156" s="379" t="s">
        <v>66</v>
      </c>
      <c r="C156" s="459"/>
      <c r="D156" s="459"/>
      <c r="E156" s="459"/>
      <c r="F156" s="459"/>
      <c r="G156" s="459"/>
      <c r="H156" s="459"/>
      <c r="I156" s="459"/>
      <c r="J156" s="459"/>
      <c r="K156" s="459"/>
      <c r="L156" s="459"/>
      <c r="M156" s="459"/>
      <c r="N156" s="459"/>
      <c r="O156" s="459"/>
      <c r="P156" s="433"/>
      <c r="Q156" s="433"/>
      <c r="R156" s="433"/>
      <c r="S156" s="427">
        <v>4.2200000000000001E-2</v>
      </c>
      <c r="T156" s="379"/>
      <c r="U156" s="379"/>
      <c r="V156" s="385"/>
      <c r="W156" s="6"/>
    </row>
    <row r="157" spans="1:23" ht="15.6">
      <c r="A157" s="458"/>
      <c r="B157" s="379" t="s">
        <v>67</v>
      </c>
      <c r="C157" s="459"/>
      <c r="D157" s="459"/>
      <c r="E157" s="459"/>
      <c r="F157" s="459"/>
      <c r="G157" s="459"/>
      <c r="H157" s="459"/>
      <c r="I157" s="459"/>
      <c r="J157" s="459"/>
      <c r="K157" s="459"/>
      <c r="L157" s="459"/>
      <c r="M157" s="459"/>
      <c r="N157" s="459"/>
      <c r="O157" s="459"/>
      <c r="P157" s="433"/>
      <c r="Q157" s="433"/>
      <c r="R157" s="433"/>
      <c r="S157" s="427">
        <v>0.25719999999999998</v>
      </c>
      <c r="T157" s="379"/>
      <c r="U157" s="379"/>
      <c r="V157" s="385"/>
      <c r="W157" s="6"/>
    </row>
    <row r="158" spans="1:23" ht="15.6">
      <c r="A158" s="280"/>
      <c r="B158" s="364"/>
      <c r="C158" s="364"/>
      <c r="D158" s="364"/>
      <c r="E158" s="364"/>
      <c r="F158" s="364"/>
      <c r="G158" s="364"/>
      <c r="H158" s="364"/>
      <c r="I158" s="364"/>
      <c r="J158" s="364"/>
      <c r="K158" s="364"/>
      <c r="L158" s="364"/>
      <c r="M158" s="364"/>
      <c r="N158" s="364"/>
      <c r="O158" s="364"/>
      <c r="P158" s="364"/>
      <c r="Q158" s="364"/>
      <c r="R158" s="455"/>
      <c r="S158" s="456"/>
      <c r="T158" s="364"/>
      <c r="U158" s="457"/>
      <c r="V158" s="245"/>
      <c r="W158" s="6"/>
    </row>
    <row r="159" spans="1:23" ht="15.6">
      <c r="A159" s="280"/>
      <c r="B159" s="288"/>
      <c r="C159" s="288"/>
      <c r="D159" s="288"/>
      <c r="E159" s="288"/>
      <c r="F159" s="288"/>
      <c r="G159" s="288"/>
      <c r="H159" s="288"/>
      <c r="I159" s="288"/>
      <c r="J159" s="288"/>
      <c r="K159" s="288"/>
      <c r="L159" s="288"/>
      <c r="M159" s="288"/>
      <c r="N159" s="288"/>
      <c r="O159" s="288"/>
      <c r="P159" s="288"/>
      <c r="Q159" s="288"/>
      <c r="R159" s="331"/>
      <c r="S159" s="332"/>
      <c r="T159" s="288"/>
      <c r="U159" s="333"/>
      <c r="V159" s="245"/>
      <c r="W159" s="6"/>
    </row>
    <row r="160" spans="1:23" ht="16.2" thickBot="1">
      <c r="A160" s="282"/>
      <c r="B160" s="304" t="str">
        <f>+B109</f>
        <v>PPAF3 INVESTOR REPORT QUARTER ENDING SEPTEMBER 2015</v>
      </c>
      <c r="C160" s="305"/>
      <c r="D160" s="305"/>
      <c r="E160" s="305"/>
      <c r="F160" s="305"/>
      <c r="G160" s="305"/>
      <c r="H160" s="305"/>
      <c r="I160" s="305"/>
      <c r="J160" s="305"/>
      <c r="K160" s="305"/>
      <c r="L160" s="305"/>
      <c r="M160" s="305"/>
      <c r="N160" s="305"/>
      <c r="O160" s="305"/>
      <c r="P160" s="305"/>
      <c r="Q160" s="305"/>
      <c r="R160" s="334"/>
      <c r="S160" s="335"/>
      <c r="T160" s="305"/>
      <c r="U160" s="336"/>
      <c r="V160" s="262"/>
      <c r="W160" s="6"/>
    </row>
    <row r="161" spans="1:23" ht="15.6">
      <c r="A161" s="337"/>
      <c r="B161" s="520" t="s">
        <v>68</v>
      </c>
      <c r="C161" s="521"/>
      <c r="D161" s="521"/>
      <c r="E161" s="521"/>
      <c r="F161" s="521"/>
      <c r="G161" s="521"/>
      <c r="H161" s="521"/>
      <c r="I161" s="521"/>
      <c r="J161" s="521"/>
      <c r="K161" s="521"/>
      <c r="L161" s="521"/>
      <c r="M161" s="522"/>
      <c r="N161" s="521"/>
      <c r="O161" s="522"/>
      <c r="P161" s="521"/>
      <c r="Q161" s="522"/>
      <c r="R161" s="521" t="s">
        <v>94</v>
      </c>
      <c r="S161" s="522" t="s">
        <v>116</v>
      </c>
      <c r="T161" s="340"/>
      <c r="U161" s="340"/>
      <c r="V161" s="341"/>
      <c r="W161" s="6"/>
    </row>
    <row r="162" spans="1:23" ht="15.6">
      <c r="A162" s="283"/>
      <c r="B162" s="294" t="s">
        <v>216</v>
      </c>
      <c r="C162" s="310"/>
      <c r="D162" s="310"/>
      <c r="E162" s="310"/>
      <c r="F162" s="310"/>
      <c r="G162" s="310"/>
      <c r="H162" s="310"/>
      <c r="I162" s="310"/>
      <c r="J162" s="310"/>
      <c r="K162" s="310"/>
      <c r="L162" s="310"/>
      <c r="M162" s="310"/>
      <c r="N162" s="310"/>
      <c r="O162" s="294"/>
      <c r="P162" s="294"/>
      <c r="Q162" s="294"/>
      <c r="R162" s="310">
        <v>457</v>
      </c>
      <c r="S162" s="311">
        <v>10530</v>
      </c>
      <c r="T162" s="311"/>
      <c r="U162" s="330"/>
      <c r="V162" s="342"/>
      <c r="W162" s="6"/>
    </row>
    <row r="163" spans="1:23" ht="15.6">
      <c r="A163" s="465"/>
      <c r="B163" s="379" t="s">
        <v>217</v>
      </c>
      <c r="C163" s="440"/>
      <c r="D163" s="440"/>
      <c r="E163" s="440"/>
      <c r="F163" s="440"/>
      <c r="G163" s="440"/>
      <c r="H163" s="440"/>
      <c r="I163" s="440"/>
      <c r="J163" s="440"/>
      <c r="K163" s="440"/>
      <c r="L163" s="440"/>
      <c r="M163" s="440"/>
      <c r="N163" s="440"/>
      <c r="O163" s="379"/>
      <c r="P163" s="379"/>
      <c r="Q163" s="379"/>
      <c r="R163" s="545">
        <v>4</v>
      </c>
      <c r="S163" s="546">
        <v>11</v>
      </c>
      <c r="T163" s="441"/>
      <c r="U163" s="466"/>
      <c r="V163" s="467"/>
      <c r="W163" s="6"/>
    </row>
    <row r="164" spans="1:23" ht="15.6">
      <c r="A164" s="465"/>
      <c r="B164" s="379" t="s">
        <v>218</v>
      </c>
      <c r="C164" s="440"/>
      <c r="D164" s="440"/>
      <c r="E164" s="440"/>
      <c r="F164" s="440"/>
      <c r="G164" s="440"/>
      <c r="H164" s="440"/>
      <c r="I164" s="440"/>
      <c r="J164" s="440"/>
      <c r="K164" s="440"/>
      <c r="L164" s="440"/>
      <c r="M164" s="440"/>
      <c r="N164" s="440"/>
      <c r="O164" s="379"/>
      <c r="P164" s="379"/>
      <c r="Q164" s="379"/>
      <c r="R164" s="545">
        <v>97</v>
      </c>
      <c r="S164" s="546">
        <v>78</v>
      </c>
      <c r="T164" s="441"/>
      <c r="U164" s="466"/>
      <c r="V164" s="467"/>
      <c r="W164" s="6"/>
    </row>
    <row r="165" spans="1:23" ht="15.6">
      <c r="A165" s="465"/>
      <c r="B165" s="379" t="s">
        <v>219</v>
      </c>
      <c r="C165" s="440"/>
      <c r="D165" s="440"/>
      <c r="E165" s="440"/>
      <c r="F165" s="440"/>
      <c r="G165" s="440"/>
      <c r="H165" s="440"/>
      <c r="I165" s="440"/>
      <c r="J165" s="440"/>
      <c r="K165" s="440"/>
      <c r="L165" s="440"/>
      <c r="M165" s="440"/>
      <c r="N165" s="440"/>
      <c r="O165" s="379"/>
      <c r="P165" s="379"/>
      <c r="Q165" s="379"/>
      <c r="R165" s="545">
        <v>76</v>
      </c>
      <c r="S165" s="546">
        <v>123</v>
      </c>
      <c r="T165" s="441"/>
      <c r="U165" s="466"/>
      <c r="V165" s="467"/>
      <c r="W165" s="6"/>
    </row>
    <row r="166" spans="1:23" ht="15.6">
      <c r="A166" s="465"/>
      <c r="B166" s="379" t="s">
        <v>90</v>
      </c>
      <c r="C166" s="440"/>
      <c r="D166" s="440"/>
      <c r="E166" s="440"/>
      <c r="F166" s="440"/>
      <c r="G166" s="440"/>
      <c r="H166" s="440"/>
      <c r="I166" s="440"/>
      <c r="J166" s="440"/>
      <c r="K166" s="440"/>
      <c r="L166" s="440"/>
      <c r="M166" s="440"/>
      <c r="N166" s="440"/>
      <c r="O166" s="379"/>
      <c r="P166" s="379"/>
      <c r="Q166" s="379"/>
      <c r="R166" s="547">
        <f>SUM(R162:R165)</f>
        <v>634</v>
      </c>
      <c r="S166" s="546">
        <f>SUM(S162:S165)</f>
        <v>10742</v>
      </c>
      <c r="T166" s="441"/>
      <c r="U166" s="466"/>
      <c r="V166" s="467"/>
      <c r="W166" s="6"/>
    </row>
    <row r="167" spans="1:23" ht="15.6">
      <c r="A167" s="465"/>
      <c r="B167" s="379"/>
      <c r="C167" s="440"/>
      <c r="D167" s="440"/>
      <c r="E167" s="440"/>
      <c r="F167" s="440"/>
      <c r="G167" s="440"/>
      <c r="H167" s="440"/>
      <c r="I167" s="440"/>
      <c r="J167" s="440"/>
      <c r="K167" s="440"/>
      <c r="L167" s="440"/>
      <c r="M167" s="440"/>
      <c r="N167" s="440"/>
      <c r="O167" s="379"/>
      <c r="P167" s="379"/>
      <c r="Q167" s="379"/>
      <c r="R167" s="545"/>
      <c r="S167" s="546"/>
      <c r="T167" s="441"/>
      <c r="U167" s="466"/>
      <c r="V167" s="467"/>
      <c r="W167" s="6"/>
    </row>
    <row r="168" spans="1:23" ht="15.6">
      <c r="A168" s="465"/>
      <c r="B168" s="379" t="s">
        <v>220</v>
      </c>
      <c r="C168" s="440"/>
      <c r="D168" s="440"/>
      <c r="E168" s="440"/>
      <c r="F168" s="440"/>
      <c r="G168" s="440"/>
      <c r="H168" s="440"/>
      <c r="I168" s="440"/>
      <c r="J168" s="440"/>
      <c r="K168" s="440"/>
      <c r="L168" s="440"/>
      <c r="M168" s="440"/>
      <c r="N168" s="440"/>
      <c r="O168" s="379"/>
      <c r="P168" s="379"/>
      <c r="Q168" s="379"/>
      <c r="R168" s="545">
        <v>0</v>
      </c>
      <c r="S168" s="546">
        <v>0</v>
      </c>
      <c r="T168" s="441"/>
      <c r="U168" s="466"/>
      <c r="V168" s="467"/>
      <c r="W168" s="6"/>
    </row>
    <row r="169" spans="1:23" ht="15.6">
      <c r="A169" s="465"/>
      <c r="B169" s="379" t="s">
        <v>224</v>
      </c>
      <c r="C169" s="440"/>
      <c r="D169" s="440"/>
      <c r="E169" s="440"/>
      <c r="F169" s="440"/>
      <c r="G169" s="440"/>
      <c r="H169" s="440"/>
      <c r="I169" s="440"/>
      <c r="J169" s="440"/>
      <c r="K169" s="440"/>
      <c r="L169" s="440"/>
      <c r="M169" s="440"/>
      <c r="N169" s="440"/>
      <c r="O169" s="379"/>
      <c r="P169" s="379"/>
      <c r="Q169" s="379"/>
      <c r="R169" s="545">
        <v>8</v>
      </c>
      <c r="S169" s="546">
        <v>151</v>
      </c>
      <c r="T169" s="441"/>
      <c r="U169" s="466"/>
      <c r="V169" s="467"/>
      <c r="W169" s="6"/>
    </row>
    <row r="170" spans="1:23" ht="15.6">
      <c r="A170" s="465"/>
      <c r="B170" s="468" t="s">
        <v>69</v>
      </c>
      <c r="C170" s="469"/>
      <c r="D170" s="469"/>
      <c r="E170" s="469"/>
      <c r="F170" s="469"/>
      <c r="G170" s="469"/>
      <c r="H170" s="469"/>
      <c r="I170" s="469"/>
      <c r="J170" s="469"/>
      <c r="K170" s="469"/>
      <c r="L170" s="469"/>
      <c r="M170" s="469"/>
      <c r="N170" s="469"/>
      <c r="O170" s="454"/>
      <c r="P170" s="454"/>
      <c r="Q170" s="454"/>
      <c r="R170" s="539"/>
      <c r="S170" s="540">
        <v>0</v>
      </c>
      <c r="T170" s="454"/>
      <c r="U170" s="470"/>
      <c r="V170" s="471"/>
      <c r="W170" s="6"/>
    </row>
    <row r="171" spans="1:23" ht="15.6">
      <c r="A171" s="465"/>
      <c r="B171" s="468" t="s">
        <v>70</v>
      </c>
      <c r="C171" s="469"/>
      <c r="D171" s="469"/>
      <c r="E171" s="469"/>
      <c r="F171" s="469"/>
      <c r="G171" s="469"/>
      <c r="H171" s="469"/>
      <c r="I171" s="469"/>
      <c r="J171" s="469"/>
      <c r="K171" s="469"/>
      <c r="L171" s="469"/>
      <c r="M171" s="469"/>
      <c r="N171" s="469"/>
      <c r="O171" s="454"/>
      <c r="P171" s="454"/>
      <c r="Q171" s="454"/>
      <c r="R171" s="539"/>
      <c r="S171" s="540">
        <f>Q75</f>
        <v>0</v>
      </c>
      <c r="T171" s="454"/>
      <c r="U171" s="470"/>
      <c r="V171" s="471"/>
      <c r="W171" s="6"/>
    </row>
    <row r="172" spans="1:23" ht="15.6">
      <c r="A172" s="472"/>
      <c r="B172" s="468" t="s">
        <v>71</v>
      </c>
      <c r="C172" s="469"/>
      <c r="D172" s="469"/>
      <c r="E172" s="469"/>
      <c r="F172" s="469"/>
      <c r="G172" s="469"/>
      <c r="H172" s="469"/>
      <c r="I172" s="469"/>
      <c r="J172" s="469"/>
      <c r="K172" s="469"/>
      <c r="L172" s="469"/>
      <c r="M172" s="473"/>
      <c r="N172" s="473"/>
      <c r="O172" s="473"/>
      <c r="P172" s="454"/>
      <c r="Q172" s="454"/>
      <c r="R172" s="379"/>
      <c r="S172" s="500"/>
      <c r="T172" s="454"/>
      <c r="U172" s="470"/>
      <c r="V172" s="474"/>
      <c r="W172" s="6"/>
    </row>
    <row r="173" spans="1:23" ht="15.6">
      <c r="A173" s="465"/>
      <c r="B173" s="379" t="s">
        <v>72</v>
      </c>
      <c r="C173" s="469"/>
      <c r="D173" s="469"/>
      <c r="E173" s="469"/>
      <c r="F173" s="469"/>
      <c r="G173" s="469"/>
      <c r="H173" s="469"/>
      <c r="I173" s="469"/>
      <c r="J173" s="469"/>
      <c r="K173" s="469"/>
      <c r="L173" s="469"/>
      <c r="M173" s="469"/>
      <c r="N173" s="469"/>
      <c r="O173" s="469"/>
      <c r="P173" s="454"/>
      <c r="Q173" s="454"/>
      <c r="R173" s="379"/>
      <c r="S173" s="546">
        <f>U128</f>
        <v>262</v>
      </c>
      <c r="T173" s="454"/>
      <c r="U173" s="470"/>
      <c r="V173" s="474"/>
      <c r="W173" s="6"/>
    </row>
    <row r="174" spans="1:23" ht="15.6">
      <c r="A174" s="465"/>
      <c r="B174" s="379" t="s">
        <v>73</v>
      </c>
      <c r="C174" s="469"/>
      <c r="D174" s="469"/>
      <c r="E174" s="469"/>
      <c r="F174" s="469"/>
      <c r="G174" s="469"/>
      <c r="H174" s="469"/>
      <c r="I174" s="469"/>
      <c r="J174" s="469"/>
      <c r="K174" s="469"/>
      <c r="L174" s="469"/>
      <c r="M174" s="469"/>
      <c r="N174" s="469"/>
      <c r="O174" s="469"/>
      <c r="P174" s="454"/>
      <c r="Q174" s="454"/>
      <c r="R174" s="379"/>
      <c r="S174" s="546">
        <f>'June 15'!S174+S173</f>
        <v>89495</v>
      </c>
      <c r="T174" s="454"/>
      <c r="U174" s="470"/>
      <c r="V174" s="474"/>
      <c r="W174" s="6"/>
    </row>
    <row r="175" spans="1:23" ht="15.6">
      <c r="A175" s="465"/>
      <c r="B175" s="379" t="s">
        <v>74</v>
      </c>
      <c r="C175" s="469"/>
      <c r="D175" s="469"/>
      <c r="E175" s="469"/>
      <c r="F175" s="469"/>
      <c r="G175" s="469"/>
      <c r="H175" s="469"/>
      <c r="I175" s="469"/>
      <c r="J175" s="469"/>
      <c r="K175" s="469"/>
      <c r="L175" s="469"/>
      <c r="M175" s="469"/>
      <c r="N175" s="469"/>
      <c r="O175" s="469"/>
      <c r="P175" s="454"/>
      <c r="Q175" s="454"/>
      <c r="R175" s="379"/>
      <c r="S175" s="546">
        <f>'June 15'!S175+875</f>
        <v>27787</v>
      </c>
      <c r="T175" s="454"/>
      <c r="U175" s="470"/>
      <c r="V175" s="474"/>
      <c r="W175" s="6"/>
    </row>
    <row r="176" spans="1:23" ht="15.6">
      <c r="A176" s="465"/>
      <c r="B176" s="473"/>
      <c r="C176" s="469"/>
      <c r="D176" s="469"/>
      <c r="E176" s="469"/>
      <c r="F176" s="469"/>
      <c r="G176" s="469"/>
      <c r="H176" s="469"/>
      <c r="I176" s="469"/>
      <c r="J176" s="469"/>
      <c r="K176" s="469"/>
      <c r="L176" s="469"/>
      <c r="M176" s="469"/>
      <c r="N176" s="469"/>
      <c r="O176" s="469"/>
      <c r="P176" s="454"/>
      <c r="Q176" s="454"/>
      <c r="R176" s="379"/>
      <c r="S176" s="546"/>
      <c r="T176" s="454"/>
      <c r="U176" s="470"/>
      <c r="V176" s="474"/>
      <c r="W176" s="6"/>
    </row>
    <row r="177" spans="1:23" ht="15.6">
      <c r="A177" s="472"/>
      <c r="B177" s="468" t="s">
        <v>259</v>
      </c>
      <c r="C177" s="469"/>
      <c r="D177" s="469"/>
      <c r="E177" s="469"/>
      <c r="F177" s="469"/>
      <c r="G177" s="469"/>
      <c r="H177" s="469"/>
      <c r="I177" s="469"/>
      <c r="J177" s="469"/>
      <c r="K177" s="469"/>
      <c r="L177" s="469"/>
      <c r="M177" s="473"/>
      <c r="N177" s="473"/>
      <c r="O177" s="473"/>
      <c r="P177" s="454"/>
      <c r="Q177" s="454"/>
      <c r="R177" s="379"/>
      <c r="S177" s="548"/>
      <c r="T177" s="454"/>
      <c r="U177" s="470"/>
      <c r="V177" s="474"/>
      <c r="W177" s="6"/>
    </row>
    <row r="178" spans="1:23" ht="15.6">
      <c r="A178" s="472"/>
      <c r="B178" s="379" t="s">
        <v>254</v>
      </c>
      <c r="C178" s="469"/>
      <c r="D178" s="469"/>
      <c r="E178" s="469"/>
      <c r="F178" s="469"/>
      <c r="G178" s="469"/>
      <c r="H178" s="469"/>
      <c r="I178" s="469"/>
      <c r="J178" s="469"/>
      <c r="K178" s="469"/>
      <c r="L178" s="469"/>
      <c r="M178" s="473"/>
      <c r="N178" s="473"/>
      <c r="O178" s="473"/>
      <c r="P178" s="454"/>
      <c r="Q178" s="454"/>
      <c r="R178" s="379"/>
      <c r="S178" s="548">
        <v>1</v>
      </c>
      <c r="T178" s="454"/>
      <c r="U178" s="470"/>
      <c r="V178" s="474"/>
      <c r="W178" s="6"/>
    </row>
    <row r="179" spans="1:23" ht="15.6">
      <c r="A179" s="465"/>
      <c r="B179" s="379" t="s">
        <v>75</v>
      </c>
      <c r="C179" s="469"/>
      <c r="D179" s="469"/>
      <c r="E179" s="469"/>
      <c r="F179" s="469"/>
      <c r="G179" s="469"/>
      <c r="H179" s="469"/>
      <c r="I179" s="469"/>
      <c r="J179" s="469"/>
      <c r="K179" s="469"/>
      <c r="L179" s="469"/>
      <c r="M179" s="475"/>
      <c r="N179" s="475"/>
      <c r="O179" s="476"/>
      <c r="P179" s="454"/>
      <c r="Q179" s="454"/>
      <c r="R179" s="379"/>
      <c r="S179" s="549">
        <v>27.68</v>
      </c>
      <c r="T179" s="454"/>
      <c r="U179" s="470"/>
      <c r="V179" s="474"/>
      <c r="W179" s="6"/>
    </row>
    <row r="180" spans="1:23" ht="15.6">
      <c r="A180" s="465"/>
      <c r="B180" s="379" t="s">
        <v>76</v>
      </c>
      <c r="C180" s="469"/>
      <c r="D180" s="469"/>
      <c r="E180" s="469"/>
      <c r="F180" s="469"/>
      <c r="G180" s="469"/>
      <c r="H180" s="469"/>
      <c r="I180" s="469"/>
      <c r="J180" s="469"/>
      <c r="K180" s="469"/>
      <c r="L180" s="469"/>
      <c r="M180" s="475"/>
      <c r="N180" s="475"/>
      <c r="O180" s="476"/>
      <c r="P180" s="454"/>
      <c r="Q180" s="454"/>
      <c r="R180" s="379"/>
      <c r="S180" s="548">
        <v>504</v>
      </c>
      <c r="T180" s="454"/>
      <c r="U180" s="470"/>
      <c r="V180" s="474"/>
      <c r="W180" s="6"/>
    </row>
    <row r="181" spans="1:23" ht="15.6">
      <c r="A181" s="465"/>
      <c r="B181" s="473"/>
      <c r="C181" s="469"/>
      <c r="D181" s="469"/>
      <c r="E181" s="469"/>
      <c r="F181" s="469"/>
      <c r="G181" s="469"/>
      <c r="H181" s="469"/>
      <c r="I181" s="469"/>
      <c r="J181" s="469"/>
      <c r="K181" s="469"/>
      <c r="L181" s="469"/>
      <c r="M181" s="477"/>
      <c r="N181" s="475"/>
      <c r="O181" s="476"/>
      <c r="P181" s="454"/>
      <c r="Q181" s="454"/>
      <c r="R181" s="379"/>
      <c r="S181" s="537"/>
      <c r="T181" s="454"/>
      <c r="U181" s="470"/>
      <c r="V181" s="474"/>
      <c r="W181" s="6"/>
    </row>
    <row r="182" spans="1:23" ht="15.6">
      <c r="A182" s="465"/>
      <c r="B182" s="468" t="s">
        <v>77</v>
      </c>
      <c r="C182" s="469"/>
      <c r="D182" s="469"/>
      <c r="E182" s="469"/>
      <c r="F182" s="469"/>
      <c r="G182" s="469"/>
      <c r="H182" s="469"/>
      <c r="I182" s="469"/>
      <c r="J182" s="469"/>
      <c r="K182" s="469"/>
      <c r="L182" s="469"/>
      <c r="M182" s="469"/>
      <c r="N182" s="477"/>
      <c r="O182" s="475"/>
      <c r="P182" s="476"/>
      <c r="Q182" s="454"/>
      <c r="R182" s="380"/>
      <c r="S182" s="538"/>
      <c r="T182" s="478"/>
      <c r="U182" s="390"/>
      <c r="V182" s="479"/>
      <c r="W182" s="6"/>
    </row>
    <row r="183" spans="1:23" ht="15.6">
      <c r="A183" s="465"/>
      <c r="B183" s="379" t="s">
        <v>78</v>
      </c>
      <c r="C183" s="469"/>
      <c r="D183" s="469"/>
      <c r="E183" s="469"/>
      <c r="F183" s="469"/>
      <c r="G183" s="469"/>
      <c r="H183" s="469"/>
      <c r="I183" s="469"/>
      <c r="J183" s="469"/>
      <c r="K183" s="469"/>
      <c r="L183" s="469"/>
      <c r="M183" s="469"/>
      <c r="N183" s="477"/>
      <c r="O183" s="475"/>
      <c r="P183" s="476"/>
      <c r="Q183" s="454"/>
      <c r="R183" s="380"/>
      <c r="S183" s="550">
        <v>0</v>
      </c>
      <c r="T183" s="480"/>
      <c r="U183" s="390"/>
      <c r="V183" s="479"/>
      <c r="W183" s="6"/>
    </row>
    <row r="184" spans="1:23" ht="15.6">
      <c r="A184" s="465"/>
      <c r="B184" s="379" t="s">
        <v>75</v>
      </c>
      <c r="C184" s="469"/>
      <c r="D184" s="469"/>
      <c r="E184" s="469"/>
      <c r="F184" s="469"/>
      <c r="G184" s="469"/>
      <c r="H184" s="469"/>
      <c r="I184" s="469"/>
      <c r="J184" s="469"/>
      <c r="K184" s="469"/>
      <c r="L184" s="469"/>
      <c r="M184" s="469"/>
      <c r="N184" s="477"/>
      <c r="O184" s="475"/>
      <c r="P184" s="476"/>
      <c r="Q184" s="454"/>
      <c r="R184" s="380"/>
      <c r="S184" s="550">
        <v>0</v>
      </c>
      <c r="T184" s="480"/>
      <c r="U184" s="390"/>
      <c r="V184" s="479"/>
      <c r="W184" s="6"/>
    </row>
    <row r="185" spans="1:23" ht="15.6">
      <c r="A185" s="465"/>
      <c r="B185" s="379" t="s">
        <v>79</v>
      </c>
      <c r="C185" s="469"/>
      <c r="D185" s="469"/>
      <c r="E185" s="469"/>
      <c r="F185" s="469"/>
      <c r="G185" s="469"/>
      <c r="H185" s="469"/>
      <c r="I185" s="469"/>
      <c r="J185" s="469"/>
      <c r="K185" s="469"/>
      <c r="L185" s="469"/>
      <c r="M185" s="469"/>
      <c r="N185" s="477"/>
      <c r="O185" s="475"/>
      <c r="P185" s="476"/>
      <c r="Q185" s="454"/>
      <c r="R185" s="380"/>
      <c r="S185" s="550">
        <v>0</v>
      </c>
      <c r="T185" s="480"/>
      <c r="U185" s="390"/>
      <c r="V185" s="479"/>
      <c r="W185" s="6"/>
    </row>
    <row r="186" spans="1:23" ht="15.6">
      <c r="A186" s="465"/>
      <c r="B186" s="473"/>
      <c r="C186" s="469"/>
      <c r="D186" s="469"/>
      <c r="E186" s="469"/>
      <c r="F186" s="469"/>
      <c r="G186" s="469"/>
      <c r="H186" s="469"/>
      <c r="I186" s="469"/>
      <c r="J186" s="469"/>
      <c r="K186" s="469"/>
      <c r="L186" s="469"/>
      <c r="M186" s="477"/>
      <c r="N186" s="475"/>
      <c r="O186" s="476"/>
      <c r="P186" s="454"/>
      <c r="Q186" s="454"/>
      <c r="R186" s="454"/>
      <c r="S186" s="537"/>
      <c r="T186" s="454"/>
      <c r="U186" s="470"/>
      <c r="V186" s="474"/>
      <c r="W186" s="6"/>
    </row>
    <row r="187" spans="1:23" ht="17.399999999999999">
      <c r="A187" s="465"/>
      <c r="B187" s="482" t="s">
        <v>196</v>
      </c>
      <c r="C187" s="469"/>
      <c r="D187" s="469"/>
      <c r="E187" s="469"/>
      <c r="F187" s="469"/>
      <c r="G187" s="469"/>
      <c r="H187" s="469"/>
      <c r="I187" s="469"/>
      <c r="J187" s="469"/>
      <c r="K187" s="483" t="s">
        <v>195</v>
      </c>
      <c r="L187" s="469"/>
      <c r="M187" s="477"/>
      <c r="N187" s="475"/>
      <c r="O187" s="476"/>
      <c r="P187" s="454"/>
      <c r="Q187" s="454"/>
      <c r="R187" s="454"/>
      <c r="S187" s="481"/>
      <c r="T187" s="454"/>
      <c r="U187" s="470"/>
      <c r="V187" s="474"/>
      <c r="W187" s="6"/>
    </row>
    <row r="188" spans="1:23" ht="15.6">
      <c r="A188" s="242"/>
      <c r="B188" s="460"/>
      <c r="C188" s="461"/>
      <c r="D188" s="461"/>
      <c r="E188" s="461"/>
      <c r="F188" s="461"/>
      <c r="G188" s="461"/>
      <c r="H188" s="461"/>
      <c r="I188" s="461"/>
      <c r="J188" s="461"/>
      <c r="K188" s="461"/>
      <c r="L188" s="461"/>
      <c r="M188" s="462"/>
      <c r="N188" s="461"/>
      <c r="O188" s="462"/>
      <c r="P188" s="461"/>
      <c r="Q188" s="462"/>
      <c r="R188" s="461"/>
      <c r="S188" s="462"/>
      <c r="T188" s="461"/>
      <c r="U188" s="463"/>
      <c r="V188" s="464"/>
      <c r="W188" s="6"/>
    </row>
    <row r="189" spans="1:23" ht="15.6">
      <c r="A189" s="348"/>
      <c r="B189" s="525" t="s">
        <v>80</v>
      </c>
      <c r="C189" s="343"/>
      <c r="D189" s="343"/>
      <c r="E189" s="343"/>
      <c r="F189" s="343"/>
      <c r="G189" s="343"/>
      <c r="H189" s="343"/>
      <c r="I189" s="343"/>
      <c r="J189" s="343"/>
      <c r="K189" s="343"/>
      <c r="L189" s="343"/>
      <c r="M189" s="525" t="s">
        <v>100</v>
      </c>
      <c r="N189" s="526"/>
      <c r="O189" s="527"/>
      <c r="P189" s="526"/>
      <c r="Q189" s="525"/>
      <c r="R189" s="525" t="s">
        <v>26</v>
      </c>
      <c r="S189" s="527"/>
      <c r="T189" s="526"/>
      <c r="U189" s="346"/>
      <c r="V189" s="528"/>
      <c r="W189" s="6"/>
    </row>
    <row r="190" spans="1:23" ht="15.6">
      <c r="A190" s="365"/>
      <c r="B190" s="366"/>
      <c r="C190" s="529"/>
      <c r="D190" s="529"/>
      <c r="E190" s="529"/>
      <c r="F190" s="529"/>
      <c r="G190" s="529"/>
      <c r="H190" s="529"/>
      <c r="I190" s="529"/>
      <c r="J190" s="529"/>
      <c r="K190" s="529"/>
      <c r="L190" s="529" t="s">
        <v>94</v>
      </c>
      <c r="M190" s="530" t="s">
        <v>101</v>
      </c>
      <c r="N190" s="529" t="s">
        <v>103</v>
      </c>
      <c r="O190" s="530" t="s">
        <v>101</v>
      </c>
      <c r="P190" s="530"/>
      <c r="Q190" s="529" t="s">
        <v>94</v>
      </c>
      <c r="R190" s="530" t="s">
        <v>101</v>
      </c>
      <c r="S190" s="529" t="s">
        <v>103</v>
      </c>
      <c r="T190" s="530" t="s">
        <v>101</v>
      </c>
      <c r="U190" s="369"/>
      <c r="V190" s="531"/>
      <c r="W190" s="6"/>
    </row>
    <row r="191" spans="1:23" ht="15.6">
      <c r="A191" s="316"/>
      <c r="B191" s="360" t="s">
        <v>81</v>
      </c>
      <c r="C191" s="361"/>
      <c r="D191" s="361"/>
      <c r="E191" s="361"/>
      <c r="F191" s="361"/>
      <c r="G191" s="361"/>
      <c r="H191" s="361"/>
      <c r="I191" s="361"/>
      <c r="J191" s="361"/>
      <c r="K191" s="361"/>
      <c r="L191" s="361">
        <v>245</v>
      </c>
      <c r="M191" s="362">
        <f t="shared" ref="M191:M197" si="0">+L191/$L$198</f>
        <v>0.68245125348189417</v>
      </c>
      <c r="N191" s="361">
        <v>835</v>
      </c>
      <c r="O191" s="362">
        <f t="shared" ref="O191:O197" si="1">N191/$N$198</f>
        <v>0.84258324924318873</v>
      </c>
      <c r="P191" s="363"/>
      <c r="Q191" s="361">
        <v>43</v>
      </c>
      <c r="R191" s="362">
        <f t="shared" ref="R191:R197" si="2">+Q191/$Q$198</f>
        <v>0.21608040201005024</v>
      </c>
      <c r="S191" s="552">
        <v>34</v>
      </c>
      <c r="T191" s="362">
        <f>+S191/$S$198</f>
        <v>0.22666666666666666</v>
      </c>
      <c r="U191" s="364"/>
      <c r="V191" s="312"/>
      <c r="W191" s="6"/>
    </row>
    <row r="192" spans="1:23" ht="15.6">
      <c r="A192" s="444"/>
      <c r="B192" s="440" t="s">
        <v>82</v>
      </c>
      <c r="C192" s="489"/>
      <c r="D192" s="489"/>
      <c r="E192" s="489"/>
      <c r="F192" s="489"/>
      <c r="G192" s="489"/>
      <c r="H192" s="489"/>
      <c r="I192" s="489"/>
      <c r="J192" s="489"/>
      <c r="K192" s="489"/>
      <c r="L192" s="489">
        <v>3</v>
      </c>
      <c r="M192" s="427">
        <f t="shared" si="0"/>
        <v>8.356545961002786E-3</v>
      </c>
      <c r="N192" s="553">
        <v>1</v>
      </c>
      <c r="O192" s="427">
        <f>N192/$N$198</f>
        <v>1.0090817356205853E-3</v>
      </c>
      <c r="P192" s="381"/>
      <c r="Q192" s="489">
        <v>6</v>
      </c>
      <c r="R192" s="427">
        <f t="shared" si="2"/>
        <v>3.015075376884422E-2</v>
      </c>
      <c r="S192" s="553">
        <v>3</v>
      </c>
      <c r="T192" s="427">
        <f>+S192/$S$198</f>
        <v>0.02</v>
      </c>
      <c r="U192" s="379"/>
      <c r="V192" s="435"/>
      <c r="W192" s="6"/>
    </row>
    <row r="193" spans="1:24" ht="15.6">
      <c r="A193" s="444"/>
      <c r="B193" s="440" t="s">
        <v>83</v>
      </c>
      <c r="C193" s="489"/>
      <c r="D193" s="489"/>
      <c r="E193" s="489"/>
      <c r="F193" s="489"/>
      <c r="G193" s="489"/>
      <c r="H193" s="489"/>
      <c r="I193" s="489"/>
      <c r="J193" s="489"/>
      <c r="K193" s="489"/>
      <c r="L193" s="489">
        <v>15</v>
      </c>
      <c r="M193" s="427">
        <f t="shared" si="0"/>
        <v>4.1782729805013928E-2</v>
      </c>
      <c r="N193" s="489">
        <v>27</v>
      </c>
      <c r="O193" s="427">
        <f>N193/$N$198</f>
        <v>2.7245206861755803E-2</v>
      </c>
      <c r="P193" s="381"/>
      <c r="Q193" s="489">
        <v>8</v>
      </c>
      <c r="R193" s="427">
        <f t="shared" si="2"/>
        <v>4.0201005025125629E-2</v>
      </c>
      <c r="S193" s="553">
        <v>2</v>
      </c>
      <c r="T193" s="427">
        <f>+S193/$S$198</f>
        <v>1.3333333333333334E-2</v>
      </c>
      <c r="U193" s="379"/>
      <c r="V193" s="435"/>
      <c r="W193" s="6"/>
    </row>
    <row r="194" spans="1:24" ht="15.6">
      <c r="A194" s="444"/>
      <c r="B194" s="440" t="s">
        <v>186</v>
      </c>
      <c r="C194" s="489"/>
      <c r="D194" s="489"/>
      <c r="E194" s="489"/>
      <c r="F194" s="489"/>
      <c r="G194" s="489"/>
      <c r="H194" s="489"/>
      <c r="I194" s="489"/>
      <c r="J194" s="489"/>
      <c r="K194" s="489"/>
      <c r="L194" s="489">
        <v>4</v>
      </c>
      <c r="M194" s="427">
        <f t="shared" si="0"/>
        <v>1.1142061281337047E-2</v>
      </c>
      <c r="N194" s="489">
        <v>2</v>
      </c>
      <c r="O194" s="427">
        <f t="shared" si="1"/>
        <v>2.0181634712411706E-3</v>
      </c>
      <c r="P194" s="381"/>
      <c r="Q194" s="489">
        <v>11</v>
      </c>
      <c r="R194" s="551">
        <f t="shared" si="2"/>
        <v>5.5276381909547742E-2</v>
      </c>
      <c r="S194" s="489">
        <v>8</v>
      </c>
      <c r="T194" s="427">
        <f>+S194/$S$198</f>
        <v>5.3333333333333337E-2</v>
      </c>
      <c r="U194" s="379"/>
      <c r="V194" s="435"/>
      <c r="W194" s="6"/>
    </row>
    <row r="195" spans="1:24" ht="15.6">
      <c r="A195" s="444"/>
      <c r="B195" s="440" t="s">
        <v>187</v>
      </c>
      <c r="C195" s="489"/>
      <c r="D195" s="489"/>
      <c r="E195" s="489"/>
      <c r="F195" s="489"/>
      <c r="G195" s="489"/>
      <c r="H195" s="489"/>
      <c r="I195" s="489"/>
      <c r="J195" s="489"/>
      <c r="K195" s="489"/>
      <c r="L195" s="489">
        <v>8</v>
      </c>
      <c r="M195" s="427">
        <f t="shared" si="0"/>
        <v>2.2284122562674095E-2</v>
      </c>
      <c r="N195" s="489">
        <v>3</v>
      </c>
      <c r="O195" s="427">
        <f t="shared" si="1"/>
        <v>3.0272452068617556E-3</v>
      </c>
      <c r="P195" s="381"/>
      <c r="Q195" s="489">
        <v>16</v>
      </c>
      <c r="R195" s="427">
        <f t="shared" si="2"/>
        <v>8.0402010050251257E-2</v>
      </c>
      <c r="S195" s="489">
        <v>13</v>
      </c>
      <c r="T195" s="427">
        <f>+S195/$S$198</f>
        <v>8.666666666666667E-2</v>
      </c>
      <c r="U195" s="379"/>
      <c r="V195" s="435"/>
      <c r="W195" s="6"/>
    </row>
    <row r="196" spans="1:24" ht="15.6">
      <c r="A196" s="444"/>
      <c r="B196" s="440" t="s">
        <v>188</v>
      </c>
      <c r="C196" s="489"/>
      <c r="D196" s="489"/>
      <c r="E196" s="489"/>
      <c r="F196" s="489"/>
      <c r="G196" s="489"/>
      <c r="H196" s="489"/>
      <c r="I196" s="489"/>
      <c r="J196" s="489"/>
      <c r="K196" s="489"/>
      <c r="L196" s="489">
        <v>9</v>
      </c>
      <c r="M196" s="427">
        <f t="shared" si="0"/>
        <v>2.5069637883008356E-2</v>
      </c>
      <c r="N196" s="489">
        <v>7</v>
      </c>
      <c r="O196" s="427">
        <f t="shared" si="1"/>
        <v>7.0635721493440967E-3</v>
      </c>
      <c r="P196" s="381"/>
      <c r="Q196" s="489">
        <v>18</v>
      </c>
      <c r="R196" s="427">
        <f t="shared" si="2"/>
        <v>9.0452261306532666E-2</v>
      </c>
      <c r="S196" s="489">
        <v>12</v>
      </c>
      <c r="T196" s="427">
        <f t="shared" ref="T196:T197" si="3">+S196/$S$198</f>
        <v>0.08</v>
      </c>
      <c r="U196" s="379"/>
      <c r="V196" s="435"/>
      <c r="W196" s="6"/>
    </row>
    <row r="197" spans="1:24" ht="15.6">
      <c r="A197" s="444"/>
      <c r="B197" s="440" t="s">
        <v>189</v>
      </c>
      <c r="C197" s="489"/>
      <c r="D197" s="489"/>
      <c r="E197" s="489"/>
      <c r="F197" s="489"/>
      <c r="G197" s="489"/>
      <c r="H197" s="489"/>
      <c r="I197" s="489"/>
      <c r="J197" s="489"/>
      <c r="K197" s="489"/>
      <c r="L197" s="489">
        <v>75</v>
      </c>
      <c r="M197" s="427">
        <f t="shared" si="0"/>
        <v>0.20891364902506965</v>
      </c>
      <c r="N197" s="489">
        <v>116</v>
      </c>
      <c r="O197" s="427">
        <f t="shared" si="1"/>
        <v>0.1170534813319879</v>
      </c>
      <c r="P197" s="381"/>
      <c r="Q197" s="489">
        <v>97</v>
      </c>
      <c r="R197" s="427">
        <f t="shared" si="2"/>
        <v>0.48743718592964824</v>
      </c>
      <c r="S197" s="489">
        <v>78</v>
      </c>
      <c r="T197" s="427">
        <f t="shared" si="3"/>
        <v>0.52</v>
      </c>
      <c r="U197" s="379"/>
      <c r="V197" s="435"/>
      <c r="W197" s="6"/>
    </row>
    <row r="198" spans="1:24" ht="15.6">
      <c r="A198" s="444"/>
      <c r="B198" s="440" t="s">
        <v>84</v>
      </c>
      <c r="C198" s="489"/>
      <c r="D198" s="489"/>
      <c r="E198" s="489"/>
      <c r="F198" s="489"/>
      <c r="G198" s="489"/>
      <c r="H198" s="489"/>
      <c r="I198" s="489"/>
      <c r="J198" s="489"/>
      <c r="K198" s="489"/>
      <c r="L198" s="489">
        <f>SUM(L191:L197)</f>
        <v>359</v>
      </c>
      <c r="M198" s="427">
        <f>SUM(M191:M197)</f>
        <v>1</v>
      </c>
      <c r="N198" s="489">
        <f>SUM(N191:N197)</f>
        <v>991</v>
      </c>
      <c r="O198" s="427">
        <f>SUM(O191:O197)</f>
        <v>0.99999999999999989</v>
      </c>
      <c r="P198" s="381"/>
      <c r="Q198" s="489">
        <f>SUM(Q191:Q197)</f>
        <v>199</v>
      </c>
      <c r="R198" s="427">
        <f>SUM(R191:R197)</f>
        <v>1</v>
      </c>
      <c r="S198" s="489">
        <f>SUM(S191:S197)</f>
        <v>150</v>
      </c>
      <c r="T198" s="427">
        <f>SUM(T191:T197)</f>
        <v>1</v>
      </c>
      <c r="U198" s="379"/>
      <c r="V198" s="435"/>
      <c r="W198" s="6"/>
      <c r="X198" s="64"/>
    </row>
    <row r="199" spans="1:24" ht="15.6">
      <c r="A199" s="444"/>
      <c r="B199" s="440" t="s">
        <v>85</v>
      </c>
      <c r="C199" s="489"/>
      <c r="D199" s="489"/>
      <c r="E199" s="489"/>
      <c r="F199" s="489"/>
      <c r="G199" s="489"/>
      <c r="H199" s="489"/>
      <c r="I199" s="489"/>
      <c r="J199" s="489"/>
      <c r="K199" s="489"/>
      <c r="L199" s="489">
        <v>803</v>
      </c>
      <c r="M199" s="380"/>
      <c r="N199" s="489">
        <v>4679</v>
      </c>
      <c r="O199" s="380"/>
      <c r="P199" s="381"/>
      <c r="Q199" s="489">
        <v>478</v>
      </c>
      <c r="R199" s="380"/>
      <c r="S199" s="489">
        <v>1055</v>
      </c>
      <c r="T199" s="380"/>
      <c r="U199" s="379"/>
      <c r="V199" s="435"/>
      <c r="W199" s="6"/>
      <c r="X199" s="64"/>
    </row>
    <row r="200" spans="1:24" ht="15.6">
      <c r="A200" s="444"/>
      <c r="B200" s="440" t="s">
        <v>86</v>
      </c>
      <c r="C200" s="489"/>
      <c r="D200" s="489"/>
      <c r="E200" s="489"/>
      <c r="F200" s="489"/>
      <c r="G200" s="489"/>
      <c r="H200" s="489"/>
      <c r="I200" s="489"/>
      <c r="J200" s="489"/>
      <c r="K200" s="489"/>
      <c r="L200" s="489">
        <f>SUM(L198:L199)</f>
        <v>1162</v>
      </c>
      <c r="M200" s="450"/>
      <c r="N200" s="489">
        <f>SUM(N198:N199)</f>
        <v>5670</v>
      </c>
      <c r="O200" s="490"/>
      <c r="P200" s="450"/>
      <c r="Q200" s="489">
        <f>SUM(Q198:Q199)</f>
        <v>677</v>
      </c>
      <c r="R200" s="450"/>
      <c r="S200" s="489">
        <f>SUM(S198:S199)</f>
        <v>1205</v>
      </c>
      <c r="T200" s="450"/>
      <c r="U200" s="450"/>
      <c r="V200" s="435"/>
      <c r="W200" s="6"/>
      <c r="X200" s="64"/>
    </row>
    <row r="201" spans="1:24" ht="15.6">
      <c r="A201" s="242"/>
      <c r="B201" s="484"/>
      <c r="C201" s="485"/>
      <c r="D201" s="485"/>
      <c r="E201" s="485"/>
      <c r="F201" s="485"/>
      <c r="G201" s="485"/>
      <c r="H201" s="485"/>
      <c r="I201" s="485"/>
      <c r="J201" s="485"/>
      <c r="K201" s="485"/>
      <c r="L201" s="532"/>
      <c r="M201" s="533"/>
      <c r="N201" s="532"/>
      <c r="O201" s="533"/>
      <c r="P201" s="488"/>
      <c r="Q201" s="532"/>
      <c r="R201" s="533"/>
      <c r="S201" s="532"/>
      <c r="T201" s="533"/>
      <c r="U201" s="463"/>
      <c r="V201" s="464"/>
      <c r="W201" s="6"/>
    </row>
    <row r="202" spans="1:24" ht="15.6">
      <c r="A202" s="349"/>
      <c r="B202" s="525" t="s">
        <v>80</v>
      </c>
      <c r="C202" s="526"/>
      <c r="D202" s="526"/>
      <c r="E202" s="526"/>
      <c r="F202" s="526"/>
      <c r="G202" s="526"/>
      <c r="H202" s="526"/>
      <c r="I202" s="526"/>
      <c r="J202" s="526"/>
      <c r="K202" s="526"/>
      <c r="L202" s="526"/>
      <c r="M202" s="525" t="s">
        <v>27</v>
      </c>
      <c r="N202" s="526"/>
      <c r="O202" s="527"/>
      <c r="P202" s="526"/>
      <c r="Q202" s="525"/>
      <c r="R202" s="525" t="s">
        <v>28</v>
      </c>
      <c r="S202" s="527"/>
      <c r="T202" s="526"/>
      <c r="U202" s="346"/>
      <c r="V202" s="528"/>
      <c r="W202" s="6"/>
    </row>
    <row r="203" spans="1:24" ht="15.6">
      <c r="A203" s="371"/>
      <c r="B203" s="372"/>
      <c r="C203" s="534"/>
      <c r="D203" s="534"/>
      <c r="E203" s="534"/>
      <c r="F203" s="534"/>
      <c r="G203" s="534"/>
      <c r="H203" s="534"/>
      <c r="I203" s="534"/>
      <c r="J203" s="534"/>
      <c r="K203" s="534"/>
      <c r="L203" s="534" t="s">
        <v>94</v>
      </c>
      <c r="M203" s="535" t="s">
        <v>101</v>
      </c>
      <c r="N203" s="534" t="s">
        <v>103</v>
      </c>
      <c r="O203" s="535" t="s">
        <v>101</v>
      </c>
      <c r="P203" s="535"/>
      <c r="Q203" s="534" t="s">
        <v>94</v>
      </c>
      <c r="R203" s="535" t="s">
        <v>101</v>
      </c>
      <c r="S203" s="534" t="s">
        <v>103</v>
      </c>
      <c r="T203" s="535" t="s">
        <v>101</v>
      </c>
      <c r="U203" s="375"/>
      <c r="V203" s="536"/>
      <c r="W203" s="6"/>
    </row>
    <row r="204" spans="1:24" ht="15.6">
      <c r="A204" s="315"/>
      <c r="B204" s="310" t="s">
        <v>81</v>
      </c>
      <c r="C204" s="351"/>
      <c r="D204" s="351"/>
      <c r="E204" s="351"/>
      <c r="F204" s="351"/>
      <c r="G204" s="351"/>
      <c r="H204" s="351"/>
      <c r="I204" s="351"/>
      <c r="J204" s="351"/>
      <c r="K204" s="351"/>
      <c r="L204" s="351">
        <v>3729</v>
      </c>
      <c r="M204" s="299">
        <f t="shared" ref="M204:M210" si="4">+L204/$L$211</f>
        <v>0.8908265647396082</v>
      </c>
      <c r="N204" s="351">
        <v>78242</v>
      </c>
      <c r="O204" s="299">
        <f t="shared" ref="O204:O210" si="5">+N204/$N$211</f>
        <v>0.88138151669445319</v>
      </c>
      <c r="P204" s="296"/>
      <c r="Q204" s="351">
        <v>39</v>
      </c>
      <c r="R204" s="299">
        <f t="shared" ref="R204:R210" si="6">Q204/$Q$211</f>
        <v>0.82978723404255317</v>
      </c>
      <c r="S204" s="351">
        <v>202</v>
      </c>
      <c r="T204" s="299">
        <f t="shared" ref="T204:T210" si="7">+S204/$S$211</f>
        <v>0.74538745387453875</v>
      </c>
      <c r="U204" s="294"/>
      <c r="V204" s="301"/>
      <c r="W204" s="6"/>
    </row>
    <row r="205" spans="1:24" ht="15.6">
      <c r="A205" s="444"/>
      <c r="B205" s="440" t="s">
        <v>82</v>
      </c>
      <c r="C205" s="489"/>
      <c r="D205" s="489"/>
      <c r="E205" s="489"/>
      <c r="F205" s="489"/>
      <c r="G205" s="489"/>
      <c r="H205" s="489"/>
      <c r="I205" s="489"/>
      <c r="J205" s="489"/>
      <c r="K205" s="489"/>
      <c r="L205" s="489">
        <v>87</v>
      </c>
      <c r="M205" s="427">
        <f t="shared" si="4"/>
        <v>2.0783564261825132E-2</v>
      </c>
      <c r="N205" s="489">
        <v>2033</v>
      </c>
      <c r="O205" s="427">
        <f t="shared" si="5"/>
        <v>2.2901365295363404E-2</v>
      </c>
      <c r="P205" s="381"/>
      <c r="Q205" s="489">
        <v>4</v>
      </c>
      <c r="R205" s="427">
        <f t="shared" si="6"/>
        <v>8.5106382978723402E-2</v>
      </c>
      <c r="S205" s="489">
        <v>58</v>
      </c>
      <c r="T205" s="427">
        <f t="shared" si="7"/>
        <v>0.2140221402214022</v>
      </c>
      <c r="U205" s="379"/>
      <c r="V205" s="435"/>
      <c r="W205" s="6"/>
    </row>
    <row r="206" spans="1:24" ht="15.6">
      <c r="A206" s="444"/>
      <c r="B206" s="440" t="s">
        <v>83</v>
      </c>
      <c r="C206" s="489"/>
      <c r="D206" s="489"/>
      <c r="E206" s="489"/>
      <c r="F206" s="489"/>
      <c r="G206" s="489"/>
      <c r="H206" s="489"/>
      <c r="I206" s="489"/>
      <c r="J206" s="489"/>
      <c r="K206" s="489"/>
      <c r="L206" s="489">
        <v>58</v>
      </c>
      <c r="M206" s="427">
        <f t="shared" si="4"/>
        <v>1.385570950788342E-2</v>
      </c>
      <c r="N206" s="489">
        <v>1142</v>
      </c>
      <c r="O206" s="427">
        <f t="shared" si="5"/>
        <v>1.2864416707970982E-2</v>
      </c>
      <c r="P206" s="381"/>
      <c r="Q206" s="489">
        <v>0</v>
      </c>
      <c r="R206" s="427">
        <f t="shared" si="6"/>
        <v>0</v>
      </c>
      <c r="S206" s="489">
        <v>0</v>
      </c>
      <c r="T206" s="427">
        <f t="shared" si="7"/>
        <v>0</v>
      </c>
      <c r="U206" s="379"/>
      <c r="V206" s="435"/>
      <c r="W206" s="6"/>
      <c r="X206" s="182"/>
    </row>
    <row r="207" spans="1:24" ht="15.6">
      <c r="A207" s="444"/>
      <c r="B207" s="440" t="s">
        <v>186</v>
      </c>
      <c r="C207" s="489"/>
      <c r="D207" s="489"/>
      <c r="E207" s="489"/>
      <c r="F207" s="489"/>
      <c r="G207" s="489"/>
      <c r="H207" s="489"/>
      <c r="I207" s="489"/>
      <c r="J207" s="489"/>
      <c r="K207" s="489"/>
      <c r="L207" s="489">
        <v>68</v>
      </c>
      <c r="M207" s="427">
        <f t="shared" si="4"/>
        <v>1.6244624940277116E-2</v>
      </c>
      <c r="N207" s="489">
        <v>1648</v>
      </c>
      <c r="O207" s="427">
        <f t="shared" si="5"/>
        <v>1.8564412202045692E-2</v>
      </c>
      <c r="P207" s="381"/>
      <c r="Q207" s="489">
        <v>0</v>
      </c>
      <c r="R207" s="427">
        <f t="shared" si="6"/>
        <v>0</v>
      </c>
      <c r="S207" s="489">
        <v>0</v>
      </c>
      <c r="T207" s="427">
        <f t="shared" si="7"/>
        <v>0</v>
      </c>
      <c r="U207" s="379"/>
      <c r="V207" s="435"/>
      <c r="W207" s="6"/>
    </row>
    <row r="208" spans="1:24" ht="15.6">
      <c r="A208" s="444"/>
      <c r="B208" s="440" t="s">
        <v>187</v>
      </c>
      <c r="C208" s="489"/>
      <c r="D208" s="489"/>
      <c r="E208" s="489"/>
      <c r="F208" s="489"/>
      <c r="G208" s="489"/>
      <c r="H208" s="489"/>
      <c r="I208" s="489"/>
      <c r="J208" s="489"/>
      <c r="K208" s="489"/>
      <c r="L208" s="489">
        <v>45</v>
      </c>
      <c r="M208" s="427">
        <f t="shared" si="4"/>
        <v>1.075011944577162E-2</v>
      </c>
      <c r="N208" s="489">
        <v>1027</v>
      </c>
      <c r="O208" s="427">
        <f t="shared" si="5"/>
        <v>1.1568963186590366E-2</v>
      </c>
      <c r="P208" s="381"/>
      <c r="Q208" s="489">
        <v>0</v>
      </c>
      <c r="R208" s="427">
        <f t="shared" si="6"/>
        <v>0</v>
      </c>
      <c r="S208" s="489">
        <v>0</v>
      </c>
      <c r="T208" s="427">
        <f t="shared" si="7"/>
        <v>0</v>
      </c>
      <c r="U208" s="379"/>
      <c r="V208" s="435"/>
      <c r="W208" s="6"/>
    </row>
    <row r="209" spans="1:24" ht="15.6">
      <c r="A209" s="444"/>
      <c r="B209" s="440" t="s">
        <v>188</v>
      </c>
      <c r="C209" s="489"/>
      <c r="D209" s="489"/>
      <c r="E209" s="489"/>
      <c r="F209" s="489"/>
      <c r="G209" s="489"/>
      <c r="H209" s="489"/>
      <c r="I209" s="489"/>
      <c r="J209" s="489"/>
      <c r="K209" s="489"/>
      <c r="L209" s="489">
        <v>31</v>
      </c>
      <c r="M209" s="427">
        <f t="shared" si="4"/>
        <v>7.405637840420449E-3</v>
      </c>
      <c r="N209" s="489">
        <v>688</v>
      </c>
      <c r="O209" s="427">
        <f t="shared" si="5"/>
        <v>7.7501915018248994E-3</v>
      </c>
      <c r="P209" s="381"/>
      <c r="Q209" s="489">
        <v>0</v>
      </c>
      <c r="R209" s="427">
        <f t="shared" si="6"/>
        <v>0</v>
      </c>
      <c r="S209" s="489">
        <v>0</v>
      </c>
      <c r="T209" s="427">
        <f t="shared" si="7"/>
        <v>0</v>
      </c>
      <c r="U209" s="379"/>
      <c r="V209" s="435"/>
      <c r="W209" s="6"/>
    </row>
    <row r="210" spans="1:24" ht="15.6">
      <c r="A210" s="444"/>
      <c r="B210" s="440" t="s">
        <v>189</v>
      </c>
      <c r="C210" s="489"/>
      <c r="D210" s="489"/>
      <c r="E210" s="489"/>
      <c r="F210" s="489"/>
      <c r="G210" s="489"/>
      <c r="H210" s="489"/>
      <c r="I210" s="489"/>
      <c r="J210" s="489"/>
      <c r="K210" s="489"/>
      <c r="L210" s="489">
        <v>168</v>
      </c>
      <c r="M210" s="427">
        <f t="shared" si="4"/>
        <v>4.0133779264214048E-2</v>
      </c>
      <c r="N210" s="489">
        <v>3992</v>
      </c>
      <c r="O210" s="427">
        <f t="shared" si="5"/>
        <v>4.4969134411751453E-2</v>
      </c>
      <c r="P210" s="381"/>
      <c r="Q210" s="489">
        <v>4</v>
      </c>
      <c r="R210" s="427">
        <f t="shared" si="6"/>
        <v>8.5106382978723402E-2</v>
      </c>
      <c r="S210" s="489">
        <v>11</v>
      </c>
      <c r="T210" s="427">
        <f t="shared" si="7"/>
        <v>4.0590405904059039E-2</v>
      </c>
      <c r="U210" s="379"/>
      <c r="V210" s="435"/>
      <c r="W210" s="6"/>
    </row>
    <row r="211" spans="1:24" ht="15.6">
      <c r="A211" s="444"/>
      <c r="B211" s="440" t="str">
        <f>B198</f>
        <v>Total Performing  Assets</v>
      </c>
      <c r="C211" s="489"/>
      <c r="D211" s="489"/>
      <c r="E211" s="489"/>
      <c r="F211" s="489"/>
      <c r="G211" s="489"/>
      <c r="H211" s="489"/>
      <c r="I211" s="489"/>
      <c r="J211" s="489"/>
      <c r="K211" s="489"/>
      <c r="L211" s="489">
        <f>SUM(L204:L210)</f>
        <v>4186</v>
      </c>
      <c r="M211" s="427">
        <f>SUM(M204:M210)</f>
        <v>1</v>
      </c>
      <c r="N211" s="489">
        <f>SUM(N204:N210)</f>
        <v>88772</v>
      </c>
      <c r="O211" s="427">
        <f>SUM(O204:O210)</f>
        <v>1</v>
      </c>
      <c r="P211" s="381"/>
      <c r="Q211" s="489">
        <f>SUM(Q204:Q210)</f>
        <v>47</v>
      </c>
      <c r="R211" s="427">
        <f>SUM(R204:R210)</f>
        <v>1</v>
      </c>
      <c r="S211" s="489">
        <f>SUM(S204:S210)</f>
        <v>271</v>
      </c>
      <c r="T211" s="427">
        <f>SUM(T204:T210)</f>
        <v>1</v>
      </c>
      <c r="U211" s="379"/>
      <c r="V211" s="435"/>
      <c r="W211" s="6"/>
    </row>
    <row r="212" spans="1:24" ht="15.6">
      <c r="A212" s="444"/>
      <c r="B212" s="440" t="s">
        <v>85</v>
      </c>
      <c r="C212" s="489"/>
      <c r="D212" s="489"/>
      <c r="E212" s="489"/>
      <c r="F212" s="489"/>
      <c r="G212" s="489"/>
      <c r="H212" s="489"/>
      <c r="I212" s="489"/>
      <c r="J212" s="489"/>
      <c r="K212" s="489"/>
      <c r="L212" s="489">
        <v>299</v>
      </c>
      <c r="M212" s="381"/>
      <c r="N212" s="489">
        <v>8364</v>
      </c>
      <c r="O212" s="380"/>
      <c r="P212" s="381"/>
      <c r="Q212" s="489">
        <v>11</v>
      </c>
      <c r="R212" s="381"/>
      <c r="S212" s="489">
        <v>178</v>
      </c>
      <c r="T212" s="381"/>
      <c r="U212" s="379"/>
      <c r="V212" s="435"/>
      <c r="W212" s="6"/>
    </row>
    <row r="213" spans="1:24" ht="15.6">
      <c r="A213" s="444"/>
      <c r="B213" s="440" t="s">
        <v>86</v>
      </c>
      <c r="C213" s="489"/>
      <c r="D213" s="489"/>
      <c r="E213" s="489"/>
      <c r="F213" s="489"/>
      <c r="G213" s="489"/>
      <c r="H213" s="489"/>
      <c r="I213" s="489"/>
      <c r="J213" s="489"/>
      <c r="K213" s="489"/>
      <c r="L213" s="489">
        <f>SUM(L211:L212)</f>
        <v>4485</v>
      </c>
      <c r="M213" s="450"/>
      <c r="N213" s="489">
        <f>SUM(N211:N212)</f>
        <v>97136</v>
      </c>
      <c r="O213" s="427"/>
      <c r="P213" s="450"/>
      <c r="Q213" s="489">
        <f>SUM(Q211:Q212)</f>
        <v>58</v>
      </c>
      <c r="R213" s="450"/>
      <c r="S213" s="489">
        <f>SUM(S211:S212)</f>
        <v>449</v>
      </c>
      <c r="T213" s="450"/>
      <c r="U213" s="450"/>
      <c r="V213" s="492"/>
    </row>
    <row r="214" spans="1:24" ht="15.6">
      <c r="A214" s="444"/>
      <c r="B214" s="440"/>
      <c r="C214" s="381"/>
      <c r="D214" s="381"/>
      <c r="E214" s="381"/>
      <c r="F214" s="381"/>
      <c r="G214" s="381"/>
      <c r="H214" s="381"/>
      <c r="I214" s="381"/>
      <c r="J214" s="381"/>
      <c r="K214" s="381"/>
      <c r="L214" s="381"/>
      <c r="M214" s="493"/>
      <c r="N214" s="381"/>
      <c r="O214" s="493"/>
      <c r="P214" s="381"/>
      <c r="Q214" s="493"/>
      <c r="R214" s="381"/>
      <c r="S214" s="489"/>
      <c r="T214" s="381"/>
      <c r="U214" s="379"/>
      <c r="V214" s="435"/>
      <c r="W214" s="6"/>
    </row>
    <row r="215" spans="1:24" ht="15.6">
      <c r="A215" s="444"/>
      <c r="B215" s="440" t="s">
        <v>86</v>
      </c>
      <c r="C215" s="381"/>
      <c r="D215" s="381"/>
      <c r="E215" s="381"/>
      <c r="F215" s="381"/>
      <c r="G215" s="381"/>
      <c r="H215" s="381"/>
      <c r="I215" s="381"/>
      <c r="J215" s="381"/>
      <c r="K215" s="381"/>
      <c r="L215" s="493"/>
      <c r="M215" s="493"/>
      <c r="N215" s="493"/>
      <c r="O215" s="493"/>
      <c r="P215" s="381"/>
      <c r="Q215" s="493"/>
      <c r="R215" s="381"/>
      <c r="S215" s="489">
        <f>+N200+S200+N213+S213</f>
        <v>104460</v>
      </c>
      <c r="T215" s="490"/>
      <c r="U215" s="379"/>
      <c r="V215" s="435"/>
      <c r="W215" s="6"/>
      <c r="X215" s="182"/>
    </row>
    <row r="216" spans="1:24" ht="15.6">
      <c r="A216" s="316"/>
      <c r="B216" s="360"/>
      <c r="C216" s="363"/>
      <c r="D216" s="363"/>
      <c r="E216" s="363"/>
      <c r="F216" s="363"/>
      <c r="G216" s="363"/>
      <c r="H216" s="363"/>
      <c r="I216" s="363"/>
      <c r="J216" s="363"/>
      <c r="K216" s="363"/>
      <c r="L216" s="491"/>
      <c r="M216" s="491"/>
      <c r="N216" s="491"/>
      <c r="O216" s="491"/>
      <c r="P216" s="363"/>
      <c r="Q216" s="491"/>
      <c r="R216" s="363"/>
      <c r="S216" s="361"/>
      <c r="T216" s="363"/>
      <c r="U216" s="364"/>
      <c r="V216" s="312"/>
      <c r="W216" s="6"/>
    </row>
    <row r="217" spans="1:24" ht="15.6">
      <c r="A217" s="349"/>
      <c r="B217" s="357" t="s">
        <v>87</v>
      </c>
      <c r="C217" s="526"/>
      <c r="D217" s="526"/>
      <c r="E217" s="526"/>
      <c r="F217" s="526"/>
      <c r="G217" s="526"/>
      <c r="H217" s="526"/>
      <c r="I217" s="526"/>
      <c r="J217" s="526"/>
      <c r="K217" s="526"/>
      <c r="L217" s="526"/>
      <c r="M217" s="527"/>
      <c r="N217" s="526"/>
      <c r="O217" s="527"/>
      <c r="P217" s="526"/>
      <c r="Q217" s="527"/>
      <c r="R217" s="526"/>
      <c r="S217" s="358"/>
      <c r="T217" s="526"/>
      <c r="U217" s="350"/>
      <c r="V217" s="528"/>
      <c r="W217" s="6"/>
    </row>
    <row r="218" spans="1:24" ht="15.6">
      <c r="A218" s="315"/>
      <c r="B218" s="310"/>
      <c r="C218" s="296"/>
      <c r="D218" s="296"/>
      <c r="E218" s="296"/>
      <c r="F218" s="296"/>
      <c r="G218" s="296"/>
      <c r="H218" s="296"/>
      <c r="I218" s="296"/>
      <c r="J218" s="296"/>
      <c r="K218" s="296"/>
      <c r="L218" s="296"/>
      <c r="M218" s="352"/>
      <c r="N218" s="296"/>
      <c r="O218" s="352"/>
      <c r="P218" s="296"/>
      <c r="Q218" s="352"/>
      <c r="R218" s="296"/>
      <c r="S218" s="351"/>
      <c r="T218" s="296"/>
      <c r="U218" s="294"/>
      <c r="V218" s="301"/>
      <c r="W218" s="6"/>
    </row>
    <row r="219" spans="1:24" ht="15.6">
      <c r="A219" s="444"/>
      <c r="B219" s="440" t="s">
        <v>88</v>
      </c>
      <c r="C219" s="381"/>
      <c r="D219" s="381"/>
      <c r="E219" s="381"/>
      <c r="F219" s="381"/>
      <c r="G219" s="381"/>
      <c r="H219" s="381"/>
      <c r="I219" s="381"/>
      <c r="J219" s="381"/>
      <c r="K219" s="381"/>
      <c r="L219" s="381"/>
      <c r="M219" s="493"/>
      <c r="N219" s="381"/>
      <c r="O219" s="493"/>
      <c r="P219" s="381"/>
      <c r="Q219" s="493"/>
      <c r="R219" s="381"/>
      <c r="S219" s="489">
        <f>+N198+S198+N211+S211</f>
        <v>90184</v>
      </c>
      <c r="T219" s="381"/>
      <c r="U219" s="379"/>
      <c r="V219" s="435"/>
      <c r="W219" s="6"/>
      <c r="X219" s="182"/>
    </row>
    <row r="220" spans="1:24" ht="15.6">
      <c r="A220" s="444"/>
      <c r="B220" s="440" t="s">
        <v>89</v>
      </c>
      <c r="C220" s="381"/>
      <c r="D220" s="381"/>
      <c r="E220" s="381"/>
      <c r="F220" s="381"/>
      <c r="G220" s="381"/>
      <c r="H220" s="381"/>
      <c r="I220" s="381"/>
      <c r="J220" s="381"/>
      <c r="K220" s="381"/>
      <c r="L220" s="381"/>
      <c r="M220" s="493"/>
      <c r="N220" s="381"/>
      <c r="O220" s="493"/>
      <c r="P220" s="381"/>
      <c r="Q220" s="493"/>
      <c r="R220" s="381"/>
      <c r="S220" s="489">
        <f>+U78</f>
        <v>0</v>
      </c>
      <c r="T220" s="381"/>
      <c r="U220" s="379"/>
      <c r="V220" s="435"/>
      <c r="W220" s="119"/>
    </row>
    <row r="221" spans="1:24" ht="15.6">
      <c r="A221" s="444"/>
      <c r="B221" s="440" t="s">
        <v>90</v>
      </c>
      <c r="C221" s="381"/>
      <c r="D221" s="381"/>
      <c r="E221" s="381"/>
      <c r="F221" s="381"/>
      <c r="G221" s="381"/>
      <c r="H221" s="381"/>
      <c r="I221" s="381"/>
      <c r="J221" s="381"/>
      <c r="K221" s="381"/>
      <c r="L221" s="381"/>
      <c r="M221" s="493"/>
      <c r="N221" s="381"/>
      <c r="O221" s="493"/>
      <c r="P221" s="381"/>
      <c r="Q221" s="493"/>
      <c r="R221" s="381"/>
      <c r="S221" s="489">
        <f>SUM(S219:S220)</f>
        <v>90184</v>
      </c>
      <c r="T221" s="381"/>
      <c r="U221" s="379"/>
      <c r="V221" s="435"/>
      <c r="W221" s="6"/>
    </row>
    <row r="222" spans="1:24" ht="15.6">
      <c r="A222" s="444"/>
      <c r="B222" s="440"/>
      <c r="C222" s="381"/>
      <c r="D222" s="381"/>
      <c r="E222" s="381"/>
      <c r="F222" s="381"/>
      <c r="G222" s="381"/>
      <c r="H222" s="381"/>
      <c r="I222" s="381"/>
      <c r="J222" s="381"/>
      <c r="K222" s="381"/>
      <c r="L222" s="381"/>
      <c r="M222" s="493"/>
      <c r="N222" s="493"/>
      <c r="O222" s="493"/>
      <c r="P222" s="381"/>
      <c r="Q222" s="493"/>
      <c r="R222" s="381"/>
      <c r="S222" s="489"/>
      <c r="T222" s="381"/>
      <c r="U222" s="379"/>
      <c r="V222" s="435"/>
      <c r="W222" s="6"/>
    </row>
    <row r="223" spans="1:24" ht="15.6">
      <c r="A223" s="444"/>
      <c r="B223" s="440" t="s">
        <v>91</v>
      </c>
      <c r="C223" s="381"/>
      <c r="D223" s="381"/>
      <c r="E223" s="381"/>
      <c r="F223" s="381"/>
      <c r="G223" s="381"/>
      <c r="H223" s="381"/>
      <c r="I223" s="381"/>
      <c r="J223" s="381"/>
      <c r="K223" s="381"/>
      <c r="L223" s="381"/>
      <c r="M223" s="493"/>
      <c r="N223" s="381"/>
      <c r="O223" s="493"/>
      <c r="P223" s="381"/>
      <c r="Q223" s="493"/>
      <c r="R223" s="381"/>
      <c r="S223" s="489">
        <f>U33</f>
        <v>90184.352400000003</v>
      </c>
      <c r="T223" s="381"/>
      <c r="U223" s="379"/>
      <c r="V223" s="435"/>
      <c r="W223" s="6"/>
    </row>
    <row r="224" spans="1:24" ht="15.6">
      <c r="A224" s="444"/>
      <c r="B224" s="440"/>
      <c r="C224" s="381"/>
      <c r="D224" s="381"/>
      <c r="E224" s="381"/>
      <c r="F224" s="381"/>
      <c r="G224" s="381"/>
      <c r="H224" s="381"/>
      <c r="I224" s="381"/>
      <c r="J224" s="381"/>
      <c r="K224" s="381"/>
      <c r="L224" s="381"/>
      <c r="M224" s="493"/>
      <c r="N224" s="381"/>
      <c r="O224" s="493"/>
      <c r="P224" s="381"/>
      <c r="Q224" s="493"/>
      <c r="R224" s="381"/>
      <c r="S224" s="489"/>
      <c r="T224" s="381"/>
      <c r="U224" s="379"/>
      <c r="V224" s="435"/>
      <c r="W224" s="6"/>
    </row>
    <row r="225" spans="1:23" ht="15.6">
      <c r="A225" s="444"/>
      <c r="B225" s="440" t="s">
        <v>92</v>
      </c>
      <c r="C225" s="381"/>
      <c r="D225" s="381"/>
      <c r="E225" s="381"/>
      <c r="F225" s="381"/>
      <c r="G225" s="381"/>
      <c r="H225" s="381"/>
      <c r="I225" s="381"/>
      <c r="J225" s="381"/>
      <c r="K225" s="381"/>
      <c r="L225" s="381"/>
      <c r="M225" s="493"/>
      <c r="N225" s="381"/>
      <c r="O225" s="493"/>
      <c r="P225" s="381"/>
      <c r="Q225" s="493"/>
      <c r="R225" s="381"/>
      <c r="S225" s="489">
        <f>S221/S223</f>
        <v>0.99999609244851662</v>
      </c>
      <c r="T225" s="381"/>
      <c r="U225" s="379"/>
      <c r="V225" s="435"/>
      <c r="W225" s="6"/>
    </row>
    <row r="226" spans="1:23" ht="15.6">
      <c r="A226" s="444"/>
      <c r="B226" s="379"/>
      <c r="C226" s="379"/>
      <c r="D226" s="379"/>
      <c r="E226" s="379"/>
      <c r="F226" s="379"/>
      <c r="G226" s="379"/>
      <c r="H226" s="379"/>
      <c r="I226" s="379"/>
      <c r="J226" s="379"/>
      <c r="K226" s="379"/>
      <c r="L226" s="379"/>
      <c r="M226" s="380"/>
      <c r="N226" s="379"/>
      <c r="O226" s="379"/>
      <c r="P226" s="379"/>
      <c r="Q226" s="440"/>
      <c r="R226" s="497"/>
      <c r="S226" s="441"/>
      <c r="T226" s="497"/>
      <c r="U226" s="466"/>
      <c r="V226" s="410"/>
      <c r="W226" s="6"/>
    </row>
    <row r="227" spans="1:23" ht="15.6">
      <c r="A227" s="353"/>
      <c r="B227" s="494" t="s">
        <v>127</v>
      </c>
      <c r="C227" s="495"/>
      <c r="D227" s="495"/>
      <c r="E227" s="495"/>
      <c r="F227" s="495"/>
      <c r="G227" s="495"/>
      <c r="H227" s="495"/>
      <c r="I227" s="495"/>
      <c r="J227" s="495"/>
      <c r="K227" s="495"/>
      <c r="L227" s="495"/>
      <c r="M227" s="363"/>
      <c r="N227" s="364"/>
      <c r="O227" s="494"/>
      <c r="P227" s="443"/>
      <c r="Q227" s="443"/>
      <c r="R227" s="443"/>
      <c r="S227" s="496"/>
      <c r="T227" s="443"/>
      <c r="U227" s="443"/>
      <c r="V227" s="355"/>
      <c r="W227" s="6"/>
    </row>
    <row r="228" spans="1:23" ht="15.6">
      <c r="A228" s="353"/>
      <c r="B228" s="287" t="s">
        <v>128</v>
      </c>
      <c r="C228" s="354"/>
      <c r="D228" s="354"/>
      <c r="E228" s="354"/>
      <c r="F228" s="354"/>
      <c r="G228" s="354"/>
      <c r="H228" s="354"/>
      <c r="I228" s="354"/>
      <c r="J228" s="354"/>
      <c r="K228" s="354"/>
      <c r="L228" s="354"/>
      <c r="M228" s="290"/>
      <c r="N228" s="287"/>
      <c r="O228" s="287"/>
      <c r="P228" s="354"/>
      <c r="Q228" s="354"/>
      <c r="R228" s="317"/>
      <c r="S228" s="317"/>
      <c r="T228" s="317"/>
      <c r="U228" s="317"/>
      <c r="V228" s="355"/>
      <c r="W228" s="6"/>
    </row>
    <row r="229" spans="1:23" ht="15.6">
      <c r="A229" s="353"/>
      <c r="B229" s="287" t="s">
        <v>246</v>
      </c>
      <c r="C229" s="287"/>
      <c r="D229" s="287"/>
      <c r="E229" s="287"/>
      <c r="F229" s="287"/>
      <c r="G229" s="287"/>
      <c r="H229" s="287"/>
      <c r="I229" s="287"/>
      <c r="J229" s="287"/>
      <c r="K229" s="287"/>
      <c r="L229" s="287"/>
      <c r="M229" s="287"/>
      <c r="N229" s="287"/>
      <c r="O229" s="287"/>
      <c r="P229" s="287"/>
      <c r="Q229" s="287"/>
      <c r="R229" s="287"/>
      <c r="S229" s="287"/>
      <c r="T229" s="287"/>
      <c r="U229" s="287"/>
      <c r="V229" s="355"/>
      <c r="W229" s="6"/>
    </row>
    <row r="230" spans="1:23" ht="15.6">
      <c r="A230" s="353"/>
      <c r="B230" s="287" t="s">
        <v>129</v>
      </c>
      <c r="C230" s="354"/>
      <c r="D230" s="354"/>
      <c r="E230" s="354"/>
      <c r="F230" s="354"/>
      <c r="G230" s="354"/>
      <c r="H230" s="354"/>
      <c r="I230" s="354"/>
      <c r="J230" s="354"/>
      <c r="K230" s="354"/>
      <c r="L230" s="354"/>
      <c r="M230" s="290"/>
      <c r="N230" s="287"/>
      <c r="O230" s="287"/>
      <c r="P230" s="354"/>
      <c r="Q230" s="354"/>
      <c r="R230" s="317"/>
      <c r="S230" s="317"/>
      <c r="T230" s="317"/>
      <c r="U230" s="317"/>
      <c r="V230" s="355"/>
      <c r="W230" s="6"/>
    </row>
    <row r="231" spans="1:23" ht="15.6">
      <c r="A231" s="353"/>
      <c r="B231" s="287"/>
      <c r="C231" s="354"/>
      <c r="D231" s="354"/>
      <c r="E231" s="354"/>
      <c r="F231" s="354"/>
      <c r="G231" s="354"/>
      <c r="H231" s="354"/>
      <c r="I231" s="354"/>
      <c r="J231" s="354"/>
      <c r="K231" s="354"/>
      <c r="L231" s="354"/>
      <c r="M231" s="290"/>
      <c r="N231" s="287"/>
      <c r="O231" s="287"/>
      <c r="P231" s="354"/>
      <c r="Q231" s="354"/>
      <c r="R231" s="317"/>
      <c r="S231" s="317"/>
      <c r="T231" s="317"/>
      <c r="U231" s="317"/>
      <c r="V231" s="355"/>
      <c r="W231" s="6"/>
    </row>
    <row r="232" spans="1:23" ht="15.6">
      <c r="A232" s="353"/>
      <c r="B232" s="287"/>
      <c r="C232" s="354"/>
      <c r="D232" s="354"/>
      <c r="E232" s="354"/>
      <c r="F232" s="354"/>
      <c r="G232" s="354"/>
      <c r="H232" s="354"/>
      <c r="I232" s="354"/>
      <c r="J232" s="354"/>
      <c r="K232" s="354"/>
      <c r="L232" s="354"/>
      <c r="M232" s="290"/>
      <c r="N232" s="287"/>
      <c r="O232" s="287"/>
      <c r="P232" s="354"/>
      <c r="Q232" s="354"/>
      <c r="R232" s="317"/>
      <c r="S232" s="317"/>
      <c r="T232" s="317"/>
      <c r="U232" s="317"/>
      <c r="V232" s="355"/>
      <c r="W232" s="6"/>
    </row>
    <row r="233" spans="1:23" ht="16.2" thickBot="1">
      <c r="A233" s="353"/>
      <c r="B233" s="287" t="str">
        <f>+B160</f>
        <v>PPAF3 INVESTOR REPORT QUARTER ENDING SEPTEMBER 2015</v>
      </c>
      <c r="C233" s="354"/>
      <c r="D233" s="354"/>
      <c r="E233" s="354"/>
      <c r="F233" s="354"/>
      <c r="G233" s="354"/>
      <c r="H233" s="354"/>
      <c r="I233" s="354"/>
      <c r="J233" s="354"/>
      <c r="K233" s="354"/>
      <c r="L233" s="354"/>
      <c r="M233" s="290"/>
      <c r="N233" s="287"/>
      <c r="O233" s="287"/>
      <c r="P233" s="354"/>
      <c r="Q233" s="354"/>
      <c r="R233" s="317"/>
      <c r="S233" s="317"/>
      <c r="T233" s="317"/>
      <c r="U233" s="317"/>
      <c r="V233" s="356"/>
      <c r="W233" s="6"/>
    </row>
    <row r="234" spans="1:2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row>
  </sheetData>
  <hyperlinks>
    <hyperlink ref="I9" r:id="rId1"/>
    <hyperlink ref="K187"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21" man="1"/>
    <brk id="109" max="16383" man="1"/>
    <brk id="160" max="21" man="1"/>
    <brk id="239" man="1"/>
  </rowBreaks>
  <colBreaks count="1" manualBreakCount="1">
    <brk id="23" max="1048575" man="1"/>
  </colBreaks>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0099"/>
  </sheetPr>
  <dimension ref="A1:Y234"/>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38" t="s">
        <v>223</v>
      </c>
      <c r="B1" s="285" t="s">
        <v>123</v>
      </c>
      <c r="C1" s="239"/>
      <c r="D1" s="239"/>
      <c r="E1" s="239"/>
      <c r="F1" s="239"/>
      <c r="G1" s="239"/>
      <c r="H1" s="239"/>
      <c r="I1" s="239"/>
      <c r="J1" s="239"/>
      <c r="K1" s="239"/>
      <c r="L1" s="239"/>
      <c r="M1" s="240"/>
      <c r="N1" s="240"/>
      <c r="O1" s="240"/>
      <c r="P1" s="240"/>
      <c r="Q1" s="240"/>
      <c r="R1" s="240"/>
      <c r="S1" s="240"/>
      <c r="T1" s="240"/>
      <c r="U1" s="240"/>
      <c r="V1" s="241"/>
      <c r="W1" s="6"/>
    </row>
    <row r="2" spans="1:23" ht="15.6">
      <c r="A2" s="242"/>
      <c r="B2" s="243"/>
      <c r="C2" s="243"/>
      <c r="D2" s="243"/>
      <c r="E2" s="243"/>
      <c r="F2" s="243"/>
      <c r="G2" s="243"/>
      <c r="H2" s="243"/>
      <c r="I2" s="243"/>
      <c r="J2" s="243"/>
      <c r="K2" s="243"/>
      <c r="L2" s="243"/>
      <c r="M2" s="244"/>
      <c r="N2" s="244"/>
      <c r="O2" s="244"/>
      <c r="P2" s="244"/>
      <c r="Q2" s="244"/>
      <c r="R2" s="244"/>
      <c r="S2" s="244"/>
      <c r="T2" s="244"/>
      <c r="U2" s="244"/>
      <c r="V2" s="245"/>
      <c r="W2" s="6"/>
    </row>
    <row r="3" spans="1:23" ht="15.6">
      <c r="A3" s="246"/>
      <c r="B3" s="247" t="s">
        <v>125</v>
      </c>
      <c r="C3" s="244"/>
      <c r="D3" s="244"/>
      <c r="E3" s="244"/>
      <c r="F3" s="244"/>
      <c r="G3" s="244"/>
      <c r="H3" s="244"/>
      <c r="I3" s="244"/>
      <c r="J3" s="244"/>
      <c r="K3" s="244"/>
      <c r="L3" s="244"/>
      <c r="M3" s="244"/>
      <c r="N3" s="244"/>
      <c r="O3" s="244"/>
      <c r="P3" s="244"/>
      <c r="Q3" s="244"/>
      <c r="R3" s="244"/>
      <c r="S3" s="244"/>
      <c r="T3" s="244"/>
      <c r="U3" s="244"/>
      <c r="V3" s="245"/>
      <c r="W3" s="6"/>
    </row>
    <row r="4" spans="1:23" ht="15.6">
      <c r="A4" s="242"/>
      <c r="B4" s="243"/>
      <c r="C4" s="243"/>
      <c r="D4" s="243"/>
      <c r="E4" s="243"/>
      <c r="F4" s="243"/>
      <c r="G4" s="243"/>
      <c r="H4" s="243"/>
      <c r="I4" s="243"/>
      <c r="J4" s="243"/>
      <c r="K4" s="243"/>
      <c r="L4" s="243"/>
      <c r="M4" s="244"/>
      <c r="N4" s="244"/>
      <c r="O4" s="244"/>
      <c r="P4" s="244"/>
      <c r="Q4" s="244"/>
      <c r="R4" s="244"/>
      <c r="S4" s="244"/>
      <c r="T4" s="244"/>
      <c r="U4" s="244"/>
      <c r="V4" s="245"/>
      <c r="W4" s="6"/>
    </row>
    <row r="5" spans="1:23" ht="16.2">
      <c r="A5" s="242"/>
      <c r="B5" s="286" t="s">
        <v>0</v>
      </c>
      <c r="C5" s="248"/>
      <c r="D5" s="248"/>
      <c r="E5" s="248"/>
      <c r="F5" s="248"/>
      <c r="G5" s="248"/>
      <c r="H5" s="248"/>
      <c r="I5" s="248"/>
      <c r="J5" s="248"/>
      <c r="K5" s="248"/>
      <c r="L5" s="248"/>
      <c r="M5" s="244"/>
      <c r="N5" s="244"/>
      <c r="O5" s="244"/>
      <c r="P5" s="244"/>
      <c r="Q5" s="244"/>
      <c r="R5" s="244"/>
      <c r="S5" s="244"/>
      <c r="T5" s="244"/>
      <c r="U5" s="244"/>
      <c r="V5" s="245"/>
      <c r="W5" s="6"/>
    </row>
    <row r="6" spans="1:23" ht="16.2">
      <c r="A6" s="242"/>
      <c r="B6" s="286" t="s">
        <v>1</v>
      </c>
      <c r="C6" s="248"/>
      <c r="D6" s="248"/>
      <c r="E6" s="248"/>
      <c r="F6" s="248"/>
      <c r="G6" s="248"/>
      <c r="H6" s="248"/>
      <c r="I6" s="248"/>
      <c r="J6" s="248"/>
      <c r="K6" s="248"/>
      <c r="L6" s="248"/>
      <c r="M6" s="244"/>
      <c r="N6" s="244"/>
      <c r="O6" s="244"/>
      <c r="P6" s="244"/>
      <c r="Q6" s="244"/>
      <c r="R6" s="244"/>
      <c r="S6" s="244"/>
      <c r="T6" s="244"/>
      <c r="U6" s="244"/>
      <c r="V6" s="245"/>
      <c r="W6" s="6"/>
    </row>
    <row r="7" spans="1:23" ht="16.2">
      <c r="A7" s="242"/>
      <c r="B7" s="286" t="s">
        <v>2</v>
      </c>
      <c r="C7" s="248"/>
      <c r="D7" s="248"/>
      <c r="E7" s="248"/>
      <c r="F7" s="248"/>
      <c r="G7" s="248"/>
      <c r="H7" s="248"/>
      <c r="I7" s="248"/>
      <c r="J7" s="248"/>
      <c r="K7" s="248"/>
      <c r="L7" s="248"/>
      <c r="M7" s="244"/>
      <c r="N7" s="244"/>
      <c r="O7" s="244"/>
      <c r="P7" s="244"/>
      <c r="Q7" s="244"/>
      <c r="R7" s="244"/>
      <c r="S7" s="244"/>
      <c r="T7" s="244"/>
      <c r="U7" s="244"/>
      <c r="V7" s="245"/>
      <c r="W7" s="6"/>
    </row>
    <row r="8" spans="1:23" ht="16.2">
      <c r="A8" s="242"/>
      <c r="B8" s="249"/>
      <c r="C8" s="248"/>
      <c r="D8" s="248"/>
      <c r="E8" s="248"/>
      <c r="F8" s="248"/>
      <c r="G8" s="248"/>
      <c r="H8" s="248"/>
      <c r="I8" s="248"/>
      <c r="J8" s="248"/>
      <c r="K8" s="248"/>
      <c r="L8" s="248"/>
      <c r="M8" s="244"/>
      <c r="N8" s="244"/>
      <c r="O8" s="244"/>
      <c r="P8" s="244"/>
      <c r="Q8" s="244"/>
      <c r="R8" s="244"/>
      <c r="S8" s="244"/>
      <c r="T8" s="244"/>
      <c r="U8" s="244"/>
      <c r="V8" s="245"/>
      <c r="W8" s="6"/>
    </row>
    <row r="9" spans="1:23" ht="18">
      <c r="A9" s="242"/>
      <c r="B9" s="250" t="s">
        <v>194</v>
      </c>
      <c r="C9" s="248"/>
      <c r="D9" s="248"/>
      <c r="E9" s="248"/>
      <c r="F9" s="248"/>
      <c r="G9" s="248"/>
      <c r="H9" s="248"/>
      <c r="I9" s="251" t="s">
        <v>195</v>
      </c>
      <c r="J9" s="248"/>
      <c r="K9" s="248"/>
      <c r="L9" s="248"/>
      <c r="M9" s="244"/>
      <c r="N9" s="244"/>
      <c r="O9" s="244"/>
      <c r="P9" s="244"/>
      <c r="Q9" s="244"/>
      <c r="R9" s="244"/>
      <c r="S9" s="244"/>
      <c r="T9" s="244"/>
      <c r="U9" s="244"/>
      <c r="V9" s="245"/>
      <c r="W9" s="6"/>
    </row>
    <row r="10" spans="1:23" ht="16.2">
      <c r="A10" s="242"/>
      <c r="B10" s="248"/>
      <c r="C10" s="248"/>
      <c r="D10" s="248"/>
      <c r="E10" s="248"/>
      <c r="F10" s="248"/>
      <c r="G10" s="248"/>
      <c r="H10" s="248"/>
      <c r="I10" s="248"/>
      <c r="J10" s="248"/>
      <c r="K10" s="248"/>
      <c r="L10" s="248"/>
      <c r="M10" s="252"/>
      <c r="N10" s="252"/>
      <c r="O10" s="244"/>
      <c r="P10" s="244"/>
      <c r="Q10" s="244"/>
      <c r="R10" s="244"/>
      <c r="S10" s="244"/>
      <c r="T10" s="244"/>
      <c r="U10" s="244"/>
      <c r="V10" s="245"/>
      <c r="W10" s="6"/>
    </row>
    <row r="11" spans="1:23" ht="15.6">
      <c r="A11" s="242"/>
      <c r="B11" s="287" t="s">
        <v>3</v>
      </c>
      <c r="C11" s="252"/>
      <c r="D11" s="252"/>
      <c r="E11" s="252"/>
      <c r="F11" s="252"/>
      <c r="G11" s="252"/>
      <c r="H11" s="252"/>
      <c r="I11" s="252"/>
      <c r="J11" s="252"/>
      <c r="K11" s="252"/>
      <c r="L11" s="252"/>
      <c r="M11" s="244"/>
      <c r="N11" s="244"/>
      <c r="O11" s="244"/>
      <c r="P11" s="244"/>
      <c r="Q11" s="244"/>
      <c r="R11" s="244"/>
      <c r="S11" s="244"/>
      <c r="T11" s="244"/>
      <c r="U11" s="244"/>
      <c r="V11" s="245"/>
      <c r="W11" s="6"/>
    </row>
    <row r="12" spans="1:23" ht="16.2" thickBot="1">
      <c r="A12" s="242"/>
      <c r="B12" s="252"/>
      <c r="C12" s="252"/>
      <c r="D12" s="252"/>
      <c r="E12" s="252"/>
      <c r="F12" s="252"/>
      <c r="G12" s="252"/>
      <c r="H12" s="252"/>
      <c r="I12" s="252"/>
      <c r="J12" s="252"/>
      <c r="K12" s="252"/>
      <c r="L12" s="252"/>
      <c r="M12" s="244"/>
      <c r="N12" s="244"/>
      <c r="O12" s="244"/>
      <c r="P12" s="244"/>
      <c r="Q12" s="244"/>
      <c r="R12" s="244"/>
      <c r="S12" s="244"/>
      <c r="T12" s="244"/>
      <c r="U12" s="244"/>
      <c r="V12" s="245"/>
      <c r="W12" s="6"/>
    </row>
    <row r="13" spans="1:23" ht="15.6">
      <c r="A13" s="238"/>
      <c r="B13" s="240"/>
      <c r="C13" s="240"/>
      <c r="D13" s="240"/>
      <c r="E13" s="240"/>
      <c r="F13" s="240"/>
      <c r="G13" s="240"/>
      <c r="H13" s="240"/>
      <c r="I13" s="240"/>
      <c r="J13" s="240"/>
      <c r="K13" s="240"/>
      <c r="L13" s="240"/>
      <c r="M13" s="240"/>
      <c r="N13" s="240"/>
      <c r="O13" s="240"/>
      <c r="P13" s="240"/>
      <c r="Q13" s="240"/>
      <c r="R13" s="240"/>
      <c r="S13" s="240"/>
      <c r="T13" s="240"/>
      <c r="U13" s="240"/>
      <c r="V13" s="241"/>
      <c r="W13" s="6"/>
    </row>
    <row r="14" spans="1:23" ht="15.6">
      <c r="A14" s="242"/>
      <c r="B14" s="287" t="s">
        <v>4</v>
      </c>
      <c r="C14" s="253"/>
      <c r="D14" s="253"/>
      <c r="E14" s="253"/>
      <c r="F14" s="253"/>
      <c r="G14" s="253"/>
      <c r="H14" s="253"/>
      <c r="I14" s="253"/>
      <c r="J14" s="253"/>
      <c r="K14" s="253"/>
      <c r="L14" s="253"/>
      <c r="M14" s="288"/>
      <c r="N14" s="288"/>
      <c r="O14" s="288"/>
      <c r="P14" s="288"/>
      <c r="Q14" s="288"/>
      <c r="R14" s="288"/>
      <c r="S14" s="288"/>
      <c r="T14" s="288"/>
      <c r="U14" s="289" t="s">
        <v>126</v>
      </c>
      <c r="V14" s="245"/>
      <c r="W14" s="6"/>
    </row>
    <row r="15" spans="1:23" ht="15.6">
      <c r="A15" s="242"/>
      <c r="B15" s="287" t="s">
        <v>5</v>
      </c>
      <c r="C15" s="253"/>
      <c r="D15" s="253"/>
      <c r="E15" s="253"/>
      <c r="F15" s="253"/>
      <c r="G15" s="253"/>
      <c r="H15" s="253"/>
      <c r="I15" s="253"/>
      <c r="J15" s="253"/>
      <c r="K15" s="253"/>
      <c r="L15" s="253"/>
      <c r="M15" s="290" t="s">
        <v>93</v>
      </c>
      <c r="N15" s="291">
        <v>0.1492</v>
      </c>
      <c r="O15" s="290" t="s">
        <v>99</v>
      </c>
      <c r="P15" s="291">
        <v>5.4399999999999997E-2</v>
      </c>
      <c r="Q15" s="290" t="s">
        <v>102</v>
      </c>
      <c r="R15" s="291">
        <v>0.48899999999999999</v>
      </c>
      <c r="S15" s="290" t="s">
        <v>108</v>
      </c>
      <c r="T15" s="291">
        <v>0.30740000000000001</v>
      </c>
      <c r="U15" s="289"/>
      <c r="V15" s="254"/>
      <c r="W15" s="6"/>
    </row>
    <row r="16" spans="1:23" ht="15.6">
      <c r="A16" s="242"/>
      <c r="B16" s="287" t="s">
        <v>6</v>
      </c>
      <c r="C16" s="253"/>
      <c r="D16" s="253"/>
      <c r="E16" s="253"/>
      <c r="F16" s="253"/>
      <c r="G16" s="253"/>
      <c r="H16" s="253"/>
      <c r="I16" s="253"/>
      <c r="J16" s="253"/>
      <c r="K16" s="253"/>
      <c r="L16" s="253"/>
      <c r="M16" s="290" t="s">
        <v>93</v>
      </c>
      <c r="N16" s="291">
        <f>+N198/S221</f>
        <v>1.0830493441015826E-2</v>
      </c>
      <c r="O16" s="290" t="s">
        <v>99</v>
      </c>
      <c r="P16" s="291">
        <f>+S198/S221</f>
        <v>1.657252229120956E-3</v>
      </c>
      <c r="Q16" s="290" t="s">
        <v>102</v>
      </c>
      <c r="R16" s="291">
        <f>+N211/S221</f>
        <v>0.9847812893889174</v>
      </c>
      <c r="S16" s="290" t="s">
        <v>108</v>
      </c>
      <c r="T16" s="291">
        <f>+S211/S221</f>
        <v>2.7309649409458007E-3</v>
      </c>
      <c r="U16" s="289"/>
      <c r="V16" s="254"/>
      <c r="W16" s="6"/>
    </row>
    <row r="17" spans="1:23" ht="15.6">
      <c r="A17" s="242"/>
      <c r="B17" s="287" t="s">
        <v>7</v>
      </c>
      <c r="C17" s="253"/>
      <c r="D17" s="253"/>
      <c r="E17" s="253"/>
      <c r="F17" s="253"/>
      <c r="G17" s="253"/>
      <c r="H17" s="253"/>
      <c r="I17" s="253"/>
      <c r="J17" s="253"/>
      <c r="K17" s="253"/>
      <c r="L17" s="253"/>
      <c r="M17" s="288"/>
      <c r="N17" s="288"/>
      <c r="O17" s="288"/>
      <c r="P17" s="288"/>
      <c r="Q17" s="288"/>
      <c r="R17" s="288"/>
      <c r="S17" s="288"/>
      <c r="T17" s="288"/>
      <c r="U17" s="292">
        <v>38491</v>
      </c>
      <c r="V17" s="245"/>
      <c r="W17" s="6"/>
    </row>
    <row r="18" spans="1:23" ht="15.6">
      <c r="A18" s="242"/>
      <c r="B18" s="287" t="s">
        <v>8</v>
      </c>
      <c r="C18" s="253"/>
      <c r="D18" s="253"/>
      <c r="E18" s="253"/>
      <c r="F18" s="253"/>
      <c r="G18" s="253"/>
      <c r="H18" s="253"/>
      <c r="I18" s="253"/>
      <c r="J18" s="253"/>
      <c r="K18" s="253"/>
      <c r="L18" s="253"/>
      <c r="M18" s="288"/>
      <c r="N18" s="288"/>
      <c r="O18" s="288"/>
      <c r="P18" s="288"/>
      <c r="Q18" s="288"/>
      <c r="R18" s="288"/>
      <c r="S18" s="288"/>
      <c r="T18" s="288"/>
      <c r="U18" s="292">
        <v>42391</v>
      </c>
      <c r="V18" s="245"/>
      <c r="W18" s="6"/>
    </row>
    <row r="19" spans="1:23" ht="15.6">
      <c r="A19" s="242"/>
      <c r="B19" s="288"/>
      <c r="C19" s="244"/>
      <c r="D19" s="244"/>
      <c r="E19" s="244"/>
      <c r="F19" s="244"/>
      <c r="G19" s="244"/>
      <c r="H19" s="244"/>
      <c r="I19" s="244"/>
      <c r="J19" s="244"/>
      <c r="K19" s="244"/>
      <c r="L19" s="244"/>
      <c r="M19" s="244"/>
      <c r="N19" s="244"/>
      <c r="O19" s="244"/>
      <c r="P19" s="244"/>
      <c r="Q19" s="244"/>
      <c r="R19" s="244"/>
      <c r="S19" s="244"/>
      <c r="T19" s="244"/>
      <c r="U19" s="255"/>
      <c r="V19" s="245"/>
      <c r="W19" s="6"/>
    </row>
    <row r="20" spans="1:23" ht="15.6">
      <c r="A20" s="242"/>
      <c r="B20" s="293" t="s">
        <v>9</v>
      </c>
      <c r="C20" s="244"/>
      <c r="D20" s="244"/>
      <c r="E20" s="244"/>
      <c r="F20" s="244"/>
      <c r="G20" s="244"/>
      <c r="H20" s="244"/>
      <c r="I20" s="244"/>
      <c r="J20" s="244"/>
      <c r="K20" s="244"/>
      <c r="L20" s="244"/>
      <c r="M20" s="244"/>
      <c r="N20" s="244"/>
      <c r="O20" s="244"/>
      <c r="P20" s="244"/>
      <c r="Q20" s="244"/>
      <c r="R20" s="244"/>
      <c r="S20" s="255"/>
      <c r="T20" s="244"/>
      <c r="U20" s="249"/>
      <c r="V20" s="245"/>
      <c r="W20" s="6"/>
    </row>
    <row r="21" spans="1:23" ht="15.6">
      <c r="A21" s="242"/>
      <c r="B21" s="244"/>
      <c r="C21" s="244"/>
      <c r="D21" s="244"/>
      <c r="E21" s="244"/>
      <c r="F21" s="244"/>
      <c r="G21" s="244"/>
      <c r="H21" s="244"/>
      <c r="I21" s="244"/>
      <c r="J21" s="244"/>
      <c r="K21" s="244"/>
      <c r="L21" s="244"/>
      <c r="M21" s="244"/>
      <c r="N21" s="244"/>
      <c r="O21" s="244"/>
      <c r="P21" s="244"/>
      <c r="Q21" s="244"/>
      <c r="R21" s="244"/>
      <c r="S21" s="244"/>
      <c r="T21" s="244"/>
      <c r="U21" s="256"/>
      <c r="V21" s="245"/>
      <c r="W21" s="6"/>
    </row>
    <row r="22" spans="1:23" ht="15.6">
      <c r="A22" s="230"/>
      <c r="B22" s="231"/>
      <c r="C22" s="232" t="s">
        <v>130</v>
      </c>
      <c r="D22" s="232"/>
      <c r="E22" s="232" t="s">
        <v>131</v>
      </c>
      <c r="F22" s="232"/>
      <c r="G22" s="232" t="s">
        <v>132</v>
      </c>
      <c r="H22" s="232"/>
      <c r="I22" s="232" t="s">
        <v>133</v>
      </c>
      <c r="J22" s="232"/>
      <c r="K22" s="232" t="s">
        <v>134</v>
      </c>
      <c r="L22" s="232"/>
      <c r="M22" s="233" t="s">
        <v>135</v>
      </c>
      <c r="N22" s="233"/>
      <c r="O22" s="233" t="s">
        <v>136</v>
      </c>
      <c r="P22" s="233"/>
      <c r="Q22" s="233" t="s">
        <v>137</v>
      </c>
      <c r="R22" s="233"/>
      <c r="S22" s="235"/>
      <c r="T22" s="236"/>
      <c r="U22" s="236"/>
      <c r="V22" s="237"/>
      <c r="W22" s="6"/>
    </row>
    <row r="23" spans="1:23" ht="15.6">
      <c r="A23" s="257"/>
      <c r="B23" s="294" t="s">
        <v>10</v>
      </c>
      <c r="C23" s="295" t="s">
        <v>96</v>
      </c>
      <c r="D23" s="295"/>
      <c r="E23" s="295" t="s">
        <v>96</v>
      </c>
      <c r="F23" s="295"/>
      <c r="G23" s="295" t="s">
        <v>138</v>
      </c>
      <c r="H23" s="295"/>
      <c r="I23" s="295" t="s">
        <v>138</v>
      </c>
      <c r="J23" s="295"/>
      <c r="K23" s="295" t="s">
        <v>104</v>
      </c>
      <c r="L23" s="296"/>
      <c r="M23" s="297" t="s">
        <v>104</v>
      </c>
      <c r="N23" s="297"/>
      <c r="O23" s="297" t="s">
        <v>109</v>
      </c>
      <c r="P23" s="297"/>
      <c r="Q23" s="297" t="s">
        <v>109</v>
      </c>
      <c r="R23" s="258"/>
      <c r="S23" s="258"/>
      <c r="T23" s="259"/>
      <c r="U23" s="259"/>
      <c r="V23" s="260"/>
      <c r="W23" s="6"/>
    </row>
    <row r="24" spans="1:23" ht="15.6">
      <c r="A24" s="378"/>
      <c r="B24" s="379" t="s">
        <v>11</v>
      </c>
      <c r="C24" s="380" t="s">
        <v>97</v>
      </c>
      <c r="D24" s="380"/>
      <c r="E24" s="380" t="s">
        <v>97</v>
      </c>
      <c r="F24" s="380"/>
      <c r="G24" s="380" t="s">
        <v>139</v>
      </c>
      <c r="H24" s="380"/>
      <c r="I24" s="380" t="s">
        <v>139</v>
      </c>
      <c r="J24" s="380"/>
      <c r="K24" s="380" t="s">
        <v>105</v>
      </c>
      <c r="L24" s="381"/>
      <c r="M24" s="382" t="s">
        <v>105</v>
      </c>
      <c r="N24" s="382"/>
      <c r="O24" s="382" t="s">
        <v>110</v>
      </c>
      <c r="P24" s="382"/>
      <c r="Q24" s="382" t="s">
        <v>110</v>
      </c>
      <c r="R24" s="383"/>
      <c r="S24" s="383"/>
      <c r="T24" s="384"/>
      <c r="U24" s="384"/>
      <c r="V24" s="385"/>
      <c r="W24" s="6"/>
    </row>
    <row r="25" spans="1:23" ht="15.6">
      <c r="A25" s="378"/>
      <c r="B25" s="386" t="s">
        <v>12</v>
      </c>
      <c r="C25" s="381" t="s">
        <v>284</v>
      </c>
      <c r="D25" s="381"/>
      <c r="E25" s="381" t="s">
        <v>284</v>
      </c>
      <c r="F25" s="381"/>
      <c r="G25" s="381" t="s">
        <v>284</v>
      </c>
      <c r="H25" s="381"/>
      <c r="I25" s="381" t="s">
        <v>284</v>
      </c>
      <c r="J25" s="386"/>
      <c r="K25" s="381" t="s">
        <v>284</v>
      </c>
      <c r="L25" s="386"/>
      <c r="M25" s="387" t="s">
        <v>284</v>
      </c>
      <c r="N25" s="382"/>
      <c r="O25" s="387" t="s">
        <v>284</v>
      </c>
      <c r="P25" s="382"/>
      <c r="Q25" s="387" t="s">
        <v>284</v>
      </c>
      <c r="R25" s="388"/>
      <c r="S25" s="388"/>
      <c r="T25" s="389"/>
      <c r="U25" s="384"/>
      <c r="V25" s="385"/>
      <c r="W25" s="6"/>
    </row>
    <row r="26" spans="1:23" ht="15.6">
      <c r="A26" s="378"/>
      <c r="B26" s="386" t="s">
        <v>13</v>
      </c>
      <c r="C26" s="381" t="s">
        <v>139</v>
      </c>
      <c r="D26" s="381"/>
      <c r="E26" s="381" t="s">
        <v>139</v>
      </c>
      <c r="F26" s="381"/>
      <c r="G26" s="381" t="s">
        <v>139</v>
      </c>
      <c r="H26" s="381"/>
      <c r="I26" s="381" t="s">
        <v>139</v>
      </c>
      <c r="J26" s="386"/>
      <c r="K26" s="381" t="s">
        <v>280</v>
      </c>
      <c r="L26" s="386"/>
      <c r="M26" s="387" t="s">
        <v>280</v>
      </c>
      <c r="N26" s="382"/>
      <c r="O26" s="387" t="s">
        <v>110</v>
      </c>
      <c r="P26" s="382"/>
      <c r="Q26" s="387" t="s">
        <v>110</v>
      </c>
      <c r="R26" s="388"/>
      <c r="S26" s="388"/>
      <c r="T26" s="389"/>
      <c r="U26" s="384"/>
      <c r="V26" s="385"/>
      <c r="W26" s="6"/>
    </row>
    <row r="27" spans="1:23" ht="15.6">
      <c r="A27" s="378"/>
      <c r="B27" s="379" t="s">
        <v>14</v>
      </c>
      <c r="C27" s="380" t="s">
        <v>140</v>
      </c>
      <c r="D27" s="379"/>
      <c r="E27" s="380" t="s">
        <v>141</v>
      </c>
      <c r="F27" s="379"/>
      <c r="G27" s="380" t="s">
        <v>142</v>
      </c>
      <c r="H27" s="379"/>
      <c r="I27" s="380" t="s">
        <v>258</v>
      </c>
      <c r="J27" s="379"/>
      <c r="K27" s="380" t="s">
        <v>143</v>
      </c>
      <c r="L27" s="379"/>
      <c r="M27" s="379" t="s">
        <v>144</v>
      </c>
      <c r="N27" s="382"/>
      <c r="O27" s="379" t="s">
        <v>145</v>
      </c>
      <c r="P27" s="382"/>
      <c r="Q27" s="379" t="s">
        <v>146</v>
      </c>
      <c r="R27" s="383"/>
      <c r="S27" s="390"/>
      <c r="T27" s="384"/>
      <c r="U27" s="384"/>
      <c r="V27" s="385"/>
      <c r="W27" s="6"/>
    </row>
    <row r="28" spans="1:23" ht="15.6">
      <c r="A28" s="378"/>
      <c r="B28" s="379" t="s">
        <v>147</v>
      </c>
      <c r="C28" s="391">
        <v>146000</v>
      </c>
      <c r="D28" s="380"/>
      <c r="E28" s="392">
        <v>259500</v>
      </c>
      <c r="F28" s="380"/>
      <c r="G28" s="391">
        <v>16000</v>
      </c>
      <c r="H28" s="380"/>
      <c r="I28" s="392">
        <v>35500</v>
      </c>
      <c r="J28" s="379"/>
      <c r="K28" s="391">
        <v>18000</v>
      </c>
      <c r="L28" s="379"/>
      <c r="M28" s="392">
        <v>33000</v>
      </c>
      <c r="N28" s="393"/>
      <c r="O28" s="394">
        <v>24500</v>
      </c>
      <c r="P28" s="394"/>
      <c r="Q28" s="392">
        <v>30000</v>
      </c>
      <c r="R28" s="395"/>
      <c r="S28" s="395"/>
      <c r="T28" s="396"/>
      <c r="U28" s="395"/>
      <c r="V28" s="397"/>
      <c r="W28" s="6"/>
    </row>
    <row r="29" spans="1:23" ht="15.6">
      <c r="A29" s="378"/>
      <c r="B29" s="379" t="s">
        <v>15</v>
      </c>
      <c r="C29" s="391">
        <f>C28*C35</f>
        <v>17870.545999999998</v>
      </c>
      <c r="D29" s="398"/>
      <c r="E29" s="392">
        <f>E28*E35</f>
        <v>31763.059499999999</v>
      </c>
      <c r="F29" s="398"/>
      <c r="G29" s="391">
        <f>G28*G35</f>
        <v>6416.0544</v>
      </c>
      <c r="H29" s="398"/>
      <c r="I29" s="392">
        <f>I28*I35</f>
        <v>14235.620699999999</v>
      </c>
      <c r="J29" s="399"/>
      <c r="K29" s="391">
        <f>K28*K35</f>
        <v>7218.0612000000001</v>
      </c>
      <c r="L29" s="399"/>
      <c r="M29" s="392">
        <f>M28*M35</f>
        <v>13233.1122</v>
      </c>
      <c r="N29" s="393"/>
      <c r="O29" s="391">
        <f>O28*O35</f>
        <v>9824.5833000000002</v>
      </c>
      <c r="P29" s="394"/>
      <c r="Q29" s="392">
        <f>Q28*Q35</f>
        <v>12030.102000000001</v>
      </c>
      <c r="R29" s="400"/>
      <c r="S29" s="395"/>
      <c r="T29" s="396"/>
      <c r="U29" s="395"/>
      <c r="V29" s="397"/>
      <c r="W29" s="6"/>
    </row>
    <row r="30" spans="1:23" ht="15.6">
      <c r="A30" s="401"/>
      <c r="B30" s="386" t="s">
        <v>148</v>
      </c>
      <c r="C30" s="415">
        <f>C34*C28</f>
        <v>16978.7196</v>
      </c>
      <c r="D30" s="505"/>
      <c r="E30" s="406">
        <f>E34*E28</f>
        <v>30177.929700000001</v>
      </c>
      <c r="F30" s="505"/>
      <c r="G30" s="415">
        <f>G34*G28</f>
        <v>6095.9359999999997</v>
      </c>
      <c r="H30" s="505"/>
      <c r="I30" s="406">
        <f>I34*I28</f>
        <v>13525.358</v>
      </c>
      <c r="J30" s="506"/>
      <c r="K30" s="415">
        <f>K34*K28</f>
        <v>6857.9279999999999</v>
      </c>
      <c r="L30" s="399"/>
      <c r="M30" s="406">
        <f>M34*M28</f>
        <v>12572.868</v>
      </c>
      <c r="N30" s="407"/>
      <c r="O30" s="415">
        <f>O34*O28</f>
        <v>9334.402</v>
      </c>
      <c r="P30" s="408"/>
      <c r="Q30" s="406">
        <f>Q34*Q28</f>
        <v>11429.88</v>
      </c>
      <c r="R30" s="408"/>
      <c r="S30" s="408"/>
      <c r="T30" s="409"/>
      <c r="U30" s="408"/>
      <c r="V30" s="410"/>
      <c r="W30" s="6"/>
    </row>
    <row r="31" spans="1:23" ht="15.6">
      <c r="A31" s="401"/>
      <c r="B31" s="379" t="s">
        <v>260</v>
      </c>
      <c r="C31" s="391">
        <v>146000</v>
      </c>
      <c r="D31" s="398"/>
      <c r="E31" s="391">
        <v>178000</v>
      </c>
      <c r="F31" s="391"/>
      <c r="G31" s="391">
        <v>16000</v>
      </c>
      <c r="H31" s="391"/>
      <c r="I31" s="391">
        <v>24500</v>
      </c>
      <c r="J31" s="412"/>
      <c r="K31" s="391">
        <v>18000</v>
      </c>
      <c r="L31" s="412"/>
      <c r="M31" s="391">
        <v>22500</v>
      </c>
      <c r="N31" s="414"/>
      <c r="O31" s="391">
        <v>24500</v>
      </c>
      <c r="P31" s="415"/>
      <c r="Q31" s="391">
        <v>20500</v>
      </c>
      <c r="R31" s="408"/>
      <c r="S31" s="408"/>
      <c r="T31" s="409"/>
      <c r="U31" s="394">
        <f>+Q31+O31+M31+K31+I31+G31+E31+C31</f>
        <v>450000</v>
      </c>
      <c r="V31" s="410"/>
      <c r="W31" s="6"/>
    </row>
    <row r="32" spans="1:23" ht="15.6">
      <c r="A32" s="401"/>
      <c r="B32" s="379" t="s">
        <v>261</v>
      </c>
      <c r="C32" s="391">
        <f>C28*C35</f>
        <v>17870.545999999998</v>
      </c>
      <c r="D32" s="398"/>
      <c r="E32" s="391">
        <f>E31*E35</f>
        <v>21787.378000000001</v>
      </c>
      <c r="F32" s="391"/>
      <c r="G32" s="391">
        <f>G28*G35</f>
        <v>6416.0544</v>
      </c>
      <c r="H32" s="391"/>
      <c r="I32" s="391">
        <f>I31*I35</f>
        <v>9824.5833000000002</v>
      </c>
      <c r="J32" s="412"/>
      <c r="K32" s="391">
        <f>K28*K35</f>
        <v>7218.0612000000001</v>
      </c>
      <c r="L32" s="412"/>
      <c r="M32" s="391">
        <f>M31*M35</f>
        <v>9022.576500000001</v>
      </c>
      <c r="N32" s="414"/>
      <c r="O32" s="391">
        <f>O28*O35</f>
        <v>9824.5833000000002</v>
      </c>
      <c r="P32" s="415"/>
      <c r="Q32" s="391">
        <f>Q31*Q35</f>
        <v>8220.5697</v>
      </c>
      <c r="R32" s="391"/>
      <c r="S32" s="408"/>
      <c r="T32" s="409"/>
      <c r="U32" s="394">
        <f>+Q32+O32+M32+K32+I32+G32+E32+C32</f>
        <v>90184.352400000003</v>
      </c>
      <c r="V32" s="410"/>
      <c r="W32" s="6"/>
    </row>
    <row r="33" spans="1:23" ht="15.6">
      <c r="A33" s="401"/>
      <c r="B33" s="386" t="s">
        <v>262</v>
      </c>
      <c r="C33" s="415">
        <f>C34*C28</f>
        <v>16978.7196</v>
      </c>
      <c r="D33" s="415"/>
      <c r="E33" s="415">
        <f>E34*E31</f>
        <v>20700.0828</v>
      </c>
      <c r="F33" s="415"/>
      <c r="G33" s="415">
        <f>G34*G28</f>
        <v>6095.9359999999997</v>
      </c>
      <c r="H33" s="415"/>
      <c r="I33" s="415">
        <f>I34*I31</f>
        <v>9334.402</v>
      </c>
      <c r="J33" s="414"/>
      <c r="K33" s="415">
        <f>K34*K28</f>
        <v>6857.9279999999999</v>
      </c>
      <c r="L33" s="414"/>
      <c r="M33" s="415">
        <f>M34*M31</f>
        <v>8572.41</v>
      </c>
      <c r="N33" s="414"/>
      <c r="O33" s="415">
        <f>O34*O28</f>
        <v>9334.402</v>
      </c>
      <c r="P33" s="415"/>
      <c r="Q33" s="415">
        <f>Q34*Q31</f>
        <v>7810.4179999999997</v>
      </c>
      <c r="R33" s="408"/>
      <c r="S33" s="408"/>
      <c r="T33" s="409"/>
      <c r="U33" s="408">
        <f>+Q33+O33+M33+K33+I33+G33+E33+C33</f>
        <v>85684.2984</v>
      </c>
      <c r="V33" s="410"/>
      <c r="W33" s="6"/>
    </row>
    <row r="34" spans="1:23" ht="15.6">
      <c r="A34" s="401"/>
      <c r="B34" s="468" t="s">
        <v>149</v>
      </c>
      <c r="C34" s="507">
        <v>0.1162926</v>
      </c>
      <c r="D34" s="507"/>
      <c r="E34" s="507">
        <v>0.1162926</v>
      </c>
      <c r="F34" s="507"/>
      <c r="G34" s="507">
        <v>0.380996</v>
      </c>
      <c r="H34" s="507"/>
      <c r="I34" s="507">
        <v>0.380996</v>
      </c>
      <c r="J34" s="507"/>
      <c r="K34" s="507">
        <v>0.380996</v>
      </c>
      <c r="L34" s="507"/>
      <c r="M34" s="507">
        <v>0.380996</v>
      </c>
      <c r="N34" s="507"/>
      <c r="O34" s="507">
        <v>0.380996</v>
      </c>
      <c r="P34" s="507"/>
      <c r="Q34" s="507">
        <v>0.380996</v>
      </c>
      <c r="R34" s="508"/>
      <c r="S34" s="420"/>
      <c r="T34" s="421"/>
      <c r="U34" s="420"/>
      <c r="V34" s="385"/>
      <c r="W34" s="6"/>
    </row>
    <row r="35" spans="1:23" ht="15.6">
      <c r="A35" s="401"/>
      <c r="B35" s="468" t="s">
        <v>150</v>
      </c>
      <c r="C35" s="507">
        <v>0.122401</v>
      </c>
      <c r="D35" s="507"/>
      <c r="E35" s="507">
        <v>0.122401</v>
      </c>
      <c r="F35" s="507"/>
      <c r="G35" s="507">
        <v>0.40100340000000001</v>
      </c>
      <c r="H35" s="507"/>
      <c r="I35" s="507">
        <v>0.40100340000000001</v>
      </c>
      <c r="J35" s="507"/>
      <c r="K35" s="507">
        <v>0.40100340000000001</v>
      </c>
      <c r="L35" s="507"/>
      <c r="M35" s="507">
        <v>0.40100340000000001</v>
      </c>
      <c r="N35" s="507"/>
      <c r="O35" s="507">
        <v>0.40100340000000001</v>
      </c>
      <c r="P35" s="507"/>
      <c r="Q35" s="507">
        <v>0.40100340000000001</v>
      </c>
      <c r="R35" s="508"/>
      <c r="S35" s="420"/>
      <c r="T35" s="421"/>
      <c r="U35" s="420"/>
      <c r="V35" s="385"/>
      <c r="W35" s="6"/>
    </row>
    <row r="36" spans="1:23" ht="15.6">
      <c r="A36" s="378"/>
      <c r="B36" s="379" t="s">
        <v>153</v>
      </c>
      <c r="C36" s="380" t="s">
        <v>163</v>
      </c>
      <c r="D36" s="380"/>
      <c r="E36" s="380" t="s">
        <v>163</v>
      </c>
      <c r="F36" s="380"/>
      <c r="G36" s="380" t="s">
        <v>164</v>
      </c>
      <c r="H36" s="380"/>
      <c r="I36" s="380" t="s">
        <v>164</v>
      </c>
      <c r="J36" s="380"/>
      <c r="K36" s="380" t="s">
        <v>106</v>
      </c>
      <c r="L36" s="380"/>
      <c r="M36" s="380" t="s">
        <v>165</v>
      </c>
      <c r="N36" s="380"/>
      <c r="O36" s="380" t="s">
        <v>166</v>
      </c>
      <c r="P36" s="380"/>
      <c r="Q36" s="380" t="s">
        <v>167</v>
      </c>
      <c r="R36" s="380"/>
      <c r="S36" s="380"/>
      <c r="T36" s="379"/>
      <c r="U36" s="424"/>
      <c r="V36" s="410"/>
      <c r="W36" s="6"/>
    </row>
    <row r="37" spans="1:23" ht="15.6">
      <c r="A37" s="378"/>
      <c r="B37" s="379" t="s">
        <v>151</v>
      </c>
      <c r="C37" s="509">
        <v>1.0193799999999999E-2</v>
      </c>
      <c r="D37" s="509"/>
      <c r="E37" s="509">
        <v>3.9100000000000003E-3</v>
      </c>
      <c r="F37" s="509"/>
      <c r="G37" s="509">
        <v>1.23938E-2</v>
      </c>
      <c r="H37" s="509"/>
      <c r="I37" s="509">
        <v>6.11E-3</v>
      </c>
      <c r="J37" s="509"/>
      <c r="K37" s="509">
        <v>1.7793799999999999E-2</v>
      </c>
      <c r="L37" s="509"/>
      <c r="M37" s="509">
        <v>1.091E-2</v>
      </c>
      <c r="N37" s="509"/>
      <c r="O37" s="509">
        <v>2.4793800000000001E-2</v>
      </c>
      <c r="P37" s="509"/>
      <c r="Q37" s="509">
        <v>1.7510000000000001E-2</v>
      </c>
      <c r="R37" s="427"/>
      <c r="S37" s="509"/>
      <c r="T37" s="379"/>
      <c r="U37" s="380"/>
      <c r="V37" s="410"/>
      <c r="W37" s="6"/>
    </row>
    <row r="38" spans="1:23" ht="15.6">
      <c r="A38" s="378"/>
      <c r="B38" s="379" t="s">
        <v>152</v>
      </c>
      <c r="C38" s="509">
        <v>1.0240600000000001E-2</v>
      </c>
      <c r="D38" s="509"/>
      <c r="E38" s="509">
        <v>4.2100000000000002E-3</v>
      </c>
      <c r="F38" s="509"/>
      <c r="G38" s="509">
        <v>1.24406E-2</v>
      </c>
      <c r="H38" s="509"/>
      <c r="I38" s="509">
        <v>6.4099999999999999E-3</v>
      </c>
      <c r="J38" s="509"/>
      <c r="K38" s="509">
        <v>1.7840600000000002E-2</v>
      </c>
      <c r="L38" s="509"/>
      <c r="M38" s="509">
        <v>1.1209999999999999E-2</v>
      </c>
      <c r="N38" s="509"/>
      <c r="O38" s="509">
        <v>2.4840600000000001E-2</v>
      </c>
      <c r="P38" s="509"/>
      <c r="Q38" s="509">
        <v>1.7809999999999999E-2</v>
      </c>
      <c r="R38" s="427"/>
      <c r="S38" s="509"/>
      <c r="T38" s="379"/>
      <c r="U38" s="424"/>
      <c r="V38" s="410"/>
      <c r="W38" s="6"/>
    </row>
    <row r="39" spans="1:23" ht="15.6">
      <c r="A39" s="378"/>
      <c r="B39" s="379" t="s">
        <v>263</v>
      </c>
      <c r="C39" s="380" t="s">
        <v>163</v>
      </c>
      <c r="D39" s="379"/>
      <c r="E39" s="380" t="s">
        <v>228</v>
      </c>
      <c r="F39" s="379"/>
      <c r="G39" s="380" t="s">
        <v>164</v>
      </c>
      <c r="H39" s="379"/>
      <c r="I39" s="380" t="s">
        <v>226</v>
      </c>
      <c r="J39" s="379"/>
      <c r="K39" s="380" t="s">
        <v>106</v>
      </c>
      <c r="L39" s="379"/>
      <c r="M39" s="380" t="s">
        <v>227</v>
      </c>
      <c r="N39" s="379"/>
      <c r="O39" s="380" t="s">
        <v>166</v>
      </c>
      <c r="P39" s="380"/>
      <c r="Q39" s="380" t="s">
        <v>229</v>
      </c>
      <c r="R39" s="427"/>
      <c r="S39" s="509"/>
      <c r="T39" s="379"/>
      <c r="U39" s="424"/>
      <c r="V39" s="410"/>
      <c r="W39" s="6"/>
    </row>
    <row r="40" spans="1:23" ht="15.6">
      <c r="A40" s="378"/>
      <c r="B40" s="379" t="s">
        <v>264</v>
      </c>
      <c r="C40" s="509">
        <f>+C37</f>
        <v>1.0193799999999999E-2</v>
      </c>
      <c r="D40" s="509"/>
      <c r="E40" s="509">
        <v>1.07698E-2</v>
      </c>
      <c r="F40" s="509"/>
      <c r="G40" s="509">
        <f>+G37</f>
        <v>1.23938E-2</v>
      </c>
      <c r="H40" s="509"/>
      <c r="I40" s="509">
        <v>1.3126799999999999E-2</v>
      </c>
      <c r="J40" s="509"/>
      <c r="K40" s="509">
        <f>+K37</f>
        <v>1.7793799999999999E-2</v>
      </c>
      <c r="L40" s="510"/>
      <c r="M40" s="509">
        <v>1.8354200000000001E-2</v>
      </c>
      <c r="N40" s="510"/>
      <c r="O40" s="509">
        <f>+O37</f>
        <v>2.4793800000000001E-2</v>
      </c>
      <c r="P40" s="509"/>
      <c r="Q40" s="509">
        <v>2.5620199999999999E-2</v>
      </c>
      <c r="R40" s="427"/>
      <c r="S40" s="509"/>
      <c r="T40" s="379"/>
      <c r="U40" s="427">
        <f>SUMPRODUCT(C40:Q40,C32:Q32)/U32</f>
        <v>1.523035180893199E-2</v>
      </c>
      <c r="V40" s="410"/>
      <c r="W40" s="6"/>
    </row>
    <row r="41" spans="1:23" ht="15.6">
      <c r="A41" s="378"/>
      <c r="B41" s="379" t="s">
        <v>265</v>
      </c>
      <c r="C41" s="509">
        <f>+C38</f>
        <v>1.0240600000000001E-2</v>
      </c>
      <c r="D41" s="509"/>
      <c r="E41" s="509">
        <v>1.0816599999999999E-2</v>
      </c>
      <c r="F41" s="509"/>
      <c r="G41" s="509">
        <f>+G38</f>
        <v>1.24406E-2</v>
      </c>
      <c r="H41" s="509"/>
      <c r="I41" s="509">
        <v>1.3173600000000001E-2</v>
      </c>
      <c r="J41" s="509"/>
      <c r="K41" s="509">
        <f>+K38</f>
        <v>1.7840600000000002E-2</v>
      </c>
      <c r="L41" s="510"/>
      <c r="M41" s="509">
        <v>1.8401000000000001E-2</v>
      </c>
      <c r="N41" s="510"/>
      <c r="O41" s="509">
        <f>+O38</f>
        <v>2.4840600000000001E-2</v>
      </c>
      <c r="P41" s="509"/>
      <c r="Q41" s="509">
        <v>2.5666999999999999E-2</v>
      </c>
      <c r="R41" s="427"/>
      <c r="S41" s="509"/>
      <c r="T41" s="379"/>
      <c r="U41" s="424"/>
      <c r="V41" s="410"/>
      <c r="W41" s="6"/>
    </row>
    <row r="42" spans="1:23" ht="15.6">
      <c r="A42" s="378"/>
      <c r="B42" s="379" t="s">
        <v>17</v>
      </c>
      <c r="C42" s="429">
        <v>39918</v>
      </c>
      <c r="D42" s="429"/>
      <c r="E42" s="429">
        <v>39918</v>
      </c>
      <c r="F42" s="429"/>
      <c r="G42" s="429">
        <v>39918</v>
      </c>
      <c r="H42" s="429"/>
      <c r="I42" s="429">
        <v>39918</v>
      </c>
      <c r="J42" s="429"/>
      <c r="K42" s="429">
        <v>39918</v>
      </c>
      <c r="L42" s="429"/>
      <c r="M42" s="429">
        <v>39918</v>
      </c>
      <c r="N42" s="429"/>
      <c r="O42" s="429">
        <v>39918</v>
      </c>
      <c r="P42" s="429"/>
      <c r="Q42" s="429">
        <v>39918</v>
      </c>
      <c r="R42" s="380"/>
      <c r="S42" s="380"/>
      <c r="T42" s="379"/>
      <c r="U42" s="424"/>
      <c r="V42" s="410"/>
      <c r="W42" s="6"/>
    </row>
    <row r="43" spans="1:23" ht="15.6">
      <c r="A43" s="378"/>
      <c r="B43" s="379" t="s">
        <v>18</v>
      </c>
      <c r="C43" s="429">
        <v>40283</v>
      </c>
      <c r="D43" s="430"/>
      <c r="E43" s="429">
        <v>40283</v>
      </c>
      <c r="F43" s="430"/>
      <c r="G43" s="429">
        <v>40283</v>
      </c>
      <c r="H43" s="430"/>
      <c r="I43" s="429">
        <v>40283</v>
      </c>
      <c r="J43" s="430"/>
      <c r="K43" s="429">
        <v>40283</v>
      </c>
      <c r="L43" s="430"/>
      <c r="M43" s="429">
        <v>40283</v>
      </c>
      <c r="N43" s="430"/>
      <c r="O43" s="429">
        <v>40283</v>
      </c>
      <c r="P43" s="429"/>
      <c r="Q43" s="429">
        <v>40283</v>
      </c>
      <c r="R43" s="380"/>
      <c r="S43" s="380"/>
      <c r="T43" s="424"/>
      <c r="U43" s="424"/>
      <c r="V43" s="410"/>
      <c r="W43" s="6"/>
    </row>
    <row r="44" spans="1:23" ht="15.6">
      <c r="A44" s="378"/>
      <c r="B44" s="379" t="s">
        <v>154</v>
      </c>
      <c r="C44" s="380" t="s">
        <v>163</v>
      </c>
      <c r="D44" s="380"/>
      <c r="E44" s="380" t="s">
        <v>163</v>
      </c>
      <c r="F44" s="380"/>
      <c r="G44" s="380" t="s">
        <v>164</v>
      </c>
      <c r="H44" s="380"/>
      <c r="I44" s="380" t="s">
        <v>164</v>
      </c>
      <c r="J44" s="380"/>
      <c r="K44" s="380" t="s">
        <v>106</v>
      </c>
      <c r="L44" s="380"/>
      <c r="M44" s="380" t="s">
        <v>165</v>
      </c>
      <c r="N44" s="380"/>
      <c r="O44" s="380" t="s">
        <v>166</v>
      </c>
      <c r="P44" s="380"/>
      <c r="Q44" s="380" t="s">
        <v>167</v>
      </c>
      <c r="R44" s="380"/>
      <c r="S44" s="380"/>
      <c r="T44" s="424"/>
      <c r="U44" s="424"/>
      <c r="V44" s="410"/>
      <c r="W44" s="6"/>
    </row>
    <row r="45" spans="1:23" ht="15.6">
      <c r="A45" s="378"/>
      <c r="B45" s="379" t="s">
        <v>266</v>
      </c>
      <c r="C45" s="380" t="s">
        <v>163</v>
      </c>
      <c r="D45" s="379"/>
      <c r="E45" s="380" t="s">
        <v>228</v>
      </c>
      <c r="F45" s="379"/>
      <c r="G45" s="380" t="s">
        <v>164</v>
      </c>
      <c r="H45" s="379"/>
      <c r="I45" s="380" t="s">
        <v>226</v>
      </c>
      <c r="J45" s="379"/>
      <c r="K45" s="380" t="s">
        <v>106</v>
      </c>
      <c r="L45" s="379"/>
      <c r="M45" s="380" t="s">
        <v>227</v>
      </c>
      <c r="N45" s="379"/>
      <c r="O45" s="380" t="s">
        <v>166</v>
      </c>
      <c r="P45" s="380"/>
      <c r="Q45" s="380" t="s">
        <v>229</v>
      </c>
      <c r="R45" s="380"/>
      <c r="S45" s="380"/>
      <c r="T45" s="424"/>
      <c r="U45" s="424"/>
      <c r="V45" s="410"/>
      <c r="W45" s="6"/>
    </row>
    <row r="46" spans="1:23" ht="15.6">
      <c r="A46" s="378"/>
      <c r="B46" s="379"/>
      <c r="C46" s="379"/>
      <c r="D46" s="379"/>
      <c r="E46" s="379"/>
      <c r="F46" s="379"/>
      <c r="G46" s="379"/>
      <c r="H46" s="379"/>
      <c r="I46" s="379"/>
      <c r="J46" s="379"/>
      <c r="K46" s="379"/>
      <c r="L46" s="379"/>
      <c r="M46" s="431"/>
      <c r="N46" s="431"/>
      <c r="O46" s="379"/>
      <c r="P46" s="431"/>
      <c r="Q46" s="431"/>
      <c r="R46" s="431"/>
      <c r="S46" s="431"/>
      <c r="T46" s="431"/>
      <c r="U46" s="431"/>
      <c r="V46" s="410"/>
      <c r="W46" s="6"/>
    </row>
    <row r="47" spans="1:23" ht="15.6">
      <c r="A47" s="378"/>
      <c r="B47" s="379" t="s">
        <v>201</v>
      </c>
      <c r="C47" s="379"/>
      <c r="D47" s="379"/>
      <c r="E47" s="379"/>
      <c r="F47" s="379"/>
      <c r="G47" s="379"/>
      <c r="H47" s="379"/>
      <c r="I47" s="379"/>
      <c r="J47" s="379"/>
      <c r="K47" s="379"/>
      <c r="L47" s="379"/>
      <c r="M47" s="379"/>
      <c r="N47" s="379"/>
      <c r="O47" s="379"/>
      <c r="P47" s="379"/>
      <c r="Q47" s="379"/>
      <c r="R47" s="379"/>
      <c r="S47" s="379"/>
      <c r="T47" s="379"/>
      <c r="U47" s="427">
        <f>SUM(G31:Q31)/(C31+E31)</f>
        <v>0.3888888888888889</v>
      </c>
      <c r="V47" s="410"/>
      <c r="W47" s="6"/>
    </row>
    <row r="48" spans="1:23" ht="15.6">
      <c r="A48" s="378"/>
      <c r="B48" s="379" t="s">
        <v>202</v>
      </c>
      <c r="C48" s="379"/>
      <c r="D48" s="379"/>
      <c r="E48" s="379"/>
      <c r="F48" s="379"/>
      <c r="G48" s="379"/>
      <c r="H48" s="379"/>
      <c r="I48" s="379"/>
      <c r="J48" s="379"/>
      <c r="K48" s="379"/>
      <c r="L48" s="379"/>
      <c r="M48" s="379"/>
      <c r="N48" s="379"/>
      <c r="O48" s="379"/>
      <c r="P48" s="379"/>
      <c r="Q48" s="379"/>
      <c r="R48" s="379"/>
      <c r="S48" s="379"/>
      <c r="T48" s="379"/>
      <c r="U48" s="427">
        <f>SUM(F33:Q33)/(C33+E33)</f>
        <v>1.2740717045720116</v>
      </c>
      <c r="V48" s="410"/>
      <c r="W48" s="6"/>
    </row>
    <row r="49" spans="1:25" ht="15.6">
      <c r="A49" s="378"/>
      <c r="B49" s="379" t="s">
        <v>203</v>
      </c>
      <c r="C49" s="379"/>
      <c r="D49" s="379"/>
      <c r="E49" s="379"/>
      <c r="F49" s="379"/>
      <c r="G49" s="379"/>
      <c r="H49" s="379"/>
      <c r="I49" s="379"/>
      <c r="J49" s="379"/>
      <c r="K49" s="379"/>
      <c r="L49" s="379"/>
      <c r="M49" s="379"/>
      <c r="N49" s="379"/>
      <c r="O49" s="379"/>
      <c r="P49" s="379"/>
      <c r="Q49" s="379"/>
      <c r="R49" s="379"/>
      <c r="S49" s="380" t="s">
        <v>95</v>
      </c>
      <c r="T49" s="380" t="s">
        <v>117</v>
      </c>
      <c r="U49" s="394">
        <v>99000</v>
      </c>
      <c r="V49" s="410"/>
      <c r="W49" s="6"/>
    </row>
    <row r="50" spans="1:25" ht="15.6">
      <c r="A50" s="378"/>
      <c r="B50" s="379"/>
      <c r="C50" s="379"/>
      <c r="D50" s="379"/>
      <c r="E50" s="379"/>
      <c r="F50" s="379"/>
      <c r="G50" s="379"/>
      <c r="H50" s="379"/>
      <c r="I50" s="379"/>
      <c r="J50" s="379"/>
      <c r="K50" s="379"/>
      <c r="L50" s="379"/>
      <c r="M50" s="379"/>
      <c r="N50" s="379"/>
      <c r="O50" s="379"/>
      <c r="P50" s="379"/>
      <c r="Q50" s="379"/>
      <c r="R50" s="379"/>
      <c r="S50" s="379" t="s">
        <v>213</v>
      </c>
      <c r="T50" s="379"/>
      <c r="U50" s="432"/>
      <c r="V50" s="410"/>
      <c r="W50" s="6"/>
    </row>
    <row r="51" spans="1:25" ht="15.6">
      <c r="A51" s="378"/>
      <c r="B51" s="379" t="s">
        <v>19</v>
      </c>
      <c r="C51" s="379"/>
      <c r="D51" s="379"/>
      <c r="E51" s="379"/>
      <c r="F51" s="379"/>
      <c r="G51" s="379"/>
      <c r="H51" s="379"/>
      <c r="I51" s="379"/>
      <c r="J51" s="379"/>
      <c r="K51" s="379"/>
      <c r="L51" s="379"/>
      <c r="M51" s="379"/>
      <c r="N51" s="379"/>
      <c r="O51" s="379"/>
      <c r="P51" s="379"/>
      <c r="Q51" s="379"/>
      <c r="R51" s="379"/>
      <c r="S51" s="380"/>
      <c r="T51" s="380"/>
      <c r="U51" s="380" t="s">
        <v>118</v>
      </c>
      <c r="V51" s="410"/>
      <c r="W51" s="6"/>
    </row>
    <row r="52" spans="1:25" ht="15.6">
      <c r="A52" s="401"/>
      <c r="B52" s="386" t="s">
        <v>20</v>
      </c>
      <c r="C52" s="386"/>
      <c r="D52" s="386"/>
      <c r="E52" s="386"/>
      <c r="F52" s="386"/>
      <c r="G52" s="386"/>
      <c r="H52" s="386"/>
      <c r="I52" s="386"/>
      <c r="J52" s="386"/>
      <c r="K52" s="386"/>
      <c r="L52" s="386"/>
      <c r="M52" s="386"/>
      <c r="N52" s="386"/>
      <c r="O52" s="386"/>
      <c r="P52" s="386"/>
      <c r="Q52" s="386"/>
      <c r="R52" s="386"/>
      <c r="S52" s="433"/>
      <c r="T52" s="433"/>
      <c r="U52" s="434">
        <v>42384</v>
      </c>
      <c r="V52" s="435"/>
      <c r="W52" s="6"/>
    </row>
    <row r="53" spans="1:25" ht="15.6">
      <c r="A53" s="378"/>
      <c r="B53" s="379" t="s">
        <v>155</v>
      </c>
      <c r="C53" s="379"/>
      <c r="D53" s="379"/>
      <c r="E53" s="379"/>
      <c r="F53" s="379"/>
      <c r="G53" s="379"/>
      <c r="H53" s="379"/>
      <c r="I53" s="379"/>
      <c r="J53" s="379"/>
      <c r="K53" s="379"/>
      <c r="L53" s="379"/>
      <c r="M53" s="379"/>
      <c r="N53" s="379"/>
      <c r="O53" s="379"/>
      <c r="P53" s="379"/>
      <c r="Q53" s="424"/>
      <c r="R53" s="379">
        <f>U53-S53+1</f>
        <v>92</v>
      </c>
      <c r="S53" s="436">
        <v>42200</v>
      </c>
      <c r="T53" s="429"/>
      <c r="U53" s="436">
        <v>42291</v>
      </c>
      <c r="V53" s="410"/>
      <c r="W53" s="6"/>
    </row>
    <row r="54" spans="1:25" ht="15.6">
      <c r="A54" s="378"/>
      <c r="B54" s="379" t="s">
        <v>156</v>
      </c>
      <c r="C54" s="379"/>
      <c r="D54" s="379"/>
      <c r="E54" s="379"/>
      <c r="F54" s="379"/>
      <c r="G54" s="379"/>
      <c r="H54" s="379"/>
      <c r="I54" s="379"/>
      <c r="J54" s="379"/>
      <c r="K54" s="379"/>
      <c r="L54" s="379"/>
      <c r="M54" s="379"/>
      <c r="N54" s="379"/>
      <c r="O54" s="379"/>
      <c r="P54" s="379"/>
      <c r="Q54" s="424"/>
      <c r="R54" s="379">
        <f>U54-S54+1</f>
        <v>92</v>
      </c>
      <c r="S54" s="436">
        <v>42292</v>
      </c>
      <c r="T54" s="429"/>
      <c r="U54" s="436">
        <v>42383</v>
      </c>
      <c r="V54" s="410"/>
      <c r="W54" s="6"/>
    </row>
    <row r="55" spans="1:25" ht="15.6">
      <c r="A55" s="378"/>
      <c r="B55" s="379" t="s">
        <v>21</v>
      </c>
      <c r="C55" s="379"/>
      <c r="D55" s="379"/>
      <c r="E55" s="379"/>
      <c r="F55" s="379"/>
      <c r="G55" s="379"/>
      <c r="H55" s="379"/>
      <c r="I55" s="379"/>
      <c r="J55" s="379"/>
      <c r="K55" s="379"/>
      <c r="L55" s="379"/>
      <c r="M55" s="379"/>
      <c r="N55" s="379"/>
      <c r="O55" s="379"/>
      <c r="P55" s="379"/>
      <c r="Q55" s="379"/>
      <c r="R55" s="379"/>
      <c r="S55" s="436"/>
      <c r="T55" s="429"/>
      <c r="U55" s="436" t="s">
        <v>119</v>
      </c>
      <c r="V55" s="410"/>
      <c r="W55" s="6"/>
    </row>
    <row r="56" spans="1:25" ht="15.6">
      <c r="A56" s="378"/>
      <c r="B56" s="379" t="s">
        <v>22</v>
      </c>
      <c r="C56" s="379"/>
      <c r="D56" s="379"/>
      <c r="E56" s="379"/>
      <c r="F56" s="379"/>
      <c r="G56" s="379"/>
      <c r="H56" s="379"/>
      <c r="I56" s="379"/>
      <c r="J56" s="379"/>
      <c r="K56" s="379"/>
      <c r="L56" s="379"/>
      <c r="M56" s="379"/>
      <c r="N56" s="379"/>
      <c r="O56" s="379"/>
      <c r="P56" s="379"/>
      <c r="Q56" s="379"/>
      <c r="R56" s="379"/>
      <c r="S56" s="436"/>
      <c r="T56" s="429"/>
      <c r="U56" s="436">
        <v>42373</v>
      </c>
      <c r="V56" s="410"/>
      <c r="W56" s="6"/>
    </row>
    <row r="57" spans="1:25" ht="15.6">
      <c r="A57" s="242"/>
      <c r="B57" s="364"/>
      <c r="C57" s="364"/>
      <c r="D57" s="364"/>
      <c r="E57" s="364"/>
      <c r="F57" s="364"/>
      <c r="G57" s="364"/>
      <c r="H57" s="364"/>
      <c r="I57" s="364"/>
      <c r="J57" s="364"/>
      <c r="K57" s="364"/>
      <c r="L57" s="364"/>
      <c r="M57" s="364"/>
      <c r="N57" s="364"/>
      <c r="O57" s="364"/>
      <c r="P57" s="364"/>
      <c r="Q57" s="364"/>
      <c r="R57" s="364"/>
      <c r="S57" s="364"/>
      <c r="T57" s="364"/>
      <c r="U57" s="377"/>
      <c r="V57" s="303"/>
      <c r="W57" s="6"/>
    </row>
    <row r="58" spans="1:25" ht="15.6">
      <c r="A58" s="242"/>
      <c r="B58" s="288"/>
      <c r="C58" s="288"/>
      <c r="D58" s="288"/>
      <c r="E58" s="288"/>
      <c r="F58" s="288"/>
      <c r="G58" s="288"/>
      <c r="H58" s="288"/>
      <c r="I58" s="288"/>
      <c r="J58" s="288"/>
      <c r="K58" s="288"/>
      <c r="L58" s="288"/>
      <c r="M58" s="288"/>
      <c r="N58" s="288"/>
      <c r="O58" s="288"/>
      <c r="P58" s="288"/>
      <c r="Q58" s="288"/>
      <c r="R58" s="288"/>
      <c r="S58" s="288"/>
      <c r="T58" s="288"/>
      <c r="U58" s="302"/>
      <c r="V58" s="303"/>
      <c r="W58" s="6"/>
    </row>
    <row r="59" spans="1:25" ht="16.2" thickBot="1">
      <c r="A59" s="261"/>
      <c r="B59" s="304" t="s">
        <v>296</v>
      </c>
      <c r="C59" s="305"/>
      <c r="D59" s="305"/>
      <c r="E59" s="305"/>
      <c r="F59" s="305"/>
      <c r="G59" s="305"/>
      <c r="H59" s="305"/>
      <c r="I59" s="305"/>
      <c r="J59" s="305"/>
      <c r="K59" s="305"/>
      <c r="L59" s="305"/>
      <c r="M59" s="305"/>
      <c r="N59" s="305"/>
      <c r="O59" s="305"/>
      <c r="P59" s="305"/>
      <c r="Q59" s="305"/>
      <c r="R59" s="305"/>
      <c r="S59" s="305"/>
      <c r="T59" s="305"/>
      <c r="U59" s="306"/>
      <c r="V59" s="307"/>
      <c r="W59" s="6"/>
    </row>
    <row r="60" spans="1:25" ht="15.6">
      <c r="A60" s="230"/>
      <c r="B60" s="511" t="s">
        <v>23</v>
      </c>
      <c r="C60" s="511"/>
      <c r="D60" s="511"/>
      <c r="E60" s="511"/>
      <c r="F60" s="511"/>
      <c r="G60" s="511"/>
      <c r="H60" s="511"/>
      <c r="I60" s="511"/>
      <c r="J60" s="511"/>
      <c r="K60" s="511"/>
      <c r="L60" s="511"/>
      <c r="M60" s="231"/>
      <c r="N60" s="231"/>
      <c r="O60" s="231"/>
      <c r="P60" s="231"/>
      <c r="Q60" s="231"/>
      <c r="R60" s="231"/>
      <c r="S60" s="231"/>
      <c r="T60" s="231"/>
      <c r="U60" s="309"/>
      <c r="V60" s="237"/>
      <c r="W60" s="6"/>
    </row>
    <row r="61" spans="1:25" ht="15.6">
      <c r="A61" s="242"/>
      <c r="B61" s="252"/>
      <c r="C61" s="252"/>
      <c r="D61" s="252"/>
      <c r="E61" s="252"/>
      <c r="F61" s="252"/>
      <c r="G61" s="252"/>
      <c r="H61" s="252"/>
      <c r="I61" s="252"/>
      <c r="J61" s="252"/>
      <c r="K61" s="252"/>
      <c r="L61" s="252"/>
      <c r="M61" s="244"/>
      <c r="N61" s="244"/>
      <c r="O61" s="244"/>
      <c r="P61" s="244"/>
      <c r="Q61" s="244"/>
      <c r="R61" s="244"/>
      <c r="S61" s="244"/>
      <c r="T61" s="244"/>
      <c r="U61" s="263"/>
      <c r="V61" s="245"/>
      <c r="W61" s="6"/>
    </row>
    <row r="62" spans="1:25" s="151" customFormat="1" ht="46.8">
      <c r="A62" s="264"/>
      <c r="B62" s="512"/>
      <c r="C62" s="513"/>
      <c r="D62" s="513"/>
      <c r="E62" s="513"/>
      <c r="F62" s="513"/>
      <c r="G62" s="513"/>
      <c r="H62" s="513"/>
      <c r="I62" s="513"/>
      <c r="J62" s="513"/>
      <c r="K62" s="513" t="s">
        <v>197</v>
      </c>
      <c r="L62" s="513"/>
      <c r="M62" s="513" t="s">
        <v>98</v>
      </c>
      <c r="N62" s="513"/>
      <c r="O62" s="513" t="s">
        <v>107</v>
      </c>
      <c r="P62" s="513"/>
      <c r="Q62" s="513" t="s">
        <v>111</v>
      </c>
      <c r="R62" s="513"/>
      <c r="S62" s="513" t="s">
        <v>113</v>
      </c>
      <c r="T62" s="513"/>
      <c r="U62" s="514" t="s">
        <v>120</v>
      </c>
      <c r="V62" s="515"/>
      <c r="W62" s="150"/>
    </row>
    <row r="63" spans="1:25" ht="15.6">
      <c r="A63" s="378"/>
      <c r="B63" s="379" t="s">
        <v>24</v>
      </c>
      <c r="C63" s="440"/>
      <c r="D63" s="440"/>
      <c r="E63" s="440"/>
      <c r="F63" s="440"/>
      <c r="G63" s="440"/>
      <c r="H63" s="440"/>
      <c r="I63" s="440"/>
      <c r="J63" s="440"/>
      <c r="K63" s="440">
        <f>265+63566+3306</f>
        <v>67137</v>
      </c>
      <c r="L63" s="440"/>
      <c r="M63" s="440">
        <v>5669</v>
      </c>
      <c r="N63" s="440"/>
      <c r="O63" s="440">
        <f>107+2+19</f>
        <v>128</v>
      </c>
      <c r="P63" s="440"/>
      <c r="Q63" s="440">
        <v>0</v>
      </c>
      <c r="R63" s="440"/>
      <c r="S63" s="440">
        <v>0</v>
      </c>
      <c r="T63" s="440"/>
      <c r="U63" s="441">
        <f>+M63-O63+Q63-S63</f>
        <v>5541</v>
      </c>
      <c r="V63" s="410"/>
      <c r="W63" s="6"/>
      <c r="Y63" s="182"/>
    </row>
    <row r="64" spans="1:25" ht="15.6">
      <c r="A64" s="378"/>
      <c r="B64" s="379" t="s">
        <v>25</v>
      </c>
      <c r="C64" s="440"/>
      <c r="D64" s="440"/>
      <c r="E64" s="440"/>
      <c r="F64" s="440"/>
      <c r="G64" s="440"/>
      <c r="H64" s="440"/>
      <c r="I64" s="440"/>
      <c r="J64" s="440"/>
      <c r="K64" s="440"/>
      <c r="L64" s="440"/>
      <c r="M64" s="440"/>
      <c r="N64" s="440"/>
      <c r="O64" s="440"/>
      <c r="P64" s="440"/>
      <c r="Q64" s="440">
        <v>0</v>
      </c>
      <c r="R64" s="440"/>
      <c r="S64" s="440">
        <v>0</v>
      </c>
      <c r="T64" s="440"/>
      <c r="U64" s="441">
        <f>M64-O64</f>
        <v>0</v>
      </c>
      <c r="V64" s="410"/>
      <c r="W64" s="6"/>
    </row>
    <row r="65" spans="1:25" ht="15.6">
      <c r="A65" s="378"/>
      <c r="B65" s="379"/>
      <c r="C65" s="440"/>
      <c r="D65" s="440"/>
      <c r="E65" s="440"/>
      <c r="F65" s="440"/>
      <c r="G65" s="440"/>
      <c r="H65" s="440"/>
      <c r="I65" s="440"/>
      <c r="J65" s="440"/>
      <c r="K65" s="440"/>
      <c r="L65" s="440"/>
      <c r="M65" s="440"/>
      <c r="N65" s="440"/>
      <c r="O65" s="440"/>
      <c r="P65" s="440"/>
      <c r="Q65" s="440"/>
      <c r="R65" s="440"/>
      <c r="S65" s="440"/>
      <c r="T65" s="440"/>
      <c r="U65" s="441"/>
      <c r="V65" s="410"/>
      <c r="W65" s="6"/>
    </row>
    <row r="66" spans="1:25" ht="15.6">
      <c r="A66" s="378"/>
      <c r="B66" s="379" t="s">
        <v>26</v>
      </c>
      <c r="C66" s="440"/>
      <c r="D66" s="440"/>
      <c r="E66" s="440"/>
      <c r="F66" s="440"/>
      <c r="G66" s="440"/>
      <c r="H66" s="440"/>
      <c r="I66" s="440"/>
      <c r="J66" s="440"/>
      <c r="K66" s="440">
        <v>24470</v>
      </c>
      <c r="L66" s="440"/>
      <c r="M66" s="440">
        <v>1205</v>
      </c>
      <c r="N66" s="440"/>
      <c r="O66" s="440">
        <v>19</v>
      </c>
      <c r="P66" s="440"/>
      <c r="Q66" s="440">
        <v>0</v>
      </c>
      <c r="R66" s="440"/>
      <c r="S66" s="440">
        <f>SUM(S63:S65)</f>
        <v>0</v>
      </c>
      <c r="T66" s="440"/>
      <c r="U66" s="441">
        <f>+M66-O66+Q66-S66</f>
        <v>1186</v>
      </c>
      <c r="V66" s="410"/>
      <c r="W66" s="6"/>
      <c r="Y66" s="182"/>
    </row>
    <row r="67" spans="1:25" ht="15.6">
      <c r="A67" s="378"/>
      <c r="B67" s="379" t="s">
        <v>25</v>
      </c>
      <c r="C67" s="440"/>
      <c r="D67" s="440"/>
      <c r="E67" s="440"/>
      <c r="F67" s="440"/>
      <c r="G67" s="440"/>
      <c r="H67" s="440"/>
      <c r="I67" s="440"/>
      <c r="J67" s="440"/>
      <c r="K67" s="440"/>
      <c r="L67" s="440"/>
      <c r="M67" s="440"/>
      <c r="N67" s="440"/>
      <c r="O67" s="440"/>
      <c r="P67" s="440"/>
      <c r="Q67" s="440">
        <v>0</v>
      </c>
      <c r="R67" s="440"/>
      <c r="S67" s="440">
        <v>0</v>
      </c>
      <c r="T67" s="440"/>
      <c r="U67" s="440"/>
      <c r="V67" s="410"/>
      <c r="W67" s="6"/>
    </row>
    <row r="68" spans="1:25" ht="15.6">
      <c r="A68" s="378"/>
      <c r="B68" s="386"/>
      <c r="C68" s="440"/>
      <c r="D68" s="440"/>
      <c r="E68" s="440"/>
      <c r="F68" s="440"/>
      <c r="G68" s="440"/>
      <c r="H68" s="440"/>
      <c r="I68" s="440"/>
      <c r="J68" s="440"/>
      <c r="K68" s="440"/>
      <c r="L68" s="440"/>
      <c r="M68" s="440"/>
      <c r="N68" s="440"/>
      <c r="O68" s="442"/>
      <c r="P68" s="440"/>
      <c r="Q68" s="440"/>
      <c r="R68" s="440"/>
      <c r="S68" s="440"/>
      <c r="T68" s="440"/>
      <c r="U68" s="440"/>
      <c r="V68" s="410"/>
      <c r="W68" s="6"/>
    </row>
    <row r="69" spans="1:25" ht="15.6">
      <c r="A69" s="378"/>
      <c r="B69" s="379" t="s">
        <v>27</v>
      </c>
      <c r="C69" s="440"/>
      <c r="D69" s="440"/>
      <c r="E69" s="440"/>
      <c r="F69" s="440"/>
      <c r="G69" s="440"/>
      <c r="H69" s="440"/>
      <c r="I69" s="440"/>
      <c r="J69" s="440"/>
      <c r="K69" s="440">
        <v>220072</v>
      </c>
      <c r="L69" s="440"/>
      <c r="M69" s="440">
        <v>97137</v>
      </c>
      <c r="N69" s="440"/>
      <c r="O69" s="440">
        <f>4434+157</f>
        <v>4591</v>
      </c>
      <c r="P69" s="440"/>
      <c r="Q69" s="440">
        <v>0</v>
      </c>
      <c r="R69" s="440"/>
      <c r="S69" s="440">
        <v>0</v>
      </c>
      <c r="T69" s="440"/>
      <c r="U69" s="441">
        <f>+M69-O69+Q69-S69</f>
        <v>92546</v>
      </c>
      <c r="V69" s="410"/>
      <c r="W69" s="6"/>
      <c r="Y69" s="182"/>
    </row>
    <row r="70" spans="1:25" ht="15.6">
      <c r="A70" s="378"/>
      <c r="B70" s="379" t="s">
        <v>25</v>
      </c>
      <c r="C70" s="440"/>
      <c r="D70" s="440"/>
      <c r="E70" s="440"/>
      <c r="F70" s="440"/>
      <c r="G70" s="440"/>
      <c r="H70" s="440"/>
      <c r="I70" s="440"/>
      <c r="J70" s="440"/>
      <c r="K70" s="440"/>
      <c r="L70" s="440"/>
      <c r="M70" s="440"/>
      <c r="N70" s="440"/>
      <c r="O70" s="440"/>
      <c r="P70" s="440"/>
      <c r="Q70" s="440">
        <v>0</v>
      </c>
      <c r="R70" s="440"/>
      <c r="S70" s="440">
        <v>0</v>
      </c>
      <c r="T70" s="440"/>
      <c r="U70" s="441">
        <f>M70-O70+Q70-S70</f>
        <v>0</v>
      </c>
      <c r="V70" s="410"/>
      <c r="W70" s="6"/>
    </row>
    <row r="71" spans="1:25" ht="15.6">
      <c r="A71" s="378"/>
      <c r="B71" s="379"/>
      <c r="C71" s="440"/>
      <c r="D71" s="440"/>
      <c r="E71" s="440"/>
      <c r="F71" s="440"/>
      <c r="G71" s="440"/>
      <c r="H71" s="440"/>
      <c r="I71" s="440"/>
      <c r="J71" s="440"/>
      <c r="K71" s="440"/>
      <c r="L71" s="440"/>
      <c r="M71" s="440"/>
      <c r="N71" s="440"/>
      <c r="O71" s="440"/>
      <c r="P71" s="440"/>
      <c r="Q71" s="440"/>
      <c r="R71" s="440"/>
      <c r="S71" s="440"/>
      <c r="T71" s="440"/>
      <c r="U71" s="441"/>
      <c r="V71" s="410"/>
      <c r="W71" s="6"/>
    </row>
    <row r="72" spans="1:25" ht="15.6">
      <c r="A72" s="378"/>
      <c r="B72" s="379" t="s">
        <v>28</v>
      </c>
      <c r="C72" s="440"/>
      <c r="D72" s="440"/>
      <c r="E72" s="440"/>
      <c r="F72" s="440"/>
      <c r="G72" s="440"/>
      <c r="H72" s="440"/>
      <c r="I72" s="440"/>
      <c r="J72" s="440"/>
      <c r="K72" s="440">
        <v>138321</v>
      </c>
      <c r="L72" s="440"/>
      <c r="M72" s="440">
        <v>449</v>
      </c>
      <c r="N72" s="440"/>
      <c r="O72" s="440">
        <f>37+8</f>
        <v>45</v>
      </c>
      <c r="P72" s="440"/>
      <c r="Q72" s="440">
        <v>0</v>
      </c>
      <c r="R72" s="440"/>
      <c r="S72" s="440">
        <v>0</v>
      </c>
      <c r="T72" s="440"/>
      <c r="U72" s="441">
        <f>+M72-O72+Q72-S72</f>
        <v>404</v>
      </c>
      <c r="V72" s="410"/>
      <c r="W72" s="6"/>
      <c r="X72" s="182"/>
      <c r="Y72" s="182"/>
    </row>
    <row r="73" spans="1:25" ht="15.6">
      <c r="A73" s="378"/>
      <c r="B73" s="379" t="s">
        <v>25</v>
      </c>
      <c r="C73" s="440"/>
      <c r="D73" s="440"/>
      <c r="E73" s="440"/>
      <c r="F73" s="440"/>
      <c r="G73" s="440"/>
      <c r="H73" s="440"/>
      <c r="I73" s="440"/>
      <c r="J73" s="440"/>
      <c r="K73" s="440"/>
      <c r="L73" s="440"/>
      <c r="M73" s="440"/>
      <c r="N73" s="440"/>
      <c r="O73" s="440"/>
      <c r="P73" s="440"/>
      <c r="Q73" s="440">
        <v>0</v>
      </c>
      <c r="R73" s="440"/>
      <c r="S73" s="440">
        <v>0</v>
      </c>
      <c r="T73" s="440"/>
      <c r="U73" s="441"/>
      <c r="V73" s="410"/>
      <c r="W73" s="6"/>
    </row>
    <row r="74" spans="1:25" ht="15.6">
      <c r="A74" s="378"/>
      <c r="B74" s="440"/>
      <c r="C74" s="440"/>
      <c r="D74" s="440"/>
      <c r="E74" s="440"/>
      <c r="F74" s="440"/>
      <c r="G74" s="440"/>
      <c r="H74" s="440"/>
      <c r="I74" s="440"/>
      <c r="J74" s="440"/>
      <c r="K74" s="440"/>
      <c r="L74" s="440"/>
      <c r="M74" s="440"/>
      <c r="N74" s="440"/>
      <c r="O74" s="440"/>
      <c r="P74" s="440"/>
      <c r="Q74" s="440"/>
      <c r="R74" s="440"/>
      <c r="S74" s="440"/>
      <c r="T74" s="440"/>
      <c r="U74" s="441"/>
      <c r="V74" s="410"/>
      <c r="W74" s="6"/>
    </row>
    <row r="75" spans="1:25" ht="15.6">
      <c r="A75" s="378"/>
      <c r="B75" s="379" t="s">
        <v>29</v>
      </c>
      <c r="C75" s="440"/>
      <c r="D75" s="440"/>
      <c r="E75" s="440"/>
      <c r="F75" s="440"/>
      <c r="G75" s="440"/>
      <c r="H75" s="440"/>
      <c r="I75" s="440"/>
      <c r="J75" s="440"/>
      <c r="K75" s="440">
        <f>SUM(K63:K72)</f>
        <v>450000</v>
      </c>
      <c r="L75" s="440"/>
      <c r="M75" s="440">
        <f>SUM(M63:M72)</f>
        <v>104460</v>
      </c>
      <c r="N75" s="440"/>
      <c r="O75" s="440">
        <f>SUM(O63:O73)</f>
        <v>4783</v>
      </c>
      <c r="P75" s="440"/>
      <c r="Q75" s="440">
        <f>SUM(Q63:Q73)</f>
        <v>0</v>
      </c>
      <c r="R75" s="440"/>
      <c r="S75" s="440">
        <f>SUM(S70:S74)</f>
        <v>0</v>
      </c>
      <c r="T75" s="440"/>
      <c r="U75" s="440">
        <f>SUM(U63:U73)</f>
        <v>99677</v>
      </c>
      <c r="V75" s="410"/>
      <c r="W75" s="6"/>
      <c r="X75" s="182"/>
      <c r="Y75" s="182"/>
    </row>
    <row r="76" spans="1:25" ht="15.6">
      <c r="A76" s="378"/>
      <c r="B76" s="379"/>
      <c r="C76" s="440"/>
      <c r="D76" s="440"/>
      <c r="E76" s="440"/>
      <c r="F76" s="440"/>
      <c r="G76" s="440"/>
      <c r="H76" s="440"/>
      <c r="I76" s="440"/>
      <c r="J76" s="440"/>
      <c r="K76" s="440"/>
      <c r="L76" s="440"/>
      <c r="M76" s="440"/>
      <c r="N76" s="440"/>
      <c r="O76" s="440"/>
      <c r="P76" s="440"/>
      <c r="Q76" s="440"/>
      <c r="R76" s="440"/>
      <c r="S76" s="440"/>
      <c r="T76" s="440"/>
      <c r="U76" s="440"/>
      <c r="V76" s="410"/>
      <c r="W76" s="6"/>
    </row>
    <row r="77" spans="1:25" ht="15.6">
      <c r="A77" s="378"/>
      <c r="B77" s="379" t="s">
        <v>214</v>
      </c>
      <c r="C77" s="440"/>
      <c r="D77" s="440"/>
      <c r="E77" s="440"/>
      <c r="F77" s="440"/>
      <c r="G77" s="440"/>
      <c r="H77" s="440"/>
      <c r="I77" s="440"/>
      <c r="J77" s="440"/>
      <c r="K77" s="440">
        <v>0</v>
      </c>
      <c r="L77" s="440"/>
      <c r="M77" s="440">
        <v>-14276</v>
      </c>
      <c r="N77" s="440"/>
      <c r="O77" s="440">
        <v>-283</v>
      </c>
      <c r="P77" s="440"/>
      <c r="Q77" s="440"/>
      <c r="R77" s="440"/>
      <c r="S77" s="440"/>
      <c r="T77" s="440"/>
      <c r="U77" s="441">
        <f>+M77-O77</f>
        <v>-13993</v>
      </c>
      <c r="V77" s="410"/>
      <c r="W77" s="6"/>
      <c r="Y77" s="182"/>
    </row>
    <row r="78" spans="1:25" ht="15.6">
      <c r="A78" s="378"/>
      <c r="B78" s="379" t="s">
        <v>30</v>
      </c>
      <c r="C78" s="440"/>
      <c r="D78" s="440"/>
      <c r="E78" s="440"/>
      <c r="F78" s="440"/>
      <c r="G78" s="440"/>
      <c r="H78" s="440"/>
      <c r="I78" s="440"/>
      <c r="J78" s="440"/>
      <c r="K78" s="440">
        <v>0</v>
      </c>
      <c r="L78" s="440"/>
      <c r="M78" s="440">
        <v>0</v>
      </c>
      <c r="N78" s="440"/>
      <c r="O78" s="440">
        <v>0</v>
      </c>
      <c r="P78" s="440"/>
      <c r="Q78" s="440">
        <v>0</v>
      </c>
      <c r="R78" s="440"/>
      <c r="S78" s="440"/>
      <c r="T78" s="440"/>
      <c r="U78" s="440">
        <v>0</v>
      </c>
      <c r="V78" s="410"/>
      <c r="W78" s="6"/>
      <c r="X78" s="182"/>
    </row>
    <row r="79" spans="1:25" ht="15.6">
      <c r="A79" s="378"/>
      <c r="B79" s="379" t="s">
        <v>31</v>
      </c>
      <c r="C79" s="440"/>
      <c r="D79" s="440"/>
      <c r="E79" s="440"/>
      <c r="F79" s="440"/>
      <c r="G79" s="440"/>
      <c r="H79" s="440"/>
      <c r="I79" s="440"/>
      <c r="J79" s="440"/>
      <c r="K79" s="440">
        <v>0</v>
      </c>
      <c r="L79" s="440"/>
      <c r="M79" s="440">
        <v>0</v>
      </c>
      <c r="N79" s="440"/>
      <c r="O79" s="440"/>
      <c r="P79" s="440"/>
      <c r="Q79" s="440">
        <v>0</v>
      </c>
      <c r="R79" s="440"/>
      <c r="S79" s="440"/>
      <c r="T79" s="440"/>
      <c r="U79" s="440">
        <f>Q79+M79</f>
        <v>0</v>
      </c>
      <c r="V79" s="410"/>
      <c r="W79" s="6"/>
    </row>
    <row r="80" spans="1:25" ht="15.6">
      <c r="A80" s="378"/>
      <c r="B80" s="379" t="s">
        <v>16</v>
      </c>
      <c r="C80" s="440"/>
      <c r="D80" s="440"/>
      <c r="E80" s="440"/>
      <c r="F80" s="440"/>
      <c r="G80" s="440"/>
      <c r="H80" s="440"/>
      <c r="I80" s="440"/>
      <c r="J80" s="440"/>
      <c r="K80" s="440">
        <f>SUM(K75:K79)</f>
        <v>450000</v>
      </c>
      <c r="L80" s="440"/>
      <c r="M80" s="440">
        <f>SUM(M75:M79)</f>
        <v>90184</v>
      </c>
      <c r="N80" s="440"/>
      <c r="O80" s="440">
        <f>O78-O79</f>
        <v>0</v>
      </c>
      <c r="P80" s="440"/>
      <c r="Q80" s="440"/>
      <c r="R80" s="440"/>
      <c r="S80" s="440"/>
      <c r="T80" s="440"/>
      <c r="U80" s="440">
        <f>SUM(U75:U79)</f>
        <v>85684</v>
      </c>
      <c r="V80" s="410"/>
      <c r="W80" s="6"/>
      <c r="X80" s="182"/>
      <c r="Y80" s="182"/>
    </row>
    <row r="81" spans="1:24" ht="15.6">
      <c r="A81" s="242"/>
      <c r="B81" s="437"/>
      <c r="C81" s="438"/>
      <c r="D81" s="438"/>
      <c r="E81" s="438"/>
      <c r="F81" s="438"/>
      <c r="G81" s="438"/>
      <c r="H81" s="438"/>
      <c r="I81" s="438"/>
      <c r="J81" s="438"/>
      <c r="K81" s="438"/>
      <c r="L81" s="438"/>
      <c r="M81" s="438"/>
      <c r="N81" s="438"/>
      <c r="O81" s="438"/>
      <c r="P81" s="438"/>
      <c r="Q81" s="438"/>
      <c r="R81" s="438"/>
      <c r="S81" s="439"/>
      <c r="T81" s="438"/>
      <c r="U81" s="439"/>
      <c r="V81" s="245"/>
      <c r="W81" s="6"/>
    </row>
    <row r="82" spans="1:24" ht="15.6">
      <c r="A82" s="230"/>
      <c r="B82" s="511" t="s">
        <v>32</v>
      </c>
      <c r="C82" s="511"/>
      <c r="D82" s="511"/>
      <c r="E82" s="511"/>
      <c r="F82" s="511"/>
      <c r="G82" s="511"/>
      <c r="H82" s="511"/>
      <c r="I82" s="511"/>
      <c r="J82" s="511"/>
      <c r="K82" s="511"/>
      <c r="L82" s="511"/>
      <c r="M82" s="511"/>
      <c r="N82" s="511"/>
      <c r="O82" s="511"/>
      <c r="P82" s="511"/>
      <c r="Q82" s="511"/>
      <c r="R82" s="232"/>
      <c r="S82" s="232"/>
      <c r="T82" s="232"/>
      <c r="U82" s="232" t="s">
        <v>121</v>
      </c>
      <c r="V82" s="516"/>
      <c r="W82" s="6"/>
    </row>
    <row r="83" spans="1:24" ht="15.6">
      <c r="A83" s="315"/>
      <c r="B83" s="294" t="s">
        <v>33</v>
      </c>
      <c r="C83" s="294"/>
      <c r="D83" s="294"/>
      <c r="E83" s="294"/>
      <c r="F83" s="294"/>
      <c r="G83" s="294"/>
      <c r="H83" s="294"/>
      <c r="I83" s="294"/>
      <c r="J83" s="294"/>
      <c r="K83" s="294"/>
      <c r="L83" s="294"/>
      <c r="M83" s="294"/>
      <c r="N83" s="294"/>
      <c r="O83" s="310"/>
      <c r="P83" s="294"/>
      <c r="Q83" s="294"/>
      <c r="R83" s="294"/>
      <c r="S83" s="310"/>
      <c r="T83" s="294"/>
      <c r="U83" s="311">
        <v>47090</v>
      </c>
      <c r="V83" s="298"/>
      <c r="W83" s="6"/>
    </row>
    <row r="84" spans="1:24" ht="15.6">
      <c r="A84" s="444"/>
      <c r="B84" s="379" t="s">
        <v>34</v>
      </c>
      <c r="C84" s="431"/>
      <c r="D84" s="431"/>
      <c r="E84" s="431"/>
      <c r="F84" s="431"/>
      <c r="G84" s="431"/>
      <c r="H84" s="431"/>
      <c r="I84" s="431"/>
      <c r="J84" s="431"/>
      <c r="K84" s="431"/>
      <c r="L84" s="431"/>
      <c r="M84" s="430"/>
      <c r="N84" s="379"/>
      <c r="O84" s="379"/>
      <c r="P84" s="379"/>
      <c r="Q84" s="379"/>
      <c r="R84" s="379"/>
      <c r="S84" s="440"/>
      <c r="T84" s="379"/>
      <c r="U84" s="441">
        <f>-42+200+47</f>
        <v>205</v>
      </c>
      <c r="V84" s="410"/>
      <c r="W84" s="6"/>
    </row>
    <row r="85" spans="1:24" ht="15.6">
      <c r="A85" s="444"/>
      <c r="B85" s="379" t="s">
        <v>230</v>
      </c>
      <c r="C85" s="379"/>
      <c r="D85" s="379"/>
      <c r="E85" s="379"/>
      <c r="F85" s="379"/>
      <c r="G85" s="379"/>
      <c r="H85" s="379"/>
      <c r="I85" s="379"/>
      <c r="J85" s="379"/>
      <c r="K85" s="379"/>
      <c r="L85" s="379"/>
      <c r="M85" s="379"/>
      <c r="N85" s="379"/>
      <c r="O85" s="379"/>
      <c r="P85" s="379"/>
      <c r="Q85" s="379"/>
      <c r="R85" s="379"/>
      <c r="S85" s="440"/>
      <c r="T85" s="379"/>
      <c r="U85" s="441">
        <v>0</v>
      </c>
      <c r="V85" s="410"/>
      <c r="W85" s="6"/>
      <c r="X85" s="64"/>
    </row>
    <row r="86" spans="1:24" ht="15.6">
      <c r="A86" s="444"/>
      <c r="B86" s="379" t="s">
        <v>231</v>
      </c>
      <c r="C86" s="379"/>
      <c r="D86" s="379"/>
      <c r="E86" s="379"/>
      <c r="F86" s="379"/>
      <c r="G86" s="379"/>
      <c r="H86" s="379"/>
      <c r="I86" s="379"/>
      <c r="J86" s="379"/>
      <c r="K86" s="379"/>
      <c r="L86" s="379"/>
      <c r="M86" s="379"/>
      <c r="N86" s="379"/>
      <c r="O86" s="379"/>
      <c r="P86" s="379"/>
      <c r="Q86" s="379"/>
      <c r="R86" s="379"/>
      <c r="S86" s="440"/>
      <c r="T86" s="379"/>
      <c r="U86" s="441">
        <v>0</v>
      </c>
      <c r="V86" s="410"/>
      <c r="W86" s="6"/>
      <c r="X86" s="64"/>
    </row>
    <row r="87" spans="1:24" ht="15.6">
      <c r="A87" s="444"/>
      <c r="B87" s="379" t="s">
        <v>35</v>
      </c>
      <c r="C87" s="379"/>
      <c r="D87" s="379"/>
      <c r="E87" s="379"/>
      <c r="F87" s="379"/>
      <c r="G87" s="379"/>
      <c r="H87" s="379"/>
      <c r="I87" s="379"/>
      <c r="J87" s="379"/>
      <c r="K87" s="379"/>
      <c r="L87" s="379"/>
      <c r="M87" s="379"/>
      <c r="N87" s="379"/>
      <c r="O87" s="379"/>
      <c r="P87" s="379"/>
      <c r="Q87" s="379"/>
      <c r="R87" s="379"/>
      <c r="S87" s="440"/>
      <c r="T87" s="379"/>
      <c r="U87" s="441">
        <f>SUM(U83:U86)</f>
        <v>47295</v>
      </c>
      <c r="V87" s="410"/>
      <c r="W87" s="6"/>
      <c r="X87" s="64"/>
    </row>
    <row r="88" spans="1:24" ht="15.6">
      <c r="A88" s="444"/>
      <c r="B88" s="379"/>
      <c r="C88" s="379"/>
      <c r="D88" s="379"/>
      <c r="E88" s="379"/>
      <c r="F88" s="379"/>
      <c r="G88" s="379"/>
      <c r="H88" s="379"/>
      <c r="I88" s="379"/>
      <c r="J88" s="379"/>
      <c r="K88" s="379"/>
      <c r="L88" s="379"/>
      <c r="M88" s="379"/>
      <c r="N88" s="379"/>
      <c r="O88" s="379"/>
      <c r="P88" s="379"/>
      <c r="Q88" s="379"/>
      <c r="R88" s="379"/>
      <c r="S88" s="440"/>
      <c r="T88" s="379"/>
      <c r="U88" s="440"/>
      <c r="V88" s="410"/>
      <c r="W88" s="6"/>
    </row>
    <row r="89" spans="1:24" ht="15.6">
      <c r="A89" s="444"/>
      <c r="B89" s="446" t="s">
        <v>36</v>
      </c>
      <c r="C89" s="446"/>
      <c r="D89" s="446"/>
      <c r="E89" s="446"/>
      <c r="F89" s="446"/>
      <c r="G89" s="446"/>
      <c r="H89" s="446"/>
      <c r="I89" s="446"/>
      <c r="J89" s="446"/>
      <c r="K89" s="446"/>
      <c r="L89" s="446"/>
      <c r="M89" s="379"/>
      <c r="N89" s="379"/>
      <c r="O89" s="379"/>
      <c r="P89" s="379"/>
      <c r="Q89" s="379"/>
      <c r="R89" s="379"/>
      <c r="S89" s="440"/>
      <c r="T89" s="379"/>
      <c r="U89" s="441"/>
      <c r="V89" s="410"/>
      <c r="W89" s="6"/>
      <c r="X89" s="64"/>
    </row>
    <row r="90" spans="1:24" ht="15.6">
      <c r="A90" s="444">
        <v>1</v>
      </c>
      <c r="B90" s="379" t="s">
        <v>37</v>
      </c>
      <c r="C90" s="379"/>
      <c r="D90" s="379"/>
      <c r="E90" s="379"/>
      <c r="F90" s="379"/>
      <c r="G90" s="379"/>
      <c r="H90" s="379"/>
      <c r="I90" s="379"/>
      <c r="J90" s="379"/>
      <c r="K90" s="379"/>
      <c r="L90" s="379"/>
      <c r="M90" s="379"/>
      <c r="N90" s="379"/>
      <c r="O90" s="379"/>
      <c r="P90" s="379"/>
      <c r="Q90" s="379"/>
      <c r="R90" s="379"/>
      <c r="S90" s="379"/>
      <c r="T90" s="379"/>
      <c r="U90" s="441">
        <v>-2</v>
      </c>
      <c r="V90" s="410"/>
      <c r="W90" s="6"/>
    </row>
    <row r="91" spans="1:24" ht="15.6">
      <c r="A91" s="444">
        <f>A90+1</f>
        <v>2</v>
      </c>
      <c r="B91" s="379" t="s">
        <v>168</v>
      </c>
      <c r="C91" s="379"/>
      <c r="D91" s="379"/>
      <c r="E91" s="379"/>
      <c r="F91" s="379"/>
      <c r="G91" s="379"/>
      <c r="H91" s="379"/>
      <c r="I91" s="379"/>
      <c r="J91" s="379"/>
      <c r="K91" s="379"/>
      <c r="L91" s="379"/>
      <c r="M91" s="379"/>
      <c r="N91" s="379"/>
      <c r="O91" s="379"/>
      <c r="P91" s="379"/>
      <c r="Q91" s="379"/>
      <c r="R91" s="379"/>
      <c r="S91" s="379"/>
      <c r="T91" s="379"/>
      <c r="U91" s="441">
        <f>-91-22-1</f>
        <v>-114</v>
      </c>
      <c r="V91" s="410"/>
      <c r="W91" s="6"/>
      <c r="X91" s="64"/>
    </row>
    <row r="92" spans="1:24" ht="15.6">
      <c r="A92" s="444">
        <v>3</v>
      </c>
      <c r="B92" s="379" t="s">
        <v>38</v>
      </c>
      <c r="C92" s="379"/>
      <c r="D92" s="379"/>
      <c r="E92" s="379"/>
      <c r="F92" s="379"/>
      <c r="G92" s="379"/>
      <c r="H92" s="379"/>
      <c r="I92" s="379"/>
      <c r="J92" s="379"/>
      <c r="K92" s="379"/>
      <c r="L92" s="379"/>
      <c r="M92" s="379"/>
      <c r="N92" s="379"/>
      <c r="O92" s="379"/>
      <c r="P92" s="379"/>
      <c r="Q92" s="379"/>
      <c r="R92" s="379"/>
      <c r="S92" s="379"/>
      <c r="T92" s="379"/>
      <c r="U92" s="441">
        <v>-11</v>
      </c>
      <c r="V92" s="410"/>
      <c r="W92" s="6"/>
      <c r="X92" s="64"/>
    </row>
    <row r="93" spans="1:24" ht="15.6">
      <c r="A93" s="447" t="s">
        <v>190</v>
      </c>
      <c r="B93" s="379" t="s">
        <v>169</v>
      </c>
      <c r="C93" s="379"/>
      <c r="D93" s="379"/>
      <c r="E93" s="379"/>
      <c r="F93" s="379"/>
      <c r="G93" s="379"/>
      <c r="H93" s="379"/>
      <c r="I93" s="379"/>
      <c r="J93" s="379"/>
      <c r="K93" s="379"/>
      <c r="L93" s="379"/>
      <c r="M93" s="379"/>
      <c r="N93" s="379"/>
      <c r="O93" s="379"/>
      <c r="P93" s="379"/>
      <c r="Q93" s="379"/>
      <c r="R93" s="379"/>
      <c r="S93" s="379"/>
      <c r="T93" s="379"/>
      <c r="U93" s="441">
        <v>-46</v>
      </c>
      <c r="V93" s="410"/>
      <c r="W93" s="6"/>
      <c r="X93" s="64"/>
    </row>
    <row r="94" spans="1:24" ht="15.6">
      <c r="A94" s="447" t="s">
        <v>191</v>
      </c>
      <c r="B94" s="379" t="s">
        <v>170</v>
      </c>
      <c r="C94" s="379"/>
      <c r="D94" s="379"/>
      <c r="E94" s="379"/>
      <c r="F94" s="379"/>
      <c r="G94" s="379"/>
      <c r="H94" s="379"/>
      <c r="I94" s="379"/>
      <c r="J94" s="379"/>
      <c r="K94" s="379"/>
      <c r="L94" s="379"/>
      <c r="M94" s="379"/>
      <c r="N94" s="379"/>
      <c r="O94" s="379"/>
      <c r="P94" s="379"/>
      <c r="Q94" s="379"/>
      <c r="R94" s="379"/>
      <c r="S94" s="379"/>
      <c r="T94" s="379"/>
      <c r="U94" s="441">
        <v>-59</v>
      </c>
      <c r="V94" s="410"/>
      <c r="W94" s="6"/>
      <c r="X94" s="182"/>
    </row>
    <row r="95" spans="1:24" ht="15.6">
      <c r="A95" s="444">
        <v>5</v>
      </c>
      <c r="B95" s="379" t="s">
        <v>171</v>
      </c>
      <c r="C95" s="379"/>
      <c r="D95" s="379"/>
      <c r="E95" s="379"/>
      <c r="F95" s="379"/>
      <c r="G95" s="379"/>
      <c r="H95" s="379"/>
      <c r="I95" s="379"/>
      <c r="J95" s="379"/>
      <c r="K95" s="379"/>
      <c r="L95" s="379"/>
      <c r="M95" s="379"/>
      <c r="N95" s="379"/>
      <c r="O95" s="379"/>
      <c r="P95" s="379"/>
      <c r="Q95" s="379"/>
      <c r="R95" s="379"/>
      <c r="S95" s="379"/>
      <c r="T95" s="379"/>
      <c r="U95" s="441">
        <v>-9</v>
      </c>
      <c r="V95" s="410"/>
      <c r="W95" s="6"/>
    </row>
    <row r="96" spans="1:24" ht="15.6">
      <c r="A96" s="447" t="s">
        <v>174</v>
      </c>
      <c r="B96" s="379" t="s">
        <v>172</v>
      </c>
      <c r="C96" s="379"/>
      <c r="D96" s="379"/>
      <c r="E96" s="379"/>
      <c r="F96" s="379"/>
      <c r="G96" s="379"/>
      <c r="H96" s="379"/>
      <c r="I96" s="379"/>
      <c r="J96" s="379"/>
      <c r="K96" s="379"/>
      <c r="L96" s="379"/>
      <c r="M96" s="379"/>
      <c r="N96" s="379"/>
      <c r="O96" s="379"/>
      <c r="P96" s="379"/>
      <c r="Q96" s="379"/>
      <c r="R96" s="379"/>
      <c r="S96" s="379"/>
      <c r="T96" s="379"/>
      <c r="U96" s="441">
        <v>-20</v>
      </c>
      <c r="V96" s="410"/>
      <c r="W96" s="6"/>
      <c r="X96" s="182"/>
    </row>
    <row r="97" spans="1:24" ht="15.6">
      <c r="A97" s="447" t="s">
        <v>176</v>
      </c>
      <c r="B97" s="379" t="s">
        <v>173</v>
      </c>
      <c r="C97" s="379"/>
      <c r="D97" s="379"/>
      <c r="E97" s="379"/>
      <c r="F97" s="379"/>
      <c r="G97" s="379"/>
      <c r="H97" s="379"/>
      <c r="I97" s="379"/>
      <c r="J97" s="379"/>
      <c r="K97" s="379"/>
      <c r="L97" s="379"/>
      <c r="M97" s="379"/>
      <c r="N97" s="379"/>
      <c r="O97" s="379"/>
      <c r="P97" s="379"/>
      <c r="Q97" s="379"/>
      <c r="R97" s="379"/>
      <c r="S97" s="379"/>
      <c r="T97" s="379"/>
      <c r="U97" s="441">
        <v>-32</v>
      </c>
      <c r="V97" s="410"/>
      <c r="W97" s="119"/>
      <c r="X97" s="182"/>
    </row>
    <row r="98" spans="1:24" ht="15.6">
      <c r="A98" s="447" t="s">
        <v>178</v>
      </c>
      <c r="B98" s="379" t="s">
        <v>175</v>
      </c>
      <c r="C98" s="379"/>
      <c r="D98" s="379"/>
      <c r="E98" s="379"/>
      <c r="F98" s="379"/>
      <c r="G98" s="379"/>
      <c r="H98" s="379"/>
      <c r="I98" s="379"/>
      <c r="J98" s="379"/>
      <c r="K98" s="379"/>
      <c r="L98" s="379"/>
      <c r="M98" s="379"/>
      <c r="N98" s="379"/>
      <c r="O98" s="379"/>
      <c r="P98" s="379"/>
      <c r="Q98" s="379"/>
      <c r="R98" s="379"/>
      <c r="S98" s="379"/>
      <c r="T98" s="379"/>
      <c r="U98" s="441">
        <v>-32</v>
      </c>
      <c r="V98" s="410"/>
      <c r="W98" s="6"/>
      <c r="X98" s="182"/>
    </row>
    <row r="99" spans="1:24" ht="15.6">
      <c r="A99" s="447" t="s">
        <v>180</v>
      </c>
      <c r="B99" s="379" t="s">
        <v>177</v>
      </c>
      <c r="C99" s="379"/>
      <c r="D99" s="379"/>
      <c r="E99" s="379"/>
      <c r="F99" s="379"/>
      <c r="G99" s="379"/>
      <c r="H99" s="379"/>
      <c r="I99" s="379"/>
      <c r="J99" s="379"/>
      <c r="K99" s="379"/>
      <c r="L99" s="379"/>
      <c r="M99" s="379"/>
      <c r="N99" s="379"/>
      <c r="O99" s="379"/>
      <c r="P99" s="379"/>
      <c r="Q99" s="379"/>
      <c r="R99" s="379"/>
      <c r="S99" s="379"/>
      <c r="T99" s="379"/>
      <c r="U99" s="441">
        <v>-42</v>
      </c>
      <c r="V99" s="410"/>
      <c r="W99" s="119"/>
      <c r="X99" s="182"/>
    </row>
    <row r="100" spans="1:24" ht="15.6">
      <c r="A100" s="447" t="s">
        <v>192</v>
      </c>
      <c r="B100" s="379" t="s">
        <v>179</v>
      </c>
      <c r="C100" s="379"/>
      <c r="D100" s="379"/>
      <c r="E100" s="379"/>
      <c r="F100" s="379"/>
      <c r="G100" s="379"/>
      <c r="H100" s="379"/>
      <c r="I100" s="379"/>
      <c r="J100" s="379"/>
      <c r="K100" s="379"/>
      <c r="L100" s="379"/>
      <c r="M100" s="379"/>
      <c r="N100" s="379"/>
      <c r="O100" s="379"/>
      <c r="P100" s="379"/>
      <c r="Q100" s="379"/>
      <c r="R100" s="379"/>
      <c r="S100" s="379"/>
      <c r="T100" s="379"/>
      <c r="U100" s="441">
        <v>-61</v>
      </c>
      <c r="V100" s="410"/>
      <c r="W100" s="6"/>
      <c r="X100" s="182"/>
    </row>
    <row r="101" spans="1:24" ht="15.6">
      <c r="A101" s="447" t="s">
        <v>193</v>
      </c>
      <c r="B101" s="379" t="s">
        <v>181</v>
      </c>
      <c r="C101" s="379"/>
      <c r="D101" s="379"/>
      <c r="E101" s="379"/>
      <c r="F101" s="379"/>
      <c r="G101" s="379"/>
      <c r="H101" s="379"/>
      <c r="I101" s="379"/>
      <c r="J101" s="379"/>
      <c r="K101" s="379"/>
      <c r="L101" s="379"/>
      <c r="M101" s="379"/>
      <c r="N101" s="379"/>
      <c r="O101" s="379"/>
      <c r="P101" s="379"/>
      <c r="Q101" s="379"/>
      <c r="R101" s="379"/>
      <c r="S101" s="379"/>
      <c r="T101" s="379"/>
      <c r="U101" s="441">
        <v>-53</v>
      </c>
      <c r="V101" s="410"/>
      <c r="W101" s="119"/>
      <c r="X101" s="182"/>
    </row>
    <row r="102" spans="1:24" ht="15.6">
      <c r="A102" s="444">
        <v>9</v>
      </c>
      <c r="B102" s="379" t="s">
        <v>257</v>
      </c>
      <c r="C102" s="379"/>
      <c r="D102" s="379"/>
      <c r="E102" s="379"/>
      <c r="F102" s="379"/>
      <c r="G102" s="379"/>
      <c r="H102" s="379"/>
      <c r="I102" s="379"/>
      <c r="J102" s="379"/>
      <c r="K102" s="379"/>
      <c r="L102" s="379"/>
      <c r="M102" s="379"/>
      <c r="N102" s="379"/>
      <c r="O102" s="379"/>
      <c r="P102" s="379"/>
      <c r="Q102" s="379"/>
      <c r="R102" s="379"/>
      <c r="S102" s="379"/>
      <c r="T102" s="379"/>
      <c r="U102" s="441">
        <f>+S219-U32</f>
        <v>-4500.3524000000034</v>
      </c>
      <c r="V102" s="410"/>
      <c r="W102" s="6"/>
      <c r="X102" s="182"/>
    </row>
    <row r="103" spans="1:24" ht="15.6">
      <c r="A103" s="444">
        <v>10</v>
      </c>
      <c r="B103" s="379" t="s">
        <v>234</v>
      </c>
      <c r="C103" s="379"/>
      <c r="D103" s="379"/>
      <c r="E103" s="379"/>
      <c r="F103" s="379"/>
      <c r="G103" s="379"/>
      <c r="H103" s="379"/>
      <c r="I103" s="379"/>
      <c r="J103" s="379"/>
      <c r="K103" s="379"/>
      <c r="L103" s="379"/>
      <c r="M103" s="379"/>
      <c r="N103" s="379"/>
      <c r="O103" s="379"/>
      <c r="P103" s="379"/>
      <c r="Q103" s="379"/>
      <c r="R103" s="379"/>
      <c r="S103" s="379"/>
      <c r="T103" s="379"/>
      <c r="U103" s="441">
        <v>-40500</v>
      </c>
      <c r="V103" s="410"/>
      <c r="W103" s="6"/>
      <c r="X103" s="64"/>
    </row>
    <row r="104" spans="1:24" ht="15.6">
      <c r="A104" s="444">
        <v>11</v>
      </c>
      <c r="B104" s="379" t="s">
        <v>183</v>
      </c>
      <c r="C104" s="379"/>
      <c r="D104" s="379"/>
      <c r="E104" s="379"/>
      <c r="F104" s="379"/>
      <c r="G104" s="379"/>
      <c r="H104" s="379"/>
      <c r="I104" s="379"/>
      <c r="J104" s="379"/>
      <c r="K104" s="379"/>
      <c r="L104" s="379"/>
      <c r="M104" s="379"/>
      <c r="N104" s="379"/>
      <c r="O104" s="379"/>
      <c r="P104" s="379"/>
      <c r="Q104" s="379"/>
      <c r="R104" s="379"/>
      <c r="S104" s="379"/>
      <c r="T104" s="379"/>
      <c r="U104" s="441">
        <v>0</v>
      </c>
      <c r="V104" s="410"/>
      <c r="W104" s="6"/>
      <c r="X104" s="64"/>
    </row>
    <row r="105" spans="1:24" ht="15.6">
      <c r="A105" s="444">
        <v>12</v>
      </c>
      <c r="B105" s="379" t="s">
        <v>184</v>
      </c>
      <c r="C105" s="379"/>
      <c r="D105" s="379"/>
      <c r="E105" s="379"/>
      <c r="F105" s="379"/>
      <c r="G105" s="379"/>
      <c r="H105" s="379"/>
      <c r="I105" s="379"/>
      <c r="J105" s="379"/>
      <c r="K105" s="379"/>
      <c r="L105" s="379"/>
      <c r="M105" s="379"/>
      <c r="N105" s="379"/>
      <c r="O105" s="379"/>
      <c r="P105" s="379"/>
      <c r="Q105" s="379"/>
      <c r="R105" s="379"/>
      <c r="S105" s="379"/>
      <c r="T105" s="379"/>
      <c r="U105" s="441">
        <v>-102</v>
      </c>
      <c r="V105" s="410"/>
      <c r="W105" s="6"/>
      <c r="X105" s="182"/>
    </row>
    <row r="106" spans="1:24" ht="15.6">
      <c r="A106" s="444">
        <v>13</v>
      </c>
      <c r="B106" s="379" t="s">
        <v>40</v>
      </c>
      <c r="C106" s="379"/>
      <c r="D106" s="379"/>
      <c r="E106" s="379"/>
      <c r="F106" s="379"/>
      <c r="G106" s="379"/>
      <c r="H106" s="379"/>
      <c r="I106" s="379"/>
      <c r="J106" s="379"/>
      <c r="K106" s="379"/>
      <c r="L106" s="379"/>
      <c r="M106" s="379"/>
      <c r="N106" s="379"/>
      <c r="O106" s="379"/>
      <c r="P106" s="379"/>
      <c r="Q106" s="379"/>
      <c r="R106" s="379"/>
      <c r="S106" s="379"/>
      <c r="T106" s="379"/>
      <c r="U106" s="441">
        <f>-SUM(U87:V105)</f>
        <v>-1711.6475999999966</v>
      </c>
      <c r="V106" s="410"/>
      <c r="W106" s="6"/>
      <c r="X106" s="182"/>
    </row>
    <row r="107" spans="1:24" ht="15.6">
      <c r="A107" s="316"/>
      <c r="B107" s="443"/>
      <c r="C107" s="364"/>
      <c r="D107" s="364"/>
      <c r="E107" s="364"/>
      <c r="F107" s="364"/>
      <c r="G107" s="364"/>
      <c r="H107" s="364"/>
      <c r="I107" s="364"/>
      <c r="J107" s="364"/>
      <c r="K107" s="364"/>
      <c r="L107" s="364"/>
      <c r="M107" s="364"/>
      <c r="N107" s="364"/>
      <c r="O107" s="364"/>
      <c r="P107" s="364"/>
      <c r="Q107" s="364"/>
      <c r="R107" s="364"/>
      <c r="S107" s="360"/>
      <c r="T107" s="360"/>
      <c r="U107" s="360"/>
      <c r="V107" s="303"/>
      <c r="W107" s="6"/>
      <c r="X107" s="182"/>
    </row>
    <row r="108" spans="1:24" ht="15.6">
      <c r="A108" s="316"/>
      <c r="B108" s="317"/>
      <c r="C108" s="288"/>
      <c r="D108" s="288"/>
      <c r="E108" s="288"/>
      <c r="F108" s="288"/>
      <c r="G108" s="288"/>
      <c r="H108" s="288"/>
      <c r="I108" s="288"/>
      <c r="J108" s="288"/>
      <c r="K108" s="288"/>
      <c r="L108" s="288"/>
      <c r="M108" s="288"/>
      <c r="N108" s="288"/>
      <c r="O108" s="288"/>
      <c r="P108" s="288"/>
      <c r="Q108" s="288"/>
      <c r="R108" s="288"/>
      <c r="S108" s="318"/>
      <c r="T108" s="318"/>
      <c r="U108" s="318"/>
      <c r="V108" s="303"/>
      <c r="W108" s="6"/>
    </row>
    <row r="109" spans="1:24" ht="16.2" thickBot="1">
      <c r="A109" s="319"/>
      <c r="B109" s="304" t="str">
        <f>+B59</f>
        <v>PPAF3 INVESTOR REPORT QUARTER ENDING DECEMBER 2015</v>
      </c>
      <c r="C109" s="305"/>
      <c r="D109" s="305"/>
      <c r="E109" s="305"/>
      <c r="F109" s="305"/>
      <c r="G109" s="305"/>
      <c r="H109" s="305"/>
      <c r="I109" s="305"/>
      <c r="J109" s="305"/>
      <c r="K109" s="305"/>
      <c r="L109" s="305"/>
      <c r="M109" s="305"/>
      <c r="N109" s="305"/>
      <c r="O109" s="305"/>
      <c r="P109" s="305"/>
      <c r="Q109" s="305"/>
      <c r="R109" s="305"/>
      <c r="S109" s="320"/>
      <c r="T109" s="320"/>
      <c r="U109" s="320"/>
      <c r="V109" s="307"/>
      <c r="W109" s="6"/>
    </row>
    <row r="110" spans="1:24" ht="15.6">
      <c r="A110" s="238"/>
      <c r="B110" s="240"/>
      <c r="C110" s="240"/>
      <c r="D110" s="240"/>
      <c r="E110" s="240"/>
      <c r="F110" s="240"/>
      <c r="G110" s="240"/>
      <c r="H110" s="240"/>
      <c r="I110" s="240"/>
      <c r="J110" s="240"/>
      <c r="K110" s="240"/>
      <c r="L110" s="240"/>
      <c r="M110" s="240"/>
      <c r="N110" s="240"/>
      <c r="O110" s="240"/>
      <c r="P110" s="240"/>
      <c r="Q110" s="240"/>
      <c r="R110" s="240"/>
      <c r="S110" s="269"/>
      <c r="T110" s="269"/>
      <c r="U110" s="269"/>
      <c r="V110" s="241"/>
      <c r="W110" s="6"/>
    </row>
    <row r="111" spans="1:24" ht="15.6">
      <c r="A111" s="321"/>
      <c r="B111" s="517" t="s">
        <v>41</v>
      </c>
      <c r="C111" s="322"/>
      <c r="D111" s="322"/>
      <c r="E111" s="322"/>
      <c r="F111" s="322"/>
      <c r="G111" s="322"/>
      <c r="H111" s="322"/>
      <c r="I111" s="322"/>
      <c r="J111" s="322"/>
      <c r="K111" s="322"/>
      <c r="L111" s="322"/>
      <c r="M111" s="322"/>
      <c r="N111" s="322"/>
      <c r="O111" s="322"/>
      <c r="P111" s="322"/>
      <c r="Q111" s="322"/>
      <c r="R111" s="322"/>
      <c r="S111" s="322"/>
      <c r="T111" s="322"/>
      <c r="U111" s="323"/>
      <c r="V111" s="324"/>
      <c r="W111" s="6"/>
    </row>
    <row r="112" spans="1:24" ht="15.6">
      <c r="A112" s="270"/>
      <c r="B112" s="271"/>
      <c r="C112" s="271"/>
      <c r="D112" s="271"/>
      <c r="E112" s="271"/>
      <c r="F112" s="271"/>
      <c r="G112" s="271"/>
      <c r="H112" s="271"/>
      <c r="I112" s="271"/>
      <c r="J112" s="271"/>
      <c r="K112" s="271"/>
      <c r="L112" s="271"/>
      <c r="M112" s="271"/>
      <c r="N112" s="271"/>
      <c r="O112" s="271"/>
      <c r="P112" s="271"/>
      <c r="Q112" s="271"/>
      <c r="R112" s="271"/>
      <c r="S112" s="271"/>
      <c r="T112" s="271"/>
      <c r="U112" s="272"/>
      <c r="V112" s="273"/>
      <c r="W112" s="6"/>
    </row>
    <row r="113" spans="1:24" ht="15.6">
      <c r="A113" s="242"/>
      <c r="B113" s="274" t="s">
        <v>42</v>
      </c>
      <c r="C113" s="252"/>
      <c r="D113" s="252"/>
      <c r="E113" s="252"/>
      <c r="F113" s="252"/>
      <c r="G113" s="252"/>
      <c r="H113" s="252"/>
      <c r="I113" s="252"/>
      <c r="J113" s="252"/>
      <c r="K113" s="252"/>
      <c r="L113" s="252"/>
      <c r="M113" s="244"/>
      <c r="N113" s="244"/>
      <c r="O113" s="244"/>
      <c r="P113" s="244"/>
      <c r="Q113" s="244"/>
      <c r="R113" s="244"/>
      <c r="S113" s="244"/>
      <c r="T113" s="244"/>
      <c r="U113" s="263"/>
      <c r="V113" s="245"/>
      <c r="W113" s="6"/>
    </row>
    <row r="114" spans="1:24" ht="15.6">
      <c r="A114" s="378"/>
      <c r="B114" s="379" t="s">
        <v>43</v>
      </c>
      <c r="C114" s="379"/>
      <c r="D114" s="379"/>
      <c r="E114" s="379"/>
      <c r="F114" s="379"/>
      <c r="G114" s="379"/>
      <c r="H114" s="379"/>
      <c r="I114" s="379"/>
      <c r="J114" s="379"/>
      <c r="K114" s="379"/>
      <c r="L114" s="379"/>
      <c r="M114" s="379"/>
      <c r="N114" s="379"/>
      <c r="O114" s="379"/>
      <c r="P114" s="379"/>
      <c r="Q114" s="379"/>
      <c r="R114" s="379"/>
      <c r="S114" s="379"/>
      <c r="T114" s="379"/>
      <c r="U114" s="441">
        <v>40500</v>
      </c>
      <c r="V114" s="410"/>
      <c r="W114" s="6"/>
    </row>
    <row r="115" spans="1:24" ht="15.6">
      <c r="A115" s="378"/>
      <c r="B115" s="379" t="s">
        <v>240</v>
      </c>
      <c r="C115" s="379"/>
      <c r="D115" s="379"/>
      <c r="E115" s="379"/>
      <c r="F115" s="379"/>
      <c r="G115" s="379"/>
      <c r="H115" s="379"/>
      <c r="I115" s="379"/>
      <c r="J115" s="379"/>
      <c r="K115" s="379"/>
      <c r="L115" s="379"/>
      <c r="M115" s="379"/>
      <c r="N115" s="379"/>
      <c r="O115" s="379"/>
      <c r="P115" s="379"/>
      <c r="Q115" s="379"/>
      <c r="R115" s="379"/>
      <c r="S115" s="379"/>
      <c r="T115" s="379"/>
      <c r="U115" s="441">
        <v>40500</v>
      </c>
      <c r="V115" s="410"/>
      <c r="W115" s="6"/>
    </row>
    <row r="116" spans="1:24" ht="15.6">
      <c r="A116" s="378"/>
      <c r="B116" s="379" t="s">
        <v>241</v>
      </c>
      <c r="C116" s="379"/>
      <c r="D116" s="379"/>
      <c r="E116" s="379"/>
      <c r="F116" s="379"/>
      <c r="G116" s="379"/>
      <c r="H116" s="379"/>
      <c r="I116" s="379"/>
      <c r="J116" s="379"/>
      <c r="K116" s="379"/>
      <c r="L116" s="379"/>
      <c r="M116" s="379"/>
      <c r="N116" s="379"/>
      <c r="O116" s="379"/>
      <c r="P116" s="379"/>
      <c r="Q116" s="379"/>
      <c r="R116" s="379"/>
      <c r="S116" s="379"/>
      <c r="T116" s="379"/>
      <c r="U116" s="441">
        <v>0</v>
      </c>
      <c r="V116" s="410"/>
      <c r="W116" s="6"/>
    </row>
    <row r="117" spans="1:24" ht="15.6">
      <c r="A117" s="378"/>
      <c r="B117" s="379" t="s">
        <v>209</v>
      </c>
      <c r="C117" s="379"/>
      <c r="D117" s="379"/>
      <c r="E117" s="379"/>
      <c r="F117" s="379"/>
      <c r="G117" s="379"/>
      <c r="H117" s="379"/>
      <c r="I117" s="379"/>
      <c r="J117" s="379"/>
      <c r="K117" s="379"/>
      <c r="L117" s="379"/>
      <c r="M117" s="379"/>
      <c r="N117" s="379"/>
      <c r="O117" s="379"/>
      <c r="P117" s="379"/>
      <c r="Q117" s="379"/>
      <c r="R117" s="379"/>
      <c r="S117" s="379"/>
      <c r="T117" s="379"/>
      <c r="U117" s="441">
        <v>0</v>
      </c>
      <c r="V117" s="410"/>
      <c r="W117" s="6"/>
    </row>
    <row r="118" spans="1:24" ht="15.6">
      <c r="A118" s="378"/>
      <c r="B118" s="379" t="s">
        <v>210</v>
      </c>
      <c r="C118" s="379"/>
      <c r="D118" s="379"/>
      <c r="E118" s="379"/>
      <c r="F118" s="379"/>
      <c r="G118" s="379"/>
      <c r="H118" s="379"/>
      <c r="I118" s="379"/>
      <c r="J118" s="379"/>
      <c r="K118" s="379"/>
      <c r="L118" s="379"/>
      <c r="M118" s="379"/>
      <c r="N118" s="379"/>
      <c r="O118" s="379"/>
      <c r="P118" s="379"/>
      <c r="Q118" s="379"/>
      <c r="R118" s="379"/>
      <c r="S118" s="379"/>
      <c r="T118" s="379"/>
      <c r="U118" s="441">
        <v>0</v>
      </c>
      <c r="V118" s="410"/>
      <c r="W118" s="6"/>
    </row>
    <row r="119" spans="1:24" ht="15.6">
      <c r="A119" s="378"/>
      <c r="B119" s="379" t="s">
        <v>211</v>
      </c>
      <c r="C119" s="379"/>
      <c r="D119" s="379"/>
      <c r="E119" s="379"/>
      <c r="F119" s="379"/>
      <c r="G119" s="379"/>
      <c r="H119" s="379"/>
      <c r="I119" s="379"/>
      <c r="J119" s="379"/>
      <c r="K119" s="379"/>
      <c r="L119" s="379"/>
      <c r="M119" s="379"/>
      <c r="N119" s="379"/>
      <c r="O119" s="379"/>
      <c r="P119" s="379"/>
      <c r="Q119" s="379"/>
      <c r="R119" s="379"/>
      <c r="S119" s="379"/>
      <c r="T119" s="379"/>
      <c r="U119" s="441">
        <v>0</v>
      </c>
      <c r="V119" s="410"/>
      <c r="W119" s="6"/>
    </row>
    <row r="120" spans="1:24" ht="15.6">
      <c r="A120" s="378"/>
      <c r="B120" s="379" t="s">
        <v>212</v>
      </c>
      <c r="C120" s="379"/>
      <c r="D120" s="379"/>
      <c r="E120" s="379"/>
      <c r="F120" s="379"/>
      <c r="G120" s="379"/>
      <c r="H120" s="379"/>
      <c r="I120" s="379"/>
      <c r="J120" s="379"/>
      <c r="K120" s="379"/>
      <c r="L120" s="379"/>
      <c r="M120" s="379"/>
      <c r="N120" s="379"/>
      <c r="O120" s="379"/>
      <c r="P120" s="379"/>
      <c r="Q120" s="379"/>
      <c r="R120" s="379"/>
      <c r="S120" s="379"/>
      <c r="T120" s="379"/>
      <c r="U120" s="441">
        <v>0</v>
      </c>
      <c r="V120" s="410"/>
      <c r="W120" s="6"/>
    </row>
    <row r="121" spans="1:24" ht="15.6">
      <c r="A121" s="378"/>
      <c r="B121" s="379" t="s">
        <v>242</v>
      </c>
      <c r="C121" s="379"/>
      <c r="D121" s="379"/>
      <c r="E121" s="379"/>
      <c r="F121" s="379"/>
      <c r="G121" s="379"/>
      <c r="H121" s="379"/>
      <c r="I121" s="379"/>
      <c r="J121" s="379"/>
      <c r="K121" s="379"/>
      <c r="L121" s="379"/>
      <c r="M121" s="379"/>
      <c r="N121" s="379"/>
      <c r="O121" s="379"/>
      <c r="P121" s="379"/>
      <c r="Q121" s="379"/>
      <c r="R121" s="379"/>
      <c r="S121" s="379"/>
      <c r="T121" s="379"/>
      <c r="U121" s="441">
        <v>0</v>
      </c>
      <c r="V121" s="410"/>
      <c r="W121" s="6"/>
    </row>
    <row r="122" spans="1:24" ht="15.6">
      <c r="A122" s="378"/>
      <c r="B122" s="379" t="s">
        <v>45</v>
      </c>
      <c r="C122" s="379"/>
      <c r="D122" s="379"/>
      <c r="E122" s="379"/>
      <c r="F122" s="379"/>
      <c r="G122" s="379"/>
      <c r="H122" s="379"/>
      <c r="I122" s="379"/>
      <c r="J122" s="379"/>
      <c r="K122" s="379"/>
      <c r="L122" s="379"/>
      <c r="M122" s="379"/>
      <c r="N122" s="379"/>
      <c r="O122" s="379"/>
      <c r="P122" s="379"/>
      <c r="Q122" s="379"/>
      <c r="R122" s="379"/>
      <c r="S122" s="379"/>
      <c r="T122" s="379"/>
      <c r="U122" s="441">
        <f>SUM(U115:U121)</f>
        <v>40500</v>
      </c>
      <c r="V122" s="410"/>
      <c r="W122" s="6"/>
    </row>
    <row r="123" spans="1:24" ht="15.6">
      <c r="A123" s="242"/>
      <c r="B123" s="438"/>
      <c r="C123" s="438"/>
      <c r="D123" s="438"/>
      <c r="E123" s="438"/>
      <c r="F123" s="438"/>
      <c r="G123" s="438"/>
      <c r="H123" s="438"/>
      <c r="I123" s="438"/>
      <c r="J123" s="438"/>
      <c r="K123" s="438"/>
      <c r="L123" s="438"/>
      <c r="M123" s="438"/>
      <c r="N123" s="438"/>
      <c r="O123" s="438"/>
      <c r="P123" s="438"/>
      <c r="Q123" s="438"/>
      <c r="R123" s="438"/>
      <c r="S123" s="438"/>
      <c r="T123" s="438"/>
      <c r="U123" s="448"/>
      <c r="V123" s="245"/>
      <c r="W123" s="6"/>
    </row>
    <row r="124" spans="1:24" ht="15.6">
      <c r="A124" s="242"/>
      <c r="B124" s="274" t="s">
        <v>46</v>
      </c>
      <c r="C124" s="252"/>
      <c r="D124" s="252"/>
      <c r="E124" s="252"/>
      <c r="F124" s="252"/>
      <c r="G124" s="252"/>
      <c r="H124" s="252"/>
      <c r="I124" s="252"/>
      <c r="J124" s="252"/>
      <c r="K124" s="252"/>
      <c r="L124" s="252"/>
      <c r="M124" s="244"/>
      <c r="N124" s="244"/>
      <c r="O124" s="244"/>
      <c r="P124" s="275"/>
      <c r="Q124" s="244"/>
      <c r="R124" s="244"/>
      <c r="S124" s="244"/>
      <c r="T124" s="244"/>
      <c r="U124" s="276"/>
      <c r="V124" s="245"/>
      <c r="W124" s="6"/>
    </row>
    <row r="125" spans="1:24" ht="15.6">
      <c r="A125" s="230"/>
      <c r="B125" s="511"/>
      <c r="C125" s="232" t="s">
        <v>185</v>
      </c>
      <c r="D125" s="232"/>
      <c r="E125" s="232" t="s">
        <v>99</v>
      </c>
      <c r="F125" s="232"/>
      <c r="G125" s="232" t="s">
        <v>102</v>
      </c>
      <c r="H125" s="232"/>
      <c r="I125" s="232" t="s">
        <v>108</v>
      </c>
      <c r="J125" s="232"/>
      <c r="K125" s="232"/>
      <c r="L125" s="232"/>
      <c r="M125" s="232"/>
      <c r="N125" s="232"/>
      <c r="O125" s="232"/>
      <c r="P125" s="326"/>
      <c r="Q125" s="326"/>
      <c r="R125" s="231"/>
      <c r="S125" s="231"/>
      <c r="T125" s="231"/>
      <c r="U125" s="309"/>
      <c r="V125" s="237"/>
      <c r="W125" s="6"/>
    </row>
    <row r="126" spans="1:24" ht="15.6">
      <c r="A126" s="257"/>
      <c r="B126" s="294" t="s">
        <v>122</v>
      </c>
      <c r="C126" s="310">
        <f>+N199-'Sept 15'!N199</f>
        <v>-65</v>
      </c>
      <c r="D126" s="294"/>
      <c r="E126" s="310">
        <f>+S199-'Sept 15'!S199</f>
        <v>-10</v>
      </c>
      <c r="F126" s="294"/>
      <c r="G126" s="310">
        <f>+'Dec 15'!N212-'Sept 15'!N212</f>
        <v>-200</v>
      </c>
      <c r="H126" s="294"/>
      <c r="I126" s="310">
        <f>+S212-'Sept 15'!S212</f>
        <v>-8</v>
      </c>
      <c r="J126" s="294"/>
      <c r="K126" s="294"/>
      <c r="L126" s="294"/>
      <c r="M126" s="294"/>
      <c r="N126" s="294"/>
      <c r="O126" s="294"/>
      <c r="P126" s="325"/>
      <c r="Q126" s="325"/>
      <c r="R126" s="294"/>
      <c r="S126" s="294"/>
      <c r="T126" s="294"/>
      <c r="U126" s="311">
        <f>SUM(C126:I126)</f>
        <v>-283</v>
      </c>
      <c r="V126" s="298"/>
      <c r="W126" s="6"/>
      <c r="X126" s="182"/>
    </row>
    <row r="127" spans="1:24" ht="15.6">
      <c r="A127" s="378"/>
      <c r="B127" s="379" t="s">
        <v>47</v>
      </c>
      <c r="C127" s="379">
        <v>19</v>
      </c>
      <c r="D127" s="379"/>
      <c r="E127" s="379">
        <v>0</v>
      </c>
      <c r="F127" s="379"/>
      <c r="G127" s="379">
        <v>157</v>
      </c>
      <c r="H127" s="379"/>
      <c r="I127" s="440">
        <v>7</v>
      </c>
      <c r="J127" s="379"/>
      <c r="K127" s="379"/>
      <c r="L127" s="379"/>
      <c r="M127" s="379"/>
      <c r="N127" s="379"/>
      <c r="O127" s="379"/>
      <c r="P127" s="450"/>
      <c r="Q127" s="450"/>
      <c r="R127" s="379"/>
      <c r="S127" s="379"/>
      <c r="T127" s="379"/>
      <c r="U127" s="441">
        <f>SUM(C127:I127)</f>
        <v>183</v>
      </c>
      <c r="V127" s="410"/>
      <c r="W127" s="6"/>
    </row>
    <row r="128" spans="1:24" ht="15.6">
      <c r="A128" s="242"/>
      <c r="B128" s="364" t="s">
        <v>48</v>
      </c>
      <c r="C128" s="364"/>
      <c r="D128" s="364"/>
      <c r="E128" s="364"/>
      <c r="F128" s="364"/>
      <c r="G128" s="364"/>
      <c r="H128" s="364"/>
      <c r="I128" s="364"/>
      <c r="J128" s="364"/>
      <c r="K128" s="364"/>
      <c r="L128" s="364"/>
      <c r="M128" s="364"/>
      <c r="N128" s="364"/>
      <c r="O128" s="364"/>
      <c r="P128" s="364"/>
      <c r="Q128" s="364"/>
      <c r="R128" s="364"/>
      <c r="S128" s="364"/>
      <c r="T128" s="364"/>
      <c r="U128" s="449">
        <f>SUM(U126:U127)</f>
        <v>-100</v>
      </c>
      <c r="V128" s="303"/>
      <c r="W128" s="6"/>
      <c r="X128" s="182"/>
    </row>
    <row r="129" spans="1:25" ht="15.6">
      <c r="A129" s="242"/>
      <c r="B129" s="274" t="s">
        <v>49</v>
      </c>
      <c r="C129" s="252"/>
      <c r="D129" s="252"/>
      <c r="E129" s="252"/>
      <c r="F129" s="252"/>
      <c r="G129" s="252"/>
      <c r="H129" s="252"/>
      <c r="I129" s="252"/>
      <c r="J129" s="252"/>
      <c r="K129" s="252"/>
      <c r="L129" s="252"/>
      <c r="M129" s="244"/>
      <c r="N129" s="244"/>
      <c r="O129" s="244"/>
      <c r="P129" s="244"/>
      <c r="Q129" s="244"/>
      <c r="R129" s="244"/>
      <c r="S129" s="244"/>
      <c r="T129" s="244"/>
      <c r="U129" s="263"/>
      <c r="V129" s="245"/>
      <c r="W129" s="6"/>
    </row>
    <row r="130" spans="1:25" ht="15.6">
      <c r="A130" s="444"/>
      <c r="B130" s="379" t="s">
        <v>50</v>
      </c>
      <c r="C130" s="386"/>
      <c r="D130" s="386"/>
      <c r="E130" s="386"/>
      <c r="F130" s="386"/>
      <c r="G130" s="386"/>
      <c r="H130" s="386"/>
      <c r="I130" s="386"/>
      <c r="J130" s="386"/>
      <c r="K130" s="386"/>
      <c r="L130" s="386"/>
      <c r="M130" s="379"/>
      <c r="N130" s="379"/>
      <c r="O130" s="379"/>
      <c r="P130" s="379"/>
      <c r="Q130" s="379"/>
      <c r="R130" s="379"/>
      <c r="S130" s="379"/>
      <c r="T130" s="379"/>
      <c r="U130" s="441">
        <f>U75+U77</f>
        <v>85684</v>
      </c>
      <c r="V130" s="410"/>
      <c r="W130" s="6"/>
      <c r="X130" s="182"/>
    </row>
    <row r="131" spans="1:25" ht="15.6">
      <c r="A131" s="444"/>
      <c r="B131" s="379" t="s">
        <v>51</v>
      </c>
      <c r="C131" s="386"/>
      <c r="D131" s="386"/>
      <c r="E131" s="386"/>
      <c r="F131" s="386"/>
      <c r="G131" s="386"/>
      <c r="H131" s="386"/>
      <c r="I131" s="386"/>
      <c r="J131" s="386"/>
      <c r="K131" s="386"/>
      <c r="L131" s="386"/>
      <c r="M131" s="379"/>
      <c r="N131" s="379"/>
      <c r="O131" s="379"/>
      <c r="P131" s="379"/>
      <c r="Q131" s="379"/>
      <c r="R131" s="379"/>
      <c r="S131" s="379"/>
      <c r="T131" s="379"/>
      <c r="U131" s="441">
        <v>0</v>
      </c>
      <c r="V131" s="410"/>
      <c r="W131" s="6"/>
      <c r="Y131" s="182"/>
    </row>
    <row r="132" spans="1:25" ht="15.6">
      <c r="A132" s="444"/>
      <c r="B132" s="379" t="s">
        <v>52</v>
      </c>
      <c r="C132" s="386"/>
      <c r="D132" s="386"/>
      <c r="E132" s="386"/>
      <c r="F132" s="386"/>
      <c r="G132" s="386"/>
      <c r="H132" s="386"/>
      <c r="I132" s="386"/>
      <c r="J132" s="386"/>
      <c r="K132" s="386"/>
      <c r="L132" s="386"/>
      <c r="M132" s="379"/>
      <c r="N132" s="379"/>
      <c r="O132" s="379"/>
      <c r="P132" s="379"/>
      <c r="Q132" s="379"/>
      <c r="R132" s="379"/>
      <c r="S132" s="379"/>
      <c r="T132" s="379"/>
      <c r="U132" s="441">
        <f>+U130+U131</f>
        <v>85684</v>
      </c>
      <c r="V132" s="410"/>
      <c r="W132" s="6"/>
    </row>
    <row r="133" spans="1:25" ht="15.6">
      <c r="A133" s="444"/>
      <c r="B133" s="379" t="s">
        <v>53</v>
      </c>
      <c r="C133" s="386"/>
      <c r="D133" s="386"/>
      <c r="E133" s="386"/>
      <c r="F133" s="386"/>
      <c r="G133" s="386"/>
      <c r="H133" s="386"/>
      <c r="I133" s="386"/>
      <c r="J133" s="386"/>
      <c r="K133" s="386"/>
      <c r="L133" s="386"/>
      <c r="M133" s="379"/>
      <c r="N133" s="379"/>
      <c r="O133" s="379"/>
      <c r="P133" s="379"/>
      <c r="Q133" s="379"/>
      <c r="R133" s="379"/>
      <c r="S133" s="379"/>
      <c r="T133" s="379"/>
      <c r="U133" s="441">
        <f>U80</f>
        <v>85684</v>
      </c>
      <c r="V133" s="410"/>
      <c r="W133" s="6"/>
      <c r="X133" s="64"/>
    </row>
    <row r="134" spans="1:25" ht="15.6">
      <c r="A134" s="242"/>
      <c r="B134" s="438"/>
      <c r="C134" s="438"/>
      <c r="D134" s="438"/>
      <c r="E134" s="438"/>
      <c r="F134" s="438"/>
      <c r="G134" s="438"/>
      <c r="H134" s="438"/>
      <c r="I134" s="438"/>
      <c r="J134" s="438"/>
      <c r="K134" s="438"/>
      <c r="L134" s="438"/>
      <c r="M134" s="438"/>
      <c r="N134" s="438"/>
      <c r="O134" s="438"/>
      <c r="P134" s="438"/>
      <c r="Q134" s="438"/>
      <c r="R134" s="438"/>
      <c r="S134" s="438"/>
      <c r="T134" s="438"/>
      <c r="U134" s="451"/>
      <c r="V134" s="245"/>
      <c r="W134" s="6"/>
    </row>
    <row r="135" spans="1:25" ht="15.6">
      <c r="A135" s="242"/>
      <c r="B135" s="274" t="s">
        <v>54</v>
      </c>
      <c r="C135" s="247"/>
      <c r="D135" s="247"/>
      <c r="E135" s="247"/>
      <c r="F135" s="247"/>
      <c r="G135" s="247"/>
      <c r="H135" s="247"/>
      <c r="I135" s="247"/>
      <c r="J135" s="247"/>
      <c r="K135" s="247"/>
      <c r="L135" s="247"/>
      <c r="M135" s="247"/>
      <c r="N135" s="247"/>
      <c r="O135" s="247"/>
      <c r="P135" s="247"/>
      <c r="Q135" s="277" t="s">
        <v>112</v>
      </c>
      <c r="R135" s="278"/>
      <c r="S135" s="277" t="s">
        <v>114</v>
      </c>
      <c r="T135" s="247"/>
      <c r="U135" s="279" t="s">
        <v>90</v>
      </c>
      <c r="V135" s="245"/>
      <c r="W135" s="6"/>
    </row>
    <row r="136" spans="1:25" ht="15.6">
      <c r="A136" s="378"/>
      <c r="B136" s="379" t="s">
        <v>55</v>
      </c>
      <c r="C136" s="379"/>
      <c r="D136" s="379"/>
      <c r="E136" s="379"/>
      <c r="F136" s="379"/>
      <c r="G136" s="379"/>
      <c r="H136" s="379"/>
      <c r="I136" s="379"/>
      <c r="J136" s="379"/>
      <c r="K136" s="379"/>
      <c r="L136" s="379"/>
      <c r="M136" s="379"/>
      <c r="N136" s="379"/>
      <c r="O136" s="379"/>
      <c r="P136" s="379"/>
      <c r="Q136" s="441">
        <v>0</v>
      </c>
      <c r="R136" s="379"/>
      <c r="S136" s="453" t="s">
        <v>115</v>
      </c>
      <c r="T136" s="379"/>
      <c r="U136" s="441">
        <f>Q136</f>
        <v>0</v>
      </c>
      <c r="V136" s="385"/>
      <c r="W136" s="6"/>
    </row>
    <row r="137" spans="1:25" ht="15.6">
      <c r="A137" s="378"/>
      <c r="B137" s="379" t="s">
        <v>56</v>
      </c>
      <c r="C137" s="379"/>
      <c r="D137" s="379"/>
      <c r="E137" s="379"/>
      <c r="F137" s="379"/>
      <c r="G137" s="379"/>
      <c r="H137" s="379"/>
      <c r="I137" s="379"/>
      <c r="J137" s="379"/>
      <c r="K137" s="379"/>
      <c r="L137" s="379"/>
      <c r="M137" s="379"/>
      <c r="N137" s="379"/>
      <c r="O137" s="379"/>
      <c r="P137" s="379"/>
      <c r="Q137" s="441">
        <f>+'Sept 15'!Q139</f>
        <v>4229</v>
      </c>
      <c r="R137" s="379"/>
      <c r="S137" s="453" t="s">
        <v>115</v>
      </c>
      <c r="T137" s="379"/>
      <c r="U137" s="441">
        <f>Q137</f>
        <v>4229</v>
      </c>
      <c r="V137" s="385"/>
      <c r="W137" s="6"/>
    </row>
    <row r="138" spans="1:25" ht="15.6">
      <c r="A138" s="378"/>
      <c r="B138" s="379" t="s">
        <v>57</v>
      </c>
      <c r="C138" s="379"/>
      <c r="D138" s="379"/>
      <c r="E138" s="379"/>
      <c r="F138" s="379"/>
      <c r="G138" s="379"/>
      <c r="H138" s="379"/>
      <c r="I138" s="379"/>
      <c r="J138" s="379"/>
      <c r="K138" s="379"/>
      <c r="L138" s="379"/>
      <c r="M138" s="379"/>
      <c r="N138" s="379"/>
      <c r="O138" s="379"/>
      <c r="P138" s="379"/>
      <c r="Q138" s="441">
        <v>0</v>
      </c>
      <c r="R138" s="379"/>
      <c r="S138" s="453" t="s">
        <v>115</v>
      </c>
      <c r="T138" s="379"/>
      <c r="U138" s="441">
        <f>Q138</f>
        <v>0</v>
      </c>
      <c r="V138" s="385"/>
      <c r="W138" s="6"/>
    </row>
    <row r="139" spans="1:25" ht="15.6">
      <c r="A139" s="378"/>
      <c r="B139" s="379" t="s">
        <v>58</v>
      </c>
      <c r="C139" s="379"/>
      <c r="D139" s="379"/>
      <c r="E139" s="379"/>
      <c r="F139" s="379"/>
      <c r="G139" s="379"/>
      <c r="H139" s="379"/>
      <c r="I139" s="379"/>
      <c r="J139" s="379"/>
      <c r="K139" s="379"/>
      <c r="L139" s="379"/>
      <c r="M139" s="379"/>
      <c r="N139" s="379"/>
      <c r="O139" s="379"/>
      <c r="P139" s="379"/>
      <c r="Q139" s="441">
        <f>SUM(Q137:Q138)</f>
        <v>4229</v>
      </c>
      <c r="R139" s="379"/>
      <c r="S139" s="453" t="s">
        <v>115</v>
      </c>
      <c r="T139" s="379"/>
      <c r="U139" s="441">
        <f>Q139</f>
        <v>4229</v>
      </c>
      <c r="V139" s="385"/>
      <c r="W139" s="6"/>
    </row>
    <row r="140" spans="1:25" ht="15.6">
      <c r="A140" s="378"/>
      <c r="B140" s="379" t="s">
        <v>215</v>
      </c>
      <c r="C140" s="379"/>
      <c r="D140" s="379"/>
      <c r="E140" s="379"/>
      <c r="F140" s="379"/>
      <c r="G140" s="379"/>
      <c r="H140" s="379"/>
      <c r="I140" s="379"/>
      <c r="J140" s="379"/>
      <c r="K140" s="379"/>
      <c r="L140" s="379"/>
      <c r="M140" s="379"/>
      <c r="N140" s="379"/>
      <c r="O140" s="379"/>
      <c r="P140" s="379"/>
      <c r="Q140" s="441"/>
      <c r="R140" s="379"/>
      <c r="S140" s="453"/>
      <c r="T140" s="379"/>
      <c r="U140" s="441"/>
      <c r="V140" s="385"/>
      <c r="W140" s="6"/>
    </row>
    <row r="141" spans="1:25" ht="15.6">
      <c r="A141" s="378"/>
      <c r="B141" s="454"/>
      <c r="C141" s="454"/>
      <c r="D141" s="454"/>
      <c r="E141" s="454"/>
      <c r="F141" s="454"/>
      <c r="G141" s="454"/>
      <c r="H141" s="454"/>
      <c r="I141" s="454"/>
      <c r="J141" s="454"/>
      <c r="K141" s="454"/>
      <c r="L141" s="454"/>
      <c r="M141" s="454"/>
      <c r="N141" s="454"/>
      <c r="O141" s="454"/>
      <c r="P141" s="454"/>
      <c r="Q141" s="454"/>
      <c r="R141" s="454"/>
      <c r="S141" s="454"/>
      <c r="T141" s="454"/>
      <c r="U141" s="454"/>
      <c r="V141" s="385"/>
      <c r="W141" s="6"/>
    </row>
    <row r="142" spans="1:25" ht="15.6">
      <c r="A142" s="242"/>
      <c r="B142" s="452"/>
      <c r="C142" s="452"/>
      <c r="D142" s="452"/>
      <c r="E142" s="452"/>
      <c r="F142" s="452"/>
      <c r="G142" s="452"/>
      <c r="H142" s="452"/>
      <c r="I142" s="452"/>
      <c r="J142" s="452"/>
      <c r="K142" s="452"/>
      <c r="L142" s="452"/>
      <c r="M142" s="452"/>
      <c r="N142" s="452"/>
      <c r="O142" s="452"/>
      <c r="P142" s="452"/>
      <c r="Q142" s="452"/>
      <c r="R142" s="452"/>
      <c r="S142" s="452"/>
      <c r="T142" s="452"/>
      <c r="U142" s="452"/>
      <c r="V142" s="284"/>
      <c r="W142" s="6"/>
    </row>
    <row r="143" spans="1:25" ht="15.6">
      <c r="A143" s="230"/>
      <c r="B143" s="511" t="s">
        <v>59</v>
      </c>
      <c r="C143" s="518"/>
      <c r="D143" s="518"/>
      <c r="E143" s="518"/>
      <c r="F143" s="518"/>
      <c r="G143" s="518"/>
      <c r="H143" s="518"/>
      <c r="I143" s="518"/>
      <c r="J143" s="518"/>
      <c r="K143" s="518"/>
      <c r="L143" s="518"/>
      <c r="M143" s="518"/>
      <c r="N143" s="518"/>
      <c r="O143" s="518"/>
      <c r="P143" s="519"/>
      <c r="Q143" s="519"/>
      <c r="R143" s="519"/>
      <c r="S143" s="519">
        <v>42369</v>
      </c>
      <c r="T143" s="231"/>
      <c r="U143" s="231"/>
      <c r="V143" s="237"/>
      <c r="W143" s="6"/>
    </row>
    <row r="144" spans="1:25" ht="15.6">
      <c r="A144" s="281"/>
      <c r="B144" s="294" t="s">
        <v>60</v>
      </c>
      <c r="C144" s="329"/>
      <c r="D144" s="329"/>
      <c r="E144" s="329"/>
      <c r="F144" s="329"/>
      <c r="G144" s="329"/>
      <c r="H144" s="329"/>
      <c r="I144" s="329"/>
      <c r="J144" s="329"/>
      <c r="K144" s="329"/>
      <c r="L144" s="329"/>
      <c r="M144" s="329"/>
      <c r="N144" s="329"/>
      <c r="O144" s="329"/>
      <c r="P144" s="300"/>
      <c r="Q144" s="300"/>
      <c r="R144" s="300"/>
      <c r="S144" s="299">
        <v>0.10630000000000001</v>
      </c>
      <c r="T144" s="294"/>
      <c r="U144" s="294"/>
      <c r="V144" s="260"/>
      <c r="W144" s="6"/>
    </row>
    <row r="145" spans="1:23" ht="15.6">
      <c r="A145" s="458"/>
      <c r="B145" s="379" t="s">
        <v>61</v>
      </c>
      <c r="C145" s="459"/>
      <c r="D145" s="459"/>
      <c r="E145" s="459"/>
      <c r="F145" s="459"/>
      <c r="G145" s="459"/>
      <c r="H145" s="459"/>
      <c r="I145" s="459"/>
      <c r="J145" s="459"/>
      <c r="K145" s="459"/>
      <c r="L145" s="459"/>
      <c r="M145" s="459"/>
      <c r="N145" s="459"/>
      <c r="O145" s="459"/>
      <c r="P145" s="433"/>
      <c r="Q145" s="433"/>
      <c r="R145" s="433"/>
      <c r="S145" s="427">
        <v>5.2200000000000003E-2</v>
      </c>
      <c r="T145" s="427"/>
      <c r="U145" s="379"/>
      <c r="V145" s="385"/>
      <c r="W145" s="6"/>
    </row>
    <row r="146" spans="1:23" ht="15.6">
      <c r="A146" s="458"/>
      <c r="B146" s="379" t="s">
        <v>62</v>
      </c>
      <c r="C146" s="459"/>
      <c r="D146" s="459"/>
      <c r="E146" s="459"/>
      <c r="F146" s="459"/>
      <c r="G146" s="459"/>
      <c r="H146" s="459"/>
      <c r="I146" s="459"/>
      <c r="J146" s="459"/>
      <c r="K146" s="459"/>
      <c r="L146" s="459"/>
      <c r="M146" s="459"/>
      <c r="N146" s="459"/>
      <c r="O146" s="459"/>
      <c r="P146" s="433"/>
      <c r="Q146" s="433"/>
      <c r="R146" s="433"/>
      <c r="S146" s="427">
        <f>S144-S145</f>
        <v>5.4100000000000002E-2</v>
      </c>
      <c r="T146" s="379"/>
      <c r="U146" s="379"/>
      <c r="V146" s="385"/>
      <c r="W146" s="6"/>
    </row>
    <row r="147" spans="1:23" ht="15.6">
      <c r="A147" s="458"/>
      <c r="B147" s="379" t="s">
        <v>63</v>
      </c>
      <c r="C147" s="459"/>
      <c r="D147" s="459"/>
      <c r="E147" s="459"/>
      <c r="F147" s="459"/>
      <c r="G147" s="459"/>
      <c r="H147" s="459"/>
      <c r="I147" s="459"/>
      <c r="J147" s="459"/>
      <c r="K147" s="459"/>
      <c r="L147" s="459"/>
      <c r="M147" s="459"/>
      <c r="N147" s="459"/>
      <c r="O147" s="459"/>
      <c r="P147" s="433"/>
      <c r="Q147" s="433"/>
      <c r="R147" s="433"/>
      <c r="S147" s="554">
        <v>9.0550000000000005E-2</v>
      </c>
      <c r="T147" s="379"/>
      <c r="U147" s="379"/>
      <c r="V147" s="385"/>
      <c r="W147" s="6"/>
    </row>
    <row r="148" spans="1:23" ht="15.6">
      <c r="A148" s="458"/>
      <c r="B148" s="379" t="s">
        <v>64</v>
      </c>
      <c r="C148" s="459"/>
      <c r="D148" s="459"/>
      <c r="E148" s="459"/>
      <c r="F148" s="459"/>
      <c r="G148" s="459"/>
      <c r="H148" s="459"/>
      <c r="I148" s="459"/>
      <c r="J148" s="459"/>
      <c r="K148" s="459"/>
      <c r="L148" s="459"/>
      <c r="M148" s="459"/>
      <c r="N148" s="459"/>
      <c r="O148" s="459"/>
      <c r="P148" s="433"/>
      <c r="Q148" s="433"/>
      <c r="R148" s="433"/>
      <c r="S148" s="427">
        <f>+U40</f>
        <v>1.523035180893199E-2</v>
      </c>
      <c r="T148" s="379"/>
      <c r="U148" s="379"/>
      <c r="V148" s="385"/>
      <c r="W148" s="6"/>
    </row>
    <row r="149" spans="1:23" ht="15.6">
      <c r="A149" s="458"/>
      <c r="B149" s="379" t="s">
        <v>65</v>
      </c>
      <c r="C149" s="459"/>
      <c r="D149" s="459"/>
      <c r="E149" s="459"/>
      <c r="F149" s="459"/>
      <c r="G149" s="459"/>
      <c r="H149" s="459"/>
      <c r="I149" s="459"/>
      <c r="J149" s="459"/>
      <c r="K149" s="459"/>
      <c r="L149" s="459"/>
      <c r="M149" s="459"/>
      <c r="N149" s="459"/>
      <c r="O149" s="459"/>
      <c r="P149" s="433"/>
      <c r="Q149" s="433"/>
      <c r="R149" s="433"/>
      <c r="S149" s="427">
        <f>S147-S148</f>
        <v>7.5319648191068012E-2</v>
      </c>
      <c r="T149" s="379"/>
      <c r="U149" s="379"/>
      <c r="V149" s="385"/>
      <c r="W149" s="6"/>
    </row>
    <row r="150" spans="1:23" ht="15.6">
      <c r="A150" s="458"/>
      <c r="B150" s="379" t="s">
        <v>204</v>
      </c>
      <c r="C150" s="459"/>
      <c r="D150" s="459"/>
      <c r="E150" s="459"/>
      <c r="F150" s="459"/>
      <c r="G150" s="459"/>
      <c r="H150" s="459"/>
      <c r="I150" s="459"/>
      <c r="J150" s="459"/>
      <c r="K150" s="459"/>
      <c r="L150" s="459"/>
      <c r="M150" s="459"/>
      <c r="N150" s="459"/>
      <c r="O150" s="459"/>
      <c r="P150" s="433"/>
      <c r="Q150" s="433"/>
      <c r="R150" s="433"/>
      <c r="S150" s="429">
        <v>49780</v>
      </c>
      <c r="T150" s="379"/>
      <c r="U150" s="379"/>
      <c r="V150" s="385"/>
      <c r="W150" s="6"/>
    </row>
    <row r="151" spans="1:23" ht="15.6">
      <c r="A151" s="458"/>
      <c r="B151" s="379" t="s">
        <v>205</v>
      </c>
      <c r="C151" s="459"/>
      <c r="D151" s="459"/>
      <c r="E151" s="459"/>
      <c r="F151" s="459"/>
      <c r="G151" s="459"/>
      <c r="H151" s="459"/>
      <c r="I151" s="459"/>
      <c r="J151" s="459"/>
      <c r="K151" s="459"/>
      <c r="L151" s="459"/>
      <c r="M151" s="459"/>
      <c r="N151" s="459"/>
      <c r="O151" s="459"/>
      <c r="P151" s="433"/>
      <c r="Q151" s="433"/>
      <c r="R151" s="433"/>
      <c r="S151" s="429">
        <v>49780</v>
      </c>
      <c r="T151" s="379"/>
      <c r="U151" s="379"/>
      <c r="V151" s="385"/>
      <c r="W151" s="6"/>
    </row>
    <row r="152" spans="1:23" ht="15.6">
      <c r="A152" s="458"/>
      <c r="B152" s="379" t="s">
        <v>206</v>
      </c>
      <c r="C152" s="459"/>
      <c r="D152" s="459"/>
      <c r="E152" s="459"/>
      <c r="F152" s="459"/>
      <c r="G152" s="459"/>
      <c r="H152" s="459"/>
      <c r="I152" s="459"/>
      <c r="J152" s="459"/>
      <c r="K152" s="459"/>
      <c r="L152" s="459"/>
      <c r="M152" s="459"/>
      <c r="N152" s="459"/>
      <c r="O152" s="459"/>
      <c r="P152" s="433"/>
      <c r="Q152" s="433"/>
      <c r="R152" s="433"/>
      <c r="S152" s="429">
        <v>49780</v>
      </c>
      <c r="T152" s="379"/>
      <c r="U152" s="379"/>
      <c r="V152" s="385"/>
      <c r="W152" s="6"/>
    </row>
    <row r="153" spans="1:23" ht="15.6">
      <c r="A153" s="458"/>
      <c r="B153" s="379" t="s">
        <v>207</v>
      </c>
      <c r="C153" s="459"/>
      <c r="D153" s="459"/>
      <c r="E153" s="459"/>
      <c r="F153" s="459"/>
      <c r="G153" s="459"/>
      <c r="H153" s="459"/>
      <c r="I153" s="459"/>
      <c r="J153" s="459"/>
      <c r="K153" s="459"/>
      <c r="L153" s="459"/>
      <c r="M153" s="459"/>
      <c r="N153" s="459"/>
      <c r="O153" s="459"/>
      <c r="P153" s="433"/>
      <c r="Q153" s="433"/>
      <c r="R153" s="433"/>
      <c r="S153" s="429">
        <v>49780</v>
      </c>
      <c r="T153" s="379"/>
      <c r="U153" s="379"/>
      <c r="V153" s="385"/>
      <c r="W153" s="6"/>
    </row>
    <row r="154" spans="1:23" ht="15.6">
      <c r="A154" s="458"/>
      <c r="B154" s="379" t="s">
        <v>221</v>
      </c>
      <c r="C154" s="459"/>
      <c r="D154" s="459"/>
      <c r="E154" s="459"/>
      <c r="F154" s="459"/>
      <c r="G154" s="459"/>
      <c r="H154" s="459"/>
      <c r="I154" s="459"/>
      <c r="J154" s="459"/>
      <c r="K154" s="459"/>
      <c r="L154" s="459"/>
      <c r="M154" s="459"/>
      <c r="N154" s="459"/>
      <c r="O154" s="459"/>
      <c r="P154" s="433"/>
      <c r="Q154" s="433"/>
      <c r="R154" s="433"/>
      <c r="S154" s="432">
        <v>111.34</v>
      </c>
      <c r="T154" s="379"/>
      <c r="U154" s="379"/>
      <c r="V154" s="385"/>
      <c r="W154" s="6"/>
    </row>
    <row r="155" spans="1:23" ht="15.6">
      <c r="A155" s="458"/>
      <c r="B155" s="379" t="s">
        <v>222</v>
      </c>
      <c r="C155" s="459"/>
      <c r="D155" s="459"/>
      <c r="E155" s="459"/>
      <c r="F155" s="459"/>
      <c r="G155" s="459"/>
      <c r="H155" s="459"/>
      <c r="I155" s="459"/>
      <c r="J155" s="459"/>
      <c r="K155" s="459"/>
      <c r="L155" s="459"/>
      <c r="M155" s="459"/>
      <c r="N155" s="459"/>
      <c r="O155" s="459"/>
      <c r="P155" s="433"/>
      <c r="Q155" s="433"/>
      <c r="R155" s="433"/>
      <c r="S155" s="555">
        <v>135.96</v>
      </c>
      <c r="T155" s="379"/>
      <c r="U155" s="379"/>
      <c r="V155" s="385"/>
      <c r="W155" s="6"/>
    </row>
    <row r="156" spans="1:23" ht="15.6">
      <c r="A156" s="458" t="s">
        <v>223</v>
      </c>
      <c r="B156" s="379" t="s">
        <v>66</v>
      </c>
      <c r="C156" s="459"/>
      <c r="D156" s="459"/>
      <c r="E156" s="459"/>
      <c r="F156" s="459"/>
      <c r="G156" s="459"/>
      <c r="H156" s="459"/>
      <c r="I156" s="459"/>
      <c r="J156" s="459"/>
      <c r="K156" s="459"/>
      <c r="L156" s="459"/>
      <c r="M156" s="459"/>
      <c r="N156" s="459"/>
      <c r="O156" s="459"/>
      <c r="P156" s="433"/>
      <c r="Q156" s="433"/>
      <c r="R156" s="433"/>
      <c r="S156" s="427">
        <v>5.0999999999999997E-2</v>
      </c>
      <c r="T156" s="379"/>
      <c r="U156" s="379"/>
      <c r="V156" s="385"/>
      <c r="W156" s="6"/>
    </row>
    <row r="157" spans="1:23" ht="15.6">
      <c r="A157" s="458"/>
      <c r="B157" s="379" t="s">
        <v>67</v>
      </c>
      <c r="C157" s="459"/>
      <c r="D157" s="459"/>
      <c r="E157" s="459"/>
      <c r="F157" s="459"/>
      <c r="G157" s="459"/>
      <c r="H157" s="459"/>
      <c r="I157" s="459"/>
      <c r="J157" s="459"/>
      <c r="K157" s="459"/>
      <c r="L157" s="459"/>
      <c r="M157" s="459"/>
      <c r="N157" s="459"/>
      <c r="O157" s="459"/>
      <c r="P157" s="433"/>
      <c r="Q157" s="433"/>
      <c r="R157" s="433"/>
      <c r="S157" s="427">
        <v>0.25559999999999999</v>
      </c>
      <c r="T157" s="379"/>
      <c r="U157" s="379"/>
      <c r="V157" s="385"/>
      <c r="W157" s="6"/>
    </row>
    <row r="158" spans="1:23" ht="15.6">
      <c r="A158" s="280"/>
      <c r="B158" s="364"/>
      <c r="C158" s="364"/>
      <c r="D158" s="364"/>
      <c r="E158" s="364"/>
      <c r="F158" s="364"/>
      <c r="G158" s="364"/>
      <c r="H158" s="364"/>
      <c r="I158" s="364"/>
      <c r="J158" s="364"/>
      <c r="K158" s="364"/>
      <c r="L158" s="364"/>
      <c r="M158" s="364"/>
      <c r="N158" s="364"/>
      <c r="O158" s="364"/>
      <c r="P158" s="364"/>
      <c r="Q158" s="364"/>
      <c r="R158" s="455"/>
      <c r="S158" s="456"/>
      <c r="T158" s="364"/>
      <c r="U158" s="457"/>
      <c r="V158" s="245"/>
      <c r="W158" s="6"/>
    </row>
    <row r="159" spans="1:23" ht="15.6">
      <c r="A159" s="280"/>
      <c r="B159" s="288"/>
      <c r="C159" s="288"/>
      <c r="D159" s="288"/>
      <c r="E159" s="288"/>
      <c r="F159" s="288"/>
      <c r="G159" s="288"/>
      <c r="H159" s="288"/>
      <c r="I159" s="288"/>
      <c r="J159" s="288"/>
      <c r="K159" s="288"/>
      <c r="L159" s="288"/>
      <c r="M159" s="288"/>
      <c r="N159" s="288"/>
      <c r="O159" s="288"/>
      <c r="P159" s="288"/>
      <c r="Q159" s="288"/>
      <c r="R159" s="331"/>
      <c r="S159" s="332"/>
      <c r="T159" s="288"/>
      <c r="U159" s="333"/>
      <c r="V159" s="245"/>
      <c r="W159" s="6"/>
    </row>
    <row r="160" spans="1:23" ht="16.2" thickBot="1">
      <c r="A160" s="282"/>
      <c r="B160" s="304" t="str">
        <f>+B109</f>
        <v>PPAF3 INVESTOR REPORT QUARTER ENDING DECEMBER 2015</v>
      </c>
      <c r="C160" s="305"/>
      <c r="D160" s="305"/>
      <c r="E160" s="305"/>
      <c r="F160" s="305"/>
      <c r="G160" s="305"/>
      <c r="H160" s="305"/>
      <c r="I160" s="305"/>
      <c r="J160" s="305"/>
      <c r="K160" s="305"/>
      <c r="L160" s="305"/>
      <c r="M160" s="305"/>
      <c r="N160" s="305"/>
      <c r="O160" s="305"/>
      <c r="P160" s="305"/>
      <c r="Q160" s="305"/>
      <c r="R160" s="334"/>
      <c r="S160" s="335"/>
      <c r="T160" s="305"/>
      <c r="U160" s="336"/>
      <c r="V160" s="262"/>
      <c r="W160" s="6"/>
    </row>
    <row r="161" spans="1:23" ht="15.6">
      <c r="A161" s="337"/>
      <c r="B161" s="520" t="s">
        <v>68</v>
      </c>
      <c r="C161" s="521"/>
      <c r="D161" s="521"/>
      <c r="E161" s="521"/>
      <c r="F161" s="521"/>
      <c r="G161" s="521"/>
      <c r="H161" s="521"/>
      <c r="I161" s="521"/>
      <c r="J161" s="521"/>
      <c r="K161" s="521"/>
      <c r="L161" s="521"/>
      <c r="M161" s="522"/>
      <c r="N161" s="521"/>
      <c r="O161" s="522"/>
      <c r="P161" s="521"/>
      <c r="Q161" s="522"/>
      <c r="R161" s="521" t="s">
        <v>94</v>
      </c>
      <c r="S161" s="522" t="s">
        <v>116</v>
      </c>
      <c r="T161" s="340"/>
      <c r="U161" s="340"/>
      <c r="V161" s="341"/>
      <c r="W161" s="6"/>
    </row>
    <row r="162" spans="1:23" ht="15.6">
      <c r="A162" s="283"/>
      <c r="B162" s="294" t="s">
        <v>216</v>
      </c>
      <c r="C162" s="310"/>
      <c r="D162" s="310"/>
      <c r="E162" s="310"/>
      <c r="F162" s="310"/>
      <c r="G162" s="310"/>
      <c r="H162" s="310"/>
      <c r="I162" s="310"/>
      <c r="J162" s="310"/>
      <c r="K162" s="310"/>
      <c r="L162" s="310"/>
      <c r="M162" s="310"/>
      <c r="N162" s="310"/>
      <c r="O162" s="294"/>
      <c r="P162" s="294"/>
      <c r="Q162" s="294"/>
      <c r="R162" s="310">
        <v>445</v>
      </c>
      <c r="S162" s="311">
        <v>9997</v>
      </c>
      <c r="T162" s="311"/>
      <c r="U162" s="330"/>
      <c r="V162" s="342"/>
      <c r="W162" s="6"/>
    </row>
    <row r="163" spans="1:23" ht="15.6">
      <c r="A163" s="465"/>
      <c r="B163" s="379" t="s">
        <v>217</v>
      </c>
      <c r="C163" s="440"/>
      <c r="D163" s="440"/>
      <c r="E163" s="440"/>
      <c r="F163" s="440"/>
      <c r="G163" s="440"/>
      <c r="H163" s="440"/>
      <c r="I163" s="440"/>
      <c r="J163" s="440"/>
      <c r="K163" s="440"/>
      <c r="L163" s="440"/>
      <c r="M163" s="440"/>
      <c r="N163" s="440"/>
      <c r="O163" s="379"/>
      <c r="P163" s="379"/>
      <c r="Q163" s="379"/>
      <c r="R163" s="545">
        <v>4</v>
      </c>
      <c r="S163" s="546">
        <v>11</v>
      </c>
      <c r="T163" s="441"/>
      <c r="U163" s="466"/>
      <c r="V163" s="467"/>
      <c r="W163" s="6"/>
    </row>
    <row r="164" spans="1:23" ht="15.6">
      <c r="A164" s="465"/>
      <c r="B164" s="379" t="s">
        <v>218</v>
      </c>
      <c r="C164" s="440"/>
      <c r="D164" s="440"/>
      <c r="E164" s="440"/>
      <c r="F164" s="440"/>
      <c r="G164" s="440"/>
      <c r="H164" s="440"/>
      <c r="I164" s="440"/>
      <c r="J164" s="440"/>
      <c r="K164" s="440"/>
      <c r="L164" s="440"/>
      <c r="M164" s="440"/>
      <c r="N164" s="440"/>
      <c r="O164" s="379"/>
      <c r="P164" s="379"/>
      <c r="Q164" s="379"/>
      <c r="R164" s="545">
        <v>97</v>
      </c>
      <c r="S164" s="546">
        <v>83</v>
      </c>
      <c r="T164" s="441"/>
      <c r="U164" s="466"/>
      <c r="V164" s="467"/>
      <c r="W164" s="6"/>
    </row>
    <row r="165" spans="1:23" ht="15.6">
      <c r="A165" s="465"/>
      <c r="B165" s="379" t="s">
        <v>219</v>
      </c>
      <c r="C165" s="440"/>
      <c r="D165" s="440"/>
      <c r="E165" s="440"/>
      <c r="F165" s="440"/>
      <c r="G165" s="440"/>
      <c r="H165" s="440"/>
      <c r="I165" s="440"/>
      <c r="J165" s="440"/>
      <c r="K165" s="440"/>
      <c r="L165" s="440"/>
      <c r="M165" s="440"/>
      <c r="N165" s="440"/>
      <c r="O165" s="379"/>
      <c r="P165" s="379"/>
      <c r="Q165" s="379"/>
      <c r="R165" s="545">
        <v>75</v>
      </c>
      <c r="S165" s="546">
        <v>105</v>
      </c>
      <c r="T165" s="441"/>
      <c r="U165" s="466"/>
      <c r="V165" s="467"/>
      <c r="W165" s="6"/>
    </row>
    <row r="166" spans="1:23" ht="15.6">
      <c r="A166" s="465"/>
      <c r="B166" s="379" t="s">
        <v>90</v>
      </c>
      <c r="C166" s="440"/>
      <c r="D166" s="440"/>
      <c r="E166" s="440"/>
      <c r="F166" s="440"/>
      <c r="G166" s="440"/>
      <c r="H166" s="440"/>
      <c r="I166" s="440"/>
      <c r="J166" s="440"/>
      <c r="K166" s="440"/>
      <c r="L166" s="440"/>
      <c r="M166" s="440"/>
      <c r="N166" s="440"/>
      <c r="O166" s="379"/>
      <c r="P166" s="379"/>
      <c r="Q166" s="379"/>
      <c r="R166" s="547">
        <f>SUM(R162:R165)</f>
        <v>621</v>
      </c>
      <c r="S166" s="546">
        <f>SUM(S162:S165)</f>
        <v>10196</v>
      </c>
      <c r="T166" s="441"/>
      <c r="U166" s="466"/>
      <c r="V166" s="467"/>
      <c r="W166" s="6"/>
    </row>
    <row r="167" spans="1:23" ht="15.6">
      <c r="A167" s="465"/>
      <c r="B167" s="379"/>
      <c r="C167" s="440"/>
      <c r="D167" s="440"/>
      <c r="E167" s="440"/>
      <c r="F167" s="440"/>
      <c r="G167" s="440"/>
      <c r="H167" s="440"/>
      <c r="I167" s="440"/>
      <c r="J167" s="440"/>
      <c r="K167" s="440"/>
      <c r="L167" s="440"/>
      <c r="M167" s="440"/>
      <c r="N167" s="440"/>
      <c r="O167" s="379"/>
      <c r="P167" s="379"/>
      <c r="Q167" s="379"/>
      <c r="R167" s="545"/>
      <c r="S167" s="546"/>
      <c r="T167" s="441"/>
      <c r="U167" s="466"/>
      <c r="V167" s="467"/>
      <c r="W167" s="6"/>
    </row>
    <row r="168" spans="1:23" ht="15.6">
      <c r="A168" s="465"/>
      <c r="B168" s="379" t="s">
        <v>220</v>
      </c>
      <c r="C168" s="440"/>
      <c r="D168" s="440"/>
      <c r="E168" s="440"/>
      <c r="F168" s="440"/>
      <c r="G168" s="440"/>
      <c r="H168" s="440"/>
      <c r="I168" s="440"/>
      <c r="J168" s="440"/>
      <c r="K168" s="440"/>
      <c r="L168" s="440"/>
      <c r="M168" s="440"/>
      <c r="N168" s="440"/>
      <c r="O168" s="379"/>
      <c r="P168" s="379"/>
      <c r="Q168" s="379"/>
      <c r="R168" s="545">
        <v>0</v>
      </c>
      <c r="S168" s="546">
        <v>0</v>
      </c>
      <c r="T168" s="441"/>
      <c r="U168" s="466"/>
      <c r="V168" s="467"/>
      <c r="W168" s="6"/>
    </row>
    <row r="169" spans="1:23" ht="15.6">
      <c r="A169" s="465"/>
      <c r="B169" s="379" t="s">
        <v>224</v>
      </c>
      <c r="C169" s="440"/>
      <c r="D169" s="440"/>
      <c r="E169" s="440"/>
      <c r="F169" s="440"/>
      <c r="G169" s="440"/>
      <c r="H169" s="440"/>
      <c r="I169" s="440"/>
      <c r="J169" s="440"/>
      <c r="K169" s="440"/>
      <c r="L169" s="440"/>
      <c r="M169" s="440"/>
      <c r="N169" s="440"/>
      <c r="O169" s="379"/>
      <c r="P169" s="379"/>
      <c r="Q169" s="379"/>
      <c r="R169" s="545">
        <v>8</v>
      </c>
      <c r="S169" s="546">
        <v>179</v>
      </c>
      <c r="T169" s="441"/>
      <c r="U169" s="466"/>
      <c r="V169" s="467"/>
      <c r="W169" s="6"/>
    </row>
    <row r="170" spans="1:23" ht="15.6">
      <c r="A170" s="465"/>
      <c r="B170" s="468" t="s">
        <v>69</v>
      </c>
      <c r="C170" s="469"/>
      <c r="D170" s="469"/>
      <c r="E170" s="469"/>
      <c r="F170" s="469"/>
      <c r="G170" s="469"/>
      <c r="H170" s="469"/>
      <c r="I170" s="469"/>
      <c r="J170" s="469"/>
      <c r="K170" s="469"/>
      <c r="L170" s="469"/>
      <c r="M170" s="469"/>
      <c r="N170" s="469"/>
      <c r="O170" s="454"/>
      <c r="P170" s="454"/>
      <c r="Q170" s="454"/>
      <c r="R170" s="539"/>
      <c r="S170" s="540">
        <v>0</v>
      </c>
      <c r="T170" s="454"/>
      <c r="U170" s="470"/>
      <c r="V170" s="471"/>
      <c r="W170" s="6"/>
    </row>
    <row r="171" spans="1:23" ht="15.6">
      <c r="A171" s="465"/>
      <c r="B171" s="468" t="s">
        <v>70</v>
      </c>
      <c r="C171" s="469"/>
      <c r="D171" s="469"/>
      <c r="E171" s="469"/>
      <c r="F171" s="469"/>
      <c r="G171" s="469"/>
      <c r="H171" s="469"/>
      <c r="I171" s="469"/>
      <c r="J171" s="469"/>
      <c r="K171" s="469"/>
      <c r="L171" s="469"/>
      <c r="M171" s="469"/>
      <c r="N171" s="469"/>
      <c r="O171" s="454"/>
      <c r="P171" s="454"/>
      <c r="Q171" s="454"/>
      <c r="R171" s="539"/>
      <c r="S171" s="540">
        <f>Q75</f>
        <v>0</v>
      </c>
      <c r="T171" s="454"/>
      <c r="U171" s="470"/>
      <c r="V171" s="471"/>
      <c r="W171" s="6"/>
    </row>
    <row r="172" spans="1:23" ht="15.6">
      <c r="A172" s="472"/>
      <c r="B172" s="468" t="s">
        <v>71</v>
      </c>
      <c r="C172" s="469"/>
      <c r="D172" s="469"/>
      <c r="E172" s="469"/>
      <c r="F172" s="469"/>
      <c r="G172" s="469"/>
      <c r="H172" s="469"/>
      <c r="I172" s="469"/>
      <c r="J172" s="469"/>
      <c r="K172" s="469"/>
      <c r="L172" s="469"/>
      <c r="M172" s="473"/>
      <c r="N172" s="473"/>
      <c r="O172" s="473"/>
      <c r="P172" s="454"/>
      <c r="Q172" s="454"/>
      <c r="R172" s="379"/>
      <c r="S172" s="500"/>
      <c r="T172" s="454"/>
      <c r="U172" s="470"/>
      <c r="V172" s="474"/>
      <c r="W172" s="6"/>
    </row>
    <row r="173" spans="1:23" ht="15.6">
      <c r="A173" s="465"/>
      <c r="B173" s="379" t="s">
        <v>72</v>
      </c>
      <c r="C173" s="469"/>
      <c r="D173" s="469"/>
      <c r="E173" s="469"/>
      <c r="F173" s="469"/>
      <c r="G173" s="469"/>
      <c r="H173" s="469"/>
      <c r="I173" s="469"/>
      <c r="J173" s="469"/>
      <c r="K173" s="469"/>
      <c r="L173" s="469"/>
      <c r="M173" s="469"/>
      <c r="N173" s="469"/>
      <c r="O173" s="469"/>
      <c r="P173" s="454"/>
      <c r="Q173" s="454"/>
      <c r="R173" s="379"/>
      <c r="S173" s="546">
        <f>U128</f>
        <v>-100</v>
      </c>
      <c r="T173" s="454"/>
      <c r="U173" s="470"/>
      <c r="V173" s="474"/>
      <c r="W173" s="6"/>
    </row>
    <row r="174" spans="1:23" ht="15.6">
      <c r="A174" s="465"/>
      <c r="B174" s="379" t="s">
        <v>73</v>
      </c>
      <c r="C174" s="469"/>
      <c r="D174" s="469"/>
      <c r="E174" s="469"/>
      <c r="F174" s="469"/>
      <c r="G174" s="469"/>
      <c r="H174" s="469"/>
      <c r="I174" s="469"/>
      <c r="J174" s="469"/>
      <c r="K174" s="469"/>
      <c r="L174" s="469"/>
      <c r="M174" s="469"/>
      <c r="N174" s="469"/>
      <c r="O174" s="469"/>
      <c r="P174" s="454"/>
      <c r="Q174" s="454"/>
      <c r="R174" s="379"/>
      <c r="S174" s="546">
        <f>'Sept 15'!S174+S173</f>
        <v>89395</v>
      </c>
      <c r="T174" s="454"/>
      <c r="U174" s="470"/>
      <c r="V174" s="474"/>
      <c r="W174" s="6"/>
    </row>
    <row r="175" spans="1:23" ht="15.6">
      <c r="A175" s="465"/>
      <c r="B175" s="379" t="s">
        <v>74</v>
      </c>
      <c r="C175" s="469"/>
      <c r="D175" s="469"/>
      <c r="E175" s="469"/>
      <c r="F175" s="469"/>
      <c r="G175" s="469"/>
      <c r="H175" s="469"/>
      <c r="I175" s="469"/>
      <c r="J175" s="469"/>
      <c r="K175" s="469"/>
      <c r="L175" s="469"/>
      <c r="M175" s="469"/>
      <c r="N175" s="469"/>
      <c r="O175" s="469"/>
      <c r="P175" s="454"/>
      <c r="Q175" s="454"/>
      <c r="R175" s="379"/>
      <c r="S175" s="546">
        <f>'Sept 15'!S175+643</f>
        <v>28430</v>
      </c>
      <c r="T175" s="454"/>
      <c r="U175" s="470"/>
      <c r="V175" s="474"/>
      <c r="W175" s="6"/>
    </row>
    <row r="176" spans="1:23" ht="15.6">
      <c r="A176" s="465"/>
      <c r="B176" s="473"/>
      <c r="C176" s="469"/>
      <c r="D176" s="469"/>
      <c r="E176" s="469"/>
      <c r="F176" s="469"/>
      <c r="G176" s="469"/>
      <c r="H176" s="469"/>
      <c r="I176" s="469"/>
      <c r="J176" s="469"/>
      <c r="K176" s="469"/>
      <c r="L176" s="469"/>
      <c r="M176" s="469"/>
      <c r="N176" s="469"/>
      <c r="O176" s="469"/>
      <c r="P176" s="454"/>
      <c r="Q176" s="454"/>
      <c r="R176" s="379"/>
      <c r="S176" s="546"/>
      <c r="T176" s="454"/>
      <c r="U176" s="470"/>
      <c r="V176" s="474"/>
      <c r="W176" s="6"/>
    </row>
    <row r="177" spans="1:23" ht="15.6">
      <c r="A177" s="472"/>
      <c r="B177" s="468" t="s">
        <v>259</v>
      </c>
      <c r="C177" s="469"/>
      <c r="D177" s="469"/>
      <c r="E177" s="469"/>
      <c r="F177" s="469"/>
      <c r="G177" s="469"/>
      <c r="H177" s="469"/>
      <c r="I177" s="469"/>
      <c r="J177" s="469"/>
      <c r="K177" s="469"/>
      <c r="L177" s="469"/>
      <c r="M177" s="473"/>
      <c r="N177" s="473"/>
      <c r="O177" s="473"/>
      <c r="P177" s="454"/>
      <c r="Q177" s="454"/>
      <c r="R177" s="379"/>
      <c r="S177" s="548"/>
      <c r="T177" s="454"/>
      <c r="U177" s="470"/>
      <c r="V177" s="474"/>
      <c r="W177" s="6"/>
    </row>
    <row r="178" spans="1:23" ht="15.6">
      <c r="A178" s="472"/>
      <c r="B178" s="379" t="s">
        <v>254</v>
      </c>
      <c r="C178" s="469"/>
      <c r="D178" s="469"/>
      <c r="E178" s="469"/>
      <c r="F178" s="469"/>
      <c r="G178" s="469"/>
      <c r="H178" s="469"/>
      <c r="I178" s="469"/>
      <c r="J178" s="469"/>
      <c r="K178" s="469"/>
      <c r="L178" s="469"/>
      <c r="M178" s="473"/>
      <c r="N178" s="473"/>
      <c r="O178" s="473"/>
      <c r="P178" s="454"/>
      <c r="Q178" s="454"/>
      <c r="R178" s="379"/>
      <c r="S178" s="548">
        <v>1</v>
      </c>
      <c r="T178" s="454"/>
      <c r="U178" s="470"/>
      <c r="V178" s="474"/>
      <c r="W178" s="6"/>
    </row>
    <row r="179" spans="1:23" ht="15.6">
      <c r="A179" s="465"/>
      <c r="B179" s="379" t="s">
        <v>75</v>
      </c>
      <c r="C179" s="469"/>
      <c r="D179" s="469"/>
      <c r="E179" s="469"/>
      <c r="F179" s="469"/>
      <c r="G179" s="469"/>
      <c r="H179" s="469"/>
      <c r="I179" s="469"/>
      <c r="J179" s="469"/>
      <c r="K179" s="469"/>
      <c r="L179" s="469"/>
      <c r="M179" s="475"/>
      <c r="N179" s="475"/>
      <c r="O179" s="476"/>
      <c r="P179" s="454"/>
      <c r="Q179" s="454"/>
      <c r="R179" s="379"/>
      <c r="S179" s="549">
        <v>16.57</v>
      </c>
      <c r="T179" s="454"/>
      <c r="U179" s="470"/>
      <c r="V179" s="474"/>
      <c r="W179" s="6"/>
    </row>
    <row r="180" spans="1:23" ht="15.6">
      <c r="A180" s="465"/>
      <c r="B180" s="379" t="s">
        <v>76</v>
      </c>
      <c r="C180" s="469"/>
      <c r="D180" s="469"/>
      <c r="E180" s="469"/>
      <c r="F180" s="469"/>
      <c r="G180" s="469"/>
      <c r="H180" s="469"/>
      <c r="I180" s="469"/>
      <c r="J180" s="469"/>
      <c r="K180" s="469"/>
      <c r="L180" s="469"/>
      <c r="M180" s="475"/>
      <c r="N180" s="475"/>
      <c r="O180" s="476"/>
      <c r="P180" s="454"/>
      <c r="Q180" s="454"/>
      <c r="R180" s="379"/>
      <c r="S180" s="548">
        <v>21</v>
      </c>
      <c r="T180" s="454"/>
      <c r="U180" s="470"/>
      <c r="V180" s="474"/>
      <c r="W180" s="6"/>
    </row>
    <row r="181" spans="1:23" ht="15.6">
      <c r="A181" s="465"/>
      <c r="B181" s="473"/>
      <c r="C181" s="469"/>
      <c r="D181" s="469"/>
      <c r="E181" s="469"/>
      <c r="F181" s="469"/>
      <c r="G181" s="469"/>
      <c r="H181" s="469"/>
      <c r="I181" s="469"/>
      <c r="J181" s="469"/>
      <c r="K181" s="469"/>
      <c r="L181" s="469"/>
      <c r="M181" s="477"/>
      <c r="N181" s="475"/>
      <c r="O181" s="476"/>
      <c r="P181" s="454"/>
      <c r="Q181" s="454"/>
      <c r="R181" s="379"/>
      <c r="S181" s="537"/>
      <c r="T181" s="454"/>
      <c r="U181" s="470"/>
      <c r="V181" s="474"/>
      <c r="W181" s="6"/>
    </row>
    <row r="182" spans="1:23" ht="15.6">
      <c r="A182" s="465"/>
      <c r="B182" s="468" t="s">
        <v>77</v>
      </c>
      <c r="C182" s="469"/>
      <c r="D182" s="469"/>
      <c r="E182" s="469"/>
      <c r="F182" s="469"/>
      <c r="G182" s="469"/>
      <c r="H182" s="469"/>
      <c r="I182" s="469"/>
      <c r="J182" s="469"/>
      <c r="K182" s="469"/>
      <c r="L182" s="469"/>
      <c r="M182" s="469"/>
      <c r="N182" s="477"/>
      <c r="O182" s="475"/>
      <c r="P182" s="476"/>
      <c r="Q182" s="454"/>
      <c r="R182" s="380"/>
      <c r="S182" s="538"/>
      <c r="T182" s="478"/>
      <c r="U182" s="390"/>
      <c r="V182" s="479"/>
      <c r="W182" s="6"/>
    </row>
    <row r="183" spans="1:23" ht="15.6">
      <c r="A183" s="465"/>
      <c r="B183" s="379" t="s">
        <v>78</v>
      </c>
      <c r="C183" s="469"/>
      <c r="D183" s="469"/>
      <c r="E183" s="469"/>
      <c r="F183" s="469"/>
      <c r="G183" s="469"/>
      <c r="H183" s="469"/>
      <c r="I183" s="469"/>
      <c r="J183" s="469"/>
      <c r="K183" s="469"/>
      <c r="L183" s="469"/>
      <c r="M183" s="469"/>
      <c r="N183" s="477"/>
      <c r="O183" s="475"/>
      <c r="P183" s="476"/>
      <c r="Q183" s="454"/>
      <c r="R183" s="380"/>
      <c r="S183" s="550">
        <v>1</v>
      </c>
      <c r="T183" s="480"/>
      <c r="U183" s="390"/>
      <c r="V183" s="479"/>
      <c r="W183" s="6"/>
    </row>
    <row r="184" spans="1:23" ht="15.6">
      <c r="A184" s="465"/>
      <c r="B184" s="379" t="s">
        <v>75</v>
      </c>
      <c r="C184" s="469"/>
      <c r="D184" s="469"/>
      <c r="E184" s="469"/>
      <c r="F184" s="469"/>
      <c r="G184" s="469"/>
      <c r="H184" s="469"/>
      <c r="I184" s="469"/>
      <c r="J184" s="469"/>
      <c r="K184" s="469"/>
      <c r="L184" s="469"/>
      <c r="M184" s="469"/>
      <c r="N184" s="477"/>
      <c r="O184" s="475"/>
      <c r="P184" s="476"/>
      <c r="Q184" s="454"/>
      <c r="R184" s="380"/>
      <c r="S184" s="550">
        <v>42.63</v>
      </c>
      <c r="T184" s="480"/>
      <c r="U184" s="390"/>
      <c r="V184" s="479"/>
      <c r="W184" s="6"/>
    </row>
    <row r="185" spans="1:23" ht="15.6">
      <c r="A185" s="465"/>
      <c r="B185" s="379" t="s">
        <v>79</v>
      </c>
      <c r="C185" s="469"/>
      <c r="D185" s="469"/>
      <c r="E185" s="469"/>
      <c r="F185" s="469"/>
      <c r="G185" s="469"/>
      <c r="H185" s="469"/>
      <c r="I185" s="469"/>
      <c r="J185" s="469"/>
      <c r="K185" s="469"/>
      <c r="L185" s="469"/>
      <c r="M185" s="469"/>
      <c r="N185" s="477"/>
      <c r="O185" s="475"/>
      <c r="P185" s="476"/>
      <c r="Q185" s="454"/>
      <c r="R185" s="380"/>
      <c r="S185" s="550">
        <v>49</v>
      </c>
      <c r="T185" s="480"/>
      <c r="U185" s="390"/>
      <c r="V185" s="479"/>
      <c r="W185" s="6"/>
    </row>
    <row r="186" spans="1:23" ht="15.6">
      <c r="A186" s="465"/>
      <c r="B186" s="473"/>
      <c r="C186" s="469"/>
      <c r="D186" s="469"/>
      <c r="E186" s="469"/>
      <c r="F186" s="469"/>
      <c r="G186" s="469"/>
      <c r="H186" s="469"/>
      <c r="I186" s="469"/>
      <c r="J186" s="469"/>
      <c r="K186" s="469"/>
      <c r="L186" s="469"/>
      <c r="M186" s="477"/>
      <c r="N186" s="475"/>
      <c r="O186" s="476"/>
      <c r="P186" s="454"/>
      <c r="Q186" s="454"/>
      <c r="R186" s="454"/>
      <c r="S186" s="537"/>
      <c r="T186" s="454"/>
      <c r="U186" s="470"/>
      <c r="V186" s="474"/>
      <c r="W186" s="6"/>
    </row>
    <row r="187" spans="1:23" ht="17.399999999999999">
      <c r="A187" s="465"/>
      <c r="B187" s="482" t="s">
        <v>196</v>
      </c>
      <c r="C187" s="469"/>
      <c r="D187" s="469"/>
      <c r="E187" s="469"/>
      <c r="F187" s="469"/>
      <c r="G187" s="469"/>
      <c r="H187" s="469"/>
      <c r="I187" s="469"/>
      <c r="J187" s="469"/>
      <c r="K187" s="483" t="s">
        <v>195</v>
      </c>
      <c r="L187" s="469"/>
      <c r="M187" s="477"/>
      <c r="N187" s="475"/>
      <c r="O187" s="476"/>
      <c r="P187" s="454"/>
      <c r="Q187" s="454"/>
      <c r="R187" s="454"/>
      <c r="S187" s="481"/>
      <c r="T187" s="454"/>
      <c r="U187" s="470"/>
      <c r="V187" s="474"/>
      <c r="W187" s="6"/>
    </row>
    <row r="188" spans="1:23" ht="15.6">
      <c r="A188" s="242"/>
      <c r="B188" s="460"/>
      <c r="C188" s="461"/>
      <c r="D188" s="461"/>
      <c r="E188" s="461"/>
      <c r="F188" s="461"/>
      <c r="G188" s="461"/>
      <c r="H188" s="461"/>
      <c r="I188" s="461"/>
      <c r="J188" s="461"/>
      <c r="K188" s="461"/>
      <c r="L188" s="461"/>
      <c r="M188" s="462"/>
      <c r="N188" s="461"/>
      <c r="O188" s="462"/>
      <c r="P188" s="461"/>
      <c r="Q188" s="462"/>
      <c r="R188" s="461"/>
      <c r="S188" s="462"/>
      <c r="T188" s="461"/>
      <c r="U188" s="463"/>
      <c r="V188" s="464"/>
      <c r="W188" s="6"/>
    </row>
    <row r="189" spans="1:23" ht="15.6">
      <c r="A189" s="348"/>
      <c r="B189" s="525" t="s">
        <v>80</v>
      </c>
      <c r="C189" s="343"/>
      <c r="D189" s="343"/>
      <c r="E189" s="343"/>
      <c r="F189" s="343"/>
      <c r="G189" s="343"/>
      <c r="H189" s="343"/>
      <c r="I189" s="343"/>
      <c r="J189" s="343"/>
      <c r="K189" s="343"/>
      <c r="L189" s="343"/>
      <c r="M189" s="525" t="s">
        <v>100</v>
      </c>
      <c r="N189" s="526"/>
      <c r="O189" s="527"/>
      <c r="P189" s="526"/>
      <c r="Q189" s="525"/>
      <c r="R189" s="525" t="s">
        <v>26</v>
      </c>
      <c r="S189" s="527"/>
      <c r="T189" s="526"/>
      <c r="U189" s="346"/>
      <c r="V189" s="528"/>
      <c r="W189" s="6"/>
    </row>
    <row r="190" spans="1:23" ht="15.6">
      <c r="A190" s="365"/>
      <c r="B190" s="366"/>
      <c r="C190" s="529"/>
      <c r="D190" s="529"/>
      <c r="E190" s="529"/>
      <c r="F190" s="529"/>
      <c r="G190" s="529"/>
      <c r="H190" s="529"/>
      <c r="I190" s="529"/>
      <c r="J190" s="529"/>
      <c r="K190" s="529"/>
      <c r="L190" s="529" t="s">
        <v>94</v>
      </c>
      <c r="M190" s="530" t="s">
        <v>101</v>
      </c>
      <c r="N190" s="529" t="s">
        <v>103</v>
      </c>
      <c r="O190" s="530" t="s">
        <v>101</v>
      </c>
      <c r="P190" s="530"/>
      <c r="Q190" s="529" t="s">
        <v>94</v>
      </c>
      <c r="R190" s="530" t="s">
        <v>101</v>
      </c>
      <c r="S190" s="529" t="s">
        <v>103</v>
      </c>
      <c r="T190" s="530" t="s">
        <v>101</v>
      </c>
      <c r="U190" s="369"/>
      <c r="V190" s="531"/>
      <c r="W190" s="6"/>
    </row>
    <row r="191" spans="1:23" ht="15.6">
      <c r="A191" s="316"/>
      <c r="B191" s="360" t="s">
        <v>81</v>
      </c>
      <c r="C191" s="361"/>
      <c r="D191" s="361"/>
      <c r="E191" s="361"/>
      <c r="F191" s="361"/>
      <c r="G191" s="361"/>
      <c r="H191" s="361"/>
      <c r="I191" s="361"/>
      <c r="J191" s="361"/>
      <c r="K191" s="361"/>
      <c r="L191" s="361">
        <v>232</v>
      </c>
      <c r="M191" s="362">
        <f t="shared" ref="M191:M197" si="0">+L191/$L$198</f>
        <v>0.66858789625360227</v>
      </c>
      <c r="N191" s="361">
        <v>779</v>
      </c>
      <c r="O191" s="362">
        <f t="shared" ref="O191:O197" si="1">N191/$N$198</f>
        <v>0.83943965517241381</v>
      </c>
      <c r="P191" s="363"/>
      <c r="Q191" s="361">
        <v>31</v>
      </c>
      <c r="R191" s="362">
        <f t="shared" ref="R191:R197" si="2">+Q191/$Q$198</f>
        <v>0.16756756756756758</v>
      </c>
      <c r="S191" s="552">
        <v>27</v>
      </c>
      <c r="T191" s="362">
        <f>+S191/$S$198</f>
        <v>0.19014084507042253</v>
      </c>
      <c r="U191" s="364"/>
      <c r="V191" s="312"/>
      <c r="W191" s="6"/>
    </row>
    <row r="192" spans="1:23" ht="15.6">
      <c r="A192" s="444"/>
      <c r="B192" s="440" t="s">
        <v>82</v>
      </c>
      <c r="C192" s="489"/>
      <c r="D192" s="489"/>
      <c r="E192" s="489"/>
      <c r="F192" s="489"/>
      <c r="G192" s="489"/>
      <c r="H192" s="489"/>
      <c r="I192" s="489"/>
      <c r="J192" s="489"/>
      <c r="K192" s="489"/>
      <c r="L192" s="489">
        <v>4</v>
      </c>
      <c r="M192" s="427">
        <f t="shared" si="0"/>
        <v>1.1527377521613832E-2</v>
      </c>
      <c r="N192" s="553">
        <v>1</v>
      </c>
      <c r="O192" s="427">
        <f>N192/$N$198</f>
        <v>1.0775862068965517E-3</v>
      </c>
      <c r="P192" s="381"/>
      <c r="Q192" s="489">
        <v>5</v>
      </c>
      <c r="R192" s="427">
        <f t="shared" si="2"/>
        <v>2.7027027027027029E-2</v>
      </c>
      <c r="S192" s="553">
        <v>2</v>
      </c>
      <c r="T192" s="427">
        <f>+S192/$S$198</f>
        <v>1.4084507042253521E-2</v>
      </c>
      <c r="U192" s="379"/>
      <c r="V192" s="435"/>
      <c r="W192" s="6"/>
    </row>
    <row r="193" spans="1:24" ht="15.6">
      <c r="A193" s="444"/>
      <c r="B193" s="440" t="s">
        <v>83</v>
      </c>
      <c r="C193" s="489"/>
      <c r="D193" s="489"/>
      <c r="E193" s="489"/>
      <c r="F193" s="489"/>
      <c r="G193" s="489"/>
      <c r="H193" s="489"/>
      <c r="I193" s="489"/>
      <c r="J193" s="489"/>
      <c r="K193" s="489"/>
      <c r="L193" s="489">
        <v>10</v>
      </c>
      <c r="M193" s="427">
        <f t="shared" si="0"/>
        <v>2.8818443804034581E-2</v>
      </c>
      <c r="N193" s="489">
        <v>23</v>
      </c>
      <c r="O193" s="427">
        <f>N193/$N$198</f>
        <v>2.4784482758620691E-2</v>
      </c>
      <c r="P193" s="381"/>
      <c r="Q193" s="489">
        <v>9</v>
      </c>
      <c r="R193" s="427">
        <f t="shared" si="2"/>
        <v>4.8648648648648651E-2</v>
      </c>
      <c r="S193" s="553">
        <v>3</v>
      </c>
      <c r="T193" s="427">
        <f>+S193/$S$198</f>
        <v>2.1126760563380281E-2</v>
      </c>
      <c r="U193" s="379"/>
      <c r="V193" s="435"/>
      <c r="W193" s="6"/>
    </row>
    <row r="194" spans="1:24" ht="15.6">
      <c r="A194" s="444"/>
      <c r="B194" s="440" t="s">
        <v>186</v>
      </c>
      <c r="C194" s="489"/>
      <c r="D194" s="489"/>
      <c r="E194" s="489"/>
      <c r="F194" s="489"/>
      <c r="G194" s="489"/>
      <c r="H194" s="489"/>
      <c r="I194" s="489"/>
      <c r="J194" s="489"/>
      <c r="K194" s="489"/>
      <c r="L194" s="489">
        <v>6</v>
      </c>
      <c r="M194" s="427">
        <f t="shared" si="0"/>
        <v>1.7291066282420751E-2</v>
      </c>
      <c r="N194" s="489">
        <v>3</v>
      </c>
      <c r="O194" s="427">
        <f t="shared" si="1"/>
        <v>3.2327586206896551E-3</v>
      </c>
      <c r="P194" s="381"/>
      <c r="Q194" s="489">
        <v>13</v>
      </c>
      <c r="R194" s="551">
        <f t="shared" si="2"/>
        <v>7.0270270270270274E-2</v>
      </c>
      <c r="S194" s="489">
        <v>8</v>
      </c>
      <c r="T194" s="427">
        <f>+S194/$S$198</f>
        <v>5.6338028169014086E-2</v>
      </c>
      <c r="U194" s="379"/>
      <c r="V194" s="435"/>
      <c r="W194" s="6"/>
    </row>
    <row r="195" spans="1:24" ht="15.6">
      <c r="A195" s="444"/>
      <c r="B195" s="440" t="s">
        <v>187</v>
      </c>
      <c r="C195" s="489"/>
      <c r="D195" s="489"/>
      <c r="E195" s="489"/>
      <c r="F195" s="489"/>
      <c r="G195" s="489"/>
      <c r="H195" s="489"/>
      <c r="I195" s="489"/>
      <c r="J195" s="489"/>
      <c r="K195" s="489"/>
      <c r="L195" s="489">
        <v>9</v>
      </c>
      <c r="M195" s="427">
        <f t="shared" si="0"/>
        <v>2.5936599423631124E-2</v>
      </c>
      <c r="N195" s="489">
        <v>5</v>
      </c>
      <c r="O195" s="427">
        <f t="shared" si="1"/>
        <v>5.387931034482759E-3</v>
      </c>
      <c r="P195" s="381"/>
      <c r="Q195" s="489">
        <v>14</v>
      </c>
      <c r="R195" s="427">
        <f t="shared" si="2"/>
        <v>7.567567567567568E-2</v>
      </c>
      <c r="S195" s="489">
        <v>9</v>
      </c>
      <c r="T195" s="427">
        <f>+S195/$S$198</f>
        <v>6.3380281690140844E-2</v>
      </c>
      <c r="U195" s="379"/>
      <c r="V195" s="435"/>
      <c r="W195" s="6"/>
    </row>
    <row r="196" spans="1:24" ht="15.6">
      <c r="A196" s="444"/>
      <c r="B196" s="440" t="s">
        <v>188</v>
      </c>
      <c r="C196" s="489"/>
      <c r="D196" s="489"/>
      <c r="E196" s="489"/>
      <c r="F196" s="489"/>
      <c r="G196" s="489"/>
      <c r="H196" s="489"/>
      <c r="I196" s="489"/>
      <c r="J196" s="489"/>
      <c r="K196" s="489"/>
      <c r="L196" s="489">
        <v>11</v>
      </c>
      <c r="M196" s="427">
        <f t="shared" si="0"/>
        <v>3.1700288184438041E-2</v>
      </c>
      <c r="N196" s="489">
        <v>12</v>
      </c>
      <c r="O196" s="427">
        <f t="shared" si="1"/>
        <v>1.2931034482758621E-2</v>
      </c>
      <c r="P196" s="381"/>
      <c r="Q196" s="489">
        <v>16</v>
      </c>
      <c r="R196" s="427">
        <f t="shared" si="2"/>
        <v>8.6486486486486491E-2</v>
      </c>
      <c r="S196" s="489">
        <v>10</v>
      </c>
      <c r="T196" s="427">
        <f t="shared" ref="T196:T197" si="3">+S196/$S$198</f>
        <v>7.0422535211267609E-2</v>
      </c>
      <c r="U196" s="379"/>
      <c r="V196" s="435"/>
      <c r="W196" s="6"/>
    </row>
    <row r="197" spans="1:24" ht="15.6">
      <c r="A197" s="444"/>
      <c r="B197" s="440" t="s">
        <v>189</v>
      </c>
      <c r="C197" s="489"/>
      <c r="D197" s="489"/>
      <c r="E197" s="489"/>
      <c r="F197" s="489"/>
      <c r="G197" s="489"/>
      <c r="H197" s="489"/>
      <c r="I197" s="489"/>
      <c r="J197" s="489"/>
      <c r="K197" s="489"/>
      <c r="L197" s="489">
        <v>75</v>
      </c>
      <c r="M197" s="427">
        <f t="shared" si="0"/>
        <v>0.21613832853025935</v>
      </c>
      <c r="N197" s="489">
        <v>105</v>
      </c>
      <c r="O197" s="427">
        <f t="shared" si="1"/>
        <v>0.11314655172413793</v>
      </c>
      <c r="P197" s="381"/>
      <c r="Q197" s="489">
        <v>97</v>
      </c>
      <c r="R197" s="427">
        <f t="shared" si="2"/>
        <v>0.5243243243243243</v>
      </c>
      <c r="S197" s="489">
        <v>83</v>
      </c>
      <c r="T197" s="427">
        <f t="shared" si="3"/>
        <v>0.58450704225352113</v>
      </c>
      <c r="U197" s="379"/>
      <c r="V197" s="435"/>
      <c r="W197" s="6"/>
    </row>
    <row r="198" spans="1:24" ht="15.6">
      <c r="A198" s="444"/>
      <c r="B198" s="440" t="s">
        <v>84</v>
      </c>
      <c r="C198" s="489"/>
      <c r="D198" s="489"/>
      <c r="E198" s="489"/>
      <c r="F198" s="489"/>
      <c r="G198" s="489"/>
      <c r="H198" s="489"/>
      <c r="I198" s="489"/>
      <c r="J198" s="489"/>
      <c r="K198" s="489"/>
      <c r="L198" s="489">
        <f>SUM(L191:L197)</f>
        <v>347</v>
      </c>
      <c r="M198" s="427">
        <f>SUM(M191:M197)</f>
        <v>0.99999999999999989</v>
      </c>
      <c r="N198" s="489">
        <f>SUM(N191:N197)</f>
        <v>928</v>
      </c>
      <c r="O198" s="427">
        <f>SUM(O191:O197)</f>
        <v>1</v>
      </c>
      <c r="P198" s="381"/>
      <c r="Q198" s="489">
        <f>SUM(Q191:Q197)</f>
        <v>185</v>
      </c>
      <c r="R198" s="427">
        <f>SUM(R191:R197)</f>
        <v>1</v>
      </c>
      <c r="S198" s="489">
        <f>SUM(S191:S197)</f>
        <v>142</v>
      </c>
      <c r="T198" s="427">
        <f>SUM(T191:T197)</f>
        <v>1</v>
      </c>
      <c r="U198" s="379"/>
      <c r="V198" s="435"/>
      <c r="W198" s="6"/>
      <c r="X198" s="64"/>
    </row>
    <row r="199" spans="1:24" ht="15.6">
      <c r="A199" s="444"/>
      <c r="B199" s="440" t="s">
        <v>85</v>
      </c>
      <c r="C199" s="489"/>
      <c r="D199" s="489"/>
      <c r="E199" s="489"/>
      <c r="F199" s="489"/>
      <c r="G199" s="489"/>
      <c r="H199" s="489"/>
      <c r="I199" s="489"/>
      <c r="J199" s="489"/>
      <c r="K199" s="489"/>
      <c r="L199" s="489">
        <v>793</v>
      </c>
      <c r="M199" s="380"/>
      <c r="N199" s="489">
        <v>4614</v>
      </c>
      <c r="O199" s="380"/>
      <c r="P199" s="381"/>
      <c r="Q199" s="489">
        <v>474</v>
      </c>
      <c r="R199" s="380"/>
      <c r="S199" s="489">
        <v>1045</v>
      </c>
      <c r="T199" s="380"/>
      <c r="U199" s="379"/>
      <c r="V199" s="435"/>
      <c r="W199" s="6"/>
      <c r="X199" s="64"/>
    </row>
    <row r="200" spans="1:24" ht="15.6">
      <c r="A200" s="444"/>
      <c r="B200" s="440" t="s">
        <v>86</v>
      </c>
      <c r="C200" s="489"/>
      <c r="D200" s="489"/>
      <c r="E200" s="489"/>
      <c r="F200" s="489"/>
      <c r="G200" s="489"/>
      <c r="H200" s="489"/>
      <c r="I200" s="489"/>
      <c r="J200" s="489"/>
      <c r="K200" s="489"/>
      <c r="L200" s="489">
        <f>SUM(L198:L199)</f>
        <v>1140</v>
      </c>
      <c r="M200" s="450"/>
      <c r="N200" s="489">
        <f>SUM(N198:N199)</f>
        <v>5542</v>
      </c>
      <c r="O200" s="490"/>
      <c r="P200" s="450"/>
      <c r="Q200" s="489">
        <f>SUM(Q198:Q199)</f>
        <v>659</v>
      </c>
      <c r="R200" s="450"/>
      <c r="S200" s="489">
        <f>SUM(S198:S199)</f>
        <v>1187</v>
      </c>
      <c r="T200" s="450"/>
      <c r="U200" s="450"/>
      <c r="V200" s="435"/>
      <c r="W200" s="6"/>
      <c r="X200" s="64"/>
    </row>
    <row r="201" spans="1:24" ht="15.6">
      <c r="A201" s="242"/>
      <c r="B201" s="484"/>
      <c r="C201" s="485"/>
      <c r="D201" s="485"/>
      <c r="E201" s="485"/>
      <c r="F201" s="485"/>
      <c r="G201" s="485"/>
      <c r="H201" s="485"/>
      <c r="I201" s="485"/>
      <c r="J201" s="485"/>
      <c r="K201" s="485"/>
      <c r="L201" s="532"/>
      <c r="M201" s="533"/>
      <c r="N201" s="532"/>
      <c r="O201" s="533"/>
      <c r="P201" s="488"/>
      <c r="Q201" s="532"/>
      <c r="R201" s="533"/>
      <c r="S201" s="532"/>
      <c r="T201" s="533"/>
      <c r="U201" s="463"/>
      <c r="V201" s="464"/>
      <c r="W201" s="6"/>
    </row>
    <row r="202" spans="1:24" ht="15.6">
      <c r="A202" s="349"/>
      <c r="B202" s="525" t="s">
        <v>80</v>
      </c>
      <c r="C202" s="526"/>
      <c r="D202" s="526"/>
      <c r="E202" s="526"/>
      <c r="F202" s="526"/>
      <c r="G202" s="526"/>
      <c r="H202" s="526"/>
      <c r="I202" s="526"/>
      <c r="J202" s="526"/>
      <c r="K202" s="526"/>
      <c r="L202" s="526"/>
      <c r="M202" s="525" t="s">
        <v>27</v>
      </c>
      <c r="N202" s="526"/>
      <c r="O202" s="527"/>
      <c r="P202" s="526"/>
      <c r="Q202" s="525"/>
      <c r="R202" s="525" t="s">
        <v>28</v>
      </c>
      <c r="S202" s="527"/>
      <c r="T202" s="526"/>
      <c r="U202" s="346"/>
      <c r="V202" s="528"/>
      <c r="W202" s="6"/>
    </row>
    <row r="203" spans="1:24" ht="15.6">
      <c r="A203" s="371"/>
      <c r="B203" s="372"/>
      <c r="C203" s="534"/>
      <c r="D203" s="534"/>
      <c r="E203" s="534"/>
      <c r="F203" s="534"/>
      <c r="G203" s="534"/>
      <c r="H203" s="534"/>
      <c r="I203" s="534"/>
      <c r="J203" s="534"/>
      <c r="K203" s="534"/>
      <c r="L203" s="534" t="s">
        <v>94</v>
      </c>
      <c r="M203" s="535" t="s">
        <v>101</v>
      </c>
      <c r="N203" s="534" t="s">
        <v>103</v>
      </c>
      <c r="O203" s="535" t="s">
        <v>101</v>
      </c>
      <c r="P203" s="535"/>
      <c r="Q203" s="534" t="s">
        <v>94</v>
      </c>
      <c r="R203" s="535" t="s">
        <v>101</v>
      </c>
      <c r="S203" s="534" t="s">
        <v>103</v>
      </c>
      <c r="T203" s="535" t="s">
        <v>101</v>
      </c>
      <c r="U203" s="375"/>
      <c r="V203" s="536"/>
      <c r="W203" s="6"/>
    </row>
    <row r="204" spans="1:24" ht="15.6">
      <c r="A204" s="315"/>
      <c r="B204" s="310" t="s">
        <v>81</v>
      </c>
      <c r="C204" s="351"/>
      <c r="D204" s="351"/>
      <c r="E204" s="351"/>
      <c r="F204" s="351"/>
      <c r="G204" s="351"/>
      <c r="H204" s="351"/>
      <c r="I204" s="351"/>
      <c r="J204" s="351"/>
      <c r="K204" s="351"/>
      <c r="L204" s="351">
        <v>3573</v>
      </c>
      <c r="M204" s="299">
        <f t="shared" ref="M204:M210" si="4">+L204/$L$211</f>
        <v>0.88924838227974112</v>
      </c>
      <c r="N204" s="351">
        <v>74383</v>
      </c>
      <c r="O204" s="299">
        <f t="shared" ref="O204:O210" si="5">+N204/$N$211</f>
        <v>0.88152405783360988</v>
      </c>
      <c r="P204" s="296"/>
      <c r="Q204" s="351">
        <v>33</v>
      </c>
      <c r="R204" s="299">
        <f t="shared" ref="R204:R210" si="6">Q204/$Q$211</f>
        <v>0.80487804878048785</v>
      </c>
      <c r="S204" s="351">
        <v>167</v>
      </c>
      <c r="T204" s="299">
        <f t="shared" ref="T204:T210" si="7">+S204/$S$211</f>
        <v>0.71367521367521369</v>
      </c>
      <c r="U204" s="294"/>
      <c r="V204" s="301"/>
      <c r="W204" s="6"/>
    </row>
    <row r="205" spans="1:24" ht="15.6">
      <c r="A205" s="444"/>
      <c r="B205" s="440" t="s">
        <v>82</v>
      </c>
      <c r="C205" s="489"/>
      <c r="D205" s="489"/>
      <c r="E205" s="489"/>
      <c r="F205" s="489"/>
      <c r="G205" s="489"/>
      <c r="H205" s="489"/>
      <c r="I205" s="489"/>
      <c r="J205" s="489"/>
      <c r="K205" s="489"/>
      <c r="L205" s="489">
        <v>83</v>
      </c>
      <c r="M205" s="427">
        <f t="shared" si="4"/>
        <v>2.0657043305126927E-2</v>
      </c>
      <c r="N205" s="489">
        <v>1724</v>
      </c>
      <c r="O205" s="427">
        <f t="shared" si="5"/>
        <v>2.0431381844038872E-2</v>
      </c>
      <c r="P205" s="381"/>
      <c r="Q205" s="489">
        <v>4</v>
      </c>
      <c r="R205" s="427">
        <f t="shared" si="6"/>
        <v>9.7560975609756101E-2</v>
      </c>
      <c r="S205" s="489">
        <v>56</v>
      </c>
      <c r="T205" s="427">
        <f t="shared" si="7"/>
        <v>0.23931623931623933</v>
      </c>
      <c r="U205" s="379"/>
      <c r="V205" s="435"/>
      <c r="W205" s="6"/>
    </row>
    <row r="206" spans="1:24" ht="15.6">
      <c r="A206" s="444"/>
      <c r="B206" s="440" t="s">
        <v>83</v>
      </c>
      <c r="C206" s="489"/>
      <c r="D206" s="489"/>
      <c r="E206" s="489"/>
      <c r="F206" s="489"/>
      <c r="G206" s="489"/>
      <c r="H206" s="489"/>
      <c r="I206" s="489"/>
      <c r="J206" s="489"/>
      <c r="K206" s="489"/>
      <c r="L206" s="489">
        <v>53</v>
      </c>
      <c r="M206" s="427">
        <f t="shared" si="4"/>
        <v>1.3190642110502738E-2</v>
      </c>
      <c r="N206" s="489">
        <v>1044</v>
      </c>
      <c r="O206" s="427">
        <f t="shared" si="5"/>
        <v>1.2372600142213796E-2</v>
      </c>
      <c r="P206" s="381"/>
      <c r="Q206" s="489">
        <v>0</v>
      </c>
      <c r="R206" s="427">
        <f t="shared" si="6"/>
        <v>0</v>
      </c>
      <c r="S206" s="489">
        <v>0</v>
      </c>
      <c r="T206" s="427">
        <f t="shared" si="7"/>
        <v>0</v>
      </c>
      <c r="U206" s="379"/>
      <c r="V206" s="435"/>
      <c r="W206" s="6"/>
      <c r="X206" s="182"/>
    </row>
    <row r="207" spans="1:24" ht="15.6">
      <c r="A207" s="444"/>
      <c r="B207" s="440" t="s">
        <v>186</v>
      </c>
      <c r="C207" s="489"/>
      <c r="D207" s="489"/>
      <c r="E207" s="489"/>
      <c r="F207" s="489"/>
      <c r="G207" s="489"/>
      <c r="H207" s="489"/>
      <c r="I207" s="489"/>
      <c r="J207" s="489"/>
      <c r="K207" s="489"/>
      <c r="L207" s="489">
        <v>61</v>
      </c>
      <c r="M207" s="427">
        <f t="shared" si="4"/>
        <v>1.5181682429069188E-2</v>
      </c>
      <c r="N207" s="489">
        <v>1335</v>
      </c>
      <c r="O207" s="427">
        <f t="shared" si="5"/>
        <v>1.5821284664612467E-2</v>
      </c>
      <c r="P207" s="381"/>
      <c r="Q207" s="489">
        <v>0</v>
      </c>
      <c r="R207" s="427">
        <f t="shared" si="6"/>
        <v>0</v>
      </c>
      <c r="S207" s="489">
        <v>0</v>
      </c>
      <c r="T207" s="427">
        <f t="shared" si="7"/>
        <v>0</v>
      </c>
      <c r="U207" s="379"/>
      <c r="V207" s="435"/>
      <c r="W207" s="6"/>
    </row>
    <row r="208" spans="1:24" ht="15.6">
      <c r="A208" s="444"/>
      <c r="B208" s="440" t="s">
        <v>187</v>
      </c>
      <c r="C208" s="489"/>
      <c r="D208" s="489"/>
      <c r="E208" s="489"/>
      <c r="F208" s="489"/>
      <c r="G208" s="489"/>
      <c r="H208" s="489"/>
      <c r="I208" s="489"/>
      <c r="J208" s="489"/>
      <c r="K208" s="489"/>
      <c r="L208" s="489">
        <v>42</v>
      </c>
      <c r="M208" s="427">
        <f t="shared" si="4"/>
        <v>1.0452961672473868E-2</v>
      </c>
      <c r="N208" s="489">
        <v>932</v>
      </c>
      <c r="O208" s="427">
        <f t="shared" si="5"/>
        <v>1.1045271391324959E-2</v>
      </c>
      <c r="P208" s="381"/>
      <c r="Q208" s="489">
        <v>0</v>
      </c>
      <c r="R208" s="427">
        <f t="shared" si="6"/>
        <v>0</v>
      </c>
      <c r="S208" s="489">
        <v>0</v>
      </c>
      <c r="T208" s="427">
        <f t="shared" si="7"/>
        <v>0</v>
      </c>
      <c r="U208" s="379"/>
      <c r="V208" s="435"/>
      <c r="W208" s="6"/>
    </row>
    <row r="209" spans="1:24" ht="15.6">
      <c r="A209" s="444"/>
      <c r="B209" s="440" t="s">
        <v>188</v>
      </c>
      <c r="C209" s="489"/>
      <c r="D209" s="489"/>
      <c r="E209" s="489"/>
      <c r="F209" s="489"/>
      <c r="G209" s="489"/>
      <c r="H209" s="489"/>
      <c r="I209" s="489"/>
      <c r="J209" s="489"/>
      <c r="K209" s="489"/>
      <c r="L209" s="489">
        <v>44</v>
      </c>
      <c r="M209" s="427">
        <f t="shared" si="4"/>
        <v>1.0950721752115481E-2</v>
      </c>
      <c r="N209" s="489">
        <v>981</v>
      </c>
      <c r="O209" s="427">
        <f t="shared" si="5"/>
        <v>1.1625977719838825E-2</v>
      </c>
      <c r="P209" s="381"/>
      <c r="Q209" s="489">
        <v>0</v>
      </c>
      <c r="R209" s="427">
        <f t="shared" si="6"/>
        <v>0</v>
      </c>
      <c r="S209" s="489">
        <v>0</v>
      </c>
      <c r="T209" s="427">
        <f t="shared" si="7"/>
        <v>0</v>
      </c>
      <c r="U209" s="379"/>
      <c r="V209" s="435"/>
      <c r="W209" s="6"/>
    </row>
    <row r="210" spans="1:24" ht="15.6">
      <c r="A210" s="444"/>
      <c r="B210" s="440" t="s">
        <v>189</v>
      </c>
      <c r="C210" s="489"/>
      <c r="D210" s="489"/>
      <c r="E210" s="489"/>
      <c r="F210" s="489"/>
      <c r="G210" s="489"/>
      <c r="H210" s="489"/>
      <c r="I210" s="489"/>
      <c r="J210" s="489"/>
      <c r="K210" s="489"/>
      <c r="L210" s="489">
        <v>162</v>
      </c>
      <c r="M210" s="427">
        <f t="shared" si="4"/>
        <v>4.0318566450970629E-2</v>
      </c>
      <c r="N210" s="489">
        <v>3981</v>
      </c>
      <c r="O210" s="427">
        <f t="shared" si="5"/>
        <v>4.7179426404361222E-2</v>
      </c>
      <c r="P210" s="381"/>
      <c r="Q210" s="489">
        <v>4</v>
      </c>
      <c r="R210" s="427">
        <f t="shared" si="6"/>
        <v>9.7560975609756101E-2</v>
      </c>
      <c r="S210" s="489">
        <v>11</v>
      </c>
      <c r="T210" s="427">
        <f t="shared" si="7"/>
        <v>4.7008547008547008E-2</v>
      </c>
      <c r="U210" s="379"/>
      <c r="V210" s="435"/>
      <c r="W210" s="6"/>
    </row>
    <row r="211" spans="1:24" ht="15.6">
      <c r="A211" s="444"/>
      <c r="B211" s="440" t="str">
        <f>B198</f>
        <v>Total Performing  Assets</v>
      </c>
      <c r="C211" s="489"/>
      <c r="D211" s="489"/>
      <c r="E211" s="489"/>
      <c r="F211" s="489"/>
      <c r="G211" s="489"/>
      <c r="H211" s="489"/>
      <c r="I211" s="489"/>
      <c r="J211" s="489"/>
      <c r="K211" s="489"/>
      <c r="L211" s="489">
        <f>SUM(L204:L210)</f>
        <v>4018</v>
      </c>
      <c r="M211" s="427">
        <f>SUM(M204:M210)</f>
        <v>1</v>
      </c>
      <c r="N211" s="489">
        <f>SUM(N204:N210)</f>
        <v>84380</v>
      </c>
      <c r="O211" s="427">
        <f>SUM(O204:O210)</f>
        <v>1</v>
      </c>
      <c r="P211" s="381"/>
      <c r="Q211" s="489">
        <f>SUM(Q204:Q210)</f>
        <v>41</v>
      </c>
      <c r="R211" s="427">
        <f>SUM(R204:R210)</f>
        <v>1</v>
      </c>
      <c r="S211" s="489">
        <f>SUM(S204:S210)</f>
        <v>234</v>
      </c>
      <c r="T211" s="427">
        <f>SUM(T204:T210)</f>
        <v>1</v>
      </c>
      <c r="U211" s="379"/>
      <c r="V211" s="435"/>
      <c r="W211" s="6"/>
    </row>
    <row r="212" spans="1:24" ht="15.6">
      <c r="A212" s="444"/>
      <c r="B212" s="440" t="s">
        <v>85</v>
      </c>
      <c r="C212" s="489"/>
      <c r="D212" s="489"/>
      <c r="E212" s="489"/>
      <c r="F212" s="489"/>
      <c r="G212" s="489"/>
      <c r="H212" s="489"/>
      <c r="I212" s="489"/>
      <c r="J212" s="489"/>
      <c r="K212" s="489"/>
      <c r="L212" s="489">
        <v>298</v>
      </c>
      <c r="M212" s="381"/>
      <c r="N212" s="489">
        <v>8164</v>
      </c>
      <c r="O212" s="380"/>
      <c r="P212" s="381"/>
      <c r="Q212" s="489">
        <v>10</v>
      </c>
      <c r="R212" s="381"/>
      <c r="S212" s="489">
        <v>170</v>
      </c>
      <c r="T212" s="381"/>
      <c r="U212" s="379"/>
      <c r="V212" s="435"/>
      <c r="W212" s="6"/>
    </row>
    <row r="213" spans="1:24" ht="15.6">
      <c r="A213" s="444"/>
      <c r="B213" s="440" t="s">
        <v>86</v>
      </c>
      <c r="C213" s="489"/>
      <c r="D213" s="489"/>
      <c r="E213" s="489"/>
      <c r="F213" s="489"/>
      <c r="G213" s="489"/>
      <c r="H213" s="489"/>
      <c r="I213" s="489"/>
      <c r="J213" s="489"/>
      <c r="K213" s="489"/>
      <c r="L213" s="489">
        <f>SUM(L211:L212)</f>
        <v>4316</v>
      </c>
      <c r="M213" s="450"/>
      <c r="N213" s="489">
        <f>SUM(N211:N212)</f>
        <v>92544</v>
      </c>
      <c r="O213" s="427"/>
      <c r="P213" s="450"/>
      <c r="Q213" s="489">
        <f>SUM(Q211:Q212)</f>
        <v>51</v>
      </c>
      <c r="R213" s="450"/>
      <c r="S213" s="489">
        <f>SUM(S211:S212)</f>
        <v>404</v>
      </c>
      <c r="T213" s="450"/>
      <c r="U213" s="450"/>
      <c r="V213" s="492"/>
    </row>
    <row r="214" spans="1:24" ht="15.6">
      <c r="A214" s="444"/>
      <c r="B214" s="440"/>
      <c r="C214" s="381"/>
      <c r="D214" s="381"/>
      <c r="E214" s="381"/>
      <c r="F214" s="381"/>
      <c r="G214" s="381"/>
      <c r="H214" s="381"/>
      <c r="I214" s="381"/>
      <c r="J214" s="381"/>
      <c r="K214" s="381"/>
      <c r="L214" s="381"/>
      <c r="M214" s="493"/>
      <c r="N214" s="381"/>
      <c r="O214" s="493"/>
      <c r="P214" s="381"/>
      <c r="Q214" s="493"/>
      <c r="R214" s="381"/>
      <c r="S214" s="489"/>
      <c r="T214" s="381"/>
      <c r="U214" s="379"/>
      <c r="V214" s="435"/>
      <c r="W214" s="6"/>
    </row>
    <row r="215" spans="1:24" ht="15.6">
      <c r="A215" s="444"/>
      <c r="B215" s="440" t="s">
        <v>86</v>
      </c>
      <c r="C215" s="381"/>
      <c r="D215" s="381"/>
      <c r="E215" s="381"/>
      <c r="F215" s="381"/>
      <c r="G215" s="381"/>
      <c r="H215" s="381"/>
      <c r="I215" s="381"/>
      <c r="J215" s="381"/>
      <c r="K215" s="381"/>
      <c r="L215" s="493"/>
      <c r="M215" s="493"/>
      <c r="N215" s="493"/>
      <c r="O215" s="493"/>
      <c r="P215" s="381"/>
      <c r="Q215" s="493"/>
      <c r="R215" s="381"/>
      <c r="S215" s="489">
        <f>+N200+S200+N213+S213</f>
        <v>99677</v>
      </c>
      <c r="T215" s="490"/>
      <c r="U215" s="379"/>
      <c r="V215" s="435"/>
      <c r="W215" s="6"/>
      <c r="X215" s="182"/>
    </row>
    <row r="216" spans="1:24" ht="15.6">
      <c r="A216" s="316"/>
      <c r="B216" s="360"/>
      <c r="C216" s="363"/>
      <c r="D216" s="363"/>
      <c r="E216" s="363"/>
      <c r="F216" s="363"/>
      <c r="G216" s="363"/>
      <c r="H216" s="363"/>
      <c r="I216" s="363"/>
      <c r="J216" s="363"/>
      <c r="K216" s="363"/>
      <c r="L216" s="491"/>
      <c r="M216" s="491"/>
      <c r="N216" s="491"/>
      <c r="O216" s="491"/>
      <c r="P216" s="363"/>
      <c r="Q216" s="491"/>
      <c r="R216" s="363"/>
      <c r="S216" s="361"/>
      <c r="T216" s="363"/>
      <c r="U216" s="364"/>
      <c r="V216" s="312"/>
      <c r="W216" s="6"/>
    </row>
    <row r="217" spans="1:24" ht="15.6">
      <c r="A217" s="349"/>
      <c r="B217" s="357" t="s">
        <v>87</v>
      </c>
      <c r="C217" s="526"/>
      <c r="D217" s="526"/>
      <c r="E217" s="526"/>
      <c r="F217" s="526"/>
      <c r="G217" s="526"/>
      <c r="H217" s="526"/>
      <c r="I217" s="526"/>
      <c r="J217" s="526"/>
      <c r="K217" s="526"/>
      <c r="L217" s="526"/>
      <c r="M217" s="527"/>
      <c r="N217" s="526"/>
      <c r="O217" s="527"/>
      <c r="P217" s="526"/>
      <c r="Q217" s="527"/>
      <c r="R217" s="526"/>
      <c r="S217" s="358"/>
      <c r="T217" s="526"/>
      <c r="U217" s="350"/>
      <c r="V217" s="528"/>
      <c r="W217" s="6"/>
    </row>
    <row r="218" spans="1:24" ht="15.6">
      <c r="A218" s="315"/>
      <c r="B218" s="310"/>
      <c r="C218" s="296"/>
      <c r="D218" s="296"/>
      <c r="E218" s="296"/>
      <c r="F218" s="296"/>
      <c r="G218" s="296"/>
      <c r="H218" s="296"/>
      <c r="I218" s="296"/>
      <c r="J218" s="296"/>
      <c r="K218" s="296"/>
      <c r="L218" s="296"/>
      <c r="M218" s="352"/>
      <c r="N218" s="296"/>
      <c r="O218" s="352"/>
      <c r="P218" s="296"/>
      <c r="Q218" s="352"/>
      <c r="R218" s="296"/>
      <c r="S218" s="351"/>
      <c r="T218" s="296"/>
      <c r="U218" s="294"/>
      <c r="V218" s="301"/>
      <c r="W218" s="6"/>
    </row>
    <row r="219" spans="1:24" ht="15.6">
      <c r="A219" s="444"/>
      <c r="B219" s="440" t="s">
        <v>88</v>
      </c>
      <c r="C219" s="381"/>
      <c r="D219" s="381"/>
      <c r="E219" s="381"/>
      <c r="F219" s="381"/>
      <c r="G219" s="381"/>
      <c r="H219" s="381"/>
      <c r="I219" s="381"/>
      <c r="J219" s="381"/>
      <c r="K219" s="381"/>
      <c r="L219" s="381"/>
      <c r="M219" s="493"/>
      <c r="N219" s="381"/>
      <c r="O219" s="493"/>
      <c r="P219" s="381"/>
      <c r="Q219" s="493"/>
      <c r="R219" s="381"/>
      <c r="S219" s="489">
        <f>+N198+S198+N211+S211</f>
        <v>85684</v>
      </c>
      <c r="T219" s="381"/>
      <c r="U219" s="379"/>
      <c r="V219" s="435"/>
      <c r="W219" s="6"/>
      <c r="X219" s="182"/>
    </row>
    <row r="220" spans="1:24" ht="15.6">
      <c r="A220" s="444"/>
      <c r="B220" s="440" t="s">
        <v>89</v>
      </c>
      <c r="C220" s="381"/>
      <c r="D220" s="381"/>
      <c r="E220" s="381"/>
      <c r="F220" s="381"/>
      <c r="G220" s="381"/>
      <c r="H220" s="381"/>
      <c r="I220" s="381"/>
      <c r="J220" s="381"/>
      <c r="K220" s="381"/>
      <c r="L220" s="381"/>
      <c r="M220" s="493"/>
      <c r="N220" s="381"/>
      <c r="O220" s="493"/>
      <c r="P220" s="381"/>
      <c r="Q220" s="493"/>
      <c r="R220" s="381"/>
      <c r="S220" s="489">
        <f>+U78</f>
        <v>0</v>
      </c>
      <c r="T220" s="381"/>
      <c r="U220" s="379"/>
      <c r="V220" s="435"/>
      <c r="W220" s="119"/>
    </row>
    <row r="221" spans="1:24" ht="15.6">
      <c r="A221" s="444"/>
      <c r="B221" s="440" t="s">
        <v>90</v>
      </c>
      <c r="C221" s="381"/>
      <c r="D221" s="381"/>
      <c r="E221" s="381"/>
      <c r="F221" s="381"/>
      <c r="G221" s="381"/>
      <c r="H221" s="381"/>
      <c r="I221" s="381"/>
      <c r="J221" s="381"/>
      <c r="K221" s="381"/>
      <c r="L221" s="381"/>
      <c r="M221" s="493"/>
      <c r="N221" s="381"/>
      <c r="O221" s="493"/>
      <c r="P221" s="381"/>
      <c r="Q221" s="493"/>
      <c r="R221" s="381"/>
      <c r="S221" s="489">
        <f>SUM(S219:S220)</f>
        <v>85684</v>
      </c>
      <c r="T221" s="381"/>
      <c r="U221" s="379"/>
      <c r="V221" s="435"/>
      <c r="W221" s="6"/>
    </row>
    <row r="222" spans="1:24" ht="15.6">
      <c r="A222" s="444"/>
      <c r="B222" s="440"/>
      <c r="C222" s="381"/>
      <c r="D222" s="381"/>
      <c r="E222" s="381"/>
      <c r="F222" s="381"/>
      <c r="G222" s="381"/>
      <c r="H222" s="381"/>
      <c r="I222" s="381"/>
      <c r="J222" s="381"/>
      <c r="K222" s="381"/>
      <c r="L222" s="381"/>
      <c r="M222" s="493"/>
      <c r="N222" s="493"/>
      <c r="O222" s="493"/>
      <c r="P222" s="381"/>
      <c r="Q222" s="493"/>
      <c r="R222" s="381"/>
      <c r="S222" s="489"/>
      <c r="T222" s="381"/>
      <c r="U222" s="379"/>
      <c r="V222" s="435"/>
      <c r="W222" s="6"/>
    </row>
    <row r="223" spans="1:24" ht="15.6">
      <c r="A223" s="444"/>
      <c r="B223" s="440" t="s">
        <v>91</v>
      </c>
      <c r="C223" s="381"/>
      <c r="D223" s="381"/>
      <c r="E223" s="381"/>
      <c r="F223" s="381"/>
      <c r="G223" s="381"/>
      <c r="H223" s="381"/>
      <c r="I223" s="381"/>
      <c r="J223" s="381"/>
      <c r="K223" s="381"/>
      <c r="L223" s="381"/>
      <c r="M223" s="493"/>
      <c r="N223" s="381"/>
      <c r="O223" s="493"/>
      <c r="P223" s="381"/>
      <c r="Q223" s="493"/>
      <c r="R223" s="381"/>
      <c r="S223" s="489">
        <f>U33</f>
        <v>85684.2984</v>
      </c>
      <c r="T223" s="381"/>
      <c r="U223" s="379"/>
      <c r="V223" s="435"/>
      <c r="W223" s="6"/>
    </row>
    <row r="224" spans="1:24" ht="15.6">
      <c r="A224" s="444"/>
      <c r="B224" s="440"/>
      <c r="C224" s="381"/>
      <c r="D224" s="381"/>
      <c r="E224" s="381"/>
      <c r="F224" s="381"/>
      <c r="G224" s="381"/>
      <c r="H224" s="381"/>
      <c r="I224" s="381"/>
      <c r="J224" s="381"/>
      <c r="K224" s="381"/>
      <c r="L224" s="381"/>
      <c r="M224" s="493"/>
      <c r="N224" s="381"/>
      <c r="O224" s="493"/>
      <c r="P224" s="381"/>
      <c r="Q224" s="493"/>
      <c r="R224" s="381"/>
      <c r="S224" s="489"/>
      <c r="T224" s="381"/>
      <c r="U224" s="379"/>
      <c r="V224" s="435"/>
      <c r="W224" s="6"/>
    </row>
    <row r="225" spans="1:23" ht="15.6">
      <c r="A225" s="444"/>
      <c r="B225" s="440" t="s">
        <v>92</v>
      </c>
      <c r="C225" s="381"/>
      <c r="D225" s="381"/>
      <c r="E225" s="381"/>
      <c r="F225" s="381"/>
      <c r="G225" s="381"/>
      <c r="H225" s="381"/>
      <c r="I225" s="381"/>
      <c r="J225" s="381"/>
      <c r="K225" s="381"/>
      <c r="L225" s="381"/>
      <c r="M225" s="493"/>
      <c r="N225" s="381"/>
      <c r="O225" s="493"/>
      <c r="P225" s="381"/>
      <c r="Q225" s="493"/>
      <c r="R225" s="381"/>
      <c r="S225" s="489">
        <f>S221/S223</f>
        <v>0.99999651744828899</v>
      </c>
      <c r="T225" s="381"/>
      <c r="U225" s="379"/>
      <c r="V225" s="435"/>
      <c r="W225" s="6"/>
    </row>
    <row r="226" spans="1:23" ht="15.6">
      <c r="A226" s="444"/>
      <c r="B226" s="379"/>
      <c r="C226" s="379"/>
      <c r="D226" s="379"/>
      <c r="E226" s="379"/>
      <c r="F226" s="379"/>
      <c r="G226" s="379"/>
      <c r="H226" s="379"/>
      <c r="I226" s="379"/>
      <c r="J226" s="379"/>
      <c r="K226" s="379"/>
      <c r="L226" s="379"/>
      <c r="M226" s="380"/>
      <c r="N226" s="379"/>
      <c r="O226" s="379"/>
      <c r="P226" s="379"/>
      <c r="Q226" s="440"/>
      <c r="R226" s="497"/>
      <c r="S226" s="441"/>
      <c r="T226" s="497"/>
      <c r="U226" s="466"/>
      <c r="V226" s="410"/>
      <c r="W226" s="6"/>
    </row>
    <row r="227" spans="1:23" ht="15.6">
      <c r="A227" s="353"/>
      <c r="B227" s="494" t="s">
        <v>127</v>
      </c>
      <c r="C227" s="495"/>
      <c r="D227" s="495"/>
      <c r="E227" s="495"/>
      <c r="F227" s="495"/>
      <c r="G227" s="495"/>
      <c r="H227" s="495"/>
      <c r="I227" s="495"/>
      <c r="J227" s="495"/>
      <c r="K227" s="495"/>
      <c r="L227" s="495"/>
      <c r="M227" s="363"/>
      <c r="N227" s="364"/>
      <c r="O227" s="494"/>
      <c r="P227" s="443"/>
      <c r="Q227" s="443"/>
      <c r="R227" s="443"/>
      <c r="S227" s="496"/>
      <c r="T227" s="443"/>
      <c r="U227" s="443"/>
      <c r="V227" s="355"/>
      <c r="W227" s="6"/>
    </row>
    <row r="228" spans="1:23" ht="15.6">
      <c r="A228" s="353"/>
      <c r="B228" s="287" t="s">
        <v>128</v>
      </c>
      <c r="C228" s="354"/>
      <c r="D228" s="354"/>
      <c r="E228" s="354"/>
      <c r="F228" s="354"/>
      <c r="G228" s="354"/>
      <c r="H228" s="354"/>
      <c r="I228" s="354"/>
      <c r="J228" s="354"/>
      <c r="K228" s="354"/>
      <c r="L228" s="354"/>
      <c r="M228" s="290"/>
      <c r="N228" s="287"/>
      <c r="O228" s="287"/>
      <c r="P228" s="354"/>
      <c r="Q228" s="354"/>
      <c r="R228" s="317"/>
      <c r="S228" s="317"/>
      <c r="T228" s="317"/>
      <c r="U228" s="317"/>
      <c r="V228" s="355"/>
      <c r="W228" s="6"/>
    </row>
    <row r="229" spans="1:23" ht="15.6">
      <c r="A229" s="353"/>
      <c r="B229" s="287" t="s">
        <v>246</v>
      </c>
      <c r="C229" s="287"/>
      <c r="D229" s="287"/>
      <c r="E229" s="287"/>
      <c r="F229" s="287"/>
      <c r="G229" s="287"/>
      <c r="H229" s="287"/>
      <c r="I229" s="287"/>
      <c r="J229" s="287"/>
      <c r="K229" s="287"/>
      <c r="L229" s="287"/>
      <c r="M229" s="287"/>
      <c r="N229" s="287"/>
      <c r="O229" s="287"/>
      <c r="P229" s="287"/>
      <c r="Q229" s="287"/>
      <c r="R229" s="287"/>
      <c r="S229" s="287"/>
      <c r="T229" s="287"/>
      <c r="U229" s="287"/>
      <c r="V229" s="355"/>
      <c r="W229" s="6"/>
    </row>
    <row r="230" spans="1:23" ht="15.6">
      <c r="A230" s="353"/>
      <c r="B230" s="287" t="s">
        <v>129</v>
      </c>
      <c r="C230" s="354"/>
      <c r="D230" s="354"/>
      <c r="E230" s="354"/>
      <c r="F230" s="354"/>
      <c r="G230" s="354"/>
      <c r="H230" s="354"/>
      <c r="I230" s="354"/>
      <c r="J230" s="354"/>
      <c r="K230" s="354"/>
      <c r="L230" s="354"/>
      <c r="M230" s="290"/>
      <c r="N230" s="287"/>
      <c r="O230" s="287"/>
      <c r="P230" s="354"/>
      <c r="Q230" s="354"/>
      <c r="R230" s="317"/>
      <c r="S230" s="317"/>
      <c r="T230" s="317"/>
      <c r="U230" s="317"/>
      <c r="V230" s="355"/>
      <c r="W230" s="6"/>
    </row>
    <row r="231" spans="1:23" ht="15.6">
      <c r="A231" s="353"/>
      <c r="B231" s="287"/>
      <c r="C231" s="354"/>
      <c r="D231" s="354"/>
      <c r="E231" s="354"/>
      <c r="F231" s="354"/>
      <c r="G231" s="354"/>
      <c r="H231" s="354"/>
      <c r="I231" s="354"/>
      <c r="J231" s="354"/>
      <c r="K231" s="354"/>
      <c r="L231" s="354"/>
      <c r="M231" s="290"/>
      <c r="N231" s="287"/>
      <c r="O231" s="287"/>
      <c r="P231" s="354"/>
      <c r="Q231" s="354"/>
      <c r="R231" s="317"/>
      <c r="S231" s="317"/>
      <c r="T231" s="317"/>
      <c r="U231" s="317"/>
      <c r="V231" s="355"/>
      <c r="W231" s="6"/>
    </row>
    <row r="232" spans="1:23" ht="15.6">
      <c r="A232" s="353"/>
      <c r="B232" s="287"/>
      <c r="C232" s="354"/>
      <c r="D232" s="354"/>
      <c r="E232" s="354"/>
      <c r="F232" s="354"/>
      <c r="G232" s="354"/>
      <c r="H232" s="354"/>
      <c r="I232" s="354"/>
      <c r="J232" s="354"/>
      <c r="K232" s="354"/>
      <c r="L232" s="354"/>
      <c r="M232" s="290"/>
      <c r="N232" s="287"/>
      <c r="O232" s="287"/>
      <c r="P232" s="354"/>
      <c r="Q232" s="354"/>
      <c r="R232" s="317"/>
      <c r="S232" s="317"/>
      <c r="T232" s="317"/>
      <c r="U232" s="317"/>
      <c r="V232" s="355"/>
      <c r="W232" s="6"/>
    </row>
    <row r="233" spans="1:23" ht="16.2" thickBot="1">
      <c r="A233" s="353"/>
      <c r="B233" s="287" t="str">
        <f>+B160</f>
        <v>PPAF3 INVESTOR REPORT QUARTER ENDING DECEMBER 2015</v>
      </c>
      <c r="C233" s="354"/>
      <c r="D233" s="354"/>
      <c r="E233" s="354"/>
      <c r="F233" s="354"/>
      <c r="G233" s="354"/>
      <c r="H233" s="354"/>
      <c r="I233" s="354"/>
      <c r="J233" s="354"/>
      <c r="K233" s="354"/>
      <c r="L233" s="354"/>
      <c r="M233" s="290"/>
      <c r="N233" s="287"/>
      <c r="O233" s="287"/>
      <c r="P233" s="354"/>
      <c r="Q233" s="354"/>
      <c r="R233" s="317"/>
      <c r="S233" s="317"/>
      <c r="T233" s="317"/>
      <c r="U233" s="317"/>
      <c r="V233" s="356"/>
      <c r="W233" s="6"/>
    </row>
    <row r="234" spans="1:2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row>
  </sheetData>
  <hyperlinks>
    <hyperlink ref="I9" r:id="rId1"/>
    <hyperlink ref="K187"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21" man="1"/>
    <brk id="109" max="16383" man="1"/>
    <brk id="160" max="21" man="1"/>
    <brk id="239" man="1"/>
  </rowBreaks>
  <colBreaks count="1" manualBreakCount="1">
    <brk id="23" max="1048575" man="1"/>
  </colBreaks>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808080"/>
  </sheetPr>
  <dimension ref="A1:Y234"/>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38" t="s">
        <v>223</v>
      </c>
      <c r="B1" s="285" t="s">
        <v>123</v>
      </c>
      <c r="C1" s="239"/>
      <c r="D1" s="239"/>
      <c r="E1" s="239"/>
      <c r="F1" s="239"/>
      <c r="G1" s="239"/>
      <c r="H1" s="239"/>
      <c r="I1" s="239"/>
      <c r="J1" s="239"/>
      <c r="K1" s="239"/>
      <c r="L1" s="239"/>
      <c r="M1" s="240"/>
      <c r="N1" s="240"/>
      <c r="O1" s="240"/>
      <c r="P1" s="240"/>
      <c r="Q1" s="240"/>
      <c r="R1" s="240"/>
      <c r="S1" s="240"/>
      <c r="T1" s="240"/>
      <c r="U1" s="240"/>
      <c r="V1" s="241"/>
      <c r="W1" s="6"/>
    </row>
    <row r="2" spans="1:23" ht="15.6">
      <c r="A2" s="242"/>
      <c r="B2" s="243"/>
      <c r="C2" s="243"/>
      <c r="D2" s="243"/>
      <c r="E2" s="243"/>
      <c r="F2" s="243"/>
      <c r="G2" s="243"/>
      <c r="H2" s="243"/>
      <c r="I2" s="243"/>
      <c r="J2" s="243"/>
      <c r="K2" s="243"/>
      <c r="L2" s="243"/>
      <c r="M2" s="244"/>
      <c r="N2" s="244"/>
      <c r="O2" s="244"/>
      <c r="P2" s="244"/>
      <c r="Q2" s="244"/>
      <c r="R2" s="244"/>
      <c r="S2" s="244"/>
      <c r="T2" s="244"/>
      <c r="U2" s="244"/>
      <c r="V2" s="245"/>
      <c r="W2" s="6"/>
    </row>
    <row r="3" spans="1:23" ht="15.6">
      <c r="A3" s="246"/>
      <c r="B3" s="247" t="s">
        <v>125</v>
      </c>
      <c r="C3" s="244"/>
      <c r="D3" s="244"/>
      <c r="E3" s="244"/>
      <c r="F3" s="244"/>
      <c r="G3" s="244"/>
      <c r="H3" s="244"/>
      <c r="I3" s="244"/>
      <c r="J3" s="244"/>
      <c r="K3" s="244"/>
      <c r="L3" s="244"/>
      <c r="M3" s="244"/>
      <c r="N3" s="244"/>
      <c r="O3" s="244"/>
      <c r="P3" s="244"/>
      <c r="Q3" s="244"/>
      <c r="R3" s="244"/>
      <c r="S3" s="244"/>
      <c r="T3" s="244"/>
      <c r="U3" s="244"/>
      <c r="V3" s="245"/>
      <c r="W3" s="6"/>
    </row>
    <row r="4" spans="1:23" ht="15.6">
      <c r="A4" s="242"/>
      <c r="B4" s="243"/>
      <c r="C4" s="243"/>
      <c r="D4" s="243"/>
      <c r="E4" s="243"/>
      <c r="F4" s="243"/>
      <c r="G4" s="243"/>
      <c r="H4" s="243"/>
      <c r="I4" s="243"/>
      <c r="J4" s="243"/>
      <c r="K4" s="243"/>
      <c r="L4" s="243"/>
      <c r="M4" s="244"/>
      <c r="N4" s="244"/>
      <c r="O4" s="244"/>
      <c r="P4" s="244"/>
      <c r="Q4" s="244"/>
      <c r="R4" s="244"/>
      <c r="S4" s="244"/>
      <c r="T4" s="244"/>
      <c r="U4" s="244"/>
      <c r="V4" s="245"/>
      <c r="W4" s="6"/>
    </row>
    <row r="5" spans="1:23" ht="16.2">
      <c r="A5" s="242"/>
      <c r="B5" s="286" t="s">
        <v>0</v>
      </c>
      <c r="C5" s="248"/>
      <c r="D5" s="248"/>
      <c r="E5" s="248"/>
      <c r="F5" s="248"/>
      <c r="G5" s="248"/>
      <c r="H5" s="248"/>
      <c r="I5" s="248"/>
      <c r="J5" s="248"/>
      <c r="K5" s="248"/>
      <c r="L5" s="248"/>
      <c r="M5" s="244"/>
      <c r="N5" s="244"/>
      <c r="O5" s="244"/>
      <c r="P5" s="244"/>
      <c r="Q5" s="244"/>
      <c r="R5" s="244"/>
      <c r="S5" s="244"/>
      <c r="T5" s="244"/>
      <c r="U5" s="244"/>
      <c r="V5" s="245"/>
      <c r="W5" s="6"/>
    </row>
    <row r="6" spans="1:23" ht="16.2">
      <c r="A6" s="242"/>
      <c r="B6" s="286" t="s">
        <v>1</v>
      </c>
      <c r="C6" s="248"/>
      <c r="D6" s="248"/>
      <c r="E6" s="248"/>
      <c r="F6" s="248"/>
      <c r="G6" s="248"/>
      <c r="H6" s="248"/>
      <c r="I6" s="248"/>
      <c r="J6" s="248"/>
      <c r="K6" s="248"/>
      <c r="L6" s="248"/>
      <c r="M6" s="244"/>
      <c r="N6" s="244"/>
      <c r="O6" s="244"/>
      <c r="P6" s="244"/>
      <c r="Q6" s="244"/>
      <c r="R6" s="244"/>
      <c r="S6" s="244"/>
      <c r="T6" s="244"/>
      <c r="U6" s="244"/>
      <c r="V6" s="245"/>
      <c r="W6" s="6"/>
    </row>
    <row r="7" spans="1:23" ht="16.2">
      <c r="A7" s="242"/>
      <c r="B7" s="286" t="s">
        <v>2</v>
      </c>
      <c r="C7" s="248"/>
      <c r="D7" s="248"/>
      <c r="E7" s="248"/>
      <c r="F7" s="248"/>
      <c r="G7" s="248"/>
      <c r="H7" s="248"/>
      <c r="I7" s="248"/>
      <c r="J7" s="248"/>
      <c r="K7" s="248"/>
      <c r="L7" s="248"/>
      <c r="M7" s="244"/>
      <c r="N7" s="244"/>
      <c r="O7" s="244"/>
      <c r="P7" s="244"/>
      <c r="Q7" s="244"/>
      <c r="R7" s="244"/>
      <c r="S7" s="244"/>
      <c r="T7" s="244"/>
      <c r="U7" s="244"/>
      <c r="V7" s="245"/>
      <c r="W7" s="6"/>
    </row>
    <row r="8" spans="1:23" ht="16.2">
      <c r="A8" s="242"/>
      <c r="B8" s="249"/>
      <c r="C8" s="248"/>
      <c r="D8" s="248"/>
      <c r="E8" s="248"/>
      <c r="F8" s="248"/>
      <c r="G8" s="248"/>
      <c r="H8" s="248"/>
      <c r="I8" s="248"/>
      <c r="J8" s="248"/>
      <c r="K8" s="248"/>
      <c r="L8" s="248"/>
      <c r="M8" s="244"/>
      <c r="N8" s="244"/>
      <c r="O8" s="244"/>
      <c r="P8" s="244"/>
      <c r="Q8" s="244"/>
      <c r="R8" s="244"/>
      <c r="S8" s="244"/>
      <c r="T8" s="244"/>
      <c r="U8" s="244"/>
      <c r="V8" s="245"/>
      <c r="W8" s="6"/>
    </row>
    <row r="9" spans="1:23" ht="18">
      <c r="A9" s="242"/>
      <c r="B9" s="250" t="s">
        <v>194</v>
      </c>
      <c r="C9" s="248"/>
      <c r="D9" s="248"/>
      <c r="E9" s="248"/>
      <c r="F9" s="248"/>
      <c r="G9" s="248"/>
      <c r="H9" s="248"/>
      <c r="I9" s="251" t="s">
        <v>195</v>
      </c>
      <c r="J9" s="248"/>
      <c r="K9" s="248"/>
      <c r="L9" s="248"/>
      <c r="M9" s="244"/>
      <c r="N9" s="244"/>
      <c r="O9" s="244"/>
      <c r="P9" s="244"/>
      <c r="Q9" s="244"/>
      <c r="R9" s="244"/>
      <c r="S9" s="244"/>
      <c r="T9" s="244"/>
      <c r="U9" s="244"/>
      <c r="V9" s="245"/>
      <c r="W9" s="6"/>
    </row>
    <row r="10" spans="1:23" ht="16.2">
      <c r="A10" s="242"/>
      <c r="B10" s="248"/>
      <c r="C10" s="248"/>
      <c r="D10" s="248"/>
      <c r="E10" s="248"/>
      <c r="F10" s="248"/>
      <c r="G10" s="248"/>
      <c r="H10" s="248"/>
      <c r="I10" s="248"/>
      <c r="J10" s="248"/>
      <c r="K10" s="248"/>
      <c r="L10" s="248"/>
      <c r="M10" s="252"/>
      <c r="N10" s="252"/>
      <c r="O10" s="244"/>
      <c r="P10" s="244"/>
      <c r="Q10" s="244"/>
      <c r="R10" s="244"/>
      <c r="S10" s="244"/>
      <c r="T10" s="244"/>
      <c r="U10" s="244"/>
      <c r="V10" s="245"/>
      <c r="W10" s="6"/>
    </row>
    <row r="11" spans="1:23" ht="15.6">
      <c r="A11" s="242"/>
      <c r="B11" s="287" t="s">
        <v>3</v>
      </c>
      <c r="C11" s="252"/>
      <c r="D11" s="252"/>
      <c r="E11" s="252"/>
      <c r="F11" s="252"/>
      <c r="G11" s="252"/>
      <c r="H11" s="252"/>
      <c r="I11" s="252"/>
      <c r="J11" s="252"/>
      <c r="K11" s="252"/>
      <c r="L11" s="252"/>
      <c r="M11" s="244"/>
      <c r="N11" s="244"/>
      <c r="O11" s="244"/>
      <c r="P11" s="244"/>
      <c r="Q11" s="244"/>
      <c r="R11" s="244"/>
      <c r="S11" s="244"/>
      <c r="T11" s="244"/>
      <c r="U11" s="244"/>
      <c r="V11" s="245"/>
      <c r="W11" s="6"/>
    </row>
    <row r="12" spans="1:23" ht="16.2" thickBot="1">
      <c r="A12" s="242"/>
      <c r="B12" s="252"/>
      <c r="C12" s="252"/>
      <c r="D12" s="252"/>
      <c r="E12" s="252"/>
      <c r="F12" s="252"/>
      <c r="G12" s="252"/>
      <c r="H12" s="252"/>
      <c r="I12" s="252"/>
      <c r="J12" s="252"/>
      <c r="K12" s="252"/>
      <c r="L12" s="252"/>
      <c r="M12" s="244"/>
      <c r="N12" s="244"/>
      <c r="O12" s="244"/>
      <c r="P12" s="244"/>
      <c r="Q12" s="244"/>
      <c r="R12" s="244"/>
      <c r="S12" s="244"/>
      <c r="T12" s="244"/>
      <c r="U12" s="244"/>
      <c r="V12" s="245"/>
      <c r="W12" s="6"/>
    </row>
    <row r="13" spans="1:23" ht="15.6">
      <c r="A13" s="238"/>
      <c r="B13" s="240"/>
      <c r="C13" s="240"/>
      <c r="D13" s="240"/>
      <c r="E13" s="240"/>
      <c r="F13" s="240"/>
      <c r="G13" s="240"/>
      <c r="H13" s="240"/>
      <c r="I13" s="240"/>
      <c r="J13" s="240"/>
      <c r="K13" s="240"/>
      <c r="L13" s="240"/>
      <c r="M13" s="240"/>
      <c r="N13" s="240"/>
      <c r="O13" s="240"/>
      <c r="P13" s="240"/>
      <c r="Q13" s="240"/>
      <c r="R13" s="240"/>
      <c r="S13" s="240"/>
      <c r="T13" s="240"/>
      <c r="U13" s="240"/>
      <c r="V13" s="241"/>
      <c r="W13" s="6"/>
    </row>
    <row r="14" spans="1:23" ht="15.6">
      <c r="A14" s="242"/>
      <c r="B14" s="287" t="s">
        <v>4</v>
      </c>
      <c r="C14" s="253"/>
      <c r="D14" s="253"/>
      <c r="E14" s="253"/>
      <c r="F14" s="253"/>
      <c r="G14" s="253"/>
      <c r="H14" s="253"/>
      <c r="I14" s="253"/>
      <c r="J14" s="253"/>
      <c r="K14" s="253"/>
      <c r="L14" s="253"/>
      <c r="M14" s="288"/>
      <c r="N14" s="288"/>
      <c r="O14" s="288"/>
      <c r="P14" s="288"/>
      <c r="Q14" s="288"/>
      <c r="R14" s="288"/>
      <c r="S14" s="288"/>
      <c r="T14" s="288"/>
      <c r="U14" s="289" t="s">
        <v>126</v>
      </c>
      <c r="V14" s="245"/>
      <c r="W14" s="6"/>
    </row>
    <row r="15" spans="1:23" ht="15.6">
      <c r="A15" s="242"/>
      <c r="B15" s="287" t="s">
        <v>5</v>
      </c>
      <c r="C15" s="253"/>
      <c r="D15" s="253"/>
      <c r="E15" s="253"/>
      <c r="F15" s="253"/>
      <c r="G15" s="253"/>
      <c r="H15" s="253"/>
      <c r="I15" s="253"/>
      <c r="J15" s="253"/>
      <c r="K15" s="253"/>
      <c r="L15" s="253"/>
      <c r="M15" s="290" t="s">
        <v>93</v>
      </c>
      <c r="N15" s="291">
        <v>0.1492</v>
      </c>
      <c r="O15" s="290" t="s">
        <v>99</v>
      </c>
      <c r="P15" s="291">
        <v>5.4399999999999997E-2</v>
      </c>
      <c r="Q15" s="290" t="s">
        <v>102</v>
      </c>
      <c r="R15" s="291">
        <v>0.48899999999999999</v>
      </c>
      <c r="S15" s="290" t="s">
        <v>108</v>
      </c>
      <c r="T15" s="291">
        <v>0.30740000000000001</v>
      </c>
      <c r="U15" s="289"/>
      <c r="V15" s="254"/>
      <c r="W15" s="6"/>
    </row>
    <row r="16" spans="1:23" ht="15.6">
      <c r="A16" s="242"/>
      <c r="B16" s="287" t="s">
        <v>6</v>
      </c>
      <c r="C16" s="253"/>
      <c r="D16" s="253"/>
      <c r="E16" s="253"/>
      <c r="F16" s="253"/>
      <c r="G16" s="253"/>
      <c r="H16" s="253"/>
      <c r="I16" s="253"/>
      <c r="J16" s="253"/>
      <c r="K16" s="253"/>
      <c r="L16" s="253"/>
      <c r="M16" s="290" t="s">
        <v>93</v>
      </c>
      <c r="N16" s="291">
        <f>+N198/S221</f>
        <v>1.0511460411698866E-2</v>
      </c>
      <c r="O16" s="290" t="s">
        <v>99</v>
      </c>
      <c r="P16" s="291">
        <f>+S198/S221</f>
        <v>1.5815854786120978E-3</v>
      </c>
      <c r="Q16" s="290" t="s">
        <v>102</v>
      </c>
      <c r="R16" s="291">
        <f>+N211/S221</f>
        <v>0.98551024380748453</v>
      </c>
      <c r="S16" s="290" t="s">
        <v>108</v>
      </c>
      <c r="T16" s="291">
        <f>+S211/S221</f>
        <v>2.3967103022044869E-3</v>
      </c>
      <c r="U16" s="289"/>
      <c r="V16" s="254"/>
      <c r="W16" s="6"/>
    </row>
    <row r="17" spans="1:23" ht="15.6">
      <c r="A17" s="242"/>
      <c r="B17" s="287" t="s">
        <v>7</v>
      </c>
      <c r="C17" s="253"/>
      <c r="D17" s="253"/>
      <c r="E17" s="253"/>
      <c r="F17" s="253"/>
      <c r="G17" s="253"/>
      <c r="H17" s="253"/>
      <c r="I17" s="253"/>
      <c r="J17" s="253"/>
      <c r="K17" s="253"/>
      <c r="L17" s="253"/>
      <c r="M17" s="288"/>
      <c r="N17" s="288"/>
      <c r="O17" s="288"/>
      <c r="P17" s="288"/>
      <c r="Q17" s="288"/>
      <c r="R17" s="288"/>
      <c r="S17" s="288"/>
      <c r="T17" s="288"/>
      <c r="U17" s="292">
        <v>38491</v>
      </c>
      <c r="V17" s="245"/>
      <c r="W17" s="6"/>
    </row>
    <row r="18" spans="1:23" ht="15.6">
      <c r="A18" s="242"/>
      <c r="B18" s="287" t="s">
        <v>8</v>
      </c>
      <c r="C18" s="253"/>
      <c r="D18" s="253"/>
      <c r="E18" s="253"/>
      <c r="F18" s="253"/>
      <c r="G18" s="253"/>
      <c r="H18" s="253"/>
      <c r="I18" s="253"/>
      <c r="J18" s="253"/>
      <c r="K18" s="253"/>
      <c r="L18" s="253"/>
      <c r="M18" s="288"/>
      <c r="N18" s="288"/>
      <c r="O18" s="288"/>
      <c r="P18" s="288"/>
      <c r="Q18" s="288"/>
      <c r="R18" s="288"/>
      <c r="S18" s="288"/>
      <c r="T18" s="288"/>
      <c r="U18" s="292">
        <v>42481</v>
      </c>
      <c r="V18" s="245"/>
      <c r="W18" s="6"/>
    </row>
    <row r="19" spans="1:23" ht="15.6">
      <c r="A19" s="242"/>
      <c r="B19" s="288"/>
      <c r="C19" s="244"/>
      <c r="D19" s="244"/>
      <c r="E19" s="244"/>
      <c r="F19" s="244"/>
      <c r="G19" s="244"/>
      <c r="H19" s="244"/>
      <c r="I19" s="244"/>
      <c r="J19" s="244"/>
      <c r="K19" s="244"/>
      <c r="L19" s="244"/>
      <c r="M19" s="244"/>
      <c r="N19" s="244"/>
      <c r="O19" s="244"/>
      <c r="P19" s="244"/>
      <c r="Q19" s="244"/>
      <c r="R19" s="244"/>
      <c r="S19" s="244"/>
      <c r="T19" s="244"/>
      <c r="U19" s="255"/>
      <c r="V19" s="245"/>
      <c r="W19" s="6"/>
    </row>
    <row r="20" spans="1:23" ht="15.6">
      <c r="A20" s="242"/>
      <c r="B20" s="293" t="s">
        <v>9</v>
      </c>
      <c r="C20" s="244"/>
      <c r="D20" s="244"/>
      <c r="E20" s="244"/>
      <c r="F20" s="244"/>
      <c r="G20" s="244"/>
      <c r="H20" s="244"/>
      <c r="I20" s="244"/>
      <c r="J20" s="244"/>
      <c r="K20" s="244"/>
      <c r="L20" s="244"/>
      <c r="M20" s="244"/>
      <c r="N20" s="244"/>
      <c r="O20" s="244"/>
      <c r="P20" s="244"/>
      <c r="Q20" s="244"/>
      <c r="R20" s="244"/>
      <c r="S20" s="255"/>
      <c r="T20" s="244"/>
      <c r="U20" s="249"/>
      <c r="V20" s="245"/>
      <c r="W20" s="6"/>
    </row>
    <row r="21" spans="1:23" ht="15.6">
      <c r="A21" s="242"/>
      <c r="B21" s="244"/>
      <c r="C21" s="244"/>
      <c r="D21" s="244"/>
      <c r="E21" s="244"/>
      <c r="F21" s="244"/>
      <c r="G21" s="244"/>
      <c r="H21" s="244"/>
      <c r="I21" s="244"/>
      <c r="J21" s="244"/>
      <c r="K21" s="244"/>
      <c r="L21" s="244"/>
      <c r="M21" s="244"/>
      <c r="N21" s="244"/>
      <c r="O21" s="244"/>
      <c r="P21" s="244"/>
      <c r="Q21" s="244"/>
      <c r="R21" s="244"/>
      <c r="S21" s="244"/>
      <c r="T21" s="244"/>
      <c r="U21" s="256"/>
      <c r="V21" s="245"/>
      <c r="W21" s="6"/>
    </row>
    <row r="22" spans="1:23" ht="15.6">
      <c r="A22" s="230"/>
      <c r="B22" s="231"/>
      <c r="C22" s="232" t="s">
        <v>130</v>
      </c>
      <c r="D22" s="232"/>
      <c r="E22" s="232" t="s">
        <v>131</v>
      </c>
      <c r="F22" s="232"/>
      <c r="G22" s="232" t="s">
        <v>132</v>
      </c>
      <c r="H22" s="232"/>
      <c r="I22" s="232" t="s">
        <v>133</v>
      </c>
      <c r="J22" s="232"/>
      <c r="K22" s="232" t="s">
        <v>134</v>
      </c>
      <c r="L22" s="232"/>
      <c r="M22" s="233" t="s">
        <v>135</v>
      </c>
      <c r="N22" s="233"/>
      <c r="O22" s="233" t="s">
        <v>136</v>
      </c>
      <c r="P22" s="233"/>
      <c r="Q22" s="233" t="s">
        <v>137</v>
      </c>
      <c r="R22" s="233"/>
      <c r="S22" s="235"/>
      <c r="T22" s="236"/>
      <c r="U22" s="236"/>
      <c r="V22" s="237"/>
      <c r="W22" s="6"/>
    </row>
    <row r="23" spans="1:23" ht="15.6">
      <c r="A23" s="257"/>
      <c r="B23" s="294" t="s">
        <v>10</v>
      </c>
      <c r="C23" s="295" t="s">
        <v>96</v>
      </c>
      <c r="D23" s="295"/>
      <c r="E23" s="295" t="s">
        <v>96</v>
      </c>
      <c r="F23" s="295"/>
      <c r="G23" s="295" t="s">
        <v>138</v>
      </c>
      <c r="H23" s="295"/>
      <c r="I23" s="295" t="s">
        <v>138</v>
      </c>
      <c r="J23" s="295"/>
      <c r="K23" s="295" t="s">
        <v>104</v>
      </c>
      <c r="L23" s="296"/>
      <c r="M23" s="297" t="s">
        <v>104</v>
      </c>
      <c r="N23" s="297"/>
      <c r="O23" s="297" t="s">
        <v>109</v>
      </c>
      <c r="P23" s="297"/>
      <c r="Q23" s="297" t="s">
        <v>109</v>
      </c>
      <c r="R23" s="258"/>
      <c r="S23" s="258"/>
      <c r="T23" s="259"/>
      <c r="U23" s="259"/>
      <c r="V23" s="260"/>
      <c r="W23" s="6"/>
    </row>
    <row r="24" spans="1:23" ht="15.6">
      <c r="A24" s="378"/>
      <c r="B24" s="379" t="s">
        <v>11</v>
      </c>
      <c r="C24" s="380" t="s">
        <v>97</v>
      </c>
      <c r="D24" s="380"/>
      <c r="E24" s="380" t="s">
        <v>97</v>
      </c>
      <c r="F24" s="380"/>
      <c r="G24" s="380" t="s">
        <v>139</v>
      </c>
      <c r="H24" s="380"/>
      <c r="I24" s="380" t="s">
        <v>139</v>
      </c>
      <c r="J24" s="380"/>
      <c r="K24" s="380" t="s">
        <v>105</v>
      </c>
      <c r="L24" s="381"/>
      <c r="M24" s="382" t="s">
        <v>105</v>
      </c>
      <c r="N24" s="382"/>
      <c r="O24" s="382" t="s">
        <v>110</v>
      </c>
      <c r="P24" s="382"/>
      <c r="Q24" s="382" t="s">
        <v>110</v>
      </c>
      <c r="R24" s="383"/>
      <c r="S24" s="383"/>
      <c r="T24" s="384"/>
      <c r="U24" s="384"/>
      <c r="V24" s="385"/>
      <c r="W24" s="6"/>
    </row>
    <row r="25" spans="1:23" ht="15.6">
      <c r="A25" s="378"/>
      <c r="B25" s="386" t="s">
        <v>12</v>
      </c>
      <c r="C25" s="381" t="s">
        <v>284</v>
      </c>
      <c r="D25" s="381"/>
      <c r="E25" s="381" t="s">
        <v>284</v>
      </c>
      <c r="F25" s="381"/>
      <c r="G25" s="381" t="s">
        <v>284</v>
      </c>
      <c r="H25" s="381"/>
      <c r="I25" s="381" t="s">
        <v>284</v>
      </c>
      <c r="J25" s="386"/>
      <c r="K25" s="381" t="s">
        <v>284</v>
      </c>
      <c r="L25" s="386"/>
      <c r="M25" s="387" t="s">
        <v>284</v>
      </c>
      <c r="N25" s="382"/>
      <c r="O25" s="387" t="s">
        <v>284</v>
      </c>
      <c r="P25" s="382"/>
      <c r="Q25" s="387" t="s">
        <v>284</v>
      </c>
      <c r="R25" s="388"/>
      <c r="S25" s="388"/>
      <c r="T25" s="389"/>
      <c r="U25" s="384"/>
      <c r="V25" s="385"/>
      <c r="W25" s="6"/>
    </row>
    <row r="26" spans="1:23" ht="15.6">
      <c r="A26" s="378"/>
      <c r="B26" s="386" t="s">
        <v>13</v>
      </c>
      <c r="C26" s="381" t="s">
        <v>139</v>
      </c>
      <c r="D26" s="381"/>
      <c r="E26" s="381" t="s">
        <v>139</v>
      </c>
      <c r="F26" s="381"/>
      <c r="G26" s="381" t="s">
        <v>139</v>
      </c>
      <c r="H26" s="381"/>
      <c r="I26" s="381" t="s">
        <v>139</v>
      </c>
      <c r="J26" s="386"/>
      <c r="K26" s="381" t="s">
        <v>280</v>
      </c>
      <c r="L26" s="386"/>
      <c r="M26" s="387" t="s">
        <v>280</v>
      </c>
      <c r="N26" s="382"/>
      <c r="O26" s="387" t="s">
        <v>110</v>
      </c>
      <c r="P26" s="382"/>
      <c r="Q26" s="387" t="s">
        <v>110</v>
      </c>
      <c r="R26" s="388"/>
      <c r="S26" s="388"/>
      <c r="T26" s="389"/>
      <c r="U26" s="384"/>
      <c r="V26" s="385"/>
      <c r="W26" s="6"/>
    </row>
    <row r="27" spans="1:23" ht="15.6">
      <c r="A27" s="378"/>
      <c r="B27" s="379" t="s">
        <v>14</v>
      </c>
      <c r="C27" s="380" t="s">
        <v>140</v>
      </c>
      <c r="D27" s="379"/>
      <c r="E27" s="380" t="s">
        <v>141</v>
      </c>
      <c r="F27" s="379"/>
      <c r="G27" s="380" t="s">
        <v>142</v>
      </c>
      <c r="H27" s="379"/>
      <c r="I27" s="380" t="s">
        <v>258</v>
      </c>
      <c r="J27" s="379"/>
      <c r="K27" s="380" t="s">
        <v>143</v>
      </c>
      <c r="L27" s="379"/>
      <c r="M27" s="379" t="s">
        <v>144</v>
      </c>
      <c r="N27" s="382"/>
      <c r="O27" s="379" t="s">
        <v>145</v>
      </c>
      <c r="P27" s="382"/>
      <c r="Q27" s="379" t="s">
        <v>146</v>
      </c>
      <c r="R27" s="383"/>
      <c r="S27" s="390"/>
      <c r="T27" s="384"/>
      <c r="U27" s="384"/>
      <c r="V27" s="385"/>
      <c r="W27" s="6"/>
    </row>
    <row r="28" spans="1:23" ht="15.6">
      <c r="A28" s="378"/>
      <c r="B28" s="379" t="s">
        <v>147</v>
      </c>
      <c r="C28" s="391">
        <v>146000</v>
      </c>
      <c r="D28" s="380"/>
      <c r="E28" s="392">
        <v>259500</v>
      </c>
      <c r="F28" s="380"/>
      <c r="G28" s="391">
        <v>16000</v>
      </c>
      <c r="H28" s="380"/>
      <c r="I28" s="392">
        <v>35500</v>
      </c>
      <c r="J28" s="379"/>
      <c r="K28" s="391">
        <v>18000</v>
      </c>
      <c r="L28" s="379"/>
      <c r="M28" s="392">
        <v>33000</v>
      </c>
      <c r="N28" s="393"/>
      <c r="O28" s="394">
        <v>24500</v>
      </c>
      <c r="P28" s="394"/>
      <c r="Q28" s="392">
        <v>30000</v>
      </c>
      <c r="R28" s="395"/>
      <c r="S28" s="395"/>
      <c r="T28" s="396"/>
      <c r="U28" s="395"/>
      <c r="V28" s="397"/>
      <c r="W28" s="6"/>
    </row>
    <row r="29" spans="1:23" ht="15.6">
      <c r="A29" s="378"/>
      <c r="B29" s="379" t="s">
        <v>15</v>
      </c>
      <c r="C29" s="391">
        <f>C28*C35</f>
        <v>16978.7196</v>
      </c>
      <c r="D29" s="398"/>
      <c r="E29" s="392">
        <f>E28*E35</f>
        <v>30177.929700000001</v>
      </c>
      <c r="F29" s="398"/>
      <c r="G29" s="391">
        <f>G28*G35</f>
        <v>6095.9359999999997</v>
      </c>
      <c r="H29" s="398"/>
      <c r="I29" s="392">
        <f>I28*I35</f>
        <v>13525.358</v>
      </c>
      <c r="J29" s="399"/>
      <c r="K29" s="391">
        <f>K28*K35</f>
        <v>6857.9279999999999</v>
      </c>
      <c r="L29" s="399"/>
      <c r="M29" s="392">
        <f>M28*M35</f>
        <v>12572.868</v>
      </c>
      <c r="N29" s="393"/>
      <c r="O29" s="391">
        <f>O28*O35</f>
        <v>9334.402</v>
      </c>
      <c r="P29" s="394"/>
      <c r="Q29" s="392">
        <f>Q28*Q35</f>
        <v>11429.88</v>
      </c>
      <c r="R29" s="400"/>
      <c r="S29" s="395"/>
      <c r="T29" s="396"/>
      <c r="U29" s="395"/>
      <c r="V29" s="397"/>
      <c r="W29" s="6"/>
    </row>
    <row r="30" spans="1:23" ht="15.6">
      <c r="A30" s="401"/>
      <c r="B30" s="386" t="s">
        <v>148</v>
      </c>
      <c r="C30" s="415">
        <f>C34*C28</f>
        <v>16287.4972</v>
      </c>
      <c r="D30" s="505"/>
      <c r="E30" s="406">
        <f>E34*E28</f>
        <v>28949.352899999998</v>
      </c>
      <c r="F30" s="505"/>
      <c r="G30" s="415">
        <f>G34*G28</f>
        <v>5847.8240000000005</v>
      </c>
      <c r="H30" s="505"/>
      <c r="I30" s="406">
        <f>I34*I28</f>
        <v>12974.8595</v>
      </c>
      <c r="J30" s="506"/>
      <c r="K30" s="415">
        <f>K34*K28</f>
        <v>6578.8020000000006</v>
      </c>
      <c r="L30" s="399"/>
      <c r="M30" s="406">
        <f>M34*M28</f>
        <v>12061.137000000001</v>
      </c>
      <c r="N30" s="407"/>
      <c r="O30" s="415">
        <f>O34*O28</f>
        <v>8954.4804999999997</v>
      </c>
      <c r="P30" s="408"/>
      <c r="Q30" s="406">
        <f>Q34*Q28</f>
        <v>10964.67</v>
      </c>
      <c r="R30" s="408"/>
      <c r="S30" s="408"/>
      <c r="T30" s="409"/>
      <c r="U30" s="408"/>
      <c r="V30" s="410"/>
      <c r="W30" s="6"/>
    </row>
    <row r="31" spans="1:23" ht="15.6">
      <c r="A31" s="401"/>
      <c r="B31" s="379" t="s">
        <v>260</v>
      </c>
      <c r="C31" s="391">
        <v>146000</v>
      </c>
      <c r="D31" s="398"/>
      <c r="E31" s="391">
        <v>178000</v>
      </c>
      <c r="F31" s="391"/>
      <c r="G31" s="391">
        <v>16000</v>
      </c>
      <c r="H31" s="391"/>
      <c r="I31" s="391">
        <v>24500</v>
      </c>
      <c r="J31" s="412"/>
      <c r="K31" s="391">
        <v>18000</v>
      </c>
      <c r="L31" s="412"/>
      <c r="M31" s="391">
        <v>22500</v>
      </c>
      <c r="N31" s="414"/>
      <c r="O31" s="391">
        <v>24500</v>
      </c>
      <c r="P31" s="415"/>
      <c r="Q31" s="391">
        <v>20500</v>
      </c>
      <c r="R31" s="408"/>
      <c r="S31" s="408"/>
      <c r="T31" s="409"/>
      <c r="U31" s="394">
        <f>+Q31+O31+M31+K31+I31+G31+E31+C31</f>
        <v>450000</v>
      </c>
      <c r="V31" s="410"/>
      <c r="W31" s="6"/>
    </row>
    <row r="32" spans="1:23" ht="15.6">
      <c r="A32" s="401"/>
      <c r="B32" s="379" t="s">
        <v>261</v>
      </c>
      <c r="C32" s="391">
        <f>C28*C35</f>
        <v>16978.7196</v>
      </c>
      <c r="D32" s="398"/>
      <c r="E32" s="391">
        <f>E31*E35</f>
        <v>20700.0828</v>
      </c>
      <c r="F32" s="391"/>
      <c r="G32" s="391">
        <f>G28*G35</f>
        <v>6095.9359999999997</v>
      </c>
      <c r="H32" s="391"/>
      <c r="I32" s="391">
        <f>I31*I35</f>
        <v>9334.402</v>
      </c>
      <c r="J32" s="412"/>
      <c r="K32" s="391">
        <f>K28*K35</f>
        <v>6857.9279999999999</v>
      </c>
      <c r="L32" s="412"/>
      <c r="M32" s="391">
        <f>M31*M35</f>
        <v>8572.41</v>
      </c>
      <c r="N32" s="414"/>
      <c r="O32" s="391">
        <f>O28*O35</f>
        <v>9334.402</v>
      </c>
      <c r="P32" s="415"/>
      <c r="Q32" s="391">
        <f>Q31*Q35</f>
        <v>7810.4179999999997</v>
      </c>
      <c r="R32" s="391"/>
      <c r="S32" s="408"/>
      <c r="T32" s="409"/>
      <c r="U32" s="394">
        <f>+Q32+O32+M32+K32+I32+G32+E32+C32</f>
        <v>85684.2984</v>
      </c>
      <c r="V32" s="410"/>
      <c r="W32" s="6"/>
    </row>
    <row r="33" spans="1:23" ht="15.6">
      <c r="A33" s="401"/>
      <c r="B33" s="386" t="s">
        <v>262</v>
      </c>
      <c r="C33" s="415">
        <f>C34*C28</f>
        <v>16287.4972</v>
      </c>
      <c r="D33" s="415"/>
      <c r="E33" s="415">
        <f>E34*E31</f>
        <v>19857.3596</v>
      </c>
      <c r="F33" s="415"/>
      <c r="G33" s="415">
        <f>G34*G28</f>
        <v>5847.8240000000005</v>
      </c>
      <c r="H33" s="415"/>
      <c r="I33" s="415">
        <f>I34*I31</f>
        <v>8954.4804999999997</v>
      </c>
      <c r="J33" s="414"/>
      <c r="K33" s="415">
        <f>K34*K28</f>
        <v>6578.8020000000006</v>
      </c>
      <c r="L33" s="414"/>
      <c r="M33" s="415">
        <f>M34*M31</f>
        <v>8223.5025000000005</v>
      </c>
      <c r="N33" s="414"/>
      <c r="O33" s="415">
        <f>O34*O28</f>
        <v>8954.4804999999997</v>
      </c>
      <c r="P33" s="415"/>
      <c r="Q33" s="415">
        <f>Q34*Q31</f>
        <v>7492.5245000000004</v>
      </c>
      <c r="R33" s="408"/>
      <c r="S33" s="408"/>
      <c r="T33" s="409"/>
      <c r="U33" s="408">
        <f>+Q33+O33+M33+K33+I33+G33+E33+C33</f>
        <v>82196.470799999996</v>
      </c>
      <c r="V33" s="410"/>
      <c r="W33" s="6"/>
    </row>
    <row r="34" spans="1:23" ht="15.6">
      <c r="A34" s="401"/>
      <c r="B34" s="468" t="s">
        <v>149</v>
      </c>
      <c r="C34" s="507">
        <v>0.1115582</v>
      </c>
      <c r="D34" s="507"/>
      <c r="E34" s="507">
        <v>0.1115582</v>
      </c>
      <c r="F34" s="507"/>
      <c r="G34" s="507">
        <v>0.36548900000000001</v>
      </c>
      <c r="H34" s="507"/>
      <c r="I34" s="507">
        <v>0.36548900000000001</v>
      </c>
      <c r="J34" s="507"/>
      <c r="K34" s="507">
        <v>0.36548900000000001</v>
      </c>
      <c r="L34" s="507"/>
      <c r="M34" s="507">
        <v>0.36548900000000001</v>
      </c>
      <c r="N34" s="507"/>
      <c r="O34" s="507">
        <v>0.36548900000000001</v>
      </c>
      <c r="P34" s="507"/>
      <c r="Q34" s="507">
        <v>0.36548900000000001</v>
      </c>
      <c r="R34" s="508"/>
      <c r="S34" s="420"/>
      <c r="T34" s="421"/>
      <c r="U34" s="420"/>
      <c r="V34" s="385"/>
      <c r="W34" s="6"/>
    </row>
    <row r="35" spans="1:23" ht="15.6">
      <c r="A35" s="401"/>
      <c r="B35" s="468" t="s">
        <v>150</v>
      </c>
      <c r="C35" s="507">
        <v>0.1162926</v>
      </c>
      <c r="D35" s="507"/>
      <c r="E35" s="507">
        <v>0.1162926</v>
      </c>
      <c r="F35" s="507"/>
      <c r="G35" s="507">
        <v>0.380996</v>
      </c>
      <c r="H35" s="507"/>
      <c r="I35" s="507">
        <v>0.380996</v>
      </c>
      <c r="J35" s="507"/>
      <c r="K35" s="507">
        <v>0.380996</v>
      </c>
      <c r="L35" s="507"/>
      <c r="M35" s="507">
        <v>0.380996</v>
      </c>
      <c r="N35" s="507"/>
      <c r="O35" s="507">
        <v>0.380996</v>
      </c>
      <c r="P35" s="507"/>
      <c r="Q35" s="507">
        <v>0.380996</v>
      </c>
      <c r="R35" s="508"/>
      <c r="S35" s="420"/>
      <c r="T35" s="421"/>
      <c r="U35" s="420"/>
      <c r="V35" s="385"/>
      <c r="W35" s="6"/>
    </row>
    <row r="36" spans="1:23" ht="15.6">
      <c r="A36" s="378"/>
      <c r="B36" s="379" t="s">
        <v>153</v>
      </c>
      <c r="C36" s="380" t="s">
        <v>163</v>
      </c>
      <c r="D36" s="380"/>
      <c r="E36" s="380" t="s">
        <v>163</v>
      </c>
      <c r="F36" s="380"/>
      <c r="G36" s="380" t="s">
        <v>164</v>
      </c>
      <c r="H36" s="380"/>
      <c r="I36" s="380" t="s">
        <v>164</v>
      </c>
      <c r="J36" s="380"/>
      <c r="K36" s="380" t="s">
        <v>106</v>
      </c>
      <c r="L36" s="380"/>
      <c r="M36" s="380" t="s">
        <v>165</v>
      </c>
      <c r="N36" s="380"/>
      <c r="O36" s="380" t="s">
        <v>166</v>
      </c>
      <c r="P36" s="380"/>
      <c r="Q36" s="380" t="s">
        <v>167</v>
      </c>
      <c r="R36" s="380"/>
      <c r="S36" s="380"/>
      <c r="T36" s="379"/>
      <c r="U36" s="424"/>
      <c r="V36" s="410"/>
      <c r="W36" s="6"/>
    </row>
    <row r="37" spans="1:23" ht="15.6">
      <c r="A37" s="378"/>
      <c r="B37" s="379" t="s">
        <v>151</v>
      </c>
      <c r="C37" s="509">
        <v>1.0306299999999999E-2</v>
      </c>
      <c r="D37" s="509"/>
      <c r="E37" s="509">
        <v>2.96E-3</v>
      </c>
      <c r="F37" s="509"/>
      <c r="G37" s="509">
        <v>1.25063E-2</v>
      </c>
      <c r="H37" s="509"/>
      <c r="I37" s="509">
        <v>5.1599999999999997E-3</v>
      </c>
      <c r="J37" s="509"/>
      <c r="K37" s="509">
        <v>1.79063E-2</v>
      </c>
      <c r="L37" s="509"/>
      <c r="M37" s="509">
        <v>9.9600000000000001E-3</v>
      </c>
      <c r="N37" s="509"/>
      <c r="O37" s="509">
        <v>2.4906299999999999E-2</v>
      </c>
      <c r="P37" s="509"/>
      <c r="Q37" s="509">
        <v>1.6559999999999998E-2</v>
      </c>
      <c r="R37" s="427"/>
      <c r="S37" s="509"/>
      <c r="T37" s="379"/>
      <c r="U37" s="380"/>
      <c r="V37" s="410"/>
      <c r="W37" s="6"/>
    </row>
    <row r="38" spans="1:23" ht="15.6">
      <c r="A38" s="378"/>
      <c r="B38" s="379" t="s">
        <v>152</v>
      </c>
      <c r="C38" s="509">
        <v>1.0193799999999999E-2</v>
      </c>
      <c r="D38" s="509"/>
      <c r="E38" s="509">
        <v>3.9100000000000003E-3</v>
      </c>
      <c r="F38" s="509"/>
      <c r="G38" s="509">
        <v>1.23938E-2</v>
      </c>
      <c r="H38" s="509"/>
      <c r="I38" s="509">
        <v>6.11E-3</v>
      </c>
      <c r="J38" s="509"/>
      <c r="K38" s="509">
        <v>1.7793799999999999E-2</v>
      </c>
      <c r="L38" s="509"/>
      <c r="M38" s="509">
        <v>1.091E-2</v>
      </c>
      <c r="N38" s="509"/>
      <c r="O38" s="509">
        <v>2.4793800000000001E-2</v>
      </c>
      <c r="P38" s="509"/>
      <c r="Q38" s="509">
        <v>1.7510000000000001E-2</v>
      </c>
      <c r="R38" s="427"/>
      <c r="S38" s="509"/>
      <c r="T38" s="379"/>
      <c r="U38" s="424"/>
      <c r="V38" s="410"/>
      <c r="W38" s="6"/>
    </row>
    <row r="39" spans="1:23" ht="15.6">
      <c r="A39" s="378"/>
      <c r="B39" s="379" t="s">
        <v>263</v>
      </c>
      <c r="C39" s="380" t="s">
        <v>163</v>
      </c>
      <c r="D39" s="379"/>
      <c r="E39" s="380" t="s">
        <v>228</v>
      </c>
      <c r="F39" s="379"/>
      <c r="G39" s="380" t="s">
        <v>164</v>
      </c>
      <c r="H39" s="379"/>
      <c r="I39" s="380" t="s">
        <v>226</v>
      </c>
      <c r="J39" s="379"/>
      <c r="K39" s="380" t="s">
        <v>106</v>
      </c>
      <c r="L39" s="379"/>
      <c r="M39" s="380" t="s">
        <v>227</v>
      </c>
      <c r="N39" s="379"/>
      <c r="O39" s="380" t="s">
        <v>166</v>
      </c>
      <c r="P39" s="380"/>
      <c r="Q39" s="380" t="s">
        <v>229</v>
      </c>
      <c r="R39" s="427"/>
      <c r="S39" s="509"/>
      <c r="T39" s="379"/>
      <c r="U39" s="424"/>
      <c r="V39" s="410"/>
      <c r="W39" s="6"/>
    </row>
    <row r="40" spans="1:23" ht="15.6">
      <c r="A40" s="378"/>
      <c r="B40" s="379" t="s">
        <v>264</v>
      </c>
      <c r="C40" s="509">
        <f>+C37</f>
        <v>1.0306299999999999E-2</v>
      </c>
      <c r="D40" s="509"/>
      <c r="E40" s="509">
        <v>1.0882299999999999E-2</v>
      </c>
      <c r="F40" s="509"/>
      <c r="G40" s="509">
        <f>+G37</f>
        <v>1.25063E-2</v>
      </c>
      <c r="H40" s="509"/>
      <c r="I40" s="509">
        <v>1.3239300000000001E-2</v>
      </c>
      <c r="J40" s="509"/>
      <c r="K40" s="509">
        <f>+K37</f>
        <v>1.79063E-2</v>
      </c>
      <c r="L40" s="510"/>
      <c r="M40" s="509">
        <v>1.8466699999999999E-2</v>
      </c>
      <c r="N40" s="510"/>
      <c r="O40" s="509">
        <f>+O37</f>
        <v>2.4906299999999999E-2</v>
      </c>
      <c r="P40" s="509"/>
      <c r="Q40" s="509">
        <v>2.5732700000000001E-2</v>
      </c>
      <c r="R40" s="427"/>
      <c r="S40" s="509"/>
      <c r="T40" s="379"/>
      <c r="U40" s="427">
        <f>SUMPRODUCT(C40:Q40,C32:Q32)/U32</f>
        <v>1.5342876885339826E-2</v>
      </c>
      <c r="V40" s="410"/>
      <c r="W40" s="6"/>
    </row>
    <row r="41" spans="1:23" ht="15.6">
      <c r="A41" s="378"/>
      <c r="B41" s="379" t="s">
        <v>265</v>
      </c>
      <c r="C41" s="509">
        <f>+C38</f>
        <v>1.0193799999999999E-2</v>
      </c>
      <c r="D41" s="509"/>
      <c r="E41" s="509">
        <v>1.07698E-2</v>
      </c>
      <c r="F41" s="509"/>
      <c r="G41" s="509">
        <f>+G38</f>
        <v>1.23938E-2</v>
      </c>
      <c r="H41" s="509"/>
      <c r="I41" s="509">
        <v>1.3126799999999999E-2</v>
      </c>
      <c r="J41" s="509"/>
      <c r="K41" s="509">
        <f>+K38</f>
        <v>1.7793799999999999E-2</v>
      </c>
      <c r="L41" s="510"/>
      <c r="M41" s="509">
        <v>1.8354200000000001E-2</v>
      </c>
      <c r="N41" s="510"/>
      <c r="O41" s="509">
        <f>+O38</f>
        <v>2.4793800000000001E-2</v>
      </c>
      <c r="P41" s="509"/>
      <c r="Q41" s="509">
        <v>2.5620199999999999E-2</v>
      </c>
      <c r="R41" s="427"/>
      <c r="S41" s="509"/>
      <c r="T41" s="379"/>
      <c r="U41" s="424"/>
      <c r="V41" s="410"/>
      <c r="W41" s="6"/>
    </row>
    <row r="42" spans="1:23" ht="15.6">
      <c r="A42" s="378"/>
      <c r="B42" s="379" t="s">
        <v>17</v>
      </c>
      <c r="C42" s="429">
        <v>39918</v>
      </c>
      <c r="D42" s="429"/>
      <c r="E42" s="429">
        <v>39918</v>
      </c>
      <c r="F42" s="429"/>
      <c r="G42" s="429">
        <v>39918</v>
      </c>
      <c r="H42" s="429"/>
      <c r="I42" s="429">
        <v>39918</v>
      </c>
      <c r="J42" s="429"/>
      <c r="K42" s="429">
        <v>39918</v>
      </c>
      <c r="L42" s="429"/>
      <c r="M42" s="429">
        <v>39918</v>
      </c>
      <c r="N42" s="429"/>
      <c r="O42" s="429">
        <v>39918</v>
      </c>
      <c r="P42" s="429"/>
      <c r="Q42" s="429">
        <v>39918</v>
      </c>
      <c r="R42" s="380"/>
      <c r="S42" s="380"/>
      <c r="T42" s="379"/>
      <c r="U42" s="424"/>
      <c r="V42" s="410"/>
      <c r="W42" s="6"/>
    </row>
    <row r="43" spans="1:23" ht="15.6">
      <c r="A43" s="378"/>
      <c r="B43" s="379" t="s">
        <v>18</v>
      </c>
      <c r="C43" s="429">
        <v>40283</v>
      </c>
      <c r="D43" s="430"/>
      <c r="E43" s="429">
        <v>40283</v>
      </c>
      <c r="F43" s="430"/>
      <c r="G43" s="429">
        <v>40283</v>
      </c>
      <c r="H43" s="430"/>
      <c r="I43" s="429">
        <v>40283</v>
      </c>
      <c r="J43" s="430"/>
      <c r="K43" s="429">
        <v>40283</v>
      </c>
      <c r="L43" s="430"/>
      <c r="M43" s="429">
        <v>40283</v>
      </c>
      <c r="N43" s="430"/>
      <c r="O43" s="429">
        <v>40283</v>
      </c>
      <c r="P43" s="429"/>
      <c r="Q43" s="429">
        <v>40283</v>
      </c>
      <c r="R43" s="380"/>
      <c r="S43" s="380"/>
      <c r="T43" s="424"/>
      <c r="U43" s="424"/>
      <c r="V43" s="410"/>
      <c r="W43" s="6"/>
    </row>
    <row r="44" spans="1:23" ht="15.6">
      <c r="A44" s="378"/>
      <c r="B44" s="379" t="s">
        <v>154</v>
      </c>
      <c r="C44" s="380" t="s">
        <v>163</v>
      </c>
      <c r="D44" s="380"/>
      <c r="E44" s="380" t="s">
        <v>163</v>
      </c>
      <c r="F44" s="380"/>
      <c r="G44" s="380" t="s">
        <v>164</v>
      </c>
      <c r="H44" s="380"/>
      <c r="I44" s="380" t="s">
        <v>164</v>
      </c>
      <c r="J44" s="380"/>
      <c r="K44" s="380" t="s">
        <v>106</v>
      </c>
      <c r="L44" s="380"/>
      <c r="M44" s="380" t="s">
        <v>165</v>
      </c>
      <c r="N44" s="380"/>
      <c r="O44" s="380" t="s">
        <v>166</v>
      </c>
      <c r="P44" s="380"/>
      <c r="Q44" s="380" t="s">
        <v>167</v>
      </c>
      <c r="R44" s="380"/>
      <c r="S44" s="380"/>
      <c r="T44" s="424"/>
      <c r="U44" s="424"/>
      <c r="V44" s="410"/>
      <c r="W44" s="6"/>
    </row>
    <row r="45" spans="1:23" ht="15.6">
      <c r="A45" s="378"/>
      <c r="B45" s="379" t="s">
        <v>266</v>
      </c>
      <c r="C45" s="380" t="s">
        <v>163</v>
      </c>
      <c r="D45" s="379"/>
      <c r="E45" s="380" t="s">
        <v>228</v>
      </c>
      <c r="F45" s="379"/>
      <c r="G45" s="380" t="s">
        <v>164</v>
      </c>
      <c r="H45" s="379"/>
      <c r="I45" s="380" t="s">
        <v>226</v>
      </c>
      <c r="J45" s="379"/>
      <c r="K45" s="380" t="s">
        <v>106</v>
      </c>
      <c r="L45" s="379"/>
      <c r="M45" s="380" t="s">
        <v>227</v>
      </c>
      <c r="N45" s="379"/>
      <c r="O45" s="380" t="s">
        <v>166</v>
      </c>
      <c r="P45" s="380"/>
      <c r="Q45" s="380" t="s">
        <v>229</v>
      </c>
      <c r="R45" s="380"/>
      <c r="S45" s="380"/>
      <c r="T45" s="424"/>
      <c r="U45" s="424"/>
      <c r="V45" s="410"/>
      <c r="W45" s="6"/>
    </row>
    <row r="46" spans="1:23" ht="15.6">
      <c r="A46" s="378"/>
      <c r="B46" s="379"/>
      <c r="C46" s="379"/>
      <c r="D46" s="379"/>
      <c r="E46" s="379"/>
      <c r="F46" s="379"/>
      <c r="G46" s="379"/>
      <c r="H46" s="379"/>
      <c r="I46" s="379"/>
      <c r="J46" s="379"/>
      <c r="K46" s="379"/>
      <c r="L46" s="379"/>
      <c r="M46" s="431"/>
      <c r="N46" s="431"/>
      <c r="O46" s="379"/>
      <c r="P46" s="431"/>
      <c r="Q46" s="431"/>
      <c r="R46" s="431"/>
      <c r="S46" s="431"/>
      <c r="T46" s="431"/>
      <c r="U46" s="431"/>
      <c r="V46" s="410"/>
      <c r="W46" s="6"/>
    </row>
    <row r="47" spans="1:23" ht="15.6">
      <c r="A47" s="378"/>
      <c r="B47" s="379" t="s">
        <v>201</v>
      </c>
      <c r="C47" s="379"/>
      <c r="D47" s="379"/>
      <c r="E47" s="379"/>
      <c r="F47" s="379"/>
      <c r="G47" s="379"/>
      <c r="H47" s="379"/>
      <c r="I47" s="379"/>
      <c r="J47" s="379"/>
      <c r="K47" s="379"/>
      <c r="L47" s="379"/>
      <c r="M47" s="379"/>
      <c r="N47" s="379"/>
      <c r="O47" s="379"/>
      <c r="P47" s="379"/>
      <c r="Q47" s="379"/>
      <c r="R47" s="379"/>
      <c r="S47" s="379"/>
      <c r="T47" s="379"/>
      <c r="U47" s="427">
        <f>SUM(G31:Q31)/(C31+E31)</f>
        <v>0.3888888888888889</v>
      </c>
      <c r="V47" s="410"/>
      <c r="W47" s="6"/>
    </row>
    <row r="48" spans="1:23" ht="15.6">
      <c r="A48" s="378"/>
      <c r="B48" s="379" t="s">
        <v>202</v>
      </c>
      <c r="C48" s="379"/>
      <c r="D48" s="379"/>
      <c r="E48" s="379"/>
      <c r="F48" s="379"/>
      <c r="G48" s="379"/>
      <c r="H48" s="379"/>
      <c r="I48" s="379"/>
      <c r="J48" s="379"/>
      <c r="K48" s="379"/>
      <c r="L48" s="379"/>
      <c r="M48" s="379"/>
      <c r="N48" s="379"/>
      <c r="O48" s="379"/>
      <c r="P48" s="379"/>
      <c r="Q48" s="379"/>
      <c r="R48" s="379"/>
      <c r="S48" s="379"/>
      <c r="T48" s="379"/>
      <c r="U48" s="427">
        <f>SUM(F33:Q33)/(C33+E33)</f>
        <v>1.2740848374311446</v>
      </c>
      <c r="V48" s="410"/>
      <c r="W48" s="6"/>
    </row>
    <row r="49" spans="1:25" ht="15.6">
      <c r="A49" s="378"/>
      <c r="B49" s="379" t="s">
        <v>203</v>
      </c>
      <c r="C49" s="379"/>
      <c r="D49" s="379"/>
      <c r="E49" s="379"/>
      <c r="F49" s="379"/>
      <c r="G49" s="379"/>
      <c r="H49" s="379"/>
      <c r="I49" s="379"/>
      <c r="J49" s="379"/>
      <c r="K49" s="379"/>
      <c r="L49" s="379"/>
      <c r="M49" s="379"/>
      <c r="N49" s="379"/>
      <c r="O49" s="379"/>
      <c r="P49" s="379"/>
      <c r="Q49" s="379"/>
      <c r="R49" s="379"/>
      <c r="S49" s="380" t="s">
        <v>95</v>
      </c>
      <c r="T49" s="380" t="s">
        <v>117</v>
      </c>
      <c r="U49" s="394">
        <v>99000</v>
      </c>
      <c r="V49" s="410"/>
      <c r="W49" s="6"/>
    </row>
    <row r="50" spans="1:25" ht="15.6">
      <c r="A50" s="378"/>
      <c r="B50" s="379"/>
      <c r="C50" s="379"/>
      <c r="D50" s="379"/>
      <c r="E50" s="379"/>
      <c r="F50" s="379"/>
      <c r="G50" s="379"/>
      <c r="H50" s="379"/>
      <c r="I50" s="379"/>
      <c r="J50" s="379"/>
      <c r="K50" s="379"/>
      <c r="L50" s="379"/>
      <c r="M50" s="379"/>
      <c r="N50" s="379"/>
      <c r="O50" s="379"/>
      <c r="P50" s="379"/>
      <c r="Q50" s="379"/>
      <c r="R50" s="379"/>
      <c r="S50" s="379" t="s">
        <v>213</v>
      </c>
      <c r="T50" s="379"/>
      <c r="U50" s="432"/>
      <c r="V50" s="410"/>
      <c r="W50" s="6"/>
    </row>
    <row r="51" spans="1:25" ht="15.6">
      <c r="A51" s="378"/>
      <c r="B51" s="379" t="s">
        <v>19</v>
      </c>
      <c r="C51" s="379"/>
      <c r="D51" s="379"/>
      <c r="E51" s="379"/>
      <c r="F51" s="379"/>
      <c r="G51" s="379"/>
      <c r="H51" s="379"/>
      <c r="I51" s="379"/>
      <c r="J51" s="379"/>
      <c r="K51" s="379"/>
      <c r="L51" s="379"/>
      <c r="M51" s="379"/>
      <c r="N51" s="379"/>
      <c r="O51" s="379"/>
      <c r="P51" s="379"/>
      <c r="Q51" s="379"/>
      <c r="R51" s="379"/>
      <c r="S51" s="380"/>
      <c r="T51" s="380"/>
      <c r="U51" s="380" t="s">
        <v>118</v>
      </c>
      <c r="V51" s="410"/>
      <c r="W51" s="6"/>
    </row>
    <row r="52" spans="1:25" ht="15.6">
      <c r="A52" s="401"/>
      <c r="B52" s="386" t="s">
        <v>20</v>
      </c>
      <c r="C52" s="386"/>
      <c r="D52" s="386"/>
      <c r="E52" s="386"/>
      <c r="F52" s="386"/>
      <c r="G52" s="386"/>
      <c r="H52" s="386"/>
      <c r="I52" s="386"/>
      <c r="J52" s="386"/>
      <c r="K52" s="386"/>
      <c r="L52" s="386"/>
      <c r="M52" s="386"/>
      <c r="N52" s="386"/>
      <c r="O52" s="386"/>
      <c r="P52" s="386"/>
      <c r="Q52" s="386"/>
      <c r="R52" s="386"/>
      <c r="S52" s="433"/>
      <c r="T52" s="433"/>
      <c r="U52" s="434">
        <v>42475</v>
      </c>
      <c r="V52" s="435"/>
      <c r="W52" s="6"/>
    </row>
    <row r="53" spans="1:25" ht="15.6">
      <c r="A53" s="378"/>
      <c r="B53" s="379" t="s">
        <v>155</v>
      </c>
      <c r="C53" s="379"/>
      <c r="D53" s="379"/>
      <c r="E53" s="379"/>
      <c r="F53" s="379"/>
      <c r="G53" s="379"/>
      <c r="H53" s="379"/>
      <c r="I53" s="379"/>
      <c r="J53" s="379"/>
      <c r="K53" s="379"/>
      <c r="L53" s="379"/>
      <c r="M53" s="379"/>
      <c r="N53" s="379"/>
      <c r="O53" s="379"/>
      <c r="P53" s="379"/>
      <c r="Q53" s="424"/>
      <c r="R53" s="379">
        <f>U53-S53+1</f>
        <v>92</v>
      </c>
      <c r="S53" s="436">
        <v>42292</v>
      </c>
      <c r="T53" s="429"/>
      <c r="U53" s="436">
        <v>42383</v>
      </c>
      <c r="V53" s="410"/>
      <c r="W53" s="6"/>
    </row>
    <row r="54" spans="1:25" ht="15.6">
      <c r="A54" s="378"/>
      <c r="B54" s="379" t="s">
        <v>156</v>
      </c>
      <c r="C54" s="379"/>
      <c r="D54" s="379"/>
      <c r="E54" s="379"/>
      <c r="F54" s="379"/>
      <c r="G54" s="379"/>
      <c r="H54" s="379"/>
      <c r="I54" s="379"/>
      <c r="J54" s="379"/>
      <c r="K54" s="379"/>
      <c r="L54" s="379"/>
      <c r="M54" s="379"/>
      <c r="N54" s="379"/>
      <c r="O54" s="379"/>
      <c r="P54" s="379"/>
      <c r="Q54" s="424"/>
      <c r="R54" s="379">
        <f>U54-S54+1</f>
        <v>91</v>
      </c>
      <c r="S54" s="436">
        <v>42384</v>
      </c>
      <c r="T54" s="429"/>
      <c r="U54" s="436">
        <v>42474</v>
      </c>
      <c r="V54" s="410"/>
      <c r="W54" s="6"/>
    </row>
    <row r="55" spans="1:25" ht="15.6">
      <c r="A55" s="378"/>
      <c r="B55" s="379" t="s">
        <v>21</v>
      </c>
      <c r="C55" s="379"/>
      <c r="D55" s="379"/>
      <c r="E55" s="379"/>
      <c r="F55" s="379"/>
      <c r="G55" s="379"/>
      <c r="H55" s="379"/>
      <c r="I55" s="379"/>
      <c r="J55" s="379"/>
      <c r="K55" s="379"/>
      <c r="L55" s="379"/>
      <c r="M55" s="379"/>
      <c r="N55" s="379"/>
      <c r="O55" s="379"/>
      <c r="P55" s="379"/>
      <c r="Q55" s="379"/>
      <c r="R55" s="379"/>
      <c r="S55" s="436"/>
      <c r="T55" s="429"/>
      <c r="U55" s="436" t="s">
        <v>119</v>
      </c>
      <c r="V55" s="410"/>
      <c r="W55" s="6"/>
    </row>
    <row r="56" spans="1:25" ht="15.6">
      <c r="A56" s="378"/>
      <c r="B56" s="379" t="s">
        <v>22</v>
      </c>
      <c r="C56" s="379"/>
      <c r="D56" s="379"/>
      <c r="E56" s="379"/>
      <c r="F56" s="379"/>
      <c r="G56" s="379"/>
      <c r="H56" s="379"/>
      <c r="I56" s="379"/>
      <c r="J56" s="379"/>
      <c r="K56" s="379"/>
      <c r="L56" s="379"/>
      <c r="M56" s="379"/>
      <c r="N56" s="379"/>
      <c r="O56" s="379"/>
      <c r="P56" s="379"/>
      <c r="Q56" s="379"/>
      <c r="R56" s="379"/>
      <c r="S56" s="436"/>
      <c r="T56" s="429"/>
      <c r="U56" s="436">
        <v>42461</v>
      </c>
      <c r="V56" s="410"/>
      <c r="W56" s="6"/>
    </row>
    <row r="57" spans="1:25" ht="15.6">
      <c r="A57" s="242"/>
      <c r="B57" s="364"/>
      <c r="C57" s="364"/>
      <c r="D57" s="364"/>
      <c r="E57" s="364"/>
      <c r="F57" s="364"/>
      <c r="G57" s="364"/>
      <c r="H57" s="364"/>
      <c r="I57" s="364"/>
      <c r="J57" s="364"/>
      <c r="K57" s="364"/>
      <c r="L57" s="364"/>
      <c r="M57" s="364"/>
      <c r="N57" s="364"/>
      <c r="O57" s="364"/>
      <c r="P57" s="364"/>
      <c r="Q57" s="364"/>
      <c r="R57" s="364"/>
      <c r="S57" s="364"/>
      <c r="T57" s="364"/>
      <c r="U57" s="377"/>
      <c r="V57" s="303"/>
      <c r="W57" s="6"/>
    </row>
    <row r="58" spans="1:25" ht="15.6">
      <c r="A58" s="242"/>
      <c r="B58" s="288"/>
      <c r="C58" s="288"/>
      <c r="D58" s="288"/>
      <c r="E58" s="288"/>
      <c r="F58" s="288"/>
      <c r="G58" s="288"/>
      <c r="H58" s="288"/>
      <c r="I58" s="288"/>
      <c r="J58" s="288"/>
      <c r="K58" s="288"/>
      <c r="L58" s="288"/>
      <c r="M58" s="288"/>
      <c r="N58" s="288"/>
      <c r="O58" s="288"/>
      <c r="P58" s="288"/>
      <c r="Q58" s="288"/>
      <c r="R58" s="288"/>
      <c r="S58" s="288"/>
      <c r="T58" s="288"/>
      <c r="U58" s="302"/>
      <c r="V58" s="303"/>
      <c r="W58" s="6"/>
    </row>
    <row r="59" spans="1:25" ht="16.2" thickBot="1">
      <c r="A59" s="261"/>
      <c r="B59" s="304" t="s">
        <v>297</v>
      </c>
      <c r="C59" s="305"/>
      <c r="D59" s="305"/>
      <c r="E59" s="305"/>
      <c r="F59" s="305"/>
      <c r="G59" s="305"/>
      <c r="H59" s="305"/>
      <c r="I59" s="305"/>
      <c r="J59" s="305"/>
      <c r="K59" s="305"/>
      <c r="L59" s="305"/>
      <c r="M59" s="305"/>
      <c r="N59" s="305"/>
      <c r="O59" s="305"/>
      <c r="P59" s="305"/>
      <c r="Q59" s="305"/>
      <c r="R59" s="305"/>
      <c r="S59" s="305"/>
      <c r="T59" s="305"/>
      <c r="U59" s="306"/>
      <c r="V59" s="307"/>
      <c r="W59" s="6"/>
    </row>
    <row r="60" spans="1:25" ht="15.6">
      <c r="A60" s="230"/>
      <c r="B60" s="511" t="s">
        <v>23</v>
      </c>
      <c r="C60" s="511"/>
      <c r="D60" s="511"/>
      <c r="E60" s="511"/>
      <c r="F60" s="511"/>
      <c r="G60" s="511"/>
      <c r="H60" s="511"/>
      <c r="I60" s="511"/>
      <c r="J60" s="511"/>
      <c r="K60" s="511"/>
      <c r="L60" s="511"/>
      <c r="M60" s="231"/>
      <c r="N60" s="231"/>
      <c r="O60" s="231"/>
      <c r="P60" s="231"/>
      <c r="Q60" s="231"/>
      <c r="R60" s="231"/>
      <c r="S60" s="231"/>
      <c r="T60" s="231"/>
      <c r="U60" s="309"/>
      <c r="V60" s="237"/>
      <c r="W60" s="6"/>
    </row>
    <row r="61" spans="1:25" ht="15.6">
      <c r="A61" s="242"/>
      <c r="B61" s="252"/>
      <c r="C61" s="252"/>
      <c r="D61" s="252"/>
      <c r="E61" s="252"/>
      <c r="F61" s="252"/>
      <c r="G61" s="252"/>
      <c r="H61" s="252"/>
      <c r="I61" s="252"/>
      <c r="J61" s="252"/>
      <c r="K61" s="252"/>
      <c r="L61" s="252"/>
      <c r="M61" s="244"/>
      <c r="N61" s="244"/>
      <c r="O61" s="244"/>
      <c r="P61" s="244"/>
      <c r="Q61" s="244"/>
      <c r="R61" s="244"/>
      <c r="S61" s="244"/>
      <c r="T61" s="244"/>
      <c r="U61" s="263"/>
      <c r="V61" s="245"/>
      <c r="W61" s="6"/>
    </row>
    <row r="62" spans="1:25" s="151" customFormat="1" ht="46.8">
      <c r="A62" s="264"/>
      <c r="B62" s="512"/>
      <c r="C62" s="513"/>
      <c r="D62" s="513"/>
      <c r="E62" s="513"/>
      <c r="F62" s="513"/>
      <c r="G62" s="513"/>
      <c r="H62" s="513"/>
      <c r="I62" s="513"/>
      <c r="J62" s="513"/>
      <c r="K62" s="513" t="s">
        <v>197</v>
      </c>
      <c r="L62" s="513"/>
      <c r="M62" s="513" t="s">
        <v>98</v>
      </c>
      <c r="N62" s="513"/>
      <c r="O62" s="513" t="s">
        <v>107</v>
      </c>
      <c r="P62" s="513"/>
      <c r="Q62" s="513" t="s">
        <v>111</v>
      </c>
      <c r="R62" s="513"/>
      <c r="S62" s="513" t="s">
        <v>113</v>
      </c>
      <c r="T62" s="513"/>
      <c r="U62" s="514" t="s">
        <v>120</v>
      </c>
      <c r="V62" s="515"/>
      <c r="W62" s="150"/>
    </row>
    <row r="63" spans="1:25" ht="15.6">
      <c r="A63" s="378"/>
      <c r="B63" s="379" t="s">
        <v>24</v>
      </c>
      <c r="C63" s="440"/>
      <c r="D63" s="440"/>
      <c r="E63" s="440"/>
      <c r="F63" s="440"/>
      <c r="G63" s="440"/>
      <c r="H63" s="440"/>
      <c r="I63" s="440"/>
      <c r="J63" s="440"/>
      <c r="K63" s="440">
        <f>265+63566+3306</f>
        <v>67137</v>
      </c>
      <c r="L63" s="440"/>
      <c r="M63" s="440">
        <v>5541</v>
      </c>
      <c r="N63" s="440"/>
      <c r="O63" s="440">
        <f>111+1+47</f>
        <v>159</v>
      </c>
      <c r="P63" s="440"/>
      <c r="Q63" s="440">
        <v>0</v>
      </c>
      <c r="R63" s="440"/>
      <c r="S63" s="440">
        <v>0</v>
      </c>
      <c r="T63" s="440"/>
      <c r="U63" s="441">
        <f>+M63-O63+Q63-S63</f>
        <v>5382</v>
      </c>
      <c r="V63" s="410"/>
      <c r="W63" s="6"/>
      <c r="Y63" s="182"/>
    </row>
    <row r="64" spans="1:25" ht="15.6">
      <c r="A64" s="378"/>
      <c r="B64" s="379" t="s">
        <v>25</v>
      </c>
      <c r="C64" s="440"/>
      <c r="D64" s="440"/>
      <c r="E64" s="440"/>
      <c r="F64" s="440"/>
      <c r="G64" s="440"/>
      <c r="H64" s="440"/>
      <c r="I64" s="440"/>
      <c r="J64" s="440"/>
      <c r="K64" s="440"/>
      <c r="L64" s="440"/>
      <c r="M64" s="440"/>
      <c r="N64" s="440"/>
      <c r="O64" s="440"/>
      <c r="P64" s="440"/>
      <c r="Q64" s="440">
        <v>0</v>
      </c>
      <c r="R64" s="440"/>
      <c r="S64" s="440">
        <v>0</v>
      </c>
      <c r="T64" s="440"/>
      <c r="U64" s="441">
        <f>M64-O64</f>
        <v>0</v>
      </c>
      <c r="V64" s="410"/>
      <c r="W64" s="6"/>
    </row>
    <row r="65" spans="1:25" ht="15.6">
      <c r="A65" s="378"/>
      <c r="B65" s="379"/>
      <c r="C65" s="440"/>
      <c r="D65" s="440"/>
      <c r="E65" s="440"/>
      <c r="F65" s="440"/>
      <c r="G65" s="440"/>
      <c r="H65" s="440"/>
      <c r="I65" s="440"/>
      <c r="J65" s="440"/>
      <c r="K65" s="440"/>
      <c r="L65" s="440"/>
      <c r="M65" s="440"/>
      <c r="N65" s="440"/>
      <c r="O65" s="440"/>
      <c r="P65" s="440"/>
      <c r="Q65" s="440"/>
      <c r="R65" s="440"/>
      <c r="S65" s="440"/>
      <c r="T65" s="440"/>
      <c r="U65" s="441"/>
      <c r="V65" s="410"/>
      <c r="W65" s="6"/>
    </row>
    <row r="66" spans="1:25" ht="15.6">
      <c r="A66" s="378"/>
      <c r="B66" s="379" t="s">
        <v>26</v>
      </c>
      <c r="C66" s="440"/>
      <c r="D66" s="440"/>
      <c r="E66" s="440"/>
      <c r="F66" s="440"/>
      <c r="G66" s="440"/>
      <c r="H66" s="440"/>
      <c r="I66" s="440"/>
      <c r="J66" s="440"/>
      <c r="K66" s="440">
        <v>24470</v>
      </c>
      <c r="L66" s="440"/>
      <c r="M66" s="440">
        <v>1186</v>
      </c>
      <c r="N66" s="440"/>
      <c r="O66" s="440">
        <v>53</v>
      </c>
      <c r="P66" s="440"/>
      <c r="Q66" s="440">
        <v>0</v>
      </c>
      <c r="R66" s="440"/>
      <c r="S66" s="440">
        <f>SUM(S63:S65)</f>
        <v>0</v>
      </c>
      <c r="T66" s="440"/>
      <c r="U66" s="441">
        <f>+M66-O66+Q66-S66</f>
        <v>1133</v>
      </c>
      <c r="V66" s="410"/>
      <c r="W66" s="6"/>
      <c r="Y66" s="182"/>
    </row>
    <row r="67" spans="1:25" ht="15.6">
      <c r="A67" s="378"/>
      <c r="B67" s="379" t="s">
        <v>25</v>
      </c>
      <c r="C67" s="440"/>
      <c r="D67" s="440"/>
      <c r="E67" s="440"/>
      <c r="F67" s="440"/>
      <c r="G67" s="440"/>
      <c r="H67" s="440"/>
      <c r="I67" s="440"/>
      <c r="J67" s="440"/>
      <c r="K67" s="440"/>
      <c r="L67" s="440"/>
      <c r="M67" s="440"/>
      <c r="N67" s="440"/>
      <c r="O67" s="440"/>
      <c r="P67" s="440"/>
      <c r="Q67" s="440">
        <v>0</v>
      </c>
      <c r="R67" s="440"/>
      <c r="S67" s="440">
        <v>0</v>
      </c>
      <c r="T67" s="440"/>
      <c r="U67" s="440"/>
      <c r="V67" s="410"/>
      <c r="W67" s="6"/>
    </row>
    <row r="68" spans="1:25" ht="15.6">
      <c r="A68" s="378"/>
      <c r="B68" s="386"/>
      <c r="C68" s="440"/>
      <c r="D68" s="440"/>
      <c r="E68" s="440"/>
      <c r="F68" s="440"/>
      <c r="G68" s="440"/>
      <c r="H68" s="440"/>
      <c r="I68" s="440"/>
      <c r="J68" s="440"/>
      <c r="K68" s="440"/>
      <c r="L68" s="440"/>
      <c r="M68" s="440"/>
      <c r="N68" s="440"/>
      <c r="O68" s="442"/>
      <c r="P68" s="440"/>
      <c r="Q68" s="440"/>
      <c r="R68" s="440"/>
      <c r="S68" s="440"/>
      <c r="T68" s="440"/>
      <c r="U68" s="440"/>
      <c r="V68" s="410"/>
      <c r="W68" s="6"/>
    </row>
    <row r="69" spans="1:25" ht="15.6">
      <c r="A69" s="378"/>
      <c r="B69" s="379" t="s">
        <v>27</v>
      </c>
      <c r="C69" s="440"/>
      <c r="D69" s="440"/>
      <c r="E69" s="440"/>
      <c r="F69" s="440"/>
      <c r="G69" s="440"/>
      <c r="H69" s="440"/>
      <c r="I69" s="440"/>
      <c r="J69" s="440"/>
      <c r="K69" s="440">
        <v>220072</v>
      </c>
      <c r="L69" s="440"/>
      <c r="M69" s="440">
        <v>92546</v>
      </c>
      <c r="N69" s="440"/>
      <c r="O69" s="440">
        <f>3409+387</f>
        <v>3796</v>
      </c>
      <c r="P69" s="440"/>
      <c r="Q69" s="440">
        <v>0</v>
      </c>
      <c r="R69" s="440"/>
      <c r="S69" s="440">
        <v>0</v>
      </c>
      <c r="T69" s="440"/>
      <c r="U69" s="441">
        <f>+M69-O69+Q69-S69</f>
        <v>88750</v>
      </c>
      <c r="V69" s="410"/>
      <c r="W69" s="6"/>
      <c r="Y69" s="182"/>
    </row>
    <row r="70" spans="1:25" ht="15.6">
      <c r="A70" s="378"/>
      <c r="B70" s="379" t="s">
        <v>25</v>
      </c>
      <c r="C70" s="440"/>
      <c r="D70" s="440"/>
      <c r="E70" s="440"/>
      <c r="F70" s="440"/>
      <c r="G70" s="440"/>
      <c r="H70" s="440"/>
      <c r="I70" s="440"/>
      <c r="J70" s="440"/>
      <c r="K70" s="440"/>
      <c r="L70" s="440"/>
      <c r="M70" s="440"/>
      <c r="N70" s="440"/>
      <c r="O70" s="440"/>
      <c r="P70" s="440"/>
      <c r="Q70" s="440">
        <v>0</v>
      </c>
      <c r="R70" s="440"/>
      <c r="S70" s="440">
        <v>0</v>
      </c>
      <c r="T70" s="440"/>
      <c r="U70" s="441">
        <f>M70-O70+Q70-S70</f>
        <v>0</v>
      </c>
      <c r="V70" s="410"/>
      <c r="W70" s="6"/>
    </row>
    <row r="71" spans="1:25" ht="15.6">
      <c r="A71" s="378"/>
      <c r="B71" s="379"/>
      <c r="C71" s="440"/>
      <c r="D71" s="440"/>
      <c r="E71" s="440"/>
      <c r="F71" s="440"/>
      <c r="G71" s="440"/>
      <c r="H71" s="440"/>
      <c r="I71" s="440"/>
      <c r="J71" s="440"/>
      <c r="K71" s="440"/>
      <c r="L71" s="440"/>
      <c r="M71" s="440"/>
      <c r="N71" s="440"/>
      <c r="O71" s="440"/>
      <c r="P71" s="440"/>
      <c r="Q71" s="440"/>
      <c r="R71" s="440"/>
      <c r="S71" s="440"/>
      <c r="T71" s="440"/>
      <c r="U71" s="441"/>
      <c r="V71" s="410"/>
      <c r="W71" s="6"/>
    </row>
    <row r="72" spans="1:25" ht="15.6">
      <c r="A72" s="378"/>
      <c r="B72" s="379" t="s">
        <v>28</v>
      </c>
      <c r="C72" s="440"/>
      <c r="D72" s="440"/>
      <c r="E72" s="440"/>
      <c r="F72" s="440"/>
      <c r="G72" s="440"/>
      <c r="H72" s="440"/>
      <c r="I72" s="440"/>
      <c r="J72" s="440"/>
      <c r="K72" s="440">
        <v>138321</v>
      </c>
      <c r="L72" s="440"/>
      <c r="M72" s="440">
        <v>404</v>
      </c>
      <c r="N72" s="440"/>
      <c r="O72" s="440">
        <v>38</v>
      </c>
      <c r="P72" s="440"/>
      <c r="Q72" s="440">
        <v>0</v>
      </c>
      <c r="R72" s="440"/>
      <c r="S72" s="440">
        <v>0</v>
      </c>
      <c r="T72" s="440"/>
      <c r="U72" s="441">
        <f>+M72-O72+Q72-S72</f>
        <v>366</v>
      </c>
      <c r="V72" s="410"/>
      <c r="W72" s="6"/>
      <c r="X72" s="182"/>
      <c r="Y72" s="182"/>
    </row>
    <row r="73" spans="1:25" ht="15.6">
      <c r="A73" s="378"/>
      <c r="B73" s="379" t="s">
        <v>25</v>
      </c>
      <c r="C73" s="440"/>
      <c r="D73" s="440"/>
      <c r="E73" s="440"/>
      <c r="F73" s="440"/>
      <c r="G73" s="440"/>
      <c r="H73" s="440"/>
      <c r="I73" s="440"/>
      <c r="J73" s="440"/>
      <c r="K73" s="440"/>
      <c r="L73" s="440"/>
      <c r="M73" s="440"/>
      <c r="N73" s="440"/>
      <c r="O73" s="440"/>
      <c r="P73" s="440"/>
      <c r="Q73" s="440">
        <v>0</v>
      </c>
      <c r="R73" s="440"/>
      <c r="S73" s="440">
        <v>0</v>
      </c>
      <c r="T73" s="440"/>
      <c r="U73" s="441"/>
      <c r="V73" s="410"/>
      <c r="W73" s="6"/>
    </row>
    <row r="74" spans="1:25" ht="15.6">
      <c r="A74" s="378"/>
      <c r="B74" s="440"/>
      <c r="C74" s="440"/>
      <c r="D74" s="440"/>
      <c r="E74" s="440"/>
      <c r="F74" s="440"/>
      <c r="G74" s="440"/>
      <c r="H74" s="440"/>
      <c r="I74" s="440"/>
      <c r="J74" s="440"/>
      <c r="K74" s="440"/>
      <c r="L74" s="440"/>
      <c r="M74" s="440"/>
      <c r="N74" s="440"/>
      <c r="O74" s="440"/>
      <c r="P74" s="440"/>
      <c r="Q74" s="440"/>
      <c r="R74" s="440"/>
      <c r="S74" s="440"/>
      <c r="T74" s="440"/>
      <c r="U74" s="441"/>
      <c r="V74" s="410"/>
      <c r="W74" s="6"/>
    </row>
    <row r="75" spans="1:25" ht="15.6">
      <c r="A75" s="378"/>
      <c r="B75" s="379" t="s">
        <v>29</v>
      </c>
      <c r="C75" s="440"/>
      <c r="D75" s="440"/>
      <c r="E75" s="440"/>
      <c r="F75" s="440"/>
      <c r="G75" s="440"/>
      <c r="H75" s="440"/>
      <c r="I75" s="440"/>
      <c r="J75" s="440"/>
      <c r="K75" s="440">
        <f>SUM(K63:K72)</f>
        <v>450000</v>
      </c>
      <c r="L75" s="440"/>
      <c r="M75" s="440">
        <f>SUM(M63:M72)</f>
        <v>99677</v>
      </c>
      <c r="N75" s="440"/>
      <c r="O75" s="440">
        <f>SUM(O63:O73)</f>
        <v>4046</v>
      </c>
      <c r="P75" s="440"/>
      <c r="Q75" s="440">
        <f>SUM(Q63:Q73)</f>
        <v>0</v>
      </c>
      <c r="R75" s="440"/>
      <c r="S75" s="440">
        <f>SUM(S70:S74)</f>
        <v>0</v>
      </c>
      <c r="T75" s="440"/>
      <c r="U75" s="440">
        <f>SUM(U63:U73)</f>
        <v>95631</v>
      </c>
      <c r="V75" s="410"/>
      <c r="W75" s="6"/>
      <c r="X75" s="182"/>
      <c r="Y75" s="182"/>
    </row>
    <row r="76" spans="1:25" ht="15.6">
      <c r="A76" s="378"/>
      <c r="B76" s="379"/>
      <c r="C76" s="440"/>
      <c r="D76" s="440"/>
      <c r="E76" s="440"/>
      <c r="F76" s="440"/>
      <c r="G76" s="440"/>
      <c r="H76" s="440"/>
      <c r="I76" s="440"/>
      <c r="J76" s="440"/>
      <c r="K76" s="440"/>
      <c r="L76" s="440"/>
      <c r="M76" s="440"/>
      <c r="N76" s="440"/>
      <c r="O76" s="440"/>
      <c r="P76" s="440"/>
      <c r="Q76" s="440"/>
      <c r="R76" s="440"/>
      <c r="S76" s="440"/>
      <c r="T76" s="440"/>
      <c r="U76" s="440"/>
      <c r="V76" s="410"/>
      <c r="W76" s="6"/>
    </row>
    <row r="77" spans="1:25" ht="15.6">
      <c r="A77" s="378"/>
      <c r="B77" s="379" t="s">
        <v>214</v>
      </c>
      <c r="C77" s="440"/>
      <c r="D77" s="440"/>
      <c r="E77" s="440"/>
      <c r="F77" s="440"/>
      <c r="G77" s="440"/>
      <c r="H77" s="440"/>
      <c r="I77" s="440"/>
      <c r="J77" s="440"/>
      <c r="K77" s="440">
        <v>0</v>
      </c>
      <c r="L77" s="440"/>
      <c r="M77" s="440">
        <v>-13993</v>
      </c>
      <c r="N77" s="440"/>
      <c r="O77" s="440">
        <v>-558</v>
      </c>
      <c r="P77" s="440"/>
      <c r="Q77" s="440"/>
      <c r="R77" s="440"/>
      <c r="S77" s="440"/>
      <c r="T77" s="440"/>
      <c r="U77" s="441">
        <f>+M77-O77</f>
        <v>-13435</v>
      </c>
      <c r="V77" s="410"/>
      <c r="W77" s="6"/>
      <c r="Y77" s="182"/>
    </row>
    <row r="78" spans="1:25" ht="15.6">
      <c r="A78" s="378"/>
      <c r="B78" s="379" t="s">
        <v>30</v>
      </c>
      <c r="C78" s="440"/>
      <c r="D78" s="440"/>
      <c r="E78" s="440"/>
      <c r="F78" s="440"/>
      <c r="G78" s="440"/>
      <c r="H78" s="440"/>
      <c r="I78" s="440"/>
      <c r="J78" s="440"/>
      <c r="K78" s="440">
        <v>0</v>
      </c>
      <c r="L78" s="440"/>
      <c r="M78" s="440">
        <v>0</v>
      </c>
      <c r="N78" s="440"/>
      <c r="O78" s="440">
        <v>0</v>
      </c>
      <c r="P78" s="440"/>
      <c r="Q78" s="440">
        <v>0</v>
      </c>
      <c r="R78" s="440"/>
      <c r="S78" s="440"/>
      <c r="T78" s="440"/>
      <c r="U78" s="440">
        <v>0</v>
      </c>
      <c r="V78" s="410"/>
      <c r="W78" s="6"/>
      <c r="X78" s="182"/>
    </row>
    <row r="79" spans="1:25" ht="15.6">
      <c r="A79" s="378"/>
      <c r="B79" s="379" t="s">
        <v>31</v>
      </c>
      <c r="C79" s="440"/>
      <c r="D79" s="440"/>
      <c r="E79" s="440"/>
      <c r="F79" s="440"/>
      <c r="G79" s="440"/>
      <c r="H79" s="440"/>
      <c r="I79" s="440"/>
      <c r="J79" s="440"/>
      <c r="K79" s="440">
        <v>0</v>
      </c>
      <c r="L79" s="440"/>
      <c r="M79" s="440">
        <v>0</v>
      </c>
      <c r="N79" s="440"/>
      <c r="O79" s="440"/>
      <c r="P79" s="440"/>
      <c r="Q79" s="440">
        <v>0</v>
      </c>
      <c r="R79" s="440"/>
      <c r="S79" s="440"/>
      <c r="T79" s="440"/>
      <c r="U79" s="440">
        <f>Q79+M79</f>
        <v>0</v>
      </c>
      <c r="V79" s="410"/>
      <c r="W79" s="6"/>
    </row>
    <row r="80" spans="1:25" ht="15.6">
      <c r="A80" s="378"/>
      <c r="B80" s="379" t="s">
        <v>16</v>
      </c>
      <c r="C80" s="440"/>
      <c r="D80" s="440"/>
      <c r="E80" s="440"/>
      <c r="F80" s="440"/>
      <c r="G80" s="440"/>
      <c r="H80" s="440"/>
      <c r="I80" s="440"/>
      <c r="J80" s="440"/>
      <c r="K80" s="440">
        <f>SUM(K75:K79)</f>
        <v>450000</v>
      </c>
      <c r="L80" s="440"/>
      <c r="M80" s="440">
        <f>SUM(M75:M79)</f>
        <v>85684</v>
      </c>
      <c r="N80" s="440"/>
      <c r="O80" s="440">
        <f>O78-O79</f>
        <v>0</v>
      </c>
      <c r="P80" s="440"/>
      <c r="Q80" s="440"/>
      <c r="R80" s="440"/>
      <c r="S80" s="440"/>
      <c r="T80" s="440"/>
      <c r="U80" s="440">
        <f>SUM(U75:U79)</f>
        <v>82196</v>
      </c>
      <c r="V80" s="410"/>
      <c r="W80" s="6"/>
      <c r="X80" s="182"/>
      <c r="Y80" s="182"/>
    </row>
    <row r="81" spans="1:24" ht="15.6">
      <c r="A81" s="242"/>
      <c r="B81" s="437"/>
      <c r="C81" s="438"/>
      <c r="D81" s="438"/>
      <c r="E81" s="438"/>
      <c r="F81" s="438"/>
      <c r="G81" s="438"/>
      <c r="H81" s="438"/>
      <c r="I81" s="438"/>
      <c r="J81" s="438"/>
      <c r="K81" s="438"/>
      <c r="L81" s="438"/>
      <c r="M81" s="438"/>
      <c r="N81" s="438"/>
      <c r="O81" s="438"/>
      <c r="P81" s="438"/>
      <c r="Q81" s="438"/>
      <c r="R81" s="438"/>
      <c r="S81" s="439"/>
      <c r="T81" s="438"/>
      <c r="U81" s="439"/>
      <c r="V81" s="245"/>
      <c r="W81" s="6"/>
    </row>
    <row r="82" spans="1:24" ht="15.6">
      <c r="A82" s="230"/>
      <c r="B82" s="511" t="s">
        <v>32</v>
      </c>
      <c r="C82" s="511"/>
      <c r="D82" s="511"/>
      <c r="E82" s="511"/>
      <c r="F82" s="511"/>
      <c r="G82" s="511"/>
      <c r="H82" s="511"/>
      <c r="I82" s="511"/>
      <c r="J82" s="511"/>
      <c r="K82" s="511"/>
      <c r="L82" s="511"/>
      <c r="M82" s="511"/>
      <c r="N82" s="511"/>
      <c r="O82" s="511"/>
      <c r="P82" s="511"/>
      <c r="Q82" s="511"/>
      <c r="R82" s="232"/>
      <c r="S82" s="232"/>
      <c r="T82" s="232"/>
      <c r="U82" s="232" t="s">
        <v>121</v>
      </c>
      <c r="V82" s="516"/>
      <c r="W82" s="6"/>
    </row>
    <row r="83" spans="1:24" ht="15.6">
      <c r="A83" s="315"/>
      <c r="B83" s="294" t="s">
        <v>33</v>
      </c>
      <c r="C83" s="294"/>
      <c r="D83" s="294"/>
      <c r="E83" s="294"/>
      <c r="F83" s="294"/>
      <c r="G83" s="294"/>
      <c r="H83" s="294"/>
      <c r="I83" s="294"/>
      <c r="J83" s="294"/>
      <c r="K83" s="294"/>
      <c r="L83" s="294"/>
      <c r="M83" s="294"/>
      <c r="N83" s="294"/>
      <c r="O83" s="310"/>
      <c r="P83" s="294"/>
      <c r="Q83" s="294"/>
      <c r="R83" s="294"/>
      <c r="S83" s="310"/>
      <c r="T83" s="294"/>
      <c r="U83" s="311">
        <v>46096</v>
      </c>
      <c r="V83" s="298"/>
      <c r="W83" s="6"/>
    </row>
    <row r="84" spans="1:24" ht="15.6">
      <c r="A84" s="444"/>
      <c r="B84" s="379" t="s">
        <v>34</v>
      </c>
      <c r="C84" s="431"/>
      <c r="D84" s="431"/>
      <c r="E84" s="431"/>
      <c r="F84" s="431"/>
      <c r="G84" s="431"/>
      <c r="H84" s="431"/>
      <c r="I84" s="431"/>
      <c r="J84" s="431"/>
      <c r="K84" s="431"/>
      <c r="L84" s="431"/>
      <c r="M84" s="430"/>
      <c r="N84" s="379"/>
      <c r="O84" s="379"/>
      <c r="P84" s="379"/>
      <c r="Q84" s="379"/>
      <c r="R84" s="379"/>
      <c r="S84" s="440"/>
      <c r="T84" s="379"/>
      <c r="U84" s="441">
        <f>-51+235+55</f>
        <v>239</v>
      </c>
      <c r="V84" s="410"/>
      <c r="W84" s="6"/>
    </row>
    <row r="85" spans="1:24" ht="15.6">
      <c r="A85" s="444"/>
      <c r="B85" s="379" t="s">
        <v>230</v>
      </c>
      <c r="C85" s="379"/>
      <c r="D85" s="379"/>
      <c r="E85" s="379"/>
      <c r="F85" s="379"/>
      <c r="G85" s="379"/>
      <c r="H85" s="379"/>
      <c r="I85" s="379"/>
      <c r="J85" s="379"/>
      <c r="K85" s="379"/>
      <c r="L85" s="379"/>
      <c r="M85" s="379"/>
      <c r="N85" s="379"/>
      <c r="O85" s="379"/>
      <c r="P85" s="379"/>
      <c r="Q85" s="379"/>
      <c r="R85" s="379"/>
      <c r="S85" s="440"/>
      <c r="T85" s="379"/>
      <c r="U85" s="441">
        <v>0</v>
      </c>
      <c r="V85" s="410"/>
      <c r="W85" s="6"/>
      <c r="X85" s="64"/>
    </row>
    <row r="86" spans="1:24" ht="15.6">
      <c r="A86" s="444"/>
      <c r="B86" s="379" t="s">
        <v>231</v>
      </c>
      <c r="C86" s="379"/>
      <c r="D86" s="379"/>
      <c r="E86" s="379"/>
      <c r="F86" s="379"/>
      <c r="G86" s="379"/>
      <c r="H86" s="379"/>
      <c r="I86" s="379"/>
      <c r="J86" s="379"/>
      <c r="K86" s="379"/>
      <c r="L86" s="379"/>
      <c r="M86" s="379"/>
      <c r="N86" s="379"/>
      <c r="O86" s="379"/>
      <c r="P86" s="379"/>
      <c r="Q86" s="379"/>
      <c r="R86" s="379"/>
      <c r="S86" s="440"/>
      <c r="T86" s="379"/>
      <c r="U86" s="441">
        <v>0</v>
      </c>
      <c r="V86" s="410"/>
      <c r="W86" s="6"/>
      <c r="X86" s="64"/>
    </row>
    <row r="87" spans="1:24" ht="15.6">
      <c r="A87" s="444"/>
      <c r="B87" s="379" t="s">
        <v>35</v>
      </c>
      <c r="C87" s="379"/>
      <c r="D87" s="379"/>
      <c r="E87" s="379"/>
      <c r="F87" s="379"/>
      <c r="G87" s="379"/>
      <c r="H87" s="379"/>
      <c r="I87" s="379"/>
      <c r="J87" s="379"/>
      <c r="K87" s="379"/>
      <c r="L87" s="379"/>
      <c r="M87" s="379"/>
      <c r="N87" s="379"/>
      <c r="O87" s="379"/>
      <c r="P87" s="379"/>
      <c r="Q87" s="379"/>
      <c r="R87" s="379"/>
      <c r="S87" s="440"/>
      <c r="T87" s="379"/>
      <c r="U87" s="441">
        <f>SUM(U83:U86)</f>
        <v>46335</v>
      </c>
      <c r="V87" s="410"/>
      <c r="W87" s="6"/>
      <c r="X87" s="64"/>
    </row>
    <row r="88" spans="1:24" ht="15.6">
      <c r="A88" s="444"/>
      <c r="B88" s="379"/>
      <c r="C88" s="379"/>
      <c r="D88" s="379"/>
      <c r="E88" s="379"/>
      <c r="F88" s="379"/>
      <c r="G88" s="379"/>
      <c r="H88" s="379"/>
      <c r="I88" s="379"/>
      <c r="J88" s="379"/>
      <c r="K88" s="379"/>
      <c r="L88" s="379"/>
      <c r="M88" s="379"/>
      <c r="N88" s="379"/>
      <c r="O88" s="379"/>
      <c r="P88" s="379"/>
      <c r="Q88" s="379"/>
      <c r="R88" s="379"/>
      <c r="S88" s="440"/>
      <c r="T88" s="379"/>
      <c r="U88" s="440"/>
      <c r="V88" s="410"/>
      <c r="W88" s="6"/>
    </row>
    <row r="89" spans="1:24" ht="15.6">
      <c r="A89" s="444"/>
      <c r="B89" s="446" t="s">
        <v>36</v>
      </c>
      <c r="C89" s="446"/>
      <c r="D89" s="446"/>
      <c r="E89" s="446"/>
      <c r="F89" s="446"/>
      <c r="G89" s="446"/>
      <c r="H89" s="446"/>
      <c r="I89" s="446"/>
      <c r="J89" s="446"/>
      <c r="K89" s="446"/>
      <c r="L89" s="446"/>
      <c r="M89" s="379"/>
      <c r="N89" s="379"/>
      <c r="O89" s="379"/>
      <c r="P89" s="379"/>
      <c r="Q89" s="379"/>
      <c r="R89" s="379"/>
      <c r="S89" s="440"/>
      <c r="T89" s="379"/>
      <c r="U89" s="441"/>
      <c r="V89" s="410"/>
      <c r="W89" s="6"/>
      <c r="X89" s="64"/>
    </row>
    <row r="90" spans="1:24" ht="15.6">
      <c r="A90" s="444">
        <v>1</v>
      </c>
      <c r="B90" s="379" t="s">
        <v>37</v>
      </c>
      <c r="C90" s="379"/>
      <c r="D90" s="379"/>
      <c r="E90" s="379"/>
      <c r="F90" s="379"/>
      <c r="G90" s="379"/>
      <c r="H90" s="379"/>
      <c r="I90" s="379"/>
      <c r="J90" s="379"/>
      <c r="K90" s="379"/>
      <c r="L90" s="379"/>
      <c r="M90" s="379"/>
      <c r="N90" s="379"/>
      <c r="O90" s="379"/>
      <c r="P90" s="379"/>
      <c r="Q90" s="379"/>
      <c r="R90" s="379"/>
      <c r="S90" s="379"/>
      <c r="T90" s="379"/>
      <c r="U90" s="441">
        <v>-2</v>
      </c>
      <c r="V90" s="410"/>
      <c r="W90" s="6"/>
    </row>
    <row r="91" spans="1:24" ht="15.6">
      <c r="A91" s="444">
        <f>A90+1</f>
        <v>2</v>
      </c>
      <c r="B91" s="379" t="s">
        <v>168</v>
      </c>
      <c r="C91" s="379"/>
      <c r="D91" s="379"/>
      <c r="E91" s="379"/>
      <c r="F91" s="379"/>
      <c r="G91" s="379"/>
      <c r="H91" s="379"/>
      <c r="I91" s="379"/>
      <c r="J91" s="379"/>
      <c r="K91" s="379"/>
      <c r="L91" s="379"/>
      <c r="M91" s="379"/>
      <c r="N91" s="379"/>
      <c r="O91" s="379"/>
      <c r="P91" s="379"/>
      <c r="Q91" s="379"/>
      <c r="R91" s="379"/>
      <c r="S91" s="379"/>
      <c r="T91" s="379"/>
      <c r="U91" s="441">
        <f>-85-24-1</f>
        <v>-110</v>
      </c>
      <c r="V91" s="410"/>
      <c r="W91" s="6"/>
      <c r="X91" s="64"/>
    </row>
    <row r="92" spans="1:24" ht="15.6">
      <c r="A92" s="444">
        <v>3</v>
      </c>
      <c r="B92" s="379" t="s">
        <v>38</v>
      </c>
      <c r="C92" s="379"/>
      <c r="D92" s="379"/>
      <c r="E92" s="379"/>
      <c r="F92" s="379"/>
      <c r="G92" s="379"/>
      <c r="H92" s="379"/>
      <c r="I92" s="379"/>
      <c r="J92" s="379"/>
      <c r="K92" s="379"/>
      <c r="L92" s="379"/>
      <c r="M92" s="379"/>
      <c r="N92" s="379"/>
      <c r="O92" s="379"/>
      <c r="P92" s="379"/>
      <c r="Q92" s="379"/>
      <c r="R92" s="379"/>
      <c r="S92" s="379"/>
      <c r="T92" s="379"/>
      <c r="U92" s="441">
        <v>-9</v>
      </c>
      <c r="V92" s="410"/>
      <c r="W92" s="6"/>
      <c r="X92" s="64"/>
    </row>
    <row r="93" spans="1:24" ht="15.6">
      <c r="A93" s="447" t="s">
        <v>190</v>
      </c>
      <c r="B93" s="379" t="s">
        <v>169</v>
      </c>
      <c r="C93" s="379"/>
      <c r="D93" s="379"/>
      <c r="E93" s="379"/>
      <c r="F93" s="379"/>
      <c r="G93" s="379"/>
      <c r="H93" s="379"/>
      <c r="I93" s="379"/>
      <c r="J93" s="379"/>
      <c r="K93" s="379"/>
      <c r="L93" s="379"/>
      <c r="M93" s="379"/>
      <c r="N93" s="379"/>
      <c r="O93" s="379"/>
      <c r="P93" s="379"/>
      <c r="Q93" s="379"/>
      <c r="R93" s="379"/>
      <c r="S93" s="379"/>
      <c r="T93" s="379"/>
      <c r="U93" s="441">
        <v>-44</v>
      </c>
      <c r="V93" s="410"/>
      <c r="W93" s="6"/>
      <c r="X93" s="64"/>
    </row>
    <row r="94" spans="1:24" ht="15.6">
      <c r="A94" s="447" t="s">
        <v>191</v>
      </c>
      <c r="B94" s="379" t="s">
        <v>170</v>
      </c>
      <c r="C94" s="379"/>
      <c r="D94" s="379"/>
      <c r="E94" s="379"/>
      <c r="F94" s="379"/>
      <c r="G94" s="379"/>
      <c r="H94" s="379"/>
      <c r="I94" s="379"/>
      <c r="J94" s="379"/>
      <c r="K94" s="379"/>
      <c r="L94" s="379"/>
      <c r="M94" s="379"/>
      <c r="N94" s="379"/>
      <c r="O94" s="379"/>
      <c r="P94" s="379"/>
      <c r="Q94" s="379"/>
      <c r="R94" s="379"/>
      <c r="S94" s="379"/>
      <c r="T94" s="379"/>
      <c r="U94" s="441">
        <v>-56</v>
      </c>
      <c r="V94" s="410"/>
      <c r="W94" s="6"/>
      <c r="X94" s="182"/>
    </row>
    <row r="95" spans="1:24" ht="15.6">
      <c r="A95" s="444">
        <v>5</v>
      </c>
      <c r="B95" s="379" t="s">
        <v>171</v>
      </c>
      <c r="C95" s="379"/>
      <c r="D95" s="379"/>
      <c r="E95" s="379"/>
      <c r="F95" s="379"/>
      <c r="G95" s="379"/>
      <c r="H95" s="379"/>
      <c r="I95" s="379"/>
      <c r="J95" s="379"/>
      <c r="K95" s="379"/>
      <c r="L95" s="379"/>
      <c r="M95" s="379"/>
      <c r="N95" s="379"/>
      <c r="O95" s="379"/>
      <c r="P95" s="379"/>
      <c r="Q95" s="379"/>
      <c r="R95" s="379"/>
      <c r="S95" s="379"/>
      <c r="T95" s="379"/>
      <c r="U95" s="441">
        <v>-9</v>
      </c>
      <c r="V95" s="410"/>
      <c r="W95" s="6"/>
    </row>
    <row r="96" spans="1:24" ht="15.6">
      <c r="A96" s="447" t="s">
        <v>174</v>
      </c>
      <c r="B96" s="379" t="s">
        <v>172</v>
      </c>
      <c r="C96" s="379"/>
      <c r="D96" s="379"/>
      <c r="E96" s="379"/>
      <c r="F96" s="379"/>
      <c r="G96" s="379"/>
      <c r="H96" s="379"/>
      <c r="I96" s="379"/>
      <c r="J96" s="379"/>
      <c r="K96" s="379"/>
      <c r="L96" s="379"/>
      <c r="M96" s="379"/>
      <c r="N96" s="379"/>
      <c r="O96" s="379"/>
      <c r="P96" s="379"/>
      <c r="Q96" s="379"/>
      <c r="R96" s="379"/>
      <c r="S96" s="379"/>
      <c r="T96" s="379"/>
      <c r="U96" s="441">
        <v>-19</v>
      </c>
      <c r="V96" s="410"/>
      <c r="W96" s="6"/>
      <c r="X96" s="182"/>
    </row>
    <row r="97" spans="1:24" ht="15.6">
      <c r="A97" s="447" t="s">
        <v>176</v>
      </c>
      <c r="B97" s="379" t="s">
        <v>173</v>
      </c>
      <c r="C97" s="379"/>
      <c r="D97" s="379"/>
      <c r="E97" s="379"/>
      <c r="F97" s="379"/>
      <c r="G97" s="379"/>
      <c r="H97" s="379"/>
      <c r="I97" s="379"/>
      <c r="J97" s="379"/>
      <c r="K97" s="379"/>
      <c r="L97" s="379"/>
      <c r="M97" s="379"/>
      <c r="N97" s="379"/>
      <c r="O97" s="379"/>
      <c r="P97" s="379"/>
      <c r="Q97" s="379"/>
      <c r="R97" s="379"/>
      <c r="S97" s="379"/>
      <c r="T97" s="379"/>
      <c r="U97" s="441">
        <v>-31</v>
      </c>
      <c r="V97" s="410"/>
      <c r="W97" s="119"/>
      <c r="X97" s="182"/>
    </row>
    <row r="98" spans="1:24" ht="15.6">
      <c r="A98" s="447" t="s">
        <v>178</v>
      </c>
      <c r="B98" s="379" t="s">
        <v>175</v>
      </c>
      <c r="C98" s="379"/>
      <c r="D98" s="379"/>
      <c r="E98" s="379"/>
      <c r="F98" s="379"/>
      <c r="G98" s="379"/>
      <c r="H98" s="379"/>
      <c r="I98" s="379"/>
      <c r="J98" s="379"/>
      <c r="K98" s="379"/>
      <c r="L98" s="379"/>
      <c r="M98" s="379"/>
      <c r="N98" s="379"/>
      <c r="O98" s="379"/>
      <c r="P98" s="379"/>
      <c r="Q98" s="379"/>
      <c r="R98" s="379"/>
      <c r="S98" s="379"/>
      <c r="T98" s="379"/>
      <c r="U98" s="441">
        <v>-31</v>
      </c>
      <c r="V98" s="410"/>
      <c r="W98" s="6"/>
      <c r="X98" s="182"/>
    </row>
    <row r="99" spans="1:24" ht="15.6">
      <c r="A99" s="447" t="s">
        <v>180</v>
      </c>
      <c r="B99" s="379" t="s">
        <v>177</v>
      </c>
      <c r="C99" s="379"/>
      <c r="D99" s="379"/>
      <c r="E99" s="379"/>
      <c r="F99" s="379"/>
      <c r="G99" s="379"/>
      <c r="H99" s="379"/>
      <c r="I99" s="379"/>
      <c r="J99" s="379"/>
      <c r="K99" s="379"/>
      <c r="L99" s="379"/>
      <c r="M99" s="379"/>
      <c r="N99" s="379"/>
      <c r="O99" s="379"/>
      <c r="P99" s="379"/>
      <c r="Q99" s="379"/>
      <c r="R99" s="379"/>
      <c r="S99" s="379"/>
      <c r="T99" s="379"/>
      <c r="U99" s="441">
        <v>-39</v>
      </c>
      <c r="V99" s="410"/>
      <c r="W99" s="119"/>
      <c r="X99" s="182"/>
    </row>
    <row r="100" spans="1:24" ht="15.6">
      <c r="A100" s="447" t="s">
        <v>192</v>
      </c>
      <c r="B100" s="379" t="s">
        <v>179</v>
      </c>
      <c r="C100" s="379"/>
      <c r="D100" s="379"/>
      <c r="E100" s="379"/>
      <c r="F100" s="379"/>
      <c r="G100" s="379"/>
      <c r="H100" s="379"/>
      <c r="I100" s="379"/>
      <c r="J100" s="379"/>
      <c r="K100" s="379"/>
      <c r="L100" s="379"/>
      <c r="M100" s="379"/>
      <c r="N100" s="379"/>
      <c r="O100" s="379"/>
      <c r="P100" s="379"/>
      <c r="Q100" s="379"/>
      <c r="R100" s="379"/>
      <c r="S100" s="379"/>
      <c r="T100" s="379"/>
      <c r="U100" s="441">
        <v>-58</v>
      </c>
      <c r="V100" s="410"/>
      <c r="W100" s="6"/>
      <c r="X100" s="182"/>
    </row>
    <row r="101" spans="1:24" ht="15.6">
      <c r="A101" s="447" t="s">
        <v>193</v>
      </c>
      <c r="B101" s="379" t="s">
        <v>181</v>
      </c>
      <c r="C101" s="379"/>
      <c r="D101" s="379"/>
      <c r="E101" s="379"/>
      <c r="F101" s="379"/>
      <c r="G101" s="379"/>
      <c r="H101" s="379"/>
      <c r="I101" s="379"/>
      <c r="J101" s="379"/>
      <c r="K101" s="379"/>
      <c r="L101" s="379"/>
      <c r="M101" s="379"/>
      <c r="N101" s="379"/>
      <c r="O101" s="379"/>
      <c r="P101" s="379"/>
      <c r="Q101" s="379"/>
      <c r="R101" s="379"/>
      <c r="S101" s="379"/>
      <c r="T101" s="379"/>
      <c r="U101" s="441">
        <v>-50</v>
      </c>
      <c r="V101" s="410"/>
      <c r="W101" s="119"/>
      <c r="X101" s="182"/>
    </row>
    <row r="102" spans="1:24" ht="15.6">
      <c r="A102" s="444">
        <v>9</v>
      </c>
      <c r="B102" s="379" t="s">
        <v>257</v>
      </c>
      <c r="C102" s="379"/>
      <c r="D102" s="379"/>
      <c r="E102" s="379"/>
      <c r="F102" s="379"/>
      <c r="G102" s="379"/>
      <c r="H102" s="379"/>
      <c r="I102" s="379"/>
      <c r="J102" s="379"/>
      <c r="K102" s="379"/>
      <c r="L102" s="379"/>
      <c r="M102" s="379"/>
      <c r="N102" s="379"/>
      <c r="O102" s="379"/>
      <c r="P102" s="379"/>
      <c r="Q102" s="379"/>
      <c r="R102" s="379"/>
      <c r="S102" s="379"/>
      <c r="T102" s="379"/>
      <c r="U102" s="441">
        <f>+S219-U32</f>
        <v>-3488.2983999999997</v>
      </c>
      <c r="V102" s="410"/>
      <c r="W102" s="6"/>
      <c r="X102" s="182"/>
    </row>
    <row r="103" spans="1:24" ht="15.6">
      <c r="A103" s="444">
        <v>10</v>
      </c>
      <c r="B103" s="379" t="s">
        <v>234</v>
      </c>
      <c r="C103" s="379"/>
      <c r="D103" s="379"/>
      <c r="E103" s="379"/>
      <c r="F103" s="379"/>
      <c r="G103" s="379"/>
      <c r="H103" s="379"/>
      <c r="I103" s="379"/>
      <c r="J103" s="379"/>
      <c r="K103" s="379"/>
      <c r="L103" s="379"/>
      <c r="M103" s="379"/>
      <c r="N103" s="379"/>
      <c r="O103" s="379"/>
      <c r="P103" s="379"/>
      <c r="Q103" s="379"/>
      <c r="R103" s="379"/>
      <c r="S103" s="379"/>
      <c r="T103" s="379"/>
      <c r="U103" s="441">
        <v>-40500</v>
      </c>
      <c r="V103" s="410"/>
      <c r="W103" s="6"/>
      <c r="X103" s="64"/>
    </row>
    <row r="104" spans="1:24" ht="15.6">
      <c r="A104" s="444">
        <v>11</v>
      </c>
      <c r="B104" s="379" t="s">
        <v>183</v>
      </c>
      <c r="C104" s="379"/>
      <c r="D104" s="379"/>
      <c r="E104" s="379"/>
      <c r="F104" s="379"/>
      <c r="G104" s="379"/>
      <c r="H104" s="379"/>
      <c r="I104" s="379"/>
      <c r="J104" s="379"/>
      <c r="K104" s="379"/>
      <c r="L104" s="379"/>
      <c r="M104" s="379"/>
      <c r="N104" s="379"/>
      <c r="O104" s="379"/>
      <c r="P104" s="379"/>
      <c r="Q104" s="379"/>
      <c r="R104" s="379"/>
      <c r="S104" s="379"/>
      <c r="T104" s="379"/>
      <c r="U104" s="441">
        <v>0</v>
      </c>
      <c r="V104" s="410"/>
      <c r="W104" s="6"/>
      <c r="X104" s="64"/>
    </row>
    <row r="105" spans="1:24" ht="15.6">
      <c r="A105" s="444">
        <v>12</v>
      </c>
      <c r="B105" s="379" t="s">
        <v>184</v>
      </c>
      <c r="C105" s="379"/>
      <c r="D105" s="379"/>
      <c r="E105" s="379"/>
      <c r="F105" s="379"/>
      <c r="G105" s="379"/>
      <c r="H105" s="379"/>
      <c r="I105" s="379"/>
      <c r="J105" s="379"/>
      <c r="K105" s="379"/>
      <c r="L105" s="379"/>
      <c r="M105" s="379"/>
      <c r="N105" s="379"/>
      <c r="O105" s="379"/>
      <c r="P105" s="379"/>
      <c r="Q105" s="379"/>
      <c r="R105" s="379"/>
      <c r="S105" s="379"/>
      <c r="T105" s="379"/>
      <c r="U105" s="441">
        <v>-96</v>
      </c>
      <c r="V105" s="410"/>
      <c r="W105" s="6"/>
      <c r="X105" s="182"/>
    </row>
    <row r="106" spans="1:24" ht="15.6">
      <c r="A106" s="444">
        <v>13</v>
      </c>
      <c r="B106" s="379" t="s">
        <v>40</v>
      </c>
      <c r="C106" s="379"/>
      <c r="D106" s="379"/>
      <c r="E106" s="379"/>
      <c r="F106" s="379"/>
      <c r="G106" s="379"/>
      <c r="H106" s="379"/>
      <c r="I106" s="379"/>
      <c r="J106" s="379"/>
      <c r="K106" s="379"/>
      <c r="L106" s="379"/>
      <c r="M106" s="379"/>
      <c r="N106" s="379"/>
      <c r="O106" s="379"/>
      <c r="P106" s="379"/>
      <c r="Q106" s="379"/>
      <c r="R106" s="379"/>
      <c r="S106" s="379"/>
      <c r="T106" s="379"/>
      <c r="U106" s="441">
        <f>-SUM(U87:V105)</f>
        <v>-1792.7016000000003</v>
      </c>
      <c r="V106" s="410"/>
      <c r="W106" s="6"/>
      <c r="X106" s="182"/>
    </row>
    <row r="107" spans="1:24" ht="15.6">
      <c r="A107" s="316"/>
      <c r="B107" s="443"/>
      <c r="C107" s="364"/>
      <c r="D107" s="364"/>
      <c r="E107" s="364"/>
      <c r="F107" s="364"/>
      <c r="G107" s="364"/>
      <c r="H107" s="364"/>
      <c r="I107" s="364"/>
      <c r="J107" s="364"/>
      <c r="K107" s="364"/>
      <c r="L107" s="364"/>
      <c r="M107" s="364"/>
      <c r="N107" s="364"/>
      <c r="O107" s="364"/>
      <c r="P107" s="364"/>
      <c r="Q107" s="364"/>
      <c r="R107" s="364"/>
      <c r="S107" s="360"/>
      <c r="T107" s="360"/>
      <c r="U107" s="360"/>
      <c r="V107" s="303"/>
      <c r="W107" s="6"/>
      <c r="X107" s="182"/>
    </row>
    <row r="108" spans="1:24" ht="15.6">
      <c r="A108" s="316"/>
      <c r="B108" s="317"/>
      <c r="C108" s="288"/>
      <c r="D108" s="288"/>
      <c r="E108" s="288"/>
      <c r="F108" s="288"/>
      <c r="G108" s="288"/>
      <c r="H108" s="288"/>
      <c r="I108" s="288"/>
      <c r="J108" s="288"/>
      <c r="K108" s="288"/>
      <c r="L108" s="288"/>
      <c r="M108" s="288"/>
      <c r="N108" s="288"/>
      <c r="O108" s="288"/>
      <c r="P108" s="288"/>
      <c r="Q108" s="288"/>
      <c r="R108" s="288"/>
      <c r="S108" s="318"/>
      <c r="T108" s="318"/>
      <c r="U108" s="318"/>
      <c r="V108" s="303"/>
      <c r="W108" s="6"/>
    </row>
    <row r="109" spans="1:24" ht="16.2" thickBot="1">
      <c r="A109" s="319"/>
      <c r="B109" s="304" t="str">
        <f>+B59</f>
        <v>PPAF3 INVESTOR REPORT QUARTER ENDING MARCH 2016</v>
      </c>
      <c r="C109" s="305"/>
      <c r="D109" s="305"/>
      <c r="E109" s="305"/>
      <c r="F109" s="305"/>
      <c r="G109" s="305"/>
      <c r="H109" s="305"/>
      <c r="I109" s="305"/>
      <c r="J109" s="305"/>
      <c r="K109" s="305"/>
      <c r="L109" s="305"/>
      <c r="M109" s="305"/>
      <c r="N109" s="305"/>
      <c r="O109" s="305"/>
      <c r="P109" s="305"/>
      <c r="Q109" s="305"/>
      <c r="R109" s="305"/>
      <c r="S109" s="320"/>
      <c r="T109" s="320"/>
      <c r="U109" s="320"/>
      <c r="V109" s="307"/>
      <c r="W109" s="6"/>
    </row>
    <row r="110" spans="1:24" ht="15.6">
      <c r="A110" s="238"/>
      <c r="B110" s="240"/>
      <c r="C110" s="240"/>
      <c r="D110" s="240"/>
      <c r="E110" s="240"/>
      <c r="F110" s="240"/>
      <c r="G110" s="240"/>
      <c r="H110" s="240"/>
      <c r="I110" s="240"/>
      <c r="J110" s="240"/>
      <c r="K110" s="240"/>
      <c r="L110" s="240"/>
      <c r="M110" s="240"/>
      <c r="N110" s="240"/>
      <c r="O110" s="240"/>
      <c r="P110" s="240"/>
      <c r="Q110" s="240"/>
      <c r="R110" s="240"/>
      <c r="S110" s="269"/>
      <c r="T110" s="269"/>
      <c r="U110" s="269"/>
      <c r="V110" s="241"/>
      <c r="W110" s="6"/>
    </row>
    <row r="111" spans="1:24" ht="15.6">
      <c r="A111" s="321"/>
      <c r="B111" s="517" t="s">
        <v>41</v>
      </c>
      <c r="C111" s="322"/>
      <c r="D111" s="322"/>
      <c r="E111" s="322"/>
      <c r="F111" s="322"/>
      <c r="G111" s="322"/>
      <c r="H111" s="322"/>
      <c r="I111" s="322"/>
      <c r="J111" s="322"/>
      <c r="K111" s="322"/>
      <c r="L111" s="322"/>
      <c r="M111" s="322"/>
      <c r="N111" s="322"/>
      <c r="O111" s="322"/>
      <c r="P111" s="322"/>
      <c r="Q111" s="322"/>
      <c r="R111" s="322"/>
      <c r="S111" s="322"/>
      <c r="T111" s="322"/>
      <c r="U111" s="323"/>
      <c r="V111" s="324"/>
      <c r="W111" s="6"/>
    </row>
    <row r="112" spans="1:24" ht="15.6">
      <c r="A112" s="270"/>
      <c r="B112" s="271"/>
      <c r="C112" s="271"/>
      <c r="D112" s="271"/>
      <c r="E112" s="271"/>
      <c r="F112" s="271"/>
      <c r="G112" s="271"/>
      <c r="H112" s="271"/>
      <c r="I112" s="271"/>
      <c r="J112" s="271"/>
      <c r="K112" s="271"/>
      <c r="L112" s="271"/>
      <c r="M112" s="271"/>
      <c r="N112" s="271"/>
      <c r="O112" s="271"/>
      <c r="P112" s="271"/>
      <c r="Q112" s="271"/>
      <c r="R112" s="271"/>
      <c r="S112" s="271"/>
      <c r="T112" s="271"/>
      <c r="U112" s="272"/>
      <c r="V112" s="273"/>
      <c r="W112" s="6"/>
    </row>
    <row r="113" spans="1:24" ht="15.6">
      <c r="A113" s="242"/>
      <c r="B113" s="274" t="s">
        <v>42</v>
      </c>
      <c r="C113" s="252"/>
      <c r="D113" s="252"/>
      <c r="E113" s="252"/>
      <c r="F113" s="252"/>
      <c r="G113" s="252"/>
      <c r="H113" s="252"/>
      <c r="I113" s="252"/>
      <c r="J113" s="252"/>
      <c r="K113" s="252"/>
      <c r="L113" s="252"/>
      <c r="M113" s="244"/>
      <c r="N113" s="244"/>
      <c r="O113" s="244"/>
      <c r="P113" s="244"/>
      <c r="Q113" s="244"/>
      <c r="R113" s="244"/>
      <c r="S113" s="244"/>
      <c r="T113" s="244"/>
      <c r="U113" s="263"/>
      <c r="V113" s="245"/>
      <c r="W113" s="6"/>
    </row>
    <row r="114" spans="1:24" ht="15.6">
      <c r="A114" s="378"/>
      <c r="B114" s="379" t="s">
        <v>43</v>
      </c>
      <c r="C114" s="379"/>
      <c r="D114" s="379"/>
      <c r="E114" s="379"/>
      <c r="F114" s="379"/>
      <c r="G114" s="379"/>
      <c r="H114" s="379"/>
      <c r="I114" s="379"/>
      <c r="J114" s="379"/>
      <c r="K114" s="379"/>
      <c r="L114" s="379"/>
      <c r="M114" s="379"/>
      <c r="N114" s="379"/>
      <c r="O114" s="379"/>
      <c r="P114" s="379"/>
      <c r="Q114" s="379"/>
      <c r="R114" s="379"/>
      <c r="S114" s="379"/>
      <c r="T114" s="379"/>
      <c r="U114" s="441">
        <v>40500</v>
      </c>
      <c r="V114" s="410"/>
      <c r="W114" s="6"/>
    </row>
    <row r="115" spans="1:24" ht="15.6">
      <c r="A115" s="378"/>
      <c r="B115" s="379" t="s">
        <v>240</v>
      </c>
      <c r="C115" s="379"/>
      <c r="D115" s="379"/>
      <c r="E115" s="379"/>
      <c r="F115" s="379"/>
      <c r="G115" s="379"/>
      <c r="H115" s="379"/>
      <c r="I115" s="379"/>
      <c r="J115" s="379"/>
      <c r="K115" s="379"/>
      <c r="L115" s="379"/>
      <c r="M115" s="379"/>
      <c r="N115" s="379"/>
      <c r="O115" s="379"/>
      <c r="P115" s="379"/>
      <c r="Q115" s="379"/>
      <c r="R115" s="379"/>
      <c r="S115" s="379"/>
      <c r="T115" s="379"/>
      <c r="U115" s="441">
        <v>40500</v>
      </c>
      <c r="V115" s="410"/>
      <c r="W115" s="6"/>
    </row>
    <row r="116" spans="1:24" ht="15.6">
      <c r="A116" s="378"/>
      <c r="B116" s="379" t="s">
        <v>241</v>
      </c>
      <c r="C116" s="379"/>
      <c r="D116" s="379"/>
      <c r="E116" s="379"/>
      <c r="F116" s="379"/>
      <c r="G116" s="379"/>
      <c r="H116" s="379"/>
      <c r="I116" s="379"/>
      <c r="J116" s="379"/>
      <c r="K116" s="379"/>
      <c r="L116" s="379"/>
      <c r="M116" s="379"/>
      <c r="N116" s="379"/>
      <c r="O116" s="379"/>
      <c r="P116" s="379"/>
      <c r="Q116" s="379"/>
      <c r="R116" s="379"/>
      <c r="S116" s="379"/>
      <c r="T116" s="379"/>
      <c r="U116" s="441">
        <v>0</v>
      </c>
      <c r="V116" s="410"/>
      <c r="W116" s="6"/>
    </row>
    <row r="117" spans="1:24" ht="15.6">
      <c r="A117" s="378"/>
      <c r="B117" s="379" t="s">
        <v>209</v>
      </c>
      <c r="C117" s="379"/>
      <c r="D117" s="379"/>
      <c r="E117" s="379"/>
      <c r="F117" s="379"/>
      <c r="G117" s="379"/>
      <c r="H117" s="379"/>
      <c r="I117" s="379"/>
      <c r="J117" s="379"/>
      <c r="K117" s="379"/>
      <c r="L117" s="379"/>
      <c r="M117" s="379"/>
      <c r="N117" s="379"/>
      <c r="O117" s="379"/>
      <c r="P117" s="379"/>
      <c r="Q117" s="379"/>
      <c r="R117" s="379"/>
      <c r="S117" s="379"/>
      <c r="T117" s="379"/>
      <c r="U117" s="441">
        <v>0</v>
      </c>
      <c r="V117" s="410"/>
      <c r="W117" s="6"/>
    </row>
    <row r="118" spans="1:24" ht="15.6">
      <c r="A118" s="378"/>
      <c r="B118" s="379" t="s">
        <v>210</v>
      </c>
      <c r="C118" s="379"/>
      <c r="D118" s="379"/>
      <c r="E118" s="379"/>
      <c r="F118" s="379"/>
      <c r="G118" s="379"/>
      <c r="H118" s="379"/>
      <c r="I118" s="379"/>
      <c r="J118" s="379"/>
      <c r="K118" s="379"/>
      <c r="L118" s="379"/>
      <c r="M118" s="379"/>
      <c r="N118" s="379"/>
      <c r="O118" s="379"/>
      <c r="P118" s="379"/>
      <c r="Q118" s="379"/>
      <c r="R118" s="379"/>
      <c r="S118" s="379"/>
      <c r="T118" s="379"/>
      <c r="U118" s="441">
        <v>0</v>
      </c>
      <c r="V118" s="410"/>
      <c r="W118" s="6"/>
    </row>
    <row r="119" spans="1:24" ht="15.6">
      <c r="A119" s="378"/>
      <c r="B119" s="379" t="s">
        <v>211</v>
      </c>
      <c r="C119" s="379"/>
      <c r="D119" s="379"/>
      <c r="E119" s="379"/>
      <c r="F119" s="379"/>
      <c r="G119" s="379"/>
      <c r="H119" s="379"/>
      <c r="I119" s="379"/>
      <c r="J119" s="379"/>
      <c r="K119" s="379"/>
      <c r="L119" s="379"/>
      <c r="M119" s="379"/>
      <c r="N119" s="379"/>
      <c r="O119" s="379"/>
      <c r="P119" s="379"/>
      <c r="Q119" s="379"/>
      <c r="R119" s="379"/>
      <c r="S119" s="379"/>
      <c r="T119" s="379"/>
      <c r="U119" s="441">
        <v>0</v>
      </c>
      <c r="V119" s="410"/>
      <c r="W119" s="6"/>
    </row>
    <row r="120" spans="1:24" ht="15.6">
      <c r="A120" s="378"/>
      <c r="B120" s="379" t="s">
        <v>212</v>
      </c>
      <c r="C120" s="379"/>
      <c r="D120" s="379"/>
      <c r="E120" s="379"/>
      <c r="F120" s="379"/>
      <c r="G120" s="379"/>
      <c r="H120" s="379"/>
      <c r="I120" s="379"/>
      <c r="J120" s="379"/>
      <c r="K120" s="379"/>
      <c r="L120" s="379"/>
      <c r="M120" s="379"/>
      <c r="N120" s="379"/>
      <c r="O120" s="379"/>
      <c r="P120" s="379"/>
      <c r="Q120" s="379"/>
      <c r="R120" s="379"/>
      <c r="S120" s="379"/>
      <c r="T120" s="379"/>
      <c r="U120" s="441">
        <v>0</v>
      </c>
      <c r="V120" s="410"/>
      <c r="W120" s="6"/>
    </row>
    <row r="121" spans="1:24" ht="15.6">
      <c r="A121" s="378"/>
      <c r="B121" s="379" t="s">
        <v>242</v>
      </c>
      <c r="C121" s="379"/>
      <c r="D121" s="379"/>
      <c r="E121" s="379"/>
      <c r="F121" s="379"/>
      <c r="G121" s="379"/>
      <c r="H121" s="379"/>
      <c r="I121" s="379"/>
      <c r="J121" s="379"/>
      <c r="K121" s="379"/>
      <c r="L121" s="379"/>
      <c r="M121" s="379"/>
      <c r="N121" s="379"/>
      <c r="O121" s="379"/>
      <c r="P121" s="379"/>
      <c r="Q121" s="379"/>
      <c r="R121" s="379"/>
      <c r="S121" s="379"/>
      <c r="T121" s="379"/>
      <c r="U121" s="441">
        <v>0</v>
      </c>
      <c r="V121" s="410"/>
      <c r="W121" s="6"/>
    </row>
    <row r="122" spans="1:24" ht="15.6">
      <c r="A122" s="378"/>
      <c r="B122" s="379" t="s">
        <v>45</v>
      </c>
      <c r="C122" s="379"/>
      <c r="D122" s="379"/>
      <c r="E122" s="379"/>
      <c r="F122" s="379"/>
      <c r="G122" s="379"/>
      <c r="H122" s="379"/>
      <c r="I122" s="379"/>
      <c r="J122" s="379"/>
      <c r="K122" s="379"/>
      <c r="L122" s="379"/>
      <c r="M122" s="379"/>
      <c r="N122" s="379"/>
      <c r="O122" s="379"/>
      <c r="P122" s="379"/>
      <c r="Q122" s="379"/>
      <c r="R122" s="379"/>
      <c r="S122" s="379"/>
      <c r="T122" s="379"/>
      <c r="U122" s="441">
        <f>SUM(U115:U121)</f>
        <v>40500</v>
      </c>
      <c r="V122" s="410"/>
      <c r="W122" s="6"/>
    </row>
    <row r="123" spans="1:24" ht="15.6">
      <c r="A123" s="242"/>
      <c r="B123" s="438"/>
      <c r="C123" s="438"/>
      <c r="D123" s="438"/>
      <c r="E123" s="438"/>
      <c r="F123" s="438"/>
      <c r="G123" s="438"/>
      <c r="H123" s="438"/>
      <c r="I123" s="438"/>
      <c r="J123" s="438"/>
      <c r="K123" s="438"/>
      <c r="L123" s="438"/>
      <c r="M123" s="438"/>
      <c r="N123" s="438"/>
      <c r="O123" s="438"/>
      <c r="P123" s="438"/>
      <c r="Q123" s="438"/>
      <c r="R123" s="438"/>
      <c r="S123" s="438"/>
      <c r="T123" s="438"/>
      <c r="U123" s="448"/>
      <c r="V123" s="245"/>
      <c r="W123" s="6"/>
    </row>
    <row r="124" spans="1:24" ht="15.6">
      <c r="A124" s="242"/>
      <c r="B124" s="274" t="s">
        <v>46</v>
      </c>
      <c r="C124" s="252"/>
      <c r="D124" s="252"/>
      <c r="E124" s="252"/>
      <c r="F124" s="252"/>
      <c r="G124" s="252"/>
      <c r="H124" s="252"/>
      <c r="I124" s="252"/>
      <c r="J124" s="252"/>
      <c r="K124" s="252"/>
      <c r="L124" s="252"/>
      <c r="M124" s="244"/>
      <c r="N124" s="244"/>
      <c r="O124" s="244"/>
      <c r="P124" s="275"/>
      <c r="Q124" s="244"/>
      <c r="R124" s="244"/>
      <c r="S124" s="244"/>
      <c r="T124" s="244"/>
      <c r="U124" s="276"/>
      <c r="V124" s="245"/>
      <c r="W124" s="6"/>
    </row>
    <row r="125" spans="1:24" ht="15.6">
      <c r="A125" s="230"/>
      <c r="B125" s="511"/>
      <c r="C125" s="232" t="s">
        <v>185</v>
      </c>
      <c r="D125" s="232"/>
      <c r="E125" s="232" t="s">
        <v>99</v>
      </c>
      <c r="F125" s="232"/>
      <c r="G125" s="232" t="s">
        <v>102</v>
      </c>
      <c r="H125" s="232"/>
      <c r="I125" s="232" t="s">
        <v>108</v>
      </c>
      <c r="J125" s="232"/>
      <c r="K125" s="232"/>
      <c r="L125" s="232"/>
      <c r="M125" s="232"/>
      <c r="N125" s="232"/>
      <c r="O125" s="232"/>
      <c r="P125" s="326"/>
      <c r="Q125" s="326"/>
      <c r="R125" s="231"/>
      <c r="S125" s="231"/>
      <c r="T125" s="231"/>
      <c r="U125" s="309"/>
      <c r="V125" s="237"/>
      <c r="W125" s="6"/>
    </row>
    <row r="126" spans="1:24" ht="15.6">
      <c r="A126" s="257"/>
      <c r="B126" s="294" t="s">
        <v>122</v>
      </c>
      <c r="C126" s="310">
        <f>+N199-'Dec 15'!N199</f>
        <v>-95</v>
      </c>
      <c r="D126" s="294"/>
      <c r="E126" s="310">
        <f>+S199-'Dec 15'!S199</f>
        <v>-41</v>
      </c>
      <c r="F126" s="294"/>
      <c r="G126" s="310">
        <f>+'March 16'!N212-'Dec 15'!N212</f>
        <v>-422</v>
      </c>
      <c r="H126" s="294"/>
      <c r="I126" s="310">
        <f>+S212-'Dec 15'!S212</f>
        <v>0</v>
      </c>
      <c r="J126" s="294"/>
      <c r="K126" s="294"/>
      <c r="L126" s="294"/>
      <c r="M126" s="294"/>
      <c r="N126" s="294"/>
      <c r="O126" s="294"/>
      <c r="P126" s="325"/>
      <c r="Q126" s="325"/>
      <c r="R126" s="294"/>
      <c r="S126" s="294"/>
      <c r="T126" s="294"/>
      <c r="U126" s="311">
        <f>SUM(C126:I126)</f>
        <v>-558</v>
      </c>
      <c r="V126" s="298"/>
      <c r="W126" s="6"/>
      <c r="X126" s="182"/>
    </row>
    <row r="127" spans="1:24" ht="15.6">
      <c r="A127" s="378"/>
      <c r="B127" s="379" t="s">
        <v>47</v>
      </c>
      <c r="C127" s="379">
        <v>47</v>
      </c>
      <c r="D127" s="379"/>
      <c r="E127" s="379">
        <v>0</v>
      </c>
      <c r="F127" s="379"/>
      <c r="G127" s="379">
        <v>387</v>
      </c>
      <c r="H127" s="379"/>
      <c r="I127" s="440">
        <v>0</v>
      </c>
      <c r="J127" s="379"/>
      <c r="K127" s="379"/>
      <c r="L127" s="379"/>
      <c r="M127" s="379"/>
      <c r="N127" s="379"/>
      <c r="O127" s="379"/>
      <c r="P127" s="450"/>
      <c r="Q127" s="450"/>
      <c r="R127" s="379"/>
      <c r="S127" s="379"/>
      <c r="T127" s="379"/>
      <c r="U127" s="441">
        <f>SUM(C127:I127)</f>
        <v>434</v>
      </c>
      <c r="V127" s="410"/>
      <c r="W127" s="6"/>
    </row>
    <row r="128" spans="1:24" ht="15.6">
      <c r="A128" s="242"/>
      <c r="B128" s="364" t="s">
        <v>48</v>
      </c>
      <c r="C128" s="364"/>
      <c r="D128" s="364"/>
      <c r="E128" s="364"/>
      <c r="F128" s="364"/>
      <c r="G128" s="364"/>
      <c r="H128" s="364"/>
      <c r="I128" s="364"/>
      <c r="J128" s="364"/>
      <c r="K128" s="364"/>
      <c r="L128" s="364"/>
      <c r="M128" s="364"/>
      <c r="N128" s="364"/>
      <c r="O128" s="364"/>
      <c r="P128" s="364"/>
      <c r="Q128" s="364"/>
      <c r="R128" s="364"/>
      <c r="S128" s="364"/>
      <c r="T128" s="364"/>
      <c r="U128" s="449">
        <f>SUM(U126:U127)</f>
        <v>-124</v>
      </c>
      <c r="V128" s="303"/>
      <c r="W128" s="6"/>
      <c r="X128" s="182"/>
    </row>
    <row r="129" spans="1:25" ht="15.6">
      <c r="A129" s="242"/>
      <c r="B129" s="274" t="s">
        <v>49</v>
      </c>
      <c r="C129" s="252"/>
      <c r="D129" s="252"/>
      <c r="E129" s="252"/>
      <c r="F129" s="252"/>
      <c r="G129" s="252"/>
      <c r="H129" s="252"/>
      <c r="I129" s="252"/>
      <c r="J129" s="252"/>
      <c r="K129" s="252"/>
      <c r="L129" s="252"/>
      <c r="M129" s="244"/>
      <c r="N129" s="244"/>
      <c r="O129" s="244"/>
      <c r="P129" s="244"/>
      <c r="Q129" s="244"/>
      <c r="R129" s="244"/>
      <c r="S129" s="244"/>
      <c r="T129" s="244"/>
      <c r="U129" s="263"/>
      <c r="V129" s="245"/>
      <c r="W129" s="6"/>
    </row>
    <row r="130" spans="1:25" ht="15.6">
      <c r="A130" s="444"/>
      <c r="B130" s="379" t="s">
        <v>50</v>
      </c>
      <c r="C130" s="386"/>
      <c r="D130" s="386"/>
      <c r="E130" s="386"/>
      <c r="F130" s="386"/>
      <c r="G130" s="386"/>
      <c r="H130" s="386"/>
      <c r="I130" s="386"/>
      <c r="J130" s="386"/>
      <c r="K130" s="386"/>
      <c r="L130" s="386"/>
      <c r="M130" s="379"/>
      <c r="N130" s="379"/>
      <c r="O130" s="379"/>
      <c r="P130" s="379"/>
      <c r="Q130" s="379"/>
      <c r="R130" s="379"/>
      <c r="S130" s="379"/>
      <c r="T130" s="379"/>
      <c r="U130" s="441">
        <f>U75+U77</f>
        <v>82196</v>
      </c>
      <c r="V130" s="410"/>
      <c r="W130" s="6"/>
      <c r="X130" s="182"/>
    </row>
    <row r="131" spans="1:25" ht="15.6">
      <c r="A131" s="444"/>
      <c r="B131" s="379" t="s">
        <v>51</v>
      </c>
      <c r="C131" s="386"/>
      <c r="D131" s="386"/>
      <c r="E131" s="386"/>
      <c r="F131" s="386"/>
      <c r="G131" s="386"/>
      <c r="H131" s="386"/>
      <c r="I131" s="386"/>
      <c r="J131" s="386"/>
      <c r="K131" s="386"/>
      <c r="L131" s="386"/>
      <c r="M131" s="379"/>
      <c r="N131" s="379"/>
      <c r="O131" s="379"/>
      <c r="P131" s="379"/>
      <c r="Q131" s="379"/>
      <c r="R131" s="379"/>
      <c r="S131" s="379"/>
      <c r="T131" s="379"/>
      <c r="U131" s="441">
        <v>0</v>
      </c>
      <c r="V131" s="410"/>
      <c r="W131" s="6"/>
      <c r="Y131" s="182"/>
    </row>
    <row r="132" spans="1:25" ht="15.6">
      <c r="A132" s="444"/>
      <c r="B132" s="379" t="s">
        <v>52</v>
      </c>
      <c r="C132" s="386"/>
      <c r="D132" s="386"/>
      <c r="E132" s="386"/>
      <c r="F132" s="386"/>
      <c r="G132" s="386"/>
      <c r="H132" s="386"/>
      <c r="I132" s="386"/>
      <c r="J132" s="386"/>
      <c r="K132" s="386"/>
      <c r="L132" s="386"/>
      <c r="M132" s="379"/>
      <c r="N132" s="379"/>
      <c r="O132" s="379"/>
      <c r="P132" s="379"/>
      <c r="Q132" s="379"/>
      <c r="R132" s="379"/>
      <c r="S132" s="379"/>
      <c r="T132" s="379"/>
      <c r="U132" s="441">
        <f>+U130+U131</f>
        <v>82196</v>
      </c>
      <c r="V132" s="410"/>
      <c r="W132" s="6"/>
    </row>
    <row r="133" spans="1:25" ht="15.6">
      <c r="A133" s="444"/>
      <c r="B133" s="379" t="s">
        <v>53</v>
      </c>
      <c r="C133" s="386"/>
      <c r="D133" s="386"/>
      <c r="E133" s="386"/>
      <c r="F133" s="386"/>
      <c r="G133" s="386"/>
      <c r="H133" s="386"/>
      <c r="I133" s="386"/>
      <c r="J133" s="386"/>
      <c r="K133" s="386"/>
      <c r="L133" s="386"/>
      <c r="M133" s="379"/>
      <c r="N133" s="379"/>
      <c r="O133" s="379"/>
      <c r="P133" s="379"/>
      <c r="Q133" s="379"/>
      <c r="R133" s="379"/>
      <c r="S133" s="379"/>
      <c r="T133" s="379"/>
      <c r="U133" s="441">
        <f>U80</f>
        <v>82196</v>
      </c>
      <c r="V133" s="410"/>
      <c r="W133" s="6"/>
      <c r="X133" s="64"/>
    </row>
    <row r="134" spans="1:25" ht="15.6">
      <c r="A134" s="242"/>
      <c r="B134" s="438"/>
      <c r="C134" s="438"/>
      <c r="D134" s="438"/>
      <c r="E134" s="438"/>
      <c r="F134" s="438"/>
      <c r="G134" s="438"/>
      <c r="H134" s="438"/>
      <c r="I134" s="438"/>
      <c r="J134" s="438"/>
      <c r="K134" s="438"/>
      <c r="L134" s="438"/>
      <c r="M134" s="438"/>
      <c r="N134" s="438"/>
      <c r="O134" s="438"/>
      <c r="P134" s="438"/>
      <c r="Q134" s="438"/>
      <c r="R134" s="438"/>
      <c r="S134" s="438"/>
      <c r="T134" s="438"/>
      <c r="U134" s="451"/>
      <c r="V134" s="245"/>
      <c r="W134" s="6"/>
    </row>
    <row r="135" spans="1:25" ht="15.6">
      <c r="A135" s="242"/>
      <c r="B135" s="274" t="s">
        <v>54</v>
      </c>
      <c r="C135" s="247"/>
      <c r="D135" s="247"/>
      <c r="E135" s="247"/>
      <c r="F135" s="247"/>
      <c r="G135" s="247"/>
      <c r="H135" s="247"/>
      <c r="I135" s="247"/>
      <c r="J135" s="247"/>
      <c r="K135" s="247"/>
      <c r="L135" s="247"/>
      <c r="M135" s="247"/>
      <c r="N135" s="247"/>
      <c r="O135" s="247"/>
      <c r="P135" s="247"/>
      <c r="Q135" s="277" t="s">
        <v>112</v>
      </c>
      <c r="R135" s="278"/>
      <c r="S135" s="277" t="s">
        <v>114</v>
      </c>
      <c r="T135" s="247"/>
      <c r="U135" s="279" t="s">
        <v>90</v>
      </c>
      <c r="V135" s="245"/>
      <c r="W135" s="6"/>
    </row>
    <row r="136" spans="1:25" ht="15.6">
      <c r="A136" s="378"/>
      <c r="B136" s="379" t="s">
        <v>55</v>
      </c>
      <c r="C136" s="379"/>
      <c r="D136" s="379"/>
      <c r="E136" s="379"/>
      <c r="F136" s="379"/>
      <c r="G136" s="379"/>
      <c r="H136" s="379"/>
      <c r="I136" s="379"/>
      <c r="J136" s="379"/>
      <c r="K136" s="379"/>
      <c r="L136" s="379"/>
      <c r="M136" s="379"/>
      <c r="N136" s="379"/>
      <c r="O136" s="379"/>
      <c r="P136" s="379"/>
      <c r="Q136" s="441">
        <v>0</v>
      </c>
      <c r="R136" s="379"/>
      <c r="S136" s="453" t="s">
        <v>115</v>
      </c>
      <c r="T136" s="379"/>
      <c r="U136" s="441">
        <f>Q136</f>
        <v>0</v>
      </c>
      <c r="V136" s="385"/>
      <c r="W136" s="6"/>
    </row>
    <row r="137" spans="1:25" ht="15.6">
      <c r="A137" s="378"/>
      <c r="B137" s="379" t="s">
        <v>56</v>
      </c>
      <c r="C137" s="379"/>
      <c r="D137" s="379"/>
      <c r="E137" s="379"/>
      <c r="F137" s="379"/>
      <c r="G137" s="379"/>
      <c r="H137" s="379"/>
      <c r="I137" s="379"/>
      <c r="J137" s="379"/>
      <c r="K137" s="379"/>
      <c r="L137" s="379"/>
      <c r="M137" s="379"/>
      <c r="N137" s="379"/>
      <c r="O137" s="379"/>
      <c r="P137" s="379"/>
      <c r="Q137" s="441">
        <f>+'Dec 15'!Q139</f>
        <v>4229</v>
      </c>
      <c r="R137" s="379"/>
      <c r="S137" s="453" t="s">
        <v>115</v>
      </c>
      <c r="T137" s="379"/>
      <c r="U137" s="441">
        <f>Q137</f>
        <v>4229</v>
      </c>
      <c r="V137" s="385"/>
      <c r="W137" s="6"/>
    </row>
    <row r="138" spans="1:25" ht="15.6">
      <c r="A138" s="378"/>
      <c r="B138" s="379" t="s">
        <v>57</v>
      </c>
      <c r="C138" s="379"/>
      <c r="D138" s="379"/>
      <c r="E138" s="379"/>
      <c r="F138" s="379"/>
      <c r="G138" s="379"/>
      <c r="H138" s="379"/>
      <c r="I138" s="379"/>
      <c r="J138" s="379"/>
      <c r="K138" s="379"/>
      <c r="L138" s="379"/>
      <c r="M138" s="379"/>
      <c r="N138" s="379"/>
      <c r="O138" s="379"/>
      <c r="P138" s="379"/>
      <c r="Q138" s="441">
        <v>0</v>
      </c>
      <c r="R138" s="379"/>
      <c r="S138" s="453" t="s">
        <v>115</v>
      </c>
      <c r="T138" s="379"/>
      <c r="U138" s="441">
        <f>Q138</f>
        <v>0</v>
      </c>
      <c r="V138" s="385"/>
      <c r="W138" s="6"/>
    </row>
    <row r="139" spans="1:25" ht="15.6">
      <c r="A139" s="378"/>
      <c r="B139" s="379" t="s">
        <v>58</v>
      </c>
      <c r="C139" s="379"/>
      <c r="D139" s="379"/>
      <c r="E139" s="379"/>
      <c r="F139" s="379"/>
      <c r="G139" s="379"/>
      <c r="H139" s="379"/>
      <c r="I139" s="379"/>
      <c r="J139" s="379"/>
      <c r="K139" s="379"/>
      <c r="L139" s="379"/>
      <c r="M139" s="379"/>
      <c r="N139" s="379"/>
      <c r="O139" s="379"/>
      <c r="P139" s="379"/>
      <c r="Q139" s="441">
        <f>SUM(Q137:Q138)</f>
        <v>4229</v>
      </c>
      <c r="R139" s="379"/>
      <c r="S139" s="453" t="s">
        <v>115</v>
      </c>
      <c r="T139" s="379"/>
      <c r="U139" s="441">
        <f>Q139</f>
        <v>4229</v>
      </c>
      <c r="V139" s="385"/>
      <c r="W139" s="6"/>
    </row>
    <row r="140" spans="1:25" ht="15.6">
      <c r="A140" s="378"/>
      <c r="B140" s="379" t="s">
        <v>215</v>
      </c>
      <c r="C140" s="379"/>
      <c r="D140" s="379"/>
      <c r="E140" s="379"/>
      <c r="F140" s="379"/>
      <c r="G140" s="379"/>
      <c r="H140" s="379"/>
      <c r="I140" s="379"/>
      <c r="J140" s="379"/>
      <c r="K140" s="379"/>
      <c r="L140" s="379"/>
      <c r="M140" s="379"/>
      <c r="N140" s="379"/>
      <c r="O140" s="379"/>
      <c r="P140" s="379"/>
      <c r="Q140" s="441"/>
      <c r="R140" s="379"/>
      <c r="S140" s="453"/>
      <c r="T140" s="379"/>
      <c r="U140" s="441"/>
      <c r="V140" s="385"/>
      <c r="W140" s="6"/>
    </row>
    <row r="141" spans="1:25" ht="15.6">
      <c r="A141" s="378"/>
      <c r="B141" s="454"/>
      <c r="C141" s="454"/>
      <c r="D141" s="454"/>
      <c r="E141" s="454"/>
      <c r="F141" s="454"/>
      <c r="G141" s="454"/>
      <c r="H141" s="454"/>
      <c r="I141" s="454"/>
      <c r="J141" s="454"/>
      <c r="K141" s="454"/>
      <c r="L141" s="454"/>
      <c r="M141" s="454"/>
      <c r="N141" s="454"/>
      <c r="O141" s="454"/>
      <c r="P141" s="454"/>
      <c r="Q141" s="454"/>
      <c r="R141" s="454"/>
      <c r="S141" s="454"/>
      <c r="T141" s="454"/>
      <c r="U141" s="454"/>
      <c r="V141" s="385"/>
      <c r="W141" s="6"/>
    </row>
    <row r="142" spans="1:25" ht="15.6">
      <c r="A142" s="242"/>
      <c r="B142" s="452"/>
      <c r="C142" s="452"/>
      <c r="D142" s="452"/>
      <c r="E142" s="452"/>
      <c r="F142" s="452"/>
      <c r="G142" s="452"/>
      <c r="H142" s="452"/>
      <c r="I142" s="452"/>
      <c r="J142" s="452"/>
      <c r="K142" s="452"/>
      <c r="L142" s="452"/>
      <c r="M142" s="452"/>
      <c r="N142" s="452"/>
      <c r="O142" s="452"/>
      <c r="P142" s="452"/>
      <c r="Q142" s="452"/>
      <c r="R142" s="452"/>
      <c r="S142" s="452"/>
      <c r="T142" s="452"/>
      <c r="U142" s="452"/>
      <c r="V142" s="284"/>
      <c r="W142" s="6"/>
    </row>
    <row r="143" spans="1:25" ht="15.6">
      <c r="A143" s="230"/>
      <c r="B143" s="511" t="s">
        <v>59</v>
      </c>
      <c r="C143" s="518"/>
      <c r="D143" s="518"/>
      <c r="E143" s="518"/>
      <c r="F143" s="518"/>
      <c r="G143" s="518"/>
      <c r="H143" s="518"/>
      <c r="I143" s="518"/>
      <c r="J143" s="518"/>
      <c r="K143" s="518"/>
      <c r="L143" s="518"/>
      <c r="M143" s="518"/>
      <c r="N143" s="518"/>
      <c r="O143" s="518"/>
      <c r="P143" s="519"/>
      <c r="Q143" s="519"/>
      <c r="R143" s="519"/>
      <c r="S143" s="519">
        <v>42460</v>
      </c>
      <c r="T143" s="231"/>
      <c r="U143" s="231"/>
      <c r="V143" s="237"/>
      <c r="W143" s="6"/>
    </row>
    <row r="144" spans="1:25" ht="15.6">
      <c r="A144" s="281"/>
      <c r="B144" s="294" t="s">
        <v>60</v>
      </c>
      <c r="C144" s="329"/>
      <c r="D144" s="329"/>
      <c r="E144" s="329"/>
      <c r="F144" s="329"/>
      <c r="G144" s="329"/>
      <c r="H144" s="329"/>
      <c r="I144" s="329"/>
      <c r="J144" s="329"/>
      <c r="K144" s="329"/>
      <c r="L144" s="329"/>
      <c r="M144" s="329"/>
      <c r="N144" s="329"/>
      <c r="O144" s="329"/>
      <c r="P144" s="300"/>
      <c r="Q144" s="300"/>
      <c r="R144" s="300"/>
      <c r="S144" s="299">
        <v>0.10630000000000001</v>
      </c>
      <c r="T144" s="294"/>
      <c r="U144" s="294"/>
      <c r="V144" s="260"/>
      <c r="W144" s="6"/>
    </row>
    <row r="145" spans="1:23" ht="15.6">
      <c r="A145" s="458"/>
      <c r="B145" s="379" t="s">
        <v>61</v>
      </c>
      <c r="C145" s="459"/>
      <c r="D145" s="459"/>
      <c r="E145" s="459"/>
      <c r="F145" s="459"/>
      <c r="G145" s="459"/>
      <c r="H145" s="459"/>
      <c r="I145" s="459"/>
      <c r="J145" s="459"/>
      <c r="K145" s="459"/>
      <c r="L145" s="459"/>
      <c r="M145" s="459"/>
      <c r="N145" s="459"/>
      <c r="O145" s="459"/>
      <c r="P145" s="433"/>
      <c r="Q145" s="433"/>
      <c r="R145" s="433"/>
      <c r="S145" s="427">
        <v>5.2200000000000003E-2</v>
      </c>
      <c r="T145" s="427"/>
      <c r="U145" s="379"/>
      <c r="V145" s="385"/>
      <c r="W145" s="6"/>
    </row>
    <row r="146" spans="1:23" ht="15.6">
      <c r="A146" s="458"/>
      <c r="B146" s="379" t="s">
        <v>62</v>
      </c>
      <c r="C146" s="459"/>
      <c r="D146" s="459"/>
      <c r="E146" s="459"/>
      <c r="F146" s="459"/>
      <c r="G146" s="459"/>
      <c r="H146" s="459"/>
      <c r="I146" s="459"/>
      <c r="J146" s="459"/>
      <c r="K146" s="459"/>
      <c r="L146" s="459"/>
      <c r="M146" s="459"/>
      <c r="N146" s="459"/>
      <c r="O146" s="459"/>
      <c r="P146" s="433"/>
      <c r="Q146" s="433"/>
      <c r="R146" s="433"/>
      <c r="S146" s="427">
        <f>S144-S145</f>
        <v>5.4100000000000002E-2</v>
      </c>
      <c r="T146" s="379"/>
      <c r="U146" s="379"/>
      <c r="V146" s="385"/>
      <c r="W146" s="6"/>
    </row>
    <row r="147" spans="1:23" ht="15.6">
      <c r="A147" s="458"/>
      <c r="B147" s="379" t="s">
        <v>63</v>
      </c>
      <c r="C147" s="459"/>
      <c r="D147" s="459"/>
      <c r="E147" s="459"/>
      <c r="F147" s="459"/>
      <c r="G147" s="459"/>
      <c r="H147" s="459"/>
      <c r="I147" s="459"/>
      <c r="J147" s="459"/>
      <c r="K147" s="459"/>
      <c r="L147" s="459"/>
      <c r="M147" s="459"/>
      <c r="N147" s="459"/>
      <c r="O147" s="459"/>
      <c r="P147" s="433"/>
      <c r="Q147" s="433"/>
      <c r="R147" s="433"/>
      <c r="S147" s="554">
        <v>9.0440000000000006E-2</v>
      </c>
      <c r="T147" s="379"/>
      <c r="U147" s="379"/>
      <c r="V147" s="385"/>
      <c r="W147" s="6"/>
    </row>
    <row r="148" spans="1:23" ht="15.6">
      <c r="A148" s="458"/>
      <c r="B148" s="379" t="s">
        <v>64</v>
      </c>
      <c r="C148" s="459"/>
      <c r="D148" s="459"/>
      <c r="E148" s="459"/>
      <c r="F148" s="459"/>
      <c r="G148" s="459"/>
      <c r="H148" s="459"/>
      <c r="I148" s="459"/>
      <c r="J148" s="459"/>
      <c r="K148" s="459"/>
      <c r="L148" s="459"/>
      <c r="M148" s="459"/>
      <c r="N148" s="459"/>
      <c r="O148" s="459"/>
      <c r="P148" s="433"/>
      <c r="Q148" s="433"/>
      <c r="R148" s="433"/>
      <c r="S148" s="427">
        <f>+U40</f>
        <v>1.5342876885339826E-2</v>
      </c>
      <c r="T148" s="379"/>
      <c r="U148" s="379"/>
      <c r="V148" s="385"/>
      <c r="W148" s="6"/>
    </row>
    <row r="149" spans="1:23" ht="15.6">
      <c r="A149" s="458"/>
      <c r="B149" s="379" t="s">
        <v>65</v>
      </c>
      <c r="C149" s="459"/>
      <c r="D149" s="459"/>
      <c r="E149" s="459"/>
      <c r="F149" s="459"/>
      <c r="G149" s="459"/>
      <c r="H149" s="459"/>
      <c r="I149" s="459"/>
      <c r="J149" s="459"/>
      <c r="K149" s="459"/>
      <c r="L149" s="459"/>
      <c r="M149" s="459"/>
      <c r="N149" s="459"/>
      <c r="O149" s="459"/>
      <c r="P149" s="433"/>
      <c r="Q149" s="433"/>
      <c r="R149" s="433"/>
      <c r="S149" s="427">
        <f>S147-S148</f>
        <v>7.5097123114660186E-2</v>
      </c>
      <c r="T149" s="379"/>
      <c r="U149" s="379"/>
      <c r="V149" s="385"/>
      <c r="W149" s="6"/>
    </row>
    <row r="150" spans="1:23" ht="15.6">
      <c r="A150" s="458"/>
      <c r="B150" s="379" t="s">
        <v>204</v>
      </c>
      <c r="C150" s="459"/>
      <c r="D150" s="459"/>
      <c r="E150" s="459"/>
      <c r="F150" s="459"/>
      <c r="G150" s="459"/>
      <c r="H150" s="459"/>
      <c r="I150" s="459"/>
      <c r="J150" s="459"/>
      <c r="K150" s="459"/>
      <c r="L150" s="459"/>
      <c r="M150" s="459"/>
      <c r="N150" s="459"/>
      <c r="O150" s="459"/>
      <c r="P150" s="433"/>
      <c r="Q150" s="433"/>
      <c r="R150" s="433"/>
      <c r="S150" s="429">
        <v>49780</v>
      </c>
      <c r="T150" s="379"/>
      <c r="U150" s="379"/>
      <c r="V150" s="385"/>
      <c r="W150" s="6"/>
    </row>
    <row r="151" spans="1:23" ht="15.6">
      <c r="A151" s="458"/>
      <c r="B151" s="379" t="s">
        <v>205</v>
      </c>
      <c r="C151" s="459"/>
      <c r="D151" s="459"/>
      <c r="E151" s="459"/>
      <c r="F151" s="459"/>
      <c r="G151" s="459"/>
      <c r="H151" s="459"/>
      <c r="I151" s="459"/>
      <c r="J151" s="459"/>
      <c r="K151" s="459"/>
      <c r="L151" s="459"/>
      <c r="M151" s="459"/>
      <c r="N151" s="459"/>
      <c r="O151" s="459"/>
      <c r="P151" s="433"/>
      <c r="Q151" s="433"/>
      <c r="R151" s="433"/>
      <c r="S151" s="429">
        <v>49780</v>
      </c>
      <c r="T151" s="379"/>
      <c r="U151" s="379"/>
      <c r="V151" s="385"/>
      <c r="W151" s="6"/>
    </row>
    <row r="152" spans="1:23" ht="15.6">
      <c r="A152" s="458"/>
      <c r="B152" s="379" t="s">
        <v>206</v>
      </c>
      <c r="C152" s="459"/>
      <c r="D152" s="459"/>
      <c r="E152" s="459"/>
      <c r="F152" s="459"/>
      <c r="G152" s="459"/>
      <c r="H152" s="459"/>
      <c r="I152" s="459"/>
      <c r="J152" s="459"/>
      <c r="K152" s="459"/>
      <c r="L152" s="459"/>
      <c r="M152" s="459"/>
      <c r="N152" s="459"/>
      <c r="O152" s="459"/>
      <c r="P152" s="433"/>
      <c r="Q152" s="433"/>
      <c r="R152" s="433"/>
      <c r="S152" s="429">
        <v>49780</v>
      </c>
      <c r="T152" s="379"/>
      <c r="U152" s="379"/>
      <c r="V152" s="385"/>
      <c r="W152" s="6"/>
    </row>
    <row r="153" spans="1:23" ht="15.6">
      <c r="A153" s="458"/>
      <c r="B153" s="379" t="s">
        <v>207</v>
      </c>
      <c r="C153" s="459"/>
      <c r="D153" s="459"/>
      <c r="E153" s="459"/>
      <c r="F153" s="459"/>
      <c r="G153" s="459"/>
      <c r="H153" s="459"/>
      <c r="I153" s="459"/>
      <c r="J153" s="459"/>
      <c r="K153" s="459"/>
      <c r="L153" s="459"/>
      <c r="M153" s="459"/>
      <c r="N153" s="459"/>
      <c r="O153" s="459"/>
      <c r="P153" s="433"/>
      <c r="Q153" s="433"/>
      <c r="R153" s="433"/>
      <c r="S153" s="429">
        <v>49780</v>
      </c>
      <c r="T153" s="379"/>
      <c r="U153" s="379"/>
      <c r="V153" s="385"/>
      <c r="W153" s="6"/>
    </row>
    <row r="154" spans="1:23" ht="15.6">
      <c r="A154" s="458"/>
      <c r="B154" s="379" t="s">
        <v>221</v>
      </c>
      <c r="C154" s="459"/>
      <c r="D154" s="459"/>
      <c r="E154" s="459"/>
      <c r="F154" s="459"/>
      <c r="G154" s="459"/>
      <c r="H154" s="459"/>
      <c r="I154" s="459"/>
      <c r="J154" s="459"/>
      <c r="K154" s="459"/>
      <c r="L154" s="459"/>
      <c r="M154" s="459"/>
      <c r="N154" s="459"/>
      <c r="O154" s="459"/>
      <c r="P154" s="433"/>
      <c r="Q154" s="433"/>
      <c r="R154" s="433"/>
      <c r="S154" s="432">
        <v>111.34</v>
      </c>
      <c r="T154" s="379"/>
      <c r="U154" s="379"/>
      <c r="V154" s="385"/>
      <c r="W154" s="6"/>
    </row>
    <row r="155" spans="1:23" ht="15.6">
      <c r="A155" s="458"/>
      <c r="B155" s="379" t="s">
        <v>222</v>
      </c>
      <c r="C155" s="459"/>
      <c r="D155" s="459"/>
      <c r="E155" s="459"/>
      <c r="F155" s="459"/>
      <c r="G155" s="459"/>
      <c r="H155" s="459"/>
      <c r="I155" s="459"/>
      <c r="J155" s="459"/>
      <c r="K155" s="459"/>
      <c r="L155" s="459"/>
      <c r="M155" s="459"/>
      <c r="N155" s="459"/>
      <c r="O155" s="459"/>
      <c r="P155" s="433"/>
      <c r="Q155" s="433"/>
      <c r="R155" s="433"/>
      <c r="S155" s="555">
        <v>134.58000000000001</v>
      </c>
      <c r="T155" s="379"/>
      <c r="U155" s="379"/>
      <c r="V155" s="385"/>
      <c r="W155" s="6"/>
    </row>
    <row r="156" spans="1:23" ht="15.6">
      <c r="A156" s="458" t="s">
        <v>223</v>
      </c>
      <c r="B156" s="379" t="s">
        <v>66</v>
      </c>
      <c r="C156" s="459"/>
      <c r="D156" s="459"/>
      <c r="E156" s="459"/>
      <c r="F156" s="459"/>
      <c r="G156" s="459"/>
      <c r="H156" s="459"/>
      <c r="I156" s="459"/>
      <c r="J156" s="459"/>
      <c r="K156" s="459"/>
      <c r="L156" s="459"/>
      <c r="M156" s="459"/>
      <c r="N156" s="459"/>
      <c r="O156" s="459"/>
      <c r="P156" s="433"/>
      <c r="Q156" s="433"/>
      <c r="R156" s="433"/>
      <c r="S156" s="427">
        <v>4.2200000000000001E-2</v>
      </c>
      <c r="T156" s="379"/>
      <c r="U156" s="379"/>
      <c r="V156" s="385"/>
      <c r="W156" s="6"/>
    </row>
    <row r="157" spans="1:23" ht="15.6">
      <c r="A157" s="458"/>
      <c r="B157" s="379" t="s">
        <v>67</v>
      </c>
      <c r="C157" s="459"/>
      <c r="D157" s="459"/>
      <c r="E157" s="459"/>
      <c r="F157" s="459"/>
      <c r="G157" s="459"/>
      <c r="H157" s="459"/>
      <c r="I157" s="459"/>
      <c r="J157" s="459"/>
      <c r="K157" s="459"/>
      <c r="L157" s="459"/>
      <c r="M157" s="459"/>
      <c r="N157" s="459"/>
      <c r="O157" s="459"/>
      <c r="P157" s="433"/>
      <c r="Q157" s="433"/>
      <c r="R157" s="433"/>
      <c r="S157" s="427">
        <v>0.2535</v>
      </c>
      <c r="T157" s="379"/>
      <c r="U157" s="379"/>
      <c r="V157" s="385"/>
      <c r="W157" s="6"/>
    </row>
    <row r="158" spans="1:23" ht="15.6">
      <c r="A158" s="280"/>
      <c r="B158" s="364"/>
      <c r="C158" s="364"/>
      <c r="D158" s="364"/>
      <c r="E158" s="364"/>
      <c r="F158" s="364"/>
      <c r="G158" s="364"/>
      <c r="H158" s="364"/>
      <c r="I158" s="364"/>
      <c r="J158" s="364"/>
      <c r="K158" s="364"/>
      <c r="L158" s="364"/>
      <c r="M158" s="364"/>
      <c r="N158" s="364"/>
      <c r="O158" s="364"/>
      <c r="P158" s="364"/>
      <c r="Q158" s="364"/>
      <c r="R158" s="455"/>
      <c r="S158" s="456"/>
      <c r="T158" s="364"/>
      <c r="U158" s="457"/>
      <c r="V158" s="245"/>
      <c r="W158" s="6"/>
    </row>
    <row r="159" spans="1:23" ht="15.6">
      <c r="A159" s="280"/>
      <c r="B159" s="288"/>
      <c r="C159" s="288"/>
      <c r="D159" s="288"/>
      <c r="E159" s="288"/>
      <c r="F159" s="288"/>
      <c r="G159" s="288"/>
      <c r="H159" s="288"/>
      <c r="I159" s="288"/>
      <c r="J159" s="288"/>
      <c r="K159" s="288"/>
      <c r="L159" s="288"/>
      <c r="M159" s="288"/>
      <c r="N159" s="288"/>
      <c r="O159" s="288"/>
      <c r="P159" s="288"/>
      <c r="Q159" s="288"/>
      <c r="R159" s="331"/>
      <c r="S159" s="332"/>
      <c r="T159" s="288"/>
      <c r="U159" s="333"/>
      <c r="V159" s="245"/>
      <c r="W159" s="6"/>
    </row>
    <row r="160" spans="1:23" ht="16.2" thickBot="1">
      <c r="A160" s="282"/>
      <c r="B160" s="304" t="str">
        <f>+B109</f>
        <v>PPAF3 INVESTOR REPORT QUARTER ENDING MARCH 2016</v>
      </c>
      <c r="C160" s="305"/>
      <c r="D160" s="305"/>
      <c r="E160" s="305"/>
      <c r="F160" s="305"/>
      <c r="G160" s="305"/>
      <c r="H160" s="305"/>
      <c r="I160" s="305"/>
      <c r="J160" s="305"/>
      <c r="K160" s="305"/>
      <c r="L160" s="305"/>
      <c r="M160" s="305"/>
      <c r="N160" s="305"/>
      <c r="O160" s="305"/>
      <c r="P160" s="305"/>
      <c r="Q160" s="305"/>
      <c r="R160" s="334"/>
      <c r="S160" s="335"/>
      <c r="T160" s="305"/>
      <c r="U160" s="336"/>
      <c r="V160" s="262"/>
      <c r="W160" s="6"/>
    </row>
    <row r="161" spans="1:23" ht="15.6">
      <c r="A161" s="337"/>
      <c r="B161" s="520" t="s">
        <v>68</v>
      </c>
      <c r="C161" s="521"/>
      <c r="D161" s="521"/>
      <c r="E161" s="521"/>
      <c r="F161" s="521"/>
      <c r="G161" s="521"/>
      <c r="H161" s="521"/>
      <c r="I161" s="521"/>
      <c r="J161" s="521"/>
      <c r="K161" s="521"/>
      <c r="L161" s="521"/>
      <c r="M161" s="522"/>
      <c r="N161" s="521"/>
      <c r="O161" s="522"/>
      <c r="P161" s="521"/>
      <c r="Q161" s="522"/>
      <c r="R161" s="521" t="s">
        <v>94</v>
      </c>
      <c r="S161" s="522" t="s">
        <v>116</v>
      </c>
      <c r="T161" s="340"/>
      <c r="U161" s="340"/>
      <c r="V161" s="341"/>
      <c r="W161" s="6"/>
    </row>
    <row r="162" spans="1:23" ht="15.6">
      <c r="A162" s="283"/>
      <c r="B162" s="294" t="s">
        <v>216</v>
      </c>
      <c r="C162" s="310"/>
      <c r="D162" s="310"/>
      <c r="E162" s="310"/>
      <c r="F162" s="310"/>
      <c r="G162" s="310"/>
      <c r="H162" s="310"/>
      <c r="I162" s="310"/>
      <c r="J162" s="310"/>
      <c r="K162" s="310"/>
      <c r="L162" s="310"/>
      <c r="M162" s="310"/>
      <c r="N162" s="310"/>
      <c r="O162" s="294"/>
      <c r="P162" s="294"/>
      <c r="Q162" s="294"/>
      <c r="R162" s="310">
        <v>442</v>
      </c>
      <c r="S162" s="311">
        <v>9742</v>
      </c>
      <c r="T162" s="311"/>
      <c r="U162" s="330"/>
      <c r="V162" s="342"/>
      <c r="W162" s="6"/>
    </row>
    <row r="163" spans="1:23" ht="15.6">
      <c r="A163" s="465"/>
      <c r="B163" s="379" t="s">
        <v>217</v>
      </c>
      <c r="C163" s="440"/>
      <c r="D163" s="440"/>
      <c r="E163" s="440"/>
      <c r="F163" s="440"/>
      <c r="G163" s="440"/>
      <c r="H163" s="440"/>
      <c r="I163" s="440"/>
      <c r="J163" s="440"/>
      <c r="K163" s="440"/>
      <c r="L163" s="440"/>
      <c r="M163" s="440"/>
      <c r="N163" s="440"/>
      <c r="O163" s="379"/>
      <c r="P163" s="379"/>
      <c r="Q163" s="379"/>
      <c r="R163" s="545">
        <v>4</v>
      </c>
      <c r="S163" s="546">
        <v>10</v>
      </c>
      <c r="T163" s="441"/>
      <c r="U163" s="466"/>
      <c r="V163" s="467"/>
      <c r="W163" s="6"/>
    </row>
    <row r="164" spans="1:23" ht="15.6">
      <c r="A164" s="465"/>
      <c r="B164" s="379" t="s">
        <v>218</v>
      </c>
      <c r="C164" s="440"/>
      <c r="D164" s="440"/>
      <c r="E164" s="440"/>
      <c r="F164" s="440"/>
      <c r="G164" s="440"/>
      <c r="H164" s="440"/>
      <c r="I164" s="440"/>
      <c r="J164" s="440"/>
      <c r="K164" s="440"/>
      <c r="L164" s="440"/>
      <c r="M164" s="440"/>
      <c r="N164" s="440"/>
      <c r="O164" s="379"/>
      <c r="P164" s="379"/>
      <c r="Q164" s="379"/>
      <c r="R164" s="545">
        <v>94</v>
      </c>
      <c r="S164" s="546">
        <v>74</v>
      </c>
      <c r="T164" s="441"/>
      <c r="U164" s="466"/>
      <c r="V164" s="467"/>
      <c r="W164" s="6"/>
    </row>
    <row r="165" spans="1:23" ht="15.6">
      <c r="A165" s="465"/>
      <c r="B165" s="379" t="s">
        <v>219</v>
      </c>
      <c r="C165" s="440"/>
      <c r="D165" s="440"/>
      <c r="E165" s="440"/>
      <c r="F165" s="440"/>
      <c r="G165" s="440"/>
      <c r="H165" s="440"/>
      <c r="I165" s="440"/>
      <c r="J165" s="440"/>
      <c r="K165" s="440"/>
      <c r="L165" s="440"/>
      <c r="M165" s="440"/>
      <c r="N165" s="440"/>
      <c r="O165" s="379"/>
      <c r="P165" s="379"/>
      <c r="Q165" s="379"/>
      <c r="R165" s="545">
        <v>75</v>
      </c>
      <c r="S165" s="546">
        <v>96</v>
      </c>
      <c r="T165" s="441"/>
      <c r="U165" s="466"/>
      <c r="V165" s="467"/>
      <c r="W165" s="6"/>
    </row>
    <row r="166" spans="1:23" ht="15.6">
      <c r="A166" s="465"/>
      <c r="B166" s="379" t="s">
        <v>90</v>
      </c>
      <c r="C166" s="440"/>
      <c r="D166" s="440"/>
      <c r="E166" s="440"/>
      <c r="F166" s="440"/>
      <c r="G166" s="440"/>
      <c r="H166" s="440"/>
      <c r="I166" s="440"/>
      <c r="J166" s="440"/>
      <c r="K166" s="440"/>
      <c r="L166" s="440"/>
      <c r="M166" s="440"/>
      <c r="N166" s="440"/>
      <c r="O166" s="379"/>
      <c r="P166" s="379"/>
      <c r="Q166" s="379"/>
      <c r="R166" s="547">
        <f>SUM(R162:R165)</f>
        <v>615</v>
      </c>
      <c r="S166" s="546">
        <f>SUM(S162:S165)</f>
        <v>9922</v>
      </c>
      <c r="T166" s="441"/>
      <c r="U166" s="466"/>
      <c r="V166" s="467"/>
      <c r="W166" s="6"/>
    </row>
    <row r="167" spans="1:23" ht="15.6">
      <c r="A167" s="465"/>
      <c r="B167" s="379"/>
      <c r="C167" s="440"/>
      <c r="D167" s="440"/>
      <c r="E167" s="440"/>
      <c r="F167" s="440"/>
      <c r="G167" s="440"/>
      <c r="H167" s="440"/>
      <c r="I167" s="440"/>
      <c r="J167" s="440"/>
      <c r="K167" s="440"/>
      <c r="L167" s="440"/>
      <c r="M167" s="440"/>
      <c r="N167" s="440"/>
      <c r="O167" s="379"/>
      <c r="P167" s="379"/>
      <c r="Q167" s="379"/>
      <c r="R167" s="545"/>
      <c r="S167" s="546"/>
      <c r="T167" s="441"/>
      <c r="U167" s="466"/>
      <c r="V167" s="467"/>
      <c r="W167" s="6"/>
    </row>
    <row r="168" spans="1:23" ht="15.6">
      <c r="A168" s="465"/>
      <c r="B168" s="379" t="s">
        <v>220</v>
      </c>
      <c r="C168" s="440"/>
      <c r="D168" s="440"/>
      <c r="E168" s="440"/>
      <c r="F168" s="440"/>
      <c r="G168" s="440"/>
      <c r="H168" s="440"/>
      <c r="I168" s="440"/>
      <c r="J168" s="440"/>
      <c r="K168" s="440"/>
      <c r="L168" s="440"/>
      <c r="M168" s="440"/>
      <c r="N168" s="440"/>
      <c r="O168" s="379"/>
      <c r="P168" s="379"/>
      <c r="Q168" s="379"/>
      <c r="R168" s="545">
        <v>0</v>
      </c>
      <c r="S168" s="546">
        <v>0</v>
      </c>
      <c r="T168" s="441"/>
      <c r="U168" s="466"/>
      <c r="V168" s="467"/>
      <c r="W168" s="6"/>
    </row>
    <row r="169" spans="1:23" ht="15.6">
      <c r="A169" s="465"/>
      <c r="B169" s="379" t="s">
        <v>224</v>
      </c>
      <c r="C169" s="440"/>
      <c r="D169" s="440"/>
      <c r="E169" s="440"/>
      <c r="F169" s="440"/>
      <c r="G169" s="440"/>
      <c r="H169" s="440"/>
      <c r="I169" s="440"/>
      <c r="J169" s="440"/>
      <c r="K169" s="440"/>
      <c r="L169" s="440"/>
      <c r="M169" s="440"/>
      <c r="N169" s="440"/>
      <c r="O169" s="379"/>
      <c r="P169" s="379"/>
      <c r="Q169" s="379"/>
      <c r="R169" s="545">
        <v>3</v>
      </c>
      <c r="S169" s="546">
        <v>72</v>
      </c>
      <c r="T169" s="441"/>
      <c r="U169" s="466"/>
      <c r="V169" s="467"/>
      <c r="W169" s="6"/>
    </row>
    <row r="170" spans="1:23" ht="15.6">
      <c r="A170" s="465"/>
      <c r="B170" s="468" t="s">
        <v>69</v>
      </c>
      <c r="C170" s="469"/>
      <c r="D170" s="469"/>
      <c r="E170" s="469"/>
      <c r="F170" s="469"/>
      <c r="G170" s="469"/>
      <c r="H170" s="469"/>
      <c r="I170" s="469"/>
      <c r="J170" s="469"/>
      <c r="K170" s="469"/>
      <c r="L170" s="469"/>
      <c r="M170" s="469"/>
      <c r="N170" s="469"/>
      <c r="O170" s="454"/>
      <c r="P170" s="454"/>
      <c r="Q170" s="454"/>
      <c r="R170" s="539"/>
      <c r="S170" s="540">
        <v>0</v>
      </c>
      <c r="T170" s="454"/>
      <c r="U170" s="470"/>
      <c r="V170" s="471"/>
      <c r="W170" s="6"/>
    </row>
    <row r="171" spans="1:23" ht="15.6">
      <c r="A171" s="465"/>
      <c r="B171" s="468" t="s">
        <v>70</v>
      </c>
      <c r="C171" s="469"/>
      <c r="D171" s="469"/>
      <c r="E171" s="469"/>
      <c r="F171" s="469"/>
      <c r="G171" s="469"/>
      <c r="H171" s="469"/>
      <c r="I171" s="469"/>
      <c r="J171" s="469"/>
      <c r="K171" s="469"/>
      <c r="L171" s="469"/>
      <c r="M171" s="469"/>
      <c r="N171" s="469"/>
      <c r="O171" s="454"/>
      <c r="P171" s="454"/>
      <c r="Q171" s="454"/>
      <c r="R171" s="539"/>
      <c r="S171" s="540">
        <f>Q75</f>
        <v>0</v>
      </c>
      <c r="T171" s="454"/>
      <c r="U171" s="470"/>
      <c r="V171" s="471"/>
      <c r="W171" s="6"/>
    </row>
    <row r="172" spans="1:23" ht="15.6">
      <c r="A172" s="472"/>
      <c r="B172" s="468" t="s">
        <v>71</v>
      </c>
      <c r="C172" s="469"/>
      <c r="D172" s="469"/>
      <c r="E172" s="469"/>
      <c r="F172" s="469"/>
      <c r="G172" s="469"/>
      <c r="H172" s="469"/>
      <c r="I172" s="469"/>
      <c r="J172" s="469"/>
      <c r="K172" s="469"/>
      <c r="L172" s="469"/>
      <c r="M172" s="473"/>
      <c r="N172" s="473"/>
      <c r="O172" s="473"/>
      <c r="P172" s="454"/>
      <c r="Q172" s="454"/>
      <c r="R172" s="379"/>
      <c r="S172" s="500"/>
      <c r="T172" s="454"/>
      <c r="U172" s="470"/>
      <c r="V172" s="474"/>
      <c r="W172" s="6"/>
    </row>
    <row r="173" spans="1:23" ht="15.6">
      <c r="A173" s="465"/>
      <c r="B173" s="379" t="s">
        <v>72</v>
      </c>
      <c r="C173" s="469"/>
      <c r="D173" s="469"/>
      <c r="E173" s="469"/>
      <c r="F173" s="469"/>
      <c r="G173" s="469"/>
      <c r="H173" s="469"/>
      <c r="I173" s="469"/>
      <c r="J173" s="469"/>
      <c r="K173" s="469"/>
      <c r="L173" s="469"/>
      <c r="M173" s="469"/>
      <c r="N173" s="469"/>
      <c r="O173" s="469"/>
      <c r="P173" s="454"/>
      <c r="Q173" s="454"/>
      <c r="R173" s="379"/>
      <c r="S173" s="546">
        <f>U128</f>
        <v>-124</v>
      </c>
      <c r="T173" s="454"/>
      <c r="U173" s="470"/>
      <c r="V173" s="474"/>
      <c r="W173" s="6"/>
    </row>
    <row r="174" spans="1:23" ht="15.6">
      <c r="A174" s="465"/>
      <c r="B174" s="379" t="s">
        <v>73</v>
      </c>
      <c r="C174" s="469"/>
      <c r="D174" s="469"/>
      <c r="E174" s="469"/>
      <c r="F174" s="469"/>
      <c r="G174" s="469"/>
      <c r="H174" s="469"/>
      <c r="I174" s="469"/>
      <c r="J174" s="469"/>
      <c r="K174" s="469"/>
      <c r="L174" s="469"/>
      <c r="M174" s="469"/>
      <c r="N174" s="469"/>
      <c r="O174" s="469"/>
      <c r="P174" s="454"/>
      <c r="Q174" s="454"/>
      <c r="R174" s="379"/>
      <c r="S174" s="546">
        <f>'Dec 15'!S174+S173</f>
        <v>89271</v>
      </c>
      <c r="T174" s="454"/>
      <c r="U174" s="470"/>
      <c r="V174" s="474"/>
      <c r="W174" s="6"/>
    </row>
    <row r="175" spans="1:23" ht="15.6">
      <c r="A175" s="465"/>
      <c r="B175" s="379" t="s">
        <v>74</v>
      </c>
      <c r="C175" s="469"/>
      <c r="D175" s="469"/>
      <c r="E175" s="469"/>
      <c r="F175" s="469"/>
      <c r="G175" s="469"/>
      <c r="H175" s="469"/>
      <c r="I175" s="469"/>
      <c r="J175" s="469"/>
      <c r="K175" s="469"/>
      <c r="L175" s="469"/>
      <c r="M175" s="469"/>
      <c r="N175" s="469"/>
      <c r="O175" s="469"/>
      <c r="P175" s="454"/>
      <c r="Q175" s="454"/>
      <c r="R175" s="379"/>
      <c r="S175" s="546">
        <f>'Dec 15'!S175+694</f>
        <v>29124</v>
      </c>
      <c r="T175" s="454"/>
      <c r="U175" s="470"/>
      <c r="V175" s="474"/>
      <c r="W175" s="6"/>
    </row>
    <row r="176" spans="1:23" ht="15.6">
      <c r="A176" s="465"/>
      <c r="B176" s="473"/>
      <c r="C176" s="469"/>
      <c r="D176" s="469"/>
      <c r="E176" s="469"/>
      <c r="F176" s="469"/>
      <c r="G176" s="469"/>
      <c r="H176" s="469"/>
      <c r="I176" s="469"/>
      <c r="J176" s="469"/>
      <c r="K176" s="469"/>
      <c r="L176" s="469"/>
      <c r="M176" s="469"/>
      <c r="N176" s="469"/>
      <c r="O176" s="469"/>
      <c r="P176" s="454"/>
      <c r="Q176" s="454"/>
      <c r="R176" s="379"/>
      <c r="S176" s="546"/>
      <c r="T176" s="454"/>
      <c r="U176" s="470"/>
      <c r="V176" s="474"/>
      <c r="W176" s="6"/>
    </row>
    <row r="177" spans="1:23" ht="15.6">
      <c r="A177" s="472"/>
      <c r="B177" s="468" t="s">
        <v>259</v>
      </c>
      <c r="C177" s="469"/>
      <c r="D177" s="469"/>
      <c r="E177" s="469"/>
      <c r="F177" s="469"/>
      <c r="G177" s="469"/>
      <c r="H177" s="469"/>
      <c r="I177" s="469"/>
      <c r="J177" s="469"/>
      <c r="K177" s="469"/>
      <c r="L177" s="469"/>
      <c r="M177" s="473"/>
      <c r="N177" s="473"/>
      <c r="O177" s="473"/>
      <c r="P177" s="454"/>
      <c r="Q177" s="454"/>
      <c r="R177" s="379"/>
      <c r="S177" s="548"/>
      <c r="T177" s="454"/>
      <c r="U177" s="470"/>
      <c r="V177" s="474"/>
      <c r="W177" s="6"/>
    </row>
    <row r="178" spans="1:23" ht="15.6">
      <c r="A178" s="472"/>
      <c r="B178" s="379" t="s">
        <v>254</v>
      </c>
      <c r="C178" s="469"/>
      <c r="D178" s="469"/>
      <c r="E178" s="469"/>
      <c r="F178" s="469"/>
      <c r="G178" s="469"/>
      <c r="H178" s="469"/>
      <c r="I178" s="469"/>
      <c r="J178" s="469"/>
      <c r="K178" s="469"/>
      <c r="L178" s="469"/>
      <c r="M178" s="473"/>
      <c r="N178" s="473"/>
      <c r="O178" s="473"/>
      <c r="P178" s="454"/>
      <c r="Q178" s="454"/>
      <c r="R178" s="379"/>
      <c r="S178" s="548">
        <v>4</v>
      </c>
      <c r="T178" s="454"/>
      <c r="U178" s="470"/>
      <c r="V178" s="474"/>
      <c r="W178" s="6"/>
    </row>
    <row r="179" spans="1:23" ht="15.6">
      <c r="A179" s="465"/>
      <c r="B179" s="379" t="s">
        <v>75</v>
      </c>
      <c r="C179" s="469"/>
      <c r="D179" s="469"/>
      <c r="E179" s="469"/>
      <c r="F179" s="469"/>
      <c r="G179" s="469"/>
      <c r="H179" s="469"/>
      <c r="I179" s="469"/>
      <c r="J179" s="469"/>
      <c r="K179" s="469"/>
      <c r="L179" s="469"/>
      <c r="M179" s="475"/>
      <c r="N179" s="475"/>
      <c r="O179" s="476"/>
      <c r="P179" s="454"/>
      <c r="Q179" s="454"/>
      <c r="R179" s="379"/>
      <c r="S179" s="549">
        <v>100.17</v>
      </c>
      <c r="T179" s="454"/>
      <c r="U179" s="470"/>
      <c r="V179" s="474"/>
      <c r="W179" s="6"/>
    </row>
    <row r="180" spans="1:23" ht="15.6">
      <c r="A180" s="465"/>
      <c r="B180" s="379" t="s">
        <v>76</v>
      </c>
      <c r="C180" s="469"/>
      <c r="D180" s="469"/>
      <c r="E180" s="469"/>
      <c r="F180" s="469"/>
      <c r="G180" s="469"/>
      <c r="H180" s="469"/>
      <c r="I180" s="469"/>
      <c r="J180" s="469"/>
      <c r="K180" s="469"/>
      <c r="L180" s="469"/>
      <c r="M180" s="475"/>
      <c r="N180" s="475"/>
      <c r="O180" s="476"/>
      <c r="P180" s="454"/>
      <c r="Q180" s="454"/>
      <c r="R180" s="379"/>
      <c r="S180" s="548">
        <v>379</v>
      </c>
      <c r="T180" s="454"/>
      <c r="U180" s="470"/>
      <c r="V180" s="474"/>
      <c r="W180" s="6"/>
    </row>
    <row r="181" spans="1:23" ht="15.6">
      <c r="A181" s="465"/>
      <c r="B181" s="473"/>
      <c r="C181" s="469"/>
      <c r="D181" s="469"/>
      <c r="E181" s="469"/>
      <c r="F181" s="469"/>
      <c r="G181" s="469"/>
      <c r="H181" s="469"/>
      <c r="I181" s="469"/>
      <c r="J181" s="469"/>
      <c r="K181" s="469"/>
      <c r="L181" s="469"/>
      <c r="M181" s="477"/>
      <c r="N181" s="475"/>
      <c r="O181" s="476"/>
      <c r="P181" s="454"/>
      <c r="Q181" s="454"/>
      <c r="R181" s="379"/>
      <c r="S181" s="537"/>
      <c r="T181" s="454"/>
      <c r="U181" s="470"/>
      <c r="V181" s="474"/>
      <c r="W181" s="6"/>
    </row>
    <row r="182" spans="1:23" ht="15.6">
      <c r="A182" s="465"/>
      <c r="B182" s="468" t="s">
        <v>77</v>
      </c>
      <c r="C182" s="469"/>
      <c r="D182" s="469"/>
      <c r="E182" s="469"/>
      <c r="F182" s="469"/>
      <c r="G182" s="469"/>
      <c r="H182" s="469"/>
      <c r="I182" s="469"/>
      <c r="J182" s="469"/>
      <c r="K182" s="469"/>
      <c r="L182" s="469"/>
      <c r="M182" s="469"/>
      <c r="N182" s="477"/>
      <c r="O182" s="475"/>
      <c r="P182" s="476"/>
      <c r="Q182" s="454"/>
      <c r="R182" s="380"/>
      <c r="S182" s="538"/>
      <c r="T182" s="478"/>
      <c r="U182" s="390"/>
      <c r="V182" s="479"/>
      <c r="W182" s="6"/>
    </row>
    <row r="183" spans="1:23" ht="15.6">
      <c r="A183" s="465"/>
      <c r="B183" s="379" t="s">
        <v>78</v>
      </c>
      <c r="C183" s="469"/>
      <c r="D183" s="469"/>
      <c r="E183" s="469"/>
      <c r="F183" s="469"/>
      <c r="G183" s="469"/>
      <c r="H183" s="469"/>
      <c r="I183" s="469"/>
      <c r="J183" s="469"/>
      <c r="K183" s="469"/>
      <c r="L183" s="469"/>
      <c r="M183" s="469"/>
      <c r="N183" s="477"/>
      <c r="O183" s="475"/>
      <c r="P183" s="476"/>
      <c r="Q183" s="454"/>
      <c r="R183" s="380"/>
      <c r="S183" s="550">
        <v>0</v>
      </c>
      <c r="T183" s="480"/>
      <c r="U183" s="390"/>
      <c r="V183" s="479"/>
      <c r="W183" s="6"/>
    </row>
    <row r="184" spans="1:23" ht="15.6">
      <c r="A184" s="465"/>
      <c r="B184" s="379" t="s">
        <v>75</v>
      </c>
      <c r="C184" s="469"/>
      <c r="D184" s="469"/>
      <c r="E184" s="469"/>
      <c r="F184" s="469"/>
      <c r="G184" s="469"/>
      <c r="H184" s="469"/>
      <c r="I184" s="469"/>
      <c r="J184" s="469"/>
      <c r="K184" s="469"/>
      <c r="L184" s="469"/>
      <c r="M184" s="469"/>
      <c r="N184" s="477"/>
      <c r="O184" s="475"/>
      <c r="P184" s="476"/>
      <c r="Q184" s="454"/>
      <c r="R184" s="380"/>
      <c r="S184" s="550">
        <v>0</v>
      </c>
      <c r="T184" s="480"/>
      <c r="U184" s="390"/>
      <c r="V184" s="479"/>
      <c r="W184" s="6"/>
    </row>
    <row r="185" spans="1:23" ht="15.6">
      <c r="A185" s="465"/>
      <c r="B185" s="379" t="s">
        <v>79</v>
      </c>
      <c r="C185" s="469"/>
      <c r="D185" s="469"/>
      <c r="E185" s="469"/>
      <c r="F185" s="469"/>
      <c r="G185" s="469"/>
      <c r="H185" s="469"/>
      <c r="I185" s="469"/>
      <c r="J185" s="469"/>
      <c r="K185" s="469"/>
      <c r="L185" s="469"/>
      <c r="M185" s="469"/>
      <c r="N185" s="477"/>
      <c r="O185" s="475"/>
      <c r="P185" s="476"/>
      <c r="Q185" s="454"/>
      <c r="R185" s="380"/>
      <c r="S185" s="550">
        <v>0</v>
      </c>
      <c r="T185" s="480"/>
      <c r="U185" s="390"/>
      <c r="V185" s="479"/>
      <c r="W185" s="6"/>
    </row>
    <row r="186" spans="1:23" ht="15.6">
      <c r="A186" s="465"/>
      <c r="B186" s="473"/>
      <c r="C186" s="469"/>
      <c r="D186" s="469"/>
      <c r="E186" s="469"/>
      <c r="F186" s="469"/>
      <c r="G186" s="469"/>
      <c r="H186" s="469"/>
      <c r="I186" s="469"/>
      <c r="J186" s="469"/>
      <c r="K186" s="469"/>
      <c r="L186" s="469"/>
      <c r="M186" s="477"/>
      <c r="N186" s="475"/>
      <c r="O186" s="476"/>
      <c r="P186" s="454"/>
      <c r="Q186" s="454"/>
      <c r="R186" s="454"/>
      <c r="S186" s="537"/>
      <c r="T186" s="454"/>
      <c r="U186" s="470"/>
      <c r="V186" s="474"/>
      <c r="W186" s="6"/>
    </row>
    <row r="187" spans="1:23" ht="17.399999999999999">
      <c r="A187" s="465"/>
      <c r="B187" s="482" t="s">
        <v>196</v>
      </c>
      <c r="C187" s="469"/>
      <c r="D187" s="469"/>
      <c r="E187" s="469"/>
      <c r="F187" s="469"/>
      <c r="G187" s="469"/>
      <c r="H187" s="469"/>
      <c r="I187" s="469"/>
      <c r="J187" s="469"/>
      <c r="K187" s="483" t="s">
        <v>195</v>
      </c>
      <c r="L187" s="469"/>
      <c r="M187" s="477"/>
      <c r="N187" s="475"/>
      <c r="O187" s="476"/>
      <c r="P187" s="454"/>
      <c r="Q187" s="454"/>
      <c r="R187" s="454"/>
      <c r="S187" s="481"/>
      <c r="T187" s="454"/>
      <c r="U187" s="470"/>
      <c r="V187" s="474"/>
      <c r="W187" s="6"/>
    </row>
    <row r="188" spans="1:23" ht="15.6">
      <c r="A188" s="242"/>
      <c r="B188" s="460"/>
      <c r="C188" s="461"/>
      <c r="D188" s="461"/>
      <c r="E188" s="461"/>
      <c r="F188" s="461"/>
      <c r="G188" s="461"/>
      <c r="H188" s="461"/>
      <c r="I188" s="461"/>
      <c r="J188" s="461"/>
      <c r="K188" s="461"/>
      <c r="L188" s="461"/>
      <c r="M188" s="462"/>
      <c r="N188" s="461"/>
      <c r="O188" s="462"/>
      <c r="P188" s="461"/>
      <c r="Q188" s="462"/>
      <c r="R188" s="461"/>
      <c r="S188" s="462"/>
      <c r="T188" s="461"/>
      <c r="U188" s="463"/>
      <c r="V188" s="464"/>
      <c r="W188" s="6"/>
    </row>
    <row r="189" spans="1:23" ht="15.6">
      <c r="A189" s="348"/>
      <c r="B189" s="525" t="s">
        <v>80</v>
      </c>
      <c r="C189" s="343"/>
      <c r="D189" s="343"/>
      <c r="E189" s="343"/>
      <c r="F189" s="343"/>
      <c r="G189" s="343"/>
      <c r="H189" s="343"/>
      <c r="I189" s="343"/>
      <c r="J189" s="343"/>
      <c r="K189" s="343"/>
      <c r="L189" s="343"/>
      <c r="M189" s="525" t="s">
        <v>100</v>
      </c>
      <c r="N189" s="526"/>
      <c r="O189" s="527"/>
      <c r="P189" s="526"/>
      <c r="Q189" s="525"/>
      <c r="R189" s="525" t="s">
        <v>26</v>
      </c>
      <c r="S189" s="527"/>
      <c r="T189" s="526"/>
      <c r="U189" s="346"/>
      <c r="V189" s="528"/>
      <c r="W189" s="6"/>
    </row>
    <row r="190" spans="1:23" ht="15.6">
      <c r="A190" s="365"/>
      <c r="B190" s="366"/>
      <c r="C190" s="529"/>
      <c r="D190" s="529"/>
      <c r="E190" s="529"/>
      <c r="F190" s="529"/>
      <c r="G190" s="529"/>
      <c r="H190" s="529"/>
      <c r="I190" s="529"/>
      <c r="J190" s="529"/>
      <c r="K190" s="529"/>
      <c r="L190" s="529" t="s">
        <v>94</v>
      </c>
      <c r="M190" s="530" t="s">
        <v>101</v>
      </c>
      <c r="N190" s="529" t="s">
        <v>103</v>
      </c>
      <c r="O190" s="530" t="s">
        <v>101</v>
      </c>
      <c r="P190" s="530"/>
      <c r="Q190" s="529" t="s">
        <v>94</v>
      </c>
      <c r="R190" s="530" t="s">
        <v>101</v>
      </c>
      <c r="S190" s="529" t="s">
        <v>103</v>
      </c>
      <c r="T190" s="530" t="s">
        <v>101</v>
      </c>
      <c r="U190" s="369"/>
      <c r="V190" s="531"/>
      <c r="W190" s="6"/>
    </row>
    <row r="191" spans="1:23" ht="15.6">
      <c r="A191" s="316"/>
      <c r="B191" s="360" t="s">
        <v>81</v>
      </c>
      <c r="C191" s="361"/>
      <c r="D191" s="361"/>
      <c r="E191" s="361"/>
      <c r="F191" s="361"/>
      <c r="G191" s="361"/>
      <c r="H191" s="361"/>
      <c r="I191" s="361"/>
      <c r="J191" s="361"/>
      <c r="K191" s="361"/>
      <c r="L191" s="361">
        <v>214</v>
      </c>
      <c r="M191" s="362">
        <f t="shared" ref="M191:M197" si="0">+L191/$L$198</f>
        <v>0.6645962732919255</v>
      </c>
      <c r="N191" s="361">
        <v>724</v>
      </c>
      <c r="O191" s="362">
        <f t="shared" ref="O191:O197" si="1">N191/$N$198</f>
        <v>0.83796296296296291</v>
      </c>
      <c r="P191" s="363"/>
      <c r="Q191" s="361">
        <v>17</v>
      </c>
      <c r="R191" s="362">
        <f t="shared" ref="R191:R197" si="2">+Q191/$Q$198</f>
        <v>0.10303030303030303</v>
      </c>
      <c r="S191" s="552">
        <v>20</v>
      </c>
      <c r="T191" s="362">
        <f>+S191/$S$198</f>
        <v>0.15384615384615385</v>
      </c>
      <c r="U191" s="364"/>
      <c r="V191" s="312"/>
      <c r="W191" s="6"/>
    </row>
    <row r="192" spans="1:23" ht="15.6">
      <c r="A192" s="444"/>
      <c r="B192" s="440" t="s">
        <v>82</v>
      </c>
      <c r="C192" s="489"/>
      <c r="D192" s="489"/>
      <c r="E192" s="489"/>
      <c r="F192" s="489"/>
      <c r="G192" s="489"/>
      <c r="H192" s="489"/>
      <c r="I192" s="489"/>
      <c r="J192" s="489"/>
      <c r="K192" s="489"/>
      <c r="L192" s="489">
        <v>2</v>
      </c>
      <c r="M192" s="427">
        <f t="shared" si="0"/>
        <v>6.2111801242236021E-3</v>
      </c>
      <c r="N192" s="553">
        <v>1</v>
      </c>
      <c r="O192" s="427">
        <f>N192/$N$198</f>
        <v>1.1574074074074073E-3</v>
      </c>
      <c r="P192" s="381"/>
      <c r="Q192" s="489">
        <v>4</v>
      </c>
      <c r="R192" s="427">
        <f t="shared" si="2"/>
        <v>2.4242424242424242E-2</v>
      </c>
      <c r="S192" s="553">
        <v>2</v>
      </c>
      <c r="T192" s="427">
        <f>+S192/$S$198</f>
        <v>1.5384615384615385E-2</v>
      </c>
      <c r="U192" s="379"/>
      <c r="V192" s="435"/>
      <c r="W192" s="6"/>
    </row>
    <row r="193" spans="1:24" ht="15.6">
      <c r="A193" s="444"/>
      <c r="B193" s="440" t="s">
        <v>83</v>
      </c>
      <c r="C193" s="489"/>
      <c r="D193" s="489"/>
      <c r="E193" s="489"/>
      <c r="F193" s="489"/>
      <c r="G193" s="489"/>
      <c r="H193" s="489"/>
      <c r="I193" s="489"/>
      <c r="J193" s="489"/>
      <c r="K193" s="489"/>
      <c r="L193" s="489">
        <v>8</v>
      </c>
      <c r="M193" s="427">
        <f t="shared" si="0"/>
        <v>2.4844720496894408E-2</v>
      </c>
      <c r="N193" s="489">
        <v>26</v>
      </c>
      <c r="O193" s="427">
        <f>N193/$N$198</f>
        <v>3.0092592592592591E-2</v>
      </c>
      <c r="P193" s="381"/>
      <c r="Q193" s="489">
        <v>9</v>
      </c>
      <c r="R193" s="427">
        <f t="shared" si="2"/>
        <v>5.4545454545454543E-2</v>
      </c>
      <c r="S193" s="553">
        <v>3</v>
      </c>
      <c r="T193" s="427">
        <f>+S193/$S$198</f>
        <v>2.3076923076923078E-2</v>
      </c>
      <c r="U193" s="379"/>
      <c r="V193" s="435"/>
      <c r="W193" s="6"/>
    </row>
    <row r="194" spans="1:24" ht="15.6">
      <c r="A194" s="444"/>
      <c r="B194" s="440" t="s">
        <v>186</v>
      </c>
      <c r="C194" s="489"/>
      <c r="D194" s="489"/>
      <c r="E194" s="489"/>
      <c r="F194" s="489"/>
      <c r="G194" s="489"/>
      <c r="H194" s="489"/>
      <c r="I194" s="489"/>
      <c r="J194" s="489"/>
      <c r="K194" s="489"/>
      <c r="L194" s="489">
        <v>8</v>
      </c>
      <c r="M194" s="427">
        <f t="shared" si="0"/>
        <v>2.4844720496894408E-2</v>
      </c>
      <c r="N194" s="489">
        <v>3</v>
      </c>
      <c r="O194" s="427">
        <f t="shared" si="1"/>
        <v>3.472222222222222E-3</v>
      </c>
      <c r="P194" s="381"/>
      <c r="Q194" s="489">
        <v>13</v>
      </c>
      <c r="R194" s="551">
        <f t="shared" si="2"/>
        <v>7.8787878787878782E-2</v>
      </c>
      <c r="S194" s="489">
        <v>8</v>
      </c>
      <c r="T194" s="427">
        <f>+S194/$S$198</f>
        <v>6.1538461538461542E-2</v>
      </c>
      <c r="U194" s="379"/>
      <c r="V194" s="435"/>
      <c r="W194" s="6"/>
    </row>
    <row r="195" spans="1:24" ht="15.6">
      <c r="A195" s="444"/>
      <c r="B195" s="440" t="s">
        <v>187</v>
      </c>
      <c r="C195" s="489"/>
      <c r="D195" s="489"/>
      <c r="E195" s="489"/>
      <c r="F195" s="489"/>
      <c r="G195" s="489"/>
      <c r="H195" s="489"/>
      <c r="I195" s="489"/>
      <c r="J195" s="489"/>
      <c r="K195" s="489"/>
      <c r="L195" s="489">
        <v>12</v>
      </c>
      <c r="M195" s="427">
        <f t="shared" si="0"/>
        <v>3.7267080745341616E-2</v>
      </c>
      <c r="N195" s="489">
        <v>7</v>
      </c>
      <c r="O195" s="427">
        <f t="shared" si="1"/>
        <v>8.1018518518518514E-3</v>
      </c>
      <c r="P195" s="381"/>
      <c r="Q195" s="489">
        <v>13</v>
      </c>
      <c r="R195" s="427">
        <f t="shared" si="2"/>
        <v>7.8787878787878782E-2</v>
      </c>
      <c r="S195" s="489">
        <v>9</v>
      </c>
      <c r="T195" s="427">
        <f>+S195/$S$198</f>
        <v>6.9230769230769235E-2</v>
      </c>
      <c r="U195" s="379"/>
      <c r="V195" s="435"/>
      <c r="W195" s="6"/>
    </row>
    <row r="196" spans="1:24" ht="15.6">
      <c r="A196" s="444"/>
      <c r="B196" s="440" t="s">
        <v>188</v>
      </c>
      <c r="C196" s="489"/>
      <c r="D196" s="489"/>
      <c r="E196" s="489"/>
      <c r="F196" s="489"/>
      <c r="G196" s="489"/>
      <c r="H196" s="489"/>
      <c r="I196" s="489"/>
      <c r="J196" s="489"/>
      <c r="K196" s="489"/>
      <c r="L196" s="489">
        <v>7</v>
      </c>
      <c r="M196" s="427">
        <f t="shared" si="0"/>
        <v>2.1739130434782608E-2</v>
      </c>
      <c r="N196" s="489">
        <v>6</v>
      </c>
      <c r="O196" s="427">
        <f t="shared" si="1"/>
        <v>6.9444444444444441E-3</v>
      </c>
      <c r="P196" s="381"/>
      <c r="Q196" s="489">
        <v>17</v>
      </c>
      <c r="R196" s="427">
        <f t="shared" si="2"/>
        <v>0.10303030303030303</v>
      </c>
      <c r="S196" s="489">
        <v>10</v>
      </c>
      <c r="T196" s="427">
        <f t="shared" ref="T196:T197" si="3">+S196/$S$198</f>
        <v>7.6923076923076927E-2</v>
      </c>
      <c r="U196" s="379"/>
      <c r="V196" s="435"/>
      <c r="W196" s="6"/>
    </row>
    <row r="197" spans="1:24" ht="15.6">
      <c r="A197" s="444"/>
      <c r="B197" s="440" t="s">
        <v>189</v>
      </c>
      <c r="C197" s="489"/>
      <c r="D197" s="489"/>
      <c r="E197" s="489"/>
      <c r="F197" s="489"/>
      <c r="G197" s="489"/>
      <c r="H197" s="489"/>
      <c r="I197" s="489"/>
      <c r="J197" s="489"/>
      <c r="K197" s="489"/>
      <c r="L197" s="489">
        <v>71</v>
      </c>
      <c r="M197" s="427">
        <f t="shared" si="0"/>
        <v>0.22049689440993789</v>
      </c>
      <c r="N197" s="489">
        <v>97</v>
      </c>
      <c r="O197" s="427">
        <f t="shared" si="1"/>
        <v>0.11226851851851852</v>
      </c>
      <c r="P197" s="381"/>
      <c r="Q197" s="489">
        <v>92</v>
      </c>
      <c r="R197" s="427">
        <f t="shared" si="2"/>
        <v>0.55757575757575761</v>
      </c>
      <c r="S197" s="489">
        <v>78</v>
      </c>
      <c r="T197" s="427">
        <f t="shared" si="3"/>
        <v>0.6</v>
      </c>
      <c r="U197" s="379"/>
      <c r="V197" s="435"/>
      <c r="W197" s="6"/>
    </row>
    <row r="198" spans="1:24" ht="15.6">
      <c r="A198" s="444"/>
      <c r="B198" s="440" t="s">
        <v>84</v>
      </c>
      <c r="C198" s="489"/>
      <c r="D198" s="489"/>
      <c r="E198" s="489"/>
      <c r="F198" s="489"/>
      <c r="G198" s="489"/>
      <c r="H198" s="489"/>
      <c r="I198" s="489"/>
      <c r="J198" s="489"/>
      <c r="K198" s="489"/>
      <c r="L198" s="489">
        <f>SUM(L191:L197)</f>
        <v>322</v>
      </c>
      <c r="M198" s="427">
        <f>SUM(M191:M197)</f>
        <v>1</v>
      </c>
      <c r="N198" s="489">
        <f>SUM(N191:N197)</f>
        <v>864</v>
      </c>
      <c r="O198" s="427">
        <f>SUM(O191:O197)</f>
        <v>0.99999999999999989</v>
      </c>
      <c r="P198" s="381"/>
      <c r="Q198" s="489">
        <f>SUM(Q191:Q197)</f>
        <v>165</v>
      </c>
      <c r="R198" s="427">
        <f>SUM(R191:R197)</f>
        <v>1</v>
      </c>
      <c r="S198" s="489">
        <f>SUM(S191:S197)</f>
        <v>130</v>
      </c>
      <c r="T198" s="427">
        <f>SUM(T191:T197)</f>
        <v>1</v>
      </c>
      <c r="U198" s="379"/>
      <c r="V198" s="435"/>
      <c r="W198" s="6"/>
      <c r="X198" s="64"/>
    </row>
    <row r="199" spans="1:24" ht="15.6">
      <c r="A199" s="444"/>
      <c r="B199" s="440" t="s">
        <v>85</v>
      </c>
      <c r="C199" s="489"/>
      <c r="D199" s="489"/>
      <c r="E199" s="489"/>
      <c r="F199" s="489"/>
      <c r="G199" s="489"/>
      <c r="H199" s="489"/>
      <c r="I199" s="489"/>
      <c r="J199" s="489"/>
      <c r="K199" s="489"/>
      <c r="L199" s="489">
        <v>781</v>
      </c>
      <c r="M199" s="380"/>
      <c r="N199" s="489">
        <v>4519</v>
      </c>
      <c r="O199" s="380"/>
      <c r="P199" s="381"/>
      <c r="Q199" s="489">
        <v>458</v>
      </c>
      <c r="R199" s="380"/>
      <c r="S199" s="489">
        <v>1004</v>
      </c>
      <c r="T199" s="380"/>
      <c r="U199" s="379"/>
      <c r="V199" s="435"/>
      <c r="W199" s="6"/>
      <c r="X199" s="64"/>
    </row>
    <row r="200" spans="1:24" ht="15.6">
      <c r="A200" s="444"/>
      <c r="B200" s="440" t="s">
        <v>86</v>
      </c>
      <c r="C200" s="489"/>
      <c r="D200" s="489"/>
      <c r="E200" s="489"/>
      <c r="F200" s="489"/>
      <c r="G200" s="489"/>
      <c r="H200" s="489"/>
      <c r="I200" s="489"/>
      <c r="J200" s="489"/>
      <c r="K200" s="489"/>
      <c r="L200" s="489">
        <f>SUM(L198:L199)</f>
        <v>1103</v>
      </c>
      <c r="M200" s="450"/>
      <c r="N200" s="489">
        <f>SUM(N198:N199)</f>
        <v>5383</v>
      </c>
      <c r="O200" s="490"/>
      <c r="P200" s="450"/>
      <c r="Q200" s="489">
        <f>SUM(Q198:Q199)</f>
        <v>623</v>
      </c>
      <c r="R200" s="450"/>
      <c r="S200" s="489">
        <f>SUM(S198:S199)</f>
        <v>1134</v>
      </c>
      <c r="T200" s="450"/>
      <c r="U200" s="450"/>
      <c r="V200" s="435"/>
      <c r="W200" s="6"/>
      <c r="X200" s="64"/>
    </row>
    <row r="201" spans="1:24" ht="15.6">
      <c r="A201" s="242"/>
      <c r="B201" s="484"/>
      <c r="C201" s="485"/>
      <c r="D201" s="485"/>
      <c r="E201" s="485"/>
      <c r="F201" s="485"/>
      <c r="G201" s="485"/>
      <c r="H201" s="485"/>
      <c r="I201" s="485"/>
      <c r="J201" s="485"/>
      <c r="K201" s="485"/>
      <c r="L201" s="532"/>
      <c r="M201" s="533"/>
      <c r="N201" s="532"/>
      <c r="O201" s="533"/>
      <c r="P201" s="488"/>
      <c r="Q201" s="532"/>
      <c r="R201" s="533"/>
      <c r="S201" s="532"/>
      <c r="T201" s="533"/>
      <c r="U201" s="463"/>
      <c r="V201" s="464"/>
      <c r="W201" s="6"/>
    </row>
    <row r="202" spans="1:24" ht="15.6">
      <c r="A202" s="349"/>
      <c r="B202" s="525" t="s">
        <v>80</v>
      </c>
      <c r="C202" s="526"/>
      <c r="D202" s="526"/>
      <c r="E202" s="526"/>
      <c r="F202" s="526"/>
      <c r="G202" s="526"/>
      <c r="H202" s="526"/>
      <c r="I202" s="526"/>
      <c r="J202" s="526"/>
      <c r="K202" s="526"/>
      <c r="L202" s="526"/>
      <c r="M202" s="525" t="s">
        <v>27</v>
      </c>
      <c r="N202" s="526"/>
      <c r="O202" s="527"/>
      <c r="P202" s="526"/>
      <c r="Q202" s="525"/>
      <c r="R202" s="525" t="s">
        <v>28</v>
      </c>
      <c r="S202" s="527"/>
      <c r="T202" s="526"/>
      <c r="U202" s="346"/>
      <c r="V202" s="528"/>
      <c r="W202" s="6"/>
    </row>
    <row r="203" spans="1:24" ht="15.6">
      <c r="A203" s="371"/>
      <c r="B203" s="372"/>
      <c r="C203" s="534"/>
      <c r="D203" s="534"/>
      <c r="E203" s="534"/>
      <c r="F203" s="534"/>
      <c r="G203" s="534"/>
      <c r="H203" s="534"/>
      <c r="I203" s="534"/>
      <c r="J203" s="534"/>
      <c r="K203" s="534"/>
      <c r="L203" s="534" t="s">
        <v>94</v>
      </c>
      <c r="M203" s="535" t="s">
        <v>101</v>
      </c>
      <c r="N203" s="534" t="s">
        <v>103</v>
      </c>
      <c r="O203" s="535" t="s">
        <v>101</v>
      </c>
      <c r="P203" s="535"/>
      <c r="Q203" s="534" t="s">
        <v>94</v>
      </c>
      <c r="R203" s="535" t="s">
        <v>101</v>
      </c>
      <c r="S203" s="534" t="s">
        <v>103</v>
      </c>
      <c r="T203" s="535" t="s">
        <v>101</v>
      </c>
      <c r="U203" s="375"/>
      <c r="V203" s="536"/>
      <c r="W203" s="6"/>
    </row>
    <row r="204" spans="1:24" ht="15.6">
      <c r="A204" s="315"/>
      <c r="B204" s="310" t="s">
        <v>81</v>
      </c>
      <c r="C204" s="351"/>
      <c r="D204" s="351"/>
      <c r="E204" s="351"/>
      <c r="F204" s="351"/>
      <c r="G204" s="351"/>
      <c r="H204" s="351"/>
      <c r="I204" s="351"/>
      <c r="J204" s="351"/>
      <c r="K204" s="351"/>
      <c r="L204" s="351">
        <v>3458</v>
      </c>
      <c r="M204" s="299">
        <f t="shared" ref="M204:M210" si="4">+L204/$L$211</f>
        <v>0.88666666666666671</v>
      </c>
      <c r="N204" s="351">
        <v>71263</v>
      </c>
      <c r="O204" s="299">
        <f t="shared" ref="O204:O210" si="5">+N204/$N$211</f>
        <v>0.87973581877661877</v>
      </c>
      <c r="P204" s="296"/>
      <c r="Q204" s="351">
        <v>29</v>
      </c>
      <c r="R204" s="299">
        <f t="shared" ref="R204:R210" si="6">Q204/$Q$211</f>
        <v>0.78378378378378377</v>
      </c>
      <c r="S204" s="351">
        <v>132</v>
      </c>
      <c r="T204" s="299">
        <f t="shared" ref="T204:T210" si="7">+S204/$S$211</f>
        <v>0.67005076142131981</v>
      </c>
      <c r="U204" s="294"/>
      <c r="V204" s="301"/>
      <c r="W204" s="6"/>
    </row>
    <row r="205" spans="1:24" ht="15.6">
      <c r="A205" s="444"/>
      <c r="B205" s="440" t="s">
        <v>82</v>
      </c>
      <c r="C205" s="489"/>
      <c r="D205" s="489"/>
      <c r="E205" s="489"/>
      <c r="F205" s="489"/>
      <c r="G205" s="489"/>
      <c r="H205" s="489"/>
      <c r="I205" s="489"/>
      <c r="J205" s="489"/>
      <c r="K205" s="489"/>
      <c r="L205" s="489">
        <v>92</v>
      </c>
      <c r="M205" s="427">
        <f t="shared" si="4"/>
        <v>2.3589743589743591E-2</v>
      </c>
      <c r="N205" s="489">
        <v>1927</v>
      </c>
      <c r="O205" s="427">
        <f t="shared" si="5"/>
        <v>2.3788655021294982E-2</v>
      </c>
      <c r="P205" s="381"/>
      <c r="Q205" s="489">
        <v>4</v>
      </c>
      <c r="R205" s="427">
        <f t="shared" si="6"/>
        <v>0.10810810810810811</v>
      </c>
      <c r="S205" s="489">
        <v>55</v>
      </c>
      <c r="T205" s="427">
        <f t="shared" si="7"/>
        <v>0.27918781725888325</v>
      </c>
      <c r="U205" s="379"/>
      <c r="V205" s="435"/>
      <c r="W205" s="6"/>
    </row>
    <row r="206" spans="1:24" ht="15.6">
      <c r="A206" s="444"/>
      <c r="B206" s="440" t="s">
        <v>83</v>
      </c>
      <c r="C206" s="489"/>
      <c r="D206" s="489"/>
      <c r="E206" s="489"/>
      <c r="F206" s="489"/>
      <c r="G206" s="489"/>
      <c r="H206" s="489"/>
      <c r="I206" s="489"/>
      <c r="J206" s="489"/>
      <c r="K206" s="489"/>
      <c r="L206" s="489">
        <v>69</v>
      </c>
      <c r="M206" s="427">
        <f t="shared" si="4"/>
        <v>1.7692307692307691E-2</v>
      </c>
      <c r="N206" s="489">
        <v>1208</v>
      </c>
      <c r="O206" s="427">
        <f t="shared" si="5"/>
        <v>1.4912659712363434E-2</v>
      </c>
      <c r="P206" s="381"/>
      <c r="Q206" s="489">
        <v>0</v>
      </c>
      <c r="R206" s="427">
        <f t="shared" si="6"/>
        <v>0</v>
      </c>
      <c r="S206" s="489">
        <v>0</v>
      </c>
      <c r="T206" s="427">
        <f t="shared" si="7"/>
        <v>0</v>
      </c>
      <c r="U206" s="379"/>
      <c r="V206" s="435"/>
      <c r="W206" s="6"/>
      <c r="X206" s="182"/>
    </row>
    <row r="207" spans="1:24" ht="15.6">
      <c r="A207" s="444"/>
      <c r="B207" s="440" t="s">
        <v>186</v>
      </c>
      <c r="C207" s="489"/>
      <c r="D207" s="489"/>
      <c r="E207" s="489"/>
      <c r="F207" s="489"/>
      <c r="G207" s="489"/>
      <c r="H207" s="489"/>
      <c r="I207" s="489"/>
      <c r="J207" s="489"/>
      <c r="K207" s="489"/>
      <c r="L207" s="489">
        <v>31</v>
      </c>
      <c r="M207" s="427">
        <f t="shared" si="4"/>
        <v>7.9487179487179489E-3</v>
      </c>
      <c r="N207" s="489">
        <v>718</v>
      </c>
      <c r="O207" s="427">
        <f t="shared" si="5"/>
        <v>8.8636503919511146E-3</v>
      </c>
      <c r="P207" s="381"/>
      <c r="Q207" s="489">
        <v>0</v>
      </c>
      <c r="R207" s="427">
        <f t="shared" si="6"/>
        <v>0</v>
      </c>
      <c r="S207" s="489">
        <v>0</v>
      </c>
      <c r="T207" s="427">
        <f t="shared" si="7"/>
        <v>0</v>
      </c>
      <c r="U207" s="379"/>
      <c r="V207" s="435"/>
      <c r="W207" s="6"/>
    </row>
    <row r="208" spans="1:24" ht="15.6">
      <c r="A208" s="444"/>
      <c r="B208" s="440" t="s">
        <v>187</v>
      </c>
      <c r="C208" s="489"/>
      <c r="D208" s="489"/>
      <c r="E208" s="489"/>
      <c r="F208" s="489"/>
      <c r="G208" s="489"/>
      <c r="H208" s="489"/>
      <c r="I208" s="489"/>
      <c r="J208" s="489"/>
      <c r="K208" s="489"/>
      <c r="L208" s="489">
        <v>45</v>
      </c>
      <c r="M208" s="427">
        <f t="shared" si="4"/>
        <v>1.1538461538461539E-2</v>
      </c>
      <c r="N208" s="489">
        <v>1087</v>
      </c>
      <c r="O208" s="427">
        <f t="shared" si="5"/>
        <v>1.3418924757731003E-2</v>
      </c>
      <c r="P208" s="381"/>
      <c r="Q208" s="489">
        <v>0</v>
      </c>
      <c r="R208" s="427">
        <f t="shared" si="6"/>
        <v>0</v>
      </c>
      <c r="S208" s="489">
        <v>0</v>
      </c>
      <c r="T208" s="427">
        <f t="shared" si="7"/>
        <v>0</v>
      </c>
      <c r="U208" s="379"/>
      <c r="V208" s="435"/>
      <c r="W208" s="6"/>
    </row>
    <row r="209" spans="1:24" ht="15.6">
      <c r="A209" s="444"/>
      <c r="B209" s="440" t="s">
        <v>188</v>
      </c>
      <c r="C209" s="489"/>
      <c r="D209" s="489"/>
      <c r="E209" s="489"/>
      <c r="F209" s="489"/>
      <c r="G209" s="489"/>
      <c r="H209" s="489"/>
      <c r="I209" s="489"/>
      <c r="J209" s="489"/>
      <c r="K209" s="489"/>
      <c r="L209" s="489">
        <v>40</v>
      </c>
      <c r="M209" s="427">
        <f t="shared" si="4"/>
        <v>1.0256410256410256E-2</v>
      </c>
      <c r="N209" s="489">
        <v>793</v>
      </c>
      <c r="O209" s="427">
        <f t="shared" si="5"/>
        <v>9.7895191654836129E-3</v>
      </c>
      <c r="P209" s="381"/>
      <c r="Q209" s="489">
        <v>0</v>
      </c>
      <c r="R209" s="427">
        <f t="shared" si="6"/>
        <v>0</v>
      </c>
      <c r="S209" s="489">
        <v>0</v>
      </c>
      <c r="T209" s="427">
        <f t="shared" si="7"/>
        <v>0</v>
      </c>
      <c r="U209" s="379"/>
      <c r="V209" s="435"/>
      <c r="W209" s="6"/>
    </row>
    <row r="210" spans="1:24" ht="15.6">
      <c r="A210" s="444"/>
      <c r="B210" s="440" t="s">
        <v>189</v>
      </c>
      <c r="C210" s="489"/>
      <c r="D210" s="489"/>
      <c r="E210" s="489"/>
      <c r="F210" s="489"/>
      <c r="G210" s="489"/>
      <c r="H210" s="489"/>
      <c r="I210" s="489"/>
      <c r="J210" s="489"/>
      <c r="K210" s="489"/>
      <c r="L210" s="489">
        <v>165</v>
      </c>
      <c r="M210" s="427">
        <f t="shared" si="4"/>
        <v>4.230769230769231E-2</v>
      </c>
      <c r="N210" s="489">
        <v>4009</v>
      </c>
      <c r="O210" s="427">
        <f t="shared" si="5"/>
        <v>4.9490772174557128E-2</v>
      </c>
      <c r="P210" s="381"/>
      <c r="Q210" s="489">
        <v>4</v>
      </c>
      <c r="R210" s="427">
        <f t="shared" si="6"/>
        <v>0.10810810810810811</v>
      </c>
      <c r="S210" s="489">
        <v>10</v>
      </c>
      <c r="T210" s="427">
        <f t="shared" si="7"/>
        <v>5.0761421319796954E-2</v>
      </c>
      <c r="U210" s="379"/>
      <c r="V210" s="435"/>
      <c r="W210" s="6"/>
    </row>
    <row r="211" spans="1:24" ht="15.6">
      <c r="A211" s="444"/>
      <c r="B211" s="440" t="str">
        <f>B198</f>
        <v>Total Performing  Assets</v>
      </c>
      <c r="C211" s="489"/>
      <c r="D211" s="489"/>
      <c r="E211" s="489"/>
      <c r="F211" s="489"/>
      <c r="G211" s="489"/>
      <c r="H211" s="489"/>
      <c r="I211" s="489"/>
      <c r="J211" s="489"/>
      <c r="K211" s="489"/>
      <c r="L211" s="489">
        <f>SUM(L204:L210)</f>
        <v>3900</v>
      </c>
      <c r="M211" s="427">
        <f>SUM(M204:M210)</f>
        <v>1</v>
      </c>
      <c r="N211" s="489">
        <f>SUM(N204:N210)</f>
        <v>81005</v>
      </c>
      <c r="O211" s="427">
        <f>SUM(O204:O210)</f>
        <v>1.0000000000000002</v>
      </c>
      <c r="P211" s="381"/>
      <c r="Q211" s="489">
        <f>SUM(Q204:Q210)</f>
        <v>37</v>
      </c>
      <c r="R211" s="427">
        <f>SUM(R204:R210)</f>
        <v>1</v>
      </c>
      <c r="S211" s="489">
        <f>SUM(S204:S210)</f>
        <v>197</v>
      </c>
      <c r="T211" s="427">
        <f>SUM(T204:T210)</f>
        <v>1</v>
      </c>
      <c r="U211" s="379"/>
      <c r="V211" s="435"/>
      <c r="W211" s="6"/>
    </row>
    <row r="212" spans="1:24" ht="15.6">
      <c r="A212" s="444"/>
      <c r="B212" s="440" t="s">
        <v>85</v>
      </c>
      <c r="C212" s="489"/>
      <c r="D212" s="489"/>
      <c r="E212" s="489"/>
      <c r="F212" s="489"/>
      <c r="G212" s="489"/>
      <c r="H212" s="489"/>
      <c r="I212" s="489"/>
      <c r="J212" s="489"/>
      <c r="K212" s="489"/>
      <c r="L212" s="489">
        <v>280</v>
      </c>
      <c r="M212" s="381"/>
      <c r="N212" s="489">
        <v>7742</v>
      </c>
      <c r="O212" s="380"/>
      <c r="P212" s="381"/>
      <c r="Q212" s="489">
        <v>10</v>
      </c>
      <c r="R212" s="381"/>
      <c r="S212" s="489">
        <v>170</v>
      </c>
      <c r="T212" s="381"/>
      <c r="U212" s="379"/>
      <c r="V212" s="435"/>
      <c r="W212" s="6"/>
    </row>
    <row r="213" spans="1:24" ht="15.6">
      <c r="A213" s="444"/>
      <c r="B213" s="440" t="s">
        <v>86</v>
      </c>
      <c r="C213" s="489"/>
      <c r="D213" s="489"/>
      <c r="E213" s="489"/>
      <c r="F213" s="489"/>
      <c r="G213" s="489"/>
      <c r="H213" s="489"/>
      <c r="I213" s="489"/>
      <c r="J213" s="489"/>
      <c r="K213" s="489"/>
      <c r="L213" s="489">
        <f>SUM(L211:L212)</f>
        <v>4180</v>
      </c>
      <c r="M213" s="450"/>
      <c r="N213" s="489">
        <f>SUM(N211:N212)</f>
        <v>88747</v>
      </c>
      <c r="O213" s="427"/>
      <c r="P213" s="450"/>
      <c r="Q213" s="489">
        <f>SUM(Q211:Q212)</f>
        <v>47</v>
      </c>
      <c r="R213" s="450"/>
      <c r="S213" s="489">
        <f>SUM(S211:S212)</f>
        <v>367</v>
      </c>
      <c r="T213" s="450"/>
      <c r="U213" s="450"/>
      <c r="V213" s="492"/>
    </row>
    <row r="214" spans="1:24" ht="15.6">
      <c r="A214" s="444"/>
      <c r="B214" s="440"/>
      <c r="C214" s="381"/>
      <c r="D214" s="381"/>
      <c r="E214" s="381"/>
      <c r="F214" s="381"/>
      <c r="G214" s="381"/>
      <c r="H214" s="381"/>
      <c r="I214" s="381"/>
      <c r="J214" s="381"/>
      <c r="K214" s="381"/>
      <c r="L214" s="381"/>
      <c r="M214" s="493"/>
      <c r="N214" s="381"/>
      <c r="O214" s="493"/>
      <c r="P214" s="381"/>
      <c r="Q214" s="493"/>
      <c r="R214" s="381"/>
      <c r="S214" s="489"/>
      <c r="T214" s="381"/>
      <c r="U214" s="379"/>
      <c r="V214" s="435"/>
      <c r="W214" s="6"/>
    </row>
    <row r="215" spans="1:24" ht="15.6">
      <c r="A215" s="444"/>
      <c r="B215" s="440" t="s">
        <v>86</v>
      </c>
      <c r="C215" s="381"/>
      <c r="D215" s="381"/>
      <c r="E215" s="381"/>
      <c r="F215" s="381"/>
      <c r="G215" s="381"/>
      <c r="H215" s="381"/>
      <c r="I215" s="381"/>
      <c r="J215" s="381"/>
      <c r="K215" s="381"/>
      <c r="L215" s="493"/>
      <c r="M215" s="493"/>
      <c r="N215" s="493"/>
      <c r="O215" s="493"/>
      <c r="P215" s="381"/>
      <c r="Q215" s="493"/>
      <c r="R215" s="381"/>
      <c r="S215" s="489">
        <f>+N200+S200+N213+S213</f>
        <v>95631</v>
      </c>
      <c r="T215" s="490"/>
      <c r="U215" s="379"/>
      <c r="V215" s="435"/>
      <c r="W215" s="6"/>
      <c r="X215" s="182"/>
    </row>
    <row r="216" spans="1:24" ht="15.6">
      <c r="A216" s="316"/>
      <c r="B216" s="360"/>
      <c r="C216" s="363"/>
      <c r="D216" s="363"/>
      <c r="E216" s="363"/>
      <c r="F216" s="363"/>
      <c r="G216" s="363"/>
      <c r="H216" s="363"/>
      <c r="I216" s="363"/>
      <c r="J216" s="363"/>
      <c r="K216" s="363"/>
      <c r="L216" s="491"/>
      <c r="M216" s="491"/>
      <c r="N216" s="491"/>
      <c r="O216" s="491"/>
      <c r="P216" s="363"/>
      <c r="Q216" s="491"/>
      <c r="R216" s="363"/>
      <c r="S216" s="361"/>
      <c r="T216" s="363"/>
      <c r="U216" s="364"/>
      <c r="V216" s="312"/>
      <c r="W216" s="6"/>
    </row>
    <row r="217" spans="1:24" ht="15.6">
      <c r="A217" s="349"/>
      <c r="B217" s="357" t="s">
        <v>87</v>
      </c>
      <c r="C217" s="526"/>
      <c r="D217" s="526"/>
      <c r="E217" s="526"/>
      <c r="F217" s="526"/>
      <c r="G217" s="526"/>
      <c r="H217" s="526"/>
      <c r="I217" s="526"/>
      <c r="J217" s="526"/>
      <c r="K217" s="526"/>
      <c r="L217" s="526"/>
      <c r="M217" s="527"/>
      <c r="N217" s="526"/>
      <c r="O217" s="527"/>
      <c r="P217" s="526"/>
      <c r="Q217" s="527"/>
      <c r="R217" s="526"/>
      <c r="S217" s="358"/>
      <c r="T217" s="526"/>
      <c r="U217" s="350"/>
      <c r="V217" s="528"/>
      <c r="W217" s="6"/>
    </row>
    <row r="218" spans="1:24" ht="15.6">
      <c r="A218" s="315"/>
      <c r="B218" s="310"/>
      <c r="C218" s="296"/>
      <c r="D218" s="296"/>
      <c r="E218" s="296"/>
      <c r="F218" s="296"/>
      <c r="G218" s="296"/>
      <c r="H218" s="296"/>
      <c r="I218" s="296"/>
      <c r="J218" s="296"/>
      <c r="K218" s="296"/>
      <c r="L218" s="296"/>
      <c r="M218" s="352"/>
      <c r="N218" s="296"/>
      <c r="O218" s="352"/>
      <c r="P218" s="296"/>
      <c r="Q218" s="352"/>
      <c r="R218" s="296"/>
      <c r="S218" s="351"/>
      <c r="T218" s="296"/>
      <c r="U218" s="294"/>
      <c r="V218" s="301"/>
      <c r="W218" s="6"/>
    </row>
    <row r="219" spans="1:24" ht="15.6">
      <c r="A219" s="444"/>
      <c r="B219" s="440" t="s">
        <v>88</v>
      </c>
      <c r="C219" s="381"/>
      <c r="D219" s="381"/>
      <c r="E219" s="381"/>
      <c r="F219" s="381"/>
      <c r="G219" s="381"/>
      <c r="H219" s="381"/>
      <c r="I219" s="381"/>
      <c r="J219" s="381"/>
      <c r="K219" s="381"/>
      <c r="L219" s="381"/>
      <c r="M219" s="493"/>
      <c r="N219" s="381"/>
      <c r="O219" s="493"/>
      <c r="P219" s="381"/>
      <c r="Q219" s="493"/>
      <c r="R219" s="381"/>
      <c r="S219" s="489">
        <f>+N198+S198+N211+S211</f>
        <v>82196</v>
      </c>
      <c r="T219" s="381"/>
      <c r="U219" s="379"/>
      <c r="V219" s="435"/>
      <c r="W219" s="6"/>
      <c r="X219" s="182"/>
    </row>
    <row r="220" spans="1:24" ht="15.6">
      <c r="A220" s="444"/>
      <c r="B220" s="440" t="s">
        <v>89</v>
      </c>
      <c r="C220" s="381"/>
      <c r="D220" s="381"/>
      <c r="E220" s="381"/>
      <c r="F220" s="381"/>
      <c r="G220" s="381"/>
      <c r="H220" s="381"/>
      <c r="I220" s="381"/>
      <c r="J220" s="381"/>
      <c r="K220" s="381"/>
      <c r="L220" s="493"/>
      <c r="M220" s="493"/>
      <c r="N220" s="493"/>
      <c r="O220" s="493"/>
      <c r="P220" s="381"/>
      <c r="Q220" s="493"/>
      <c r="R220" s="381"/>
      <c r="S220" s="489">
        <f>+U78</f>
        <v>0</v>
      </c>
      <c r="T220" s="381"/>
      <c r="U220" s="379"/>
      <c r="V220" s="435"/>
      <c r="W220" s="119"/>
    </row>
    <row r="221" spans="1:24" ht="15.6">
      <c r="A221" s="444"/>
      <c r="B221" s="440" t="s">
        <v>90</v>
      </c>
      <c r="C221" s="381"/>
      <c r="D221" s="381"/>
      <c r="E221" s="381"/>
      <c r="F221" s="381"/>
      <c r="G221" s="381"/>
      <c r="H221" s="381"/>
      <c r="I221" s="381"/>
      <c r="J221" s="381"/>
      <c r="K221" s="381"/>
      <c r="L221" s="381"/>
      <c r="M221" s="493"/>
      <c r="N221" s="493"/>
      <c r="O221" s="493"/>
      <c r="P221" s="381"/>
      <c r="Q221" s="493"/>
      <c r="R221" s="381"/>
      <c r="S221" s="489">
        <f>SUM(S219:S220)</f>
        <v>82196</v>
      </c>
      <c r="T221" s="381"/>
      <c r="U221" s="379"/>
      <c r="V221" s="435"/>
      <c r="W221" s="6"/>
    </row>
    <row r="222" spans="1:24" ht="15.6">
      <c r="A222" s="444"/>
      <c r="B222" s="440"/>
      <c r="C222" s="381"/>
      <c r="D222" s="381"/>
      <c r="E222" s="381"/>
      <c r="F222" s="381"/>
      <c r="G222" s="381"/>
      <c r="H222" s="381"/>
      <c r="I222" s="381"/>
      <c r="J222" s="381"/>
      <c r="K222" s="381"/>
      <c r="L222" s="381"/>
      <c r="M222" s="493"/>
      <c r="N222" s="493"/>
      <c r="O222" s="493"/>
      <c r="P222" s="381"/>
      <c r="Q222" s="493"/>
      <c r="R222" s="381"/>
      <c r="S222" s="489"/>
      <c r="T222" s="381"/>
      <c r="U222" s="379"/>
      <c r="V222" s="435"/>
      <c r="W222" s="6"/>
    </row>
    <row r="223" spans="1:24" ht="15.6">
      <c r="A223" s="444"/>
      <c r="B223" s="440" t="s">
        <v>91</v>
      </c>
      <c r="C223" s="381"/>
      <c r="D223" s="381"/>
      <c r="E223" s="381"/>
      <c r="F223" s="381"/>
      <c r="G223" s="381"/>
      <c r="H223" s="381"/>
      <c r="I223" s="381"/>
      <c r="J223" s="381"/>
      <c r="K223" s="381"/>
      <c r="L223" s="381"/>
      <c r="M223" s="493"/>
      <c r="N223" s="381"/>
      <c r="O223" s="493"/>
      <c r="P223" s="381"/>
      <c r="Q223" s="493"/>
      <c r="R223" s="381"/>
      <c r="S223" s="489">
        <f>U33</f>
        <v>82196.470799999996</v>
      </c>
      <c r="T223" s="381"/>
      <c r="U223" s="379"/>
      <c r="V223" s="435"/>
      <c r="W223" s="6"/>
    </row>
    <row r="224" spans="1:24" ht="15.6">
      <c r="A224" s="444"/>
      <c r="B224" s="440"/>
      <c r="C224" s="381"/>
      <c r="D224" s="381"/>
      <c r="E224" s="381"/>
      <c r="F224" s="381"/>
      <c r="G224" s="381"/>
      <c r="H224" s="381"/>
      <c r="I224" s="381"/>
      <c r="J224" s="381"/>
      <c r="K224" s="381"/>
      <c r="L224" s="381"/>
      <c r="M224" s="493"/>
      <c r="N224" s="381"/>
      <c r="O224" s="493"/>
      <c r="P224" s="381"/>
      <c r="Q224" s="493"/>
      <c r="R224" s="381"/>
      <c r="S224" s="489"/>
      <c r="T224" s="381"/>
      <c r="U224" s="379"/>
      <c r="V224" s="435"/>
      <c r="W224" s="6"/>
    </row>
    <row r="225" spans="1:23" ht="15.6">
      <c r="A225" s="444"/>
      <c r="B225" s="440" t="s">
        <v>92</v>
      </c>
      <c r="C225" s="381"/>
      <c r="D225" s="381"/>
      <c r="E225" s="381"/>
      <c r="F225" s="381"/>
      <c r="G225" s="381"/>
      <c r="H225" s="381"/>
      <c r="I225" s="381"/>
      <c r="J225" s="381"/>
      <c r="K225" s="381"/>
      <c r="L225" s="381"/>
      <c r="M225" s="493"/>
      <c r="N225" s="381"/>
      <c r="O225" s="493"/>
      <c r="P225" s="381"/>
      <c r="Q225" s="493"/>
      <c r="R225" s="381"/>
      <c r="S225" s="489">
        <f>S221/S223</f>
        <v>0.99999427226016624</v>
      </c>
      <c r="T225" s="381"/>
      <c r="U225" s="379"/>
      <c r="V225" s="435"/>
      <c r="W225" s="6"/>
    </row>
    <row r="226" spans="1:23" ht="15.6">
      <c r="A226" s="444"/>
      <c r="B226" s="379"/>
      <c r="C226" s="379"/>
      <c r="D226" s="379"/>
      <c r="E226" s="379"/>
      <c r="F226" s="379"/>
      <c r="G226" s="379"/>
      <c r="H226" s="379"/>
      <c r="I226" s="379"/>
      <c r="J226" s="379"/>
      <c r="K226" s="379"/>
      <c r="L226" s="379"/>
      <c r="M226" s="380"/>
      <c r="N226" s="379"/>
      <c r="O226" s="379"/>
      <c r="P226" s="379"/>
      <c r="Q226" s="440"/>
      <c r="R226" s="497"/>
      <c r="S226" s="441"/>
      <c r="T226" s="497"/>
      <c r="U226" s="466"/>
      <c r="V226" s="410"/>
      <c r="W226" s="6"/>
    </row>
    <row r="227" spans="1:23" ht="15.6">
      <c r="A227" s="353"/>
      <c r="B227" s="494" t="s">
        <v>127</v>
      </c>
      <c r="C227" s="495"/>
      <c r="D227" s="495"/>
      <c r="E227" s="495"/>
      <c r="F227" s="495"/>
      <c r="G227" s="495"/>
      <c r="H227" s="495"/>
      <c r="I227" s="495"/>
      <c r="J227" s="495"/>
      <c r="K227" s="495"/>
      <c r="L227" s="495"/>
      <c r="M227" s="363"/>
      <c r="N227" s="364"/>
      <c r="O227" s="494"/>
      <c r="P227" s="443"/>
      <c r="Q227" s="443"/>
      <c r="R227" s="443"/>
      <c r="S227" s="496"/>
      <c r="T227" s="443"/>
      <c r="U227" s="443"/>
      <c r="V227" s="355"/>
      <c r="W227" s="6"/>
    </row>
    <row r="228" spans="1:23" ht="15.6">
      <c r="A228" s="353"/>
      <c r="B228" s="287" t="s">
        <v>128</v>
      </c>
      <c r="C228" s="354"/>
      <c r="D228" s="354"/>
      <c r="E228" s="354"/>
      <c r="F228" s="354"/>
      <c r="G228" s="354"/>
      <c r="H228" s="354"/>
      <c r="I228" s="354"/>
      <c r="J228" s="354"/>
      <c r="K228" s="354"/>
      <c r="L228" s="354"/>
      <c r="M228" s="290"/>
      <c r="N228" s="287"/>
      <c r="O228" s="287"/>
      <c r="P228" s="354"/>
      <c r="Q228" s="354"/>
      <c r="R228" s="317"/>
      <c r="S228" s="317"/>
      <c r="T228" s="317"/>
      <c r="U228" s="317"/>
      <c r="V228" s="355"/>
      <c r="W228" s="6"/>
    </row>
    <row r="229" spans="1:23" ht="15.6">
      <c r="A229" s="353"/>
      <c r="B229" s="287" t="s">
        <v>246</v>
      </c>
      <c r="C229" s="287"/>
      <c r="D229" s="287"/>
      <c r="E229" s="287"/>
      <c r="F229" s="287"/>
      <c r="G229" s="287"/>
      <c r="H229" s="287"/>
      <c r="I229" s="287"/>
      <c r="J229" s="287"/>
      <c r="K229" s="287"/>
      <c r="L229" s="287"/>
      <c r="M229" s="287"/>
      <c r="N229" s="287"/>
      <c r="O229" s="287"/>
      <c r="P229" s="287"/>
      <c r="Q229" s="287"/>
      <c r="R229" s="287"/>
      <c r="S229" s="287"/>
      <c r="T229" s="287"/>
      <c r="U229" s="287"/>
      <c r="V229" s="355"/>
      <c r="W229" s="6"/>
    </row>
    <row r="230" spans="1:23" ht="15.6">
      <c r="A230" s="353"/>
      <c r="B230" s="287" t="s">
        <v>129</v>
      </c>
      <c r="C230" s="354"/>
      <c r="D230" s="354"/>
      <c r="E230" s="354"/>
      <c r="F230" s="354"/>
      <c r="G230" s="354"/>
      <c r="H230" s="354"/>
      <c r="I230" s="354"/>
      <c r="J230" s="354"/>
      <c r="K230" s="354"/>
      <c r="L230" s="354"/>
      <c r="M230" s="290"/>
      <c r="N230" s="287"/>
      <c r="O230" s="287"/>
      <c r="P230" s="354"/>
      <c r="Q230" s="354"/>
      <c r="R230" s="317"/>
      <c r="S230" s="317"/>
      <c r="T230" s="317"/>
      <c r="U230" s="317"/>
      <c r="V230" s="355"/>
      <c r="W230" s="6"/>
    </row>
    <row r="231" spans="1:23" ht="15.6">
      <c r="A231" s="353"/>
      <c r="B231" s="287"/>
      <c r="C231" s="354"/>
      <c r="D231" s="354"/>
      <c r="E231" s="354"/>
      <c r="F231" s="354"/>
      <c r="G231" s="354"/>
      <c r="H231" s="354"/>
      <c r="I231" s="354"/>
      <c r="J231" s="354"/>
      <c r="K231" s="354"/>
      <c r="L231" s="354"/>
      <c r="M231" s="290"/>
      <c r="N231" s="287"/>
      <c r="O231" s="287"/>
      <c r="P231" s="354"/>
      <c r="Q231" s="354"/>
      <c r="R231" s="317"/>
      <c r="S231" s="317"/>
      <c r="T231" s="317"/>
      <c r="U231" s="317"/>
      <c r="V231" s="355"/>
      <c r="W231" s="6"/>
    </row>
    <row r="232" spans="1:23" ht="15.6">
      <c r="A232" s="353"/>
      <c r="B232" s="287"/>
      <c r="C232" s="354"/>
      <c r="D232" s="354"/>
      <c r="E232" s="354"/>
      <c r="F232" s="354"/>
      <c r="G232" s="354"/>
      <c r="H232" s="354"/>
      <c r="I232" s="354"/>
      <c r="J232" s="354"/>
      <c r="K232" s="354"/>
      <c r="L232" s="354"/>
      <c r="M232" s="290"/>
      <c r="N232" s="287"/>
      <c r="O232" s="287"/>
      <c r="P232" s="354"/>
      <c r="Q232" s="354"/>
      <c r="R232" s="317"/>
      <c r="S232" s="317"/>
      <c r="T232" s="317"/>
      <c r="U232" s="317"/>
      <c r="V232" s="355"/>
      <c r="W232" s="6"/>
    </row>
    <row r="233" spans="1:23" ht="16.2" thickBot="1">
      <c r="A233" s="353"/>
      <c r="B233" s="287" t="str">
        <f>+B160</f>
        <v>PPAF3 INVESTOR REPORT QUARTER ENDING MARCH 2016</v>
      </c>
      <c r="C233" s="354"/>
      <c r="D233" s="354"/>
      <c r="E233" s="354"/>
      <c r="F233" s="354"/>
      <c r="G233" s="354"/>
      <c r="H233" s="354"/>
      <c r="I233" s="354"/>
      <c r="J233" s="354"/>
      <c r="K233" s="354"/>
      <c r="L233" s="354"/>
      <c r="M233" s="290"/>
      <c r="N233" s="287"/>
      <c r="O233" s="287"/>
      <c r="P233" s="354"/>
      <c r="Q233" s="354"/>
      <c r="R233" s="317"/>
      <c r="S233" s="317"/>
      <c r="T233" s="317"/>
      <c r="U233" s="317"/>
      <c r="V233" s="356"/>
      <c r="W233" s="6"/>
    </row>
    <row r="234" spans="1:2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row>
  </sheetData>
  <hyperlinks>
    <hyperlink ref="I9" r:id="rId1"/>
    <hyperlink ref="K187"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21" man="1"/>
    <brk id="109" max="16383" man="1"/>
    <brk id="160" max="21" man="1"/>
    <brk id="239" man="1"/>
  </rowBreaks>
  <colBreaks count="1" manualBreakCount="1">
    <brk id="23" max="1048575" man="1"/>
  </colBreaks>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000099"/>
  </sheetPr>
  <dimension ref="A1:Y234"/>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38" t="s">
        <v>223</v>
      </c>
      <c r="B1" s="285" t="s">
        <v>123</v>
      </c>
      <c r="C1" s="239"/>
      <c r="D1" s="239"/>
      <c r="E1" s="239"/>
      <c r="F1" s="239"/>
      <c r="G1" s="239"/>
      <c r="H1" s="239"/>
      <c r="I1" s="239"/>
      <c r="J1" s="239"/>
      <c r="K1" s="239"/>
      <c r="L1" s="239"/>
      <c r="M1" s="240"/>
      <c r="N1" s="240"/>
      <c r="O1" s="240"/>
      <c r="P1" s="240"/>
      <c r="Q1" s="240"/>
      <c r="R1" s="240"/>
      <c r="S1" s="240"/>
      <c r="T1" s="240"/>
      <c r="U1" s="240"/>
      <c r="V1" s="241"/>
      <c r="W1" s="6"/>
    </row>
    <row r="2" spans="1:23" ht="15.6">
      <c r="A2" s="242"/>
      <c r="B2" s="243"/>
      <c r="C2" s="243"/>
      <c r="D2" s="243"/>
      <c r="E2" s="243"/>
      <c r="F2" s="243"/>
      <c r="G2" s="243"/>
      <c r="H2" s="243"/>
      <c r="I2" s="243"/>
      <c r="J2" s="243"/>
      <c r="K2" s="243"/>
      <c r="L2" s="243"/>
      <c r="M2" s="244"/>
      <c r="N2" s="244"/>
      <c r="O2" s="244"/>
      <c r="P2" s="244"/>
      <c r="Q2" s="244"/>
      <c r="R2" s="244"/>
      <c r="S2" s="244"/>
      <c r="T2" s="244"/>
      <c r="U2" s="244"/>
      <c r="V2" s="245"/>
      <c r="W2" s="6"/>
    </row>
    <row r="3" spans="1:23" ht="15.6">
      <c r="A3" s="246"/>
      <c r="B3" s="247" t="s">
        <v>125</v>
      </c>
      <c r="C3" s="244"/>
      <c r="D3" s="244"/>
      <c r="E3" s="244"/>
      <c r="F3" s="244"/>
      <c r="G3" s="244"/>
      <c r="H3" s="244"/>
      <c r="I3" s="244"/>
      <c r="J3" s="244"/>
      <c r="K3" s="244"/>
      <c r="L3" s="244"/>
      <c r="M3" s="244"/>
      <c r="N3" s="244"/>
      <c r="O3" s="244"/>
      <c r="P3" s="244"/>
      <c r="Q3" s="244"/>
      <c r="R3" s="244"/>
      <c r="S3" s="244"/>
      <c r="T3" s="244"/>
      <c r="U3" s="244"/>
      <c r="V3" s="245"/>
      <c r="W3" s="6"/>
    </row>
    <row r="4" spans="1:23" ht="15.6">
      <c r="A4" s="242"/>
      <c r="B4" s="243"/>
      <c r="C4" s="243"/>
      <c r="D4" s="243"/>
      <c r="E4" s="243"/>
      <c r="F4" s="243"/>
      <c r="G4" s="243"/>
      <c r="H4" s="243"/>
      <c r="I4" s="243"/>
      <c r="J4" s="243"/>
      <c r="K4" s="243"/>
      <c r="L4" s="243"/>
      <c r="M4" s="244"/>
      <c r="N4" s="244"/>
      <c r="O4" s="244"/>
      <c r="P4" s="244"/>
      <c r="Q4" s="244"/>
      <c r="R4" s="244"/>
      <c r="S4" s="244"/>
      <c r="T4" s="244"/>
      <c r="U4" s="244"/>
      <c r="V4" s="245"/>
      <c r="W4" s="6"/>
    </row>
    <row r="5" spans="1:23" ht="16.2">
      <c r="A5" s="242"/>
      <c r="B5" s="286" t="s">
        <v>0</v>
      </c>
      <c r="C5" s="248"/>
      <c r="D5" s="248"/>
      <c r="E5" s="248"/>
      <c r="F5" s="248"/>
      <c r="G5" s="248"/>
      <c r="H5" s="248"/>
      <c r="I5" s="248"/>
      <c r="J5" s="248"/>
      <c r="K5" s="248"/>
      <c r="L5" s="248"/>
      <c r="M5" s="244"/>
      <c r="N5" s="244"/>
      <c r="O5" s="244"/>
      <c r="P5" s="244"/>
      <c r="Q5" s="244"/>
      <c r="R5" s="244"/>
      <c r="S5" s="244"/>
      <c r="T5" s="244"/>
      <c r="U5" s="244"/>
      <c r="V5" s="245"/>
      <c r="W5" s="6"/>
    </row>
    <row r="6" spans="1:23" ht="16.2">
      <c r="A6" s="242"/>
      <c r="B6" s="286" t="s">
        <v>1</v>
      </c>
      <c r="C6" s="248"/>
      <c r="D6" s="248"/>
      <c r="E6" s="248"/>
      <c r="F6" s="248"/>
      <c r="G6" s="248"/>
      <c r="H6" s="248"/>
      <c r="I6" s="248"/>
      <c r="J6" s="248"/>
      <c r="K6" s="248"/>
      <c r="L6" s="248"/>
      <c r="M6" s="244"/>
      <c r="N6" s="244"/>
      <c r="O6" s="244"/>
      <c r="P6" s="244"/>
      <c r="Q6" s="244"/>
      <c r="R6" s="244"/>
      <c r="S6" s="244"/>
      <c r="T6" s="244"/>
      <c r="U6" s="244"/>
      <c r="V6" s="245"/>
      <c r="W6" s="6"/>
    </row>
    <row r="7" spans="1:23" ht="16.2">
      <c r="A7" s="242"/>
      <c r="B7" s="286" t="s">
        <v>2</v>
      </c>
      <c r="C7" s="248"/>
      <c r="D7" s="248"/>
      <c r="E7" s="248"/>
      <c r="F7" s="248"/>
      <c r="G7" s="248"/>
      <c r="H7" s="248"/>
      <c r="I7" s="248"/>
      <c r="J7" s="248"/>
      <c r="K7" s="248"/>
      <c r="L7" s="248"/>
      <c r="M7" s="244"/>
      <c r="N7" s="244"/>
      <c r="O7" s="244"/>
      <c r="P7" s="244"/>
      <c r="Q7" s="244"/>
      <c r="R7" s="244"/>
      <c r="S7" s="244"/>
      <c r="T7" s="244"/>
      <c r="U7" s="244"/>
      <c r="V7" s="245"/>
      <c r="W7" s="6"/>
    </row>
    <row r="8" spans="1:23" ht="16.2">
      <c r="A8" s="242"/>
      <c r="B8" s="249"/>
      <c r="C8" s="248"/>
      <c r="D8" s="248"/>
      <c r="E8" s="248"/>
      <c r="F8" s="248"/>
      <c r="G8" s="248"/>
      <c r="H8" s="248"/>
      <c r="I8" s="248"/>
      <c r="J8" s="248"/>
      <c r="K8" s="248"/>
      <c r="L8" s="248"/>
      <c r="M8" s="244"/>
      <c r="N8" s="244"/>
      <c r="O8" s="244"/>
      <c r="P8" s="244"/>
      <c r="Q8" s="244"/>
      <c r="R8" s="244"/>
      <c r="S8" s="244"/>
      <c r="T8" s="244"/>
      <c r="U8" s="244"/>
      <c r="V8" s="245"/>
      <c r="W8" s="6"/>
    </row>
    <row r="9" spans="1:23" ht="18">
      <c r="A9" s="242"/>
      <c r="B9" s="250" t="s">
        <v>194</v>
      </c>
      <c r="C9" s="248"/>
      <c r="D9" s="248"/>
      <c r="E9" s="248"/>
      <c r="F9" s="248"/>
      <c r="G9" s="248"/>
      <c r="H9" s="248"/>
      <c r="I9" s="251" t="s">
        <v>195</v>
      </c>
      <c r="J9" s="248"/>
      <c r="K9" s="248"/>
      <c r="L9" s="248"/>
      <c r="M9" s="244"/>
      <c r="N9" s="244"/>
      <c r="O9" s="244"/>
      <c r="P9" s="244"/>
      <c r="Q9" s="244"/>
      <c r="R9" s="244"/>
      <c r="S9" s="244"/>
      <c r="T9" s="244"/>
      <c r="U9" s="244"/>
      <c r="V9" s="245"/>
      <c r="W9" s="6"/>
    </row>
    <row r="10" spans="1:23" ht="16.2">
      <c r="A10" s="242"/>
      <c r="B10" s="248"/>
      <c r="C10" s="248"/>
      <c r="D10" s="248"/>
      <c r="E10" s="248"/>
      <c r="F10" s="248"/>
      <c r="G10" s="248"/>
      <c r="H10" s="248"/>
      <c r="I10" s="248"/>
      <c r="J10" s="248"/>
      <c r="K10" s="248"/>
      <c r="L10" s="248"/>
      <c r="M10" s="252"/>
      <c r="N10" s="252"/>
      <c r="O10" s="244"/>
      <c r="P10" s="244"/>
      <c r="Q10" s="244"/>
      <c r="R10" s="244"/>
      <c r="S10" s="244"/>
      <c r="T10" s="244"/>
      <c r="U10" s="244"/>
      <c r="V10" s="245"/>
      <c r="W10" s="6"/>
    </row>
    <row r="11" spans="1:23" ht="15.6">
      <c r="A11" s="242"/>
      <c r="B11" s="287" t="s">
        <v>3</v>
      </c>
      <c r="C11" s="252"/>
      <c r="D11" s="252"/>
      <c r="E11" s="252"/>
      <c r="F11" s="252"/>
      <c r="G11" s="252"/>
      <c r="H11" s="252"/>
      <c r="I11" s="252"/>
      <c r="J11" s="252"/>
      <c r="K11" s="252"/>
      <c r="L11" s="252"/>
      <c r="M11" s="244"/>
      <c r="N11" s="244"/>
      <c r="O11" s="244"/>
      <c r="P11" s="244"/>
      <c r="Q11" s="244"/>
      <c r="R11" s="244"/>
      <c r="S11" s="244"/>
      <c r="T11" s="244"/>
      <c r="U11" s="244"/>
      <c r="V11" s="245"/>
      <c r="W11" s="6"/>
    </row>
    <row r="12" spans="1:23" ht="16.2" thickBot="1">
      <c r="A12" s="242"/>
      <c r="B12" s="252"/>
      <c r="C12" s="252"/>
      <c r="D12" s="252"/>
      <c r="E12" s="252"/>
      <c r="F12" s="252"/>
      <c r="G12" s="252"/>
      <c r="H12" s="252"/>
      <c r="I12" s="252"/>
      <c r="J12" s="252"/>
      <c r="K12" s="252"/>
      <c r="L12" s="252"/>
      <c r="M12" s="244"/>
      <c r="N12" s="244"/>
      <c r="O12" s="244"/>
      <c r="P12" s="244"/>
      <c r="Q12" s="244"/>
      <c r="R12" s="244"/>
      <c r="S12" s="244"/>
      <c r="T12" s="244"/>
      <c r="U12" s="244"/>
      <c r="V12" s="245"/>
      <c r="W12" s="6"/>
    </row>
    <row r="13" spans="1:23" ht="15.6">
      <c r="A13" s="238"/>
      <c r="B13" s="240"/>
      <c r="C13" s="240"/>
      <c r="D13" s="240"/>
      <c r="E13" s="240"/>
      <c r="F13" s="240"/>
      <c r="G13" s="240"/>
      <c r="H13" s="240"/>
      <c r="I13" s="240"/>
      <c r="J13" s="240"/>
      <c r="K13" s="240"/>
      <c r="L13" s="240"/>
      <c r="M13" s="240"/>
      <c r="N13" s="240"/>
      <c r="O13" s="240"/>
      <c r="P13" s="240"/>
      <c r="Q13" s="240"/>
      <c r="R13" s="240"/>
      <c r="S13" s="240"/>
      <c r="T13" s="240"/>
      <c r="U13" s="240"/>
      <c r="V13" s="241"/>
      <c r="W13" s="6"/>
    </row>
    <row r="14" spans="1:23" ht="15.6">
      <c r="A14" s="242"/>
      <c r="B14" s="287" t="s">
        <v>4</v>
      </c>
      <c r="C14" s="253"/>
      <c r="D14" s="253"/>
      <c r="E14" s="253"/>
      <c r="F14" s="253"/>
      <c r="G14" s="253"/>
      <c r="H14" s="253"/>
      <c r="I14" s="253"/>
      <c r="J14" s="253"/>
      <c r="K14" s="253"/>
      <c r="L14" s="253"/>
      <c r="M14" s="288"/>
      <c r="N14" s="288"/>
      <c r="O14" s="288"/>
      <c r="P14" s="288"/>
      <c r="Q14" s="288"/>
      <c r="R14" s="288"/>
      <c r="S14" s="288"/>
      <c r="T14" s="288"/>
      <c r="U14" s="289" t="s">
        <v>126</v>
      </c>
      <c r="V14" s="245"/>
      <c r="W14" s="6"/>
    </row>
    <row r="15" spans="1:23" ht="15.6">
      <c r="A15" s="242"/>
      <c r="B15" s="287" t="s">
        <v>5</v>
      </c>
      <c r="C15" s="253"/>
      <c r="D15" s="253"/>
      <c r="E15" s="253"/>
      <c r="F15" s="253"/>
      <c r="G15" s="253"/>
      <c r="H15" s="253"/>
      <c r="I15" s="253"/>
      <c r="J15" s="253"/>
      <c r="K15" s="253"/>
      <c r="L15" s="253"/>
      <c r="M15" s="290" t="s">
        <v>93</v>
      </c>
      <c r="N15" s="291">
        <v>0.1492</v>
      </c>
      <c r="O15" s="290" t="s">
        <v>99</v>
      </c>
      <c r="P15" s="291">
        <v>5.4399999999999997E-2</v>
      </c>
      <c r="Q15" s="290" t="s">
        <v>102</v>
      </c>
      <c r="R15" s="291">
        <v>0.48899999999999999</v>
      </c>
      <c r="S15" s="290" t="s">
        <v>108</v>
      </c>
      <c r="T15" s="291">
        <v>0.30740000000000001</v>
      </c>
      <c r="U15" s="289"/>
      <c r="V15" s="254"/>
      <c r="W15" s="6"/>
    </row>
    <row r="16" spans="1:23" ht="15.6">
      <c r="A16" s="242"/>
      <c r="B16" s="287" t="s">
        <v>6</v>
      </c>
      <c r="C16" s="253"/>
      <c r="D16" s="253"/>
      <c r="E16" s="253"/>
      <c r="F16" s="253"/>
      <c r="G16" s="253"/>
      <c r="H16" s="253"/>
      <c r="I16" s="253"/>
      <c r="J16" s="253"/>
      <c r="K16" s="253"/>
      <c r="L16" s="253"/>
      <c r="M16" s="290" t="s">
        <v>93</v>
      </c>
      <c r="N16" s="291">
        <f>+N198/S221</f>
        <v>1.0638297872340425E-2</v>
      </c>
      <c r="O16" s="290" t="s">
        <v>99</v>
      </c>
      <c r="P16" s="291">
        <f>+S198/S221</f>
        <v>1.6021532940271724E-3</v>
      </c>
      <c r="Q16" s="290" t="s">
        <v>102</v>
      </c>
      <c r="R16" s="291">
        <f>+N211/S221</f>
        <v>0.98560625480645991</v>
      </c>
      <c r="S16" s="290" t="s">
        <v>108</v>
      </c>
      <c r="T16" s="291">
        <f>+S211/S221</f>
        <v>2.1532940271725199E-3</v>
      </c>
      <c r="U16" s="289"/>
      <c r="V16" s="254"/>
      <c r="W16" s="6"/>
    </row>
    <row r="17" spans="1:23" ht="15.6">
      <c r="A17" s="242"/>
      <c r="B17" s="287" t="s">
        <v>7</v>
      </c>
      <c r="C17" s="253"/>
      <c r="D17" s="253"/>
      <c r="E17" s="253"/>
      <c r="F17" s="253"/>
      <c r="G17" s="253"/>
      <c r="H17" s="253"/>
      <c r="I17" s="253"/>
      <c r="J17" s="253"/>
      <c r="K17" s="253"/>
      <c r="L17" s="253"/>
      <c r="M17" s="288"/>
      <c r="N17" s="288"/>
      <c r="O17" s="288"/>
      <c r="P17" s="288"/>
      <c r="Q17" s="288"/>
      <c r="R17" s="288"/>
      <c r="S17" s="288"/>
      <c r="T17" s="288"/>
      <c r="U17" s="292">
        <v>38491</v>
      </c>
      <c r="V17" s="245"/>
      <c r="W17" s="6"/>
    </row>
    <row r="18" spans="1:23" ht="15.6">
      <c r="A18" s="242"/>
      <c r="B18" s="287" t="s">
        <v>8</v>
      </c>
      <c r="C18" s="253"/>
      <c r="D18" s="253"/>
      <c r="E18" s="253"/>
      <c r="F18" s="253"/>
      <c r="G18" s="253"/>
      <c r="H18" s="253"/>
      <c r="I18" s="253"/>
      <c r="J18" s="253"/>
      <c r="K18" s="253"/>
      <c r="L18" s="253"/>
      <c r="M18" s="288"/>
      <c r="N18" s="288"/>
      <c r="O18" s="288"/>
      <c r="P18" s="288"/>
      <c r="Q18" s="288"/>
      <c r="R18" s="288"/>
      <c r="S18" s="288"/>
      <c r="T18" s="288"/>
      <c r="U18" s="292">
        <v>42572</v>
      </c>
      <c r="V18" s="245"/>
      <c r="W18" s="6"/>
    </row>
    <row r="19" spans="1:23" ht="15.6">
      <c r="A19" s="242"/>
      <c r="B19" s="288"/>
      <c r="C19" s="244"/>
      <c r="D19" s="244"/>
      <c r="E19" s="244"/>
      <c r="F19" s="244"/>
      <c r="G19" s="244"/>
      <c r="H19" s="244"/>
      <c r="I19" s="244"/>
      <c r="J19" s="244"/>
      <c r="K19" s="244"/>
      <c r="L19" s="244"/>
      <c r="M19" s="244"/>
      <c r="N19" s="244"/>
      <c r="O19" s="244"/>
      <c r="P19" s="244"/>
      <c r="Q19" s="244"/>
      <c r="R19" s="244"/>
      <c r="S19" s="244"/>
      <c r="T19" s="244"/>
      <c r="U19" s="255"/>
      <c r="V19" s="245"/>
      <c r="W19" s="6"/>
    </row>
    <row r="20" spans="1:23" ht="15.6">
      <c r="A20" s="242"/>
      <c r="B20" s="293" t="s">
        <v>9</v>
      </c>
      <c r="C20" s="244"/>
      <c r="D20" s="244"/>
      <c r="E20" s="244"/>
      <c r="F20" s="244"/>
      <c r="G20" s="244"/>
      <c r="H20" s="244"/>
      <c r="I20" s="244"/>
      <c r="J20" s="244"/>
      <c r="K20" s="244"/>
      <c r="L20" s="244"/>
      <c r="M20" s="244"/>
      <c r="N20" s="244"/>
      <c r="O20" s="244"/>
      <c r="P20" s="244"/>
      <c r="Q20" s="244"/>
      <c r="R20" s="244"/>
      <c r="S20" s="255"/>
      <c r="T20" s="244"/>
      <c r="U20" s="249"/>
      <c r="V20" s="245"/>
      <c r="W20" s="6"/>
    </row>
    <row r="21" spans="1:23" ht="15.6">
      <c r="A21" s="242"/>
      <c r="B21" s="244"/>
      <c r="C21" s="244"/>
      <c r="D21" s="244"/>
      <c r="E21" s="244"/>
      <c r="F21" s="244"/>
      <c r="G21" s="244"/>
      <c r="H21" s="244"/>
      <c r="I21" s="244"/>
      <c r="J21" s="244"/>
      <c r="K21" s="244"/>
      <c r="L21" s="244"/>
      <c r="M21" s="244"/>
      <c r="N21" s="244"/>
      <c r="O21" s="244"/>
      <c r="P21" s="244"/>
      <c r="Q21" s="244"/>
      <c r="R21" s="244"/>
      <c r="S21" s="244"/>
      <c r="T21" s="244"/>
      <c r="U21" s="256"/>
      <c r="V21" s="245"/>
      <c r="W21" s="6"/>
    </row>
    <row r="22" spans="1:23" ht="15.6">
      <c r="A22" s="230"/>
      <c r="B22" s="231"/>
      <c r="C22" s="232" t="s">
        <v>130</v>
      </c>
      <c r="D22" s="232"/>
      <c r="E22" s="232" t="s">
        <v>131</v>
      </c>
      <c r="F22" s="232"/>
      <c r="G22" s="232" t="s">
        <v>132</v>
      </c>
      <c r="H22" s="232"/>
      <c r="I22" s="232" t="s">
        <v>133</v>
      </c>
      <c r="J22" s="232"/>
      <c r="K22" s="232" t="s">
        <v>134</v>
      </c>
      <c r="L22" s="232"/>
      <c r="M22" s="233" t="s">
        <v>135</v>
      </c>
      <c r="N22" s="233"/>
      <c r="O22" s="233" t="s">
        <v>136</v>
      </c>
      <c r="P22" s="233"/>
      <c r="Q22" s="233" t="s">
        <v>137</v>
      </c>
      <c r="R22" s="233"/>
      <c r="S22" s="235"/>
      <c r="T22" s="236"/>
      <c r="U22" s="236"/>
      <c r="V22" s="237"/>
      <c r="W22" s="6"/>
    </row>
    <row r="23" spans="1:23" ht="15.6">
      <c r="A23" s="257"/>
      <c r="B23" s="294" t="s">
        <v>10</v>
      </c>
      <c r="C23" s="295" t="s">
        <v>96</v>
      </c>
      <c r="D23" s="295"/>
      <c r="E23" s="295" t="s">
        <v>96</v>
      </c>
      <c r="F23" s="295"/>
      <c r="G23" s="295" t="s">
        <v>138</v>
      </c>
      <c r="H23" s="295"/>
      <c r="I23" s="295" t="s">
        <v>138</v>
      </c>
      <c r="J23" s="295"/>
      <c r="K23" s="295" t="s">
        <v>104</v>
      </c>
      <c r="L23" s="296"/>
      <c r="M23" s="297" t="s">
        <v>104</v>
      </c>
      <c r="N23" s="297"/>
      <c r="O23" s="297" t="s">
        <v>109</v>
      </c>
      <c r="P23" s="297"/>
      <c r="Q23" s="297" t="s">
        <v>109</v>
      </c>
      <c r="R23" s="258"/>
      <c r="S23" s="258"/>
      <c r="T23" s="259"/>
      <c r="U23" s="259"/>
      <c r="V23" s="260"/>
      <c r="W23" s="6"/>
    </row>
    <row r="24" spans="1:23" ht="15.6">
      <c r="A24" s="378"/>
      <c r="B24" s="379" t="s">
        <v>11</v>
      </c>
      <c r="C24" s="380" t="s">
        <v>97</v>
      </c>
      <c r="D24" s="380"/>
      <c r="E24" s="380" t="s">
        <v>97</v>
      </c>
      <c r="F24" s="380"/>
      <c r="G24" s="380" t="s">
        <v>139</v>
      </c>
      <c r="H24" s="380"/>
      <c r="I24" s="380" t="s">
        <v>139</v>
      </c>
      <c r="J24" s="380"/>
      <c r="K24" s="380" t="s">
        <v>105</v>
      </c>
      <c r="L24" s="381"/>
      <c r="M24" s="382" t="s">
        <v>105</v>
      </c>
      <c r="N24" s="382"/>
      <c r="O24" s="382" t="s">
        <v>110</v>
      </c>
      <c r="P24" s="382"/>
      <c r="Q24" s="382" t="s">
        <v>110</v>
      </c>
      <c r="R24" s="383"/>
      <c r="S24" s="383"/>
      <c r="T24" s="384"/>
      <c r="U24" s="384"/>
      <c r="V24" s="385"/>
      <c r="W24" s="6"/>
    </row>
    <row r="25" spans="1:23" ht="15.6">
      <c r="A25" s="378"/>
      <c r="B25" s="386" t="s">
        <v>12</v>
      </c>
      <c r="C25" s="381" t="s">
        <v>284</v>
      </c>
      <c r="D25" s="381"/>
      <c r="E25" s="381" t="s">
        <v>284</v>
      </c>
      <c r="F25" s="381"/>
      <c r="G25" s="381" t="s">
        <v>284</v>
      </c>
      <c r="H25" s="381"/>
      <c r="I25" s="381" t="s">
        <v>284</v>
      </c>
      <c r="J25" s="386"/>
      <c r="K25" s="381" t="s">
        <v>284</v>
      </c>
      <c r="L25" s="386"/>
      <c r="M25" s="387" t="s">
        <v>284</v>
      </c>
      <c r="N25" s="382"/>
      <c r="O25" s="387" t="s">
        <v>284</v>
      </c>
      <c r="P25" s="382"/>
      <c r="Q25" s="387" t="s">
        <v>284</v>
      </c>
      <c r="R25" s="388"/>
      <c r="S25" s="388"/>
      <c r="T25" s="389"/>
      <c r="U25" s="384"/>
      <c r="V25" s="385"/>
      <c r="W25" s="6"/>
    </row>
    <row r="26" spans="1:23" ht="15.6">
      <c r="A26" s="378"/>
      <c r="B26" s="386" t="s">
        <v>13</v>
      </c>
      <c r="C26" s="381" t="s">
        <v>139</v>
      </c>
      <c r="D26" s="381"/>
      <c r="E26" s="381" t="s">
        <v>139</v>
      </c>
      <c r="F26" s="381"/>
      <c r="G26" s="381" t="s">
        <v>139</v>
      </c>
      <c r="H26" s="381"/>
      <c r="I26" s="381" t="s">
        <v>139</v>
      </c>
      <c r="J26" s="386"/>
      <c r="K26" s="381" t="s">
        <v>280</v>
      </c>
      <c r="L26" s="386"/>
      <c r="M26" s="387" t="s">
        <v>280</v>
      </c>
      <c r="N26" s="382"/>
      <c r="O26" s="387" t="s">
        <v>110</v>
      </c>
      <c r="P26" s="382"/>
      <c r="Q26" s="387" t="s">
        <v>110</v>
      </c>
      <c r="R26" s="388"/>
      <c r="S26" s="388"/>
      <c r="T26" s="389"/>
      <c r="U26" s="384"/>
      <c r="V26" s="385"/>
      <c r="W26" s="6"/>
    </row>
    <row r="27" spans="1:23" ht="15.6">
      <c r="A27" s="378"/>
      <c r="B27" s="379" t="s">
        <v>14</v>
      </c>
      <c r="C27" s="380" t="s">
        <v>140</v>
      </c>
      <c r="D27" s="379"/>
      <c r="E27" s="380" t="s">
        <v>141</v>
      </c>
      <c r="F27" s="379"/>
      <c r="G27" s="380" t="s">
        <v>142</v>
      </c>
      <c r="H27" s="379"/>
      <c r="I27" s="380" t="s">
        <v>258</v>
      </c>
      <c r="J27" s="379"/>
      <c r="K27" s="380" t="s">
        <v>143</v>
      </c>
      <c r="L27" s="379"/>
      <c r="M27" s="379" t="s">
        <v>144</v>
      </c>
      <c r="N27" s="382"/>
      <c r="O27" s="379" t="s">
        <v>145</v>
      </c>
      <c r="P27" s="382"/>
      <c r="Q27" s="379" t="s">
        <v>146</v>
      </c>
      <c r="R27" s="383"/>
      <c r="S27" s="390"/>
      <c r="T27" s="384"/>
      <c r="U27" s="384"/>
      <c r="V27" s="385"/>
      <c r="W27" s="6"/>
    </row>
    <row r="28" spans="1:23" ht="15.6">
      <c r="A28" s="378"/>
      <c r="B28" s="379" t="s">
        <v>147</v>
      </c>
      <c r="C28" s="391">
        <v>146000</v>
      </c>
      <c r="D28" s="380"/>
      <c r="E28" s="392">
        <v>259500</v>
      </c>
      <c r="F28" s="380"/>
      <c r="G28" s="391">
        <v>16000</v>
      </c>
      <c r="H28" s="380"/>
      <c r="I28" s="392">
        <v>35500</v>
      </c>
      <c r="J28" s="379"/>
      <c r="K28" s="391">
        <v>18000</v>
      </c>
      <c r="L28" s="379"/>
      <c r="M28" s="392">
        <v>33000</v>
      </c>
      <c r="N28" s="393"/>
      <c r="O28" s="394">
        <v>24500</v>
      </c>
      <c r="P28" s="394"/>
      <c r="Q28" s="392">
        <v>30000</v>
      </c>
      <c r="R28" s="395"/>
      <c r="S28" s="395"/>
      <c r="T28" s="396"/>
      <c r="U28" s="395"/>
      <c r="V28" s="397"/>
      <c r="W28" s="6"/>
    </row>
    <row r="29" spans="1:23" ht="15.6">
      <c r="A29" s="378"/>
      <c r="B29" s="379" t="s">
        <v>15</v>
      </c>
      <c r="C29" s="391">
        <f>C28*C35</f>
        <v>16287.4972</v>
      </c>
      <c r="D29" s="398"/>
      <c r="E29" s="392">
        <f>E28*E35</f>
        <v>28949.352899999998</v>
      </c>
      <c r="F29" s="398"/>
      <c r="G29" s="391">
        <f>G28*G35</f>
        <v>5847.8240000000005</v>
      </c>
      <c r="H29" s="398"/>
      <c r="I29" s="392">
        <f>I28*I35</f>
        <v>12974.8595</v>
      </c>
      <c r="J29" s="399"/>
      <c r="K29" s="391">
        <f>K28*K35</f>
        <v>6578.8020000000006</v>
      </c>
      <c r="L29" s="399"/>
      <c r="M29" s="392">
        <f>M28*M35</f>
        <v>12061.137000000001</v>
      </c>
      <c r="N29" s="393"/>
      <c r="O29" s="391">
        <f>O28*O35</f>
        <v>8954.4804999999997</v>
      </c>
      <c r="P29" s="394"/>
      <c r="Q29" s="392">
        <f>Q28*Q35</f>
        <v>10964.67</v>
      </c>
      <c r="R29" s="400"/>
      <c r="S29" s="395"/>
      <c r="T29" s="396"/>
      <c r="U29" s="395"/>
      <c r="V29" s="397"/>
      <c r="W29" s="6"/>
    </row>
    <row r="30" spans="1:23" ht="15.6">
      <c r="A30" s="401"/>
      <c r="B30" s="386" t="s">
        <v>148</v>
      </c>
      <c r="C30" s="415">
        <f>C34*C28</f>
        <v>15459.823200000001</v>
      </c>
      <c r="D30" s="505"/>
      <c r="E30" s="406">
        <f>E34*E28</f>
        <v>27478.2474</v>
      </c>
      <c r="F30" s="505"/>
      <c r="G30" s="415">
        <f>G34*G28</f>
        <v>5550.7264000000005</v>
      </c>
      <c r="H30" s="505"/>
      <c r="I30" s="406">
        <f>I34*I28</f>
        <v>12315.674200000001</v>
      </c>
      <c r="J30" s="506"/>
      <c r="K30" s="415">
        <f>K34*K28</f>
        <v>6244.5672000000004</v>
      </c>
      <c r="L30" s="399"/>
      <c r="M30" s="406">
        <f>M34*M28</f>
        <v>11448.3732</v>
      </c>
      <c r="N30" s="407"/>
      <c r="O30" s="415">
        <f>O34*O28</f>
        <v>8499.5498000000007</v>
      </c>
      <c r="P30" s="408"/>
      <c r="Q30" s="406">
        <f>Q34*Q28</f>
        <v>10407.612000000001</v>
      </c>
      <c r="R30" s="408"/>
      <c r="S30" s="408"/>
      <c r="T30" s="409"/>
      <c r="U30" s="408"/>
      <c r="V30" s="410"/>
      <c r="W30" s="6"/>
    </row>
    <row r="31" spans="1:23" ht="15.6">
      <c r="A31" s="401"/>
      <c r="B31" s="379" t="s">
        <v>260</v>
      </c>
      <c r="C31" s="391">
        <v>146000</v>
      </c>
      <c r="D31" s="398"/>
      <c r="E31" s="391">
        <v>178000</v>
      </c>
      <c r="F31" s="391"/>
      <c r="G31" s="391">
        <v>16000</v>
      </c>
      <c r="H31" s="391"/>
      <c r="I31" s="391">
        <v>24500</v>
      </c>
      <c r="J31" s="412"/>
      <c r="K31" s="391">
        <v>18000</v>
      </c>
      <c r="L31" s="412"/>
      <c r="M31" s="391">
        <v>22500</v>
      </c>
      <c r="N31" s="414"/>
      <c r="O31" s="391">
        <v>24500</v>
      </c>
      <c r="P31" s="415"/>
      <c r="Q31" s="391">
        <v>20500</v>
      </c>
      <c r="R31" s="408"/>
      <c r="S31" s="408"/>
      <c r="T31" s="409"/>
      <c r="U31" s="394">
        <f>+Q31+O31+M31+K31+I31+G31+E31+C31</f>
        <v>450000</v>
      </c>
      <c r="V31" s="410"/>
      <c r="W31" s="6"/>
    </row>
    <row r="32" spans="1:23" ht="15.6">
      <c r="A32" s="401"/>
      <c r="B32" s="379" t="s">
        <v>261</v>
      </c>
      <c r="C32" s="391">
        <f>C28*C35</f>
        <v>16287.4972</v>
      </c>
      <c r="D32" s="398"/>
      <c r="E32" s="391">
        <f>E31*E35</f>
        <v>19857.3596</v>
      </c>
      <c r="F32" s="391"/>
      <c r="G32" s="391">
        <f>G28*G35</f>
        <v>5847.8240000000005</v>
      </c>
      <c r="H32" s="391"/>
      <c r="I32" s="391">
        <f>I31*I35</f>
        <v>8954.4804999999997</v>
      </c>
      <c r="J32" s="412"/>
      <c r="K32" s="391">
        <f>K28*K35</f>
        <v>6578.8020000000006</v>
      </c>
      <c r="L32" s="412"/>
      <c r="M32" s="391">
        <f>M31*M35</f>
        <v>8223.5025000000005</v>
      </c>
      <c r="N32" s="414"/>
      <c r="O32" s="391">
        <f>O28*O35</f>
        <v>8954.4804999999997</v>
      </c>
      <c r="P32" s="415"/>
      <c r="Q32" s="391">
        <f>Q31*Q35</f>
        <v>7492.5245000000004</v>
      </c>
      <c r="R32" s="391"/>
      <c r="S32" s="408"/>
      <c r="T32" s="409"/>
      <c r="U32" s="394">
        <f>+Q32+O32+M32+K32+I32+G32+E32+C32</f>
        <v>82196.470799999996</v>
      </c>
      <c r="V32" s="410"/>
      <c r="W32" s="6"/>
    </row>
    <row r="33" spans="1:23" ht="15.6">
      <c r="A33" s="401"/>
      <c r="B33" s="386" t="s">
        <v>262</v>
      </c>
      <c r="C33" s="415">
        <f>C34*C28</f>
        <v>15459.823200000001</v>
      </c>
      <c r="D33" s="415"/>
      <c r="E33" s="415">
        <f>E34*E31</f>
        <v>18848.277600000001</v>
      </c>
      <c r="F33" s="415"/>
      <c r="G33" s="415">
        <f>G34*G28</f>
        <v>5550.7264000000005</v>
      </c>
      <c r="H33" s="415"/>
      <c r="I33" s="415">
        <f>I34*I31</f>
        <v>8499.5498000000007</v>
      </c>
      <c r="J33" s="414"/>
      <c r="K33" s="415">
        <f>K34*K28</f>
        <v>6244.5672000000004</v>
      </c>
      <c r="L33" s="414"/>
      <c r="M33" s="415">
        <f>M34*M31</f>
        <v>7805.7090000000007</v>
      </c>
      <c r="N33" s="414"/>
      <c r="O33" s="415">
        <f>O34*O28</f>
        <v>8499.5498000000007</v>
      </c>
      <c r="P33" s="415"/>
      <c r="Q33" s="415">
        <f>Q34*Q31</f>
        <v>7111.8682000000008</v>
      </c>
      <c r="R33" s="408"/>
      <c r="S33" s="408"/>
      <c r="T33" s="409"/>
      <c r="U33" s="408">
        <f>+Q33+O33+M33+K33+I33+G33+E33+C33</f>
        <v>78020.071200000006</v>
      </c>
      <c r="V33" s="410"/>
      <c r="W33" s="6"/>
    </row>
    <row r="34" spans="1:23" ht="15.6">
      <c r="A34" s="401"/>
      <c r="B34" s="468" t="s">
        <v>149</v>
      </c>
      <c r="C34" s="507">
        <v>0.1058892</v>
      </c>
      <c r="D34" s="507"/>
      <c r="E34" s="507">
        <v>0.1058892</v>
      </c>
      <c r="F34" s="507"/>
      <c r="G34" s="507">
        <v>0.34692040000000002</v>
      </c>
      <c r="H34" s="507"/>
      <c r="I34" s="507">
        <v>0.34692040000000002</v>
      </c>
      <c r="J34" s="507"/>
      <c r="K34" s="507">
        <v>0.34692040000000002</v>
      </c>
      <c r="L34" s="507"/>
      <c r="M34" s="507">
        <v>0.34692040000000002</v>
      </c>
      <c r="N34" s="507"/>
      <c r="O34" s="507">
        <v>0.34692040000000002</v>
      </c>
      <c r="P34" s="507"/>
      <c r="Q34" s="507">
        <v>0.34692040000000002</v>
      </c>
      <c r="R34" s="508"/>
      <c r="S34" s="420"/>
      <c r="T34" s="421"/>
      <c r="U34" s="420"/>
      <c r="V34" s="385"/>
      <c r="W34" s="6"/>
    </row>
    <row r="35" spans="1:23" ht="15.6">
      <c r="A35" s="401"/>
      <c r="B35" s="468" t="s">
        <v>150</v>
      </c>
      <c r="C35" s="507">
        <v>0.1115582</v>
      </c>
      <c r="D35" s="507"/>
      <c r="E35" s="507">
        <v>0.1115582</v>
      </c>
      <c r="F35" s="507"/>
      <c r="G35" s="507">
        <v>0.36548900000000001</v>
      </c>
      <c r="H35" s="507"/>
      <c r="I35" s="507">
        <v>0.36548900000000001</v>
      </c>
      <c r="J35" s="507"/>
      <c r="K35" s="507">
        <v>0.36548900000000001</v>
      </c>
      <c r="L35" s="507"/>
      <c r="M35" s="507">
        <v>0.36548900000000001</v>
      </c>
      <c r="N35" s="507"/>
      <c r="O35" s="507">
        <v>0.36548900000000001</v>
      </c>
      <c r="P35" s="507"/>
      <c r="Q35" s="507">
        <v>0.36548900000000001</v>
      </c>
      <c r="R35" s="508"/>
      <c r="S35" s="420"/>
      <c r="T35" s="421"/>
      <c r="U35" s="420"/>
      <c r="V35" s="385"/>
      <c r="W35" s="6"/>
    </row>
    <row r="36" spans="1:23" ht="15.6">
      <c r="A36" s="378"/>
      <c r="B36" s="379" t="s">
        <v>153</v>
      </c>
      <c r="C36" s="380" t="s">
        <v>163</v>
      </c>
      <c r="D36" s="380"/>
      <c r="E36" s="380" t="s">
        <v>163</v>
      </c>
      <c r="F36" s="380"/>
      <c r="G36" s="380" t="s">
        <v>164</v>
      </c>
      <c r="H36" s="380"/>
      <c r="I36" s="380" t="s">
        <v>164</v>
      </c>
      <c r="J36" s="380"/>
      <c r="K36" s="380" t="s">
        <v>106</v>
      </c>
      <c r="L36" s="380"/>
      <c r="M36" s="380" t="s">
        <v>165</v>
      </c>
      <c r="N36" s="380"/>
      <c r="O36" s="380" t="s">
        <v>166</v>
      </c>
      <c r="P36" s="380"/>
      <c r="Q36" s="380" t="s">
        <v>167</v>
      </c>
      <c r="R36" s="380"/>
      <c r="S36" s="380"/>
      <c r="T36" s="379"/>
      <c r="U36" s="424"/>
      <c r="V36" s="410"/>
      <c r="W36" s="6"/>
    </row>
    <row r="37" spans="1:23" ht="15.6">
      <c r="A37" s="378"/>
      <c r="B37" s="379" t="s">
        <v>151</v>
      </c>
      <c r="C37" s="509">
        <v>1.02781E-2</v>
      </c>
      <c r="D37" s="509"/>
      <c r="E37" s="509">
        <v>1.91E-3</v>
      </c>
      <c r="F37" s="509"/>
      <c r="G37" s="509">
        <v>1.2478100000000001E-2</v>
      </c>
      <c r="H37" s="509"/>
      <c r="I37" s="509">
        <v>4.1099999999999999E-3</v>
      </c>
      <c r="J37" s="509"/>
      <c r="K37" s="509">
        <v>1.7878100000000001E-2</v>
      </c>
      <c r="L37" s="509"/>
      <c r="M37" s="509">
        <v>8.9099999999999995E-3</v>
      </c>
      <c r="N37" s="509"/>
      <c r="O37" s="509">
        <v>2.48781E-2</v>
      </c>
      <c r="P37" s="509"/>
      <c r="Q37" s="509">
        <v>1.5509999999999999E-2</v>
      </c>
      <c r="R37" s="427"/>
      <c r="S37" s="509"/>
      <c r="T37" s="379"/>
      <c r="U37" s="380"/>
      <c r="V37" s="410"/>
      <c r="W37" s="6"/>
    </row>
    <row r="38" spans="1:23" ht="15.6">
      <c r="A38" s="378"/>
      <c r="B38" s="379" t="s">
        <v>152</v>
      </c>
      <c r="C38" s="509">
        <v>1.0306299999999999E-2</v>
      </c>
      <c r="D38" s="509"/>
      <c r="E38" s="509">
        <v>2.96E-3</v>
      </c>
      <c r="F38" s="509"/>
      <c r="G38" s="509">
        <v>1.25063E-2</v>
      </c>
      <c r="H38" s="509"/>
      <c r="I38" s="509">
        <v>5.1599999999999997E-3</v>
      </c>
      <c r="J38" s="509"/>
      <c r="K38" s="509">
        <v>1.79063E-2</v>
      </c>
      <c r="L38" s="509"/>
      <c r="M38" s="509">
        <v>9.9600000000000001E-3</v>
      </c>
      <c r="N38" s="509"/>
      <c r="O38" s="509">
        <v>2.4906299999999999E-2</v>
      </c>
      <c r="P38" s="509"/>
      <c r="Q38" s="509">
        <v>1.6559999999999998E-2</v>
      </c>
      <c r="R38" s="427"/>
      <c r="S38" s="509"/>
      <c r="T38" s="379"/>
      <c r="U38" s="424"/>
      <c r="V38" s="410"/>
      <c r="W38" s="6"/>
    </row>
    <row r="39" spans="1:23" ht="15.6">
      <c r="A39" s="378"/>
      <c r="B39" s="379" t="s">
        <v>263</v>
      </c>
      <c r="C39" s="380" t="s">
        <v>163</v>
      </c>
      <c r="D39" s="379"/>
      <c r="E39" s="380" t="s">
        <v>228</v>
      </c>
      <c r="F39" s="379"/>
      <c r="G39" s="380" t="s">
        <v>164</v>
      </c>
      <c r="H39" s="379"/>
      <c r="I39" s="380" t="s">
        <v>226</v>
      </c>
      <c r="J39" s="379"/>
      <c r="K39" s="380" t="s">
        <v>106</v>
      </c>
      <c r="L39" s="379"/>
      <c r="M39" s="380" t="s">
        <v>227</v>
      </c>
      <c r="N39" s="379"/>
      <c r="O39" s="380" t="s">
        <v>166</v>
      </c>
      <c r="P39" s="380"/>
      <c r="Q39" s="380" t="s">
        <v>229</v>
      </c>
      <c r="R39" s="427"/>
      <c r="S39" s="509"/>
      <c r="T39" s="379"/>
      <c r="U39" s="424"/>
      <c r="V39" s="410"/>
      <c r="W39" s="6"/>
    </row>
    <row r="40" spans="1:23" ht="15.6">
      <c r="A40" s="378"/>
      <c r="B40" s="379" t="s">
        <v>264</v>
      </c>
      <c r="C40" s="509">
        <f>+C37</f>
        <v>1.02781E-2</v>
      </c>
      <c r="D40" s="509"/>
      <c r="E40" s="509">
        <v>1.08541E-2</v>
      </c>
      <c r="F40" s="509"/>
      <c r="G40" s="509">
        <f>+G37</f>
        <v>1.2478100000000001E-2</v>
      </c>
      <c r="H40" s="509"/>
      <c r="I40" s="509">
        <v>1.32111E-2</v>
      </c>
      <c r="J40" s="509"/>
      <c r="K40" s="509">
        <f>+K37</f>
        <v>1.7878100000000001E-2</v>
      </c>
      <c r="L40" s="510"/>
      <c r="M40" s="509">
        <v>1.84385E-2</v>
      </c>
      <c r="N40" s="510"/>
      <c r="O40" s="509">
        <f>+O37</f>
        <v>2.48781E-2</v>
      </c>
      <c r="P40" s="509"/>
      <c r="Q40" s="509">
        <v>2.5704500000000002E-2</v>
      </c>
      <c r="R40" s="427"/>
      <c r="S40" s="509"/>
      <c r="T40" s="379"/>
      <c r="U40" s="427">
        <f>SUMPRODUCT(C40:Q40,C32:Q32)/U32</f>
        <v>1.531469828037167E-2</v>
      </c>
      <c r="V40" s="410"/>
      <c r="W40" s="6"/>
    </row>
    <row r="41" spans="1:23" ht="15.6">
      <c r="A41" s="378"/>
      <c r="B41" s="379" t="s">
        <v>265</v>
      </c>
      <c r="C41" s="509">
        <f>+C38</f>
        <v>1.0306299999999999E-2</v>
      </c>
      <c r="D41" s="509"/>
      <c r="E41" s="509">
        <v>1.0882299999999999E-2</v>
      </c>
      <c r="F41" s="509"/>
      <c r="G41" s="509">
        <f>+G38</f>
        <v>1.25063E-2</v>
      </c>
      <c r="H41" s="509"/>
      <c r="I41" s="509">
        <v>1.3239300000000001E-2</v>
      </c>
      <c r="J41" s="509"/>
      <c r="K41" s="509">
        <f>+K38</f>
        <v>1.79063E-2</v>
      </c>
      <c r="L41" s="510"/>
      <c r="M41" s="509">
        <v>1.8466699999999999E-2</v>
      </c>
      <c r="N41" s="510"/>
      <c r="O41" s="509">
        <f>+O38</f>
        <v>2.4906299999999999E-2</v>
      </c>
      <c r="P41" s="509"/>
      <c r="Q41" s="509">
        <v>2.5732700000000001E-2</v>
      </c>
      <c r="R41" s="427"/>
      <c r="S41" s="509"/>
      <c r="T41" s="379"/>
      <c r="U41" s="424"/>
      <c r="V41" s="410"/>
      <c r="W41" s="6"/>
    </row>
    <row r="42" spans="1:23" ht="15.6">
      <c r="A42" s="378"/>
      <c r="B42" s="379" t="s">
        <v>17</v>
      </c>
      <c r="C42" s="429">
        <v>39918</v>
      </c>
      <c r="D42" s="429"/>
      <c r="E42" s="429">
        <v>39918</v>
      </c>
      <c r="F42" s="429"/>
      <c r="G42" s="429">
        <v>39918</v>
      </c>
      <c r="H42" s="429"/>
      <c r="I42" s="429">
        <v>39918</v>
      </c>
      <c r="J42" s="429"/>
      <c r="K42" s="429">
        <v>39918</v>
      </c>
      <c r="L42" s="429"/>
      <c r="M42" s="429">
        <v>39918</v>
      </c>
      <c r="N42" s="429"/>
      <c r="O42" s="429">
        <v>39918</v>
      </c>
      <c r="P42" s="429"/>
      <c r="Q42" s="429">
        <v>39918</v>
      </c>
      <c r="R42" s="380"/>
      <c r="S42" s="380"/>
      <c r="T42" s="379"/>
      <c r="U42" s="424"/>
      <c r="V42" s="410"/>
      <c r="W42" s="6"/>
    </row>
    <row r="43" spans="1:23" ht="15.6">
      <c r="A43" s="378"/>
      <c r="B43" s="379" t="s">
        <v>18</v>
      </c>
      <c r="C43" s="429">
        <v>40283</v>
      </c>
      <c r="D43" s="430"/>
      <c r="E43" s="429">
        <v>40283</v>
      </c>
      <c r="F43" s="430"/>
      <c r="G43" s="429">
        <v>40283</v>
      </c>
      <c r="H43" s="430"/>
      <c r="I43" s="429">
        <v>40283</v>
      </c>
      <c r="J43" s="430"/>
      <c r="K43" s="429">
        <v>40283</v>
      </c>
      <c r="L43" s="430"/>
      <c r="M43" s="429">
        <v>40283</v>
      </c>
      <c r="N43" s="430"/>
      <c r="O43" s="429">
        <v>40283</v>
      </c>
      <c r="P43" s="429"/>
      <c r="Q43" s="429">
        <v>40283</v>
      </c>
      <c r="R43" s="380"/>
      <c r="S43" s="380"/>
      <c r="T43" s="424"/>
      <c r="U43" s="424"/>
      <c r="V43" s="410"/>
      <c r="W43" s="6"/>
    </row>
    <row r="44" spans="1:23" ht="15.6">
      <c r="A44" s="378"/>
      <c r="B44" s="379" t="s">
        <v>154</v>
      </c>
      <c r="C44" s="380" t="s">
        <v>163</v>
      </c>
      <c r="D44" s="380"/>
      <c r="E44" s="380" t="s">
        <v>163</v>
      </c>
      <c r="F44" s="380"/>
      <c r="G44" s="380" t="s">
        <v>164</v>
      </c>
      <c r="H44" s="380"/>
      <c r="I44" s="380" t="s">
        <v>164</v>
      </c>
      <c r="J44" s="380"/>
      <c r="K44" s="380" t="s">
        <v>106</v>
      </c>
      <c r="L44" s="380"/>
      <c r="M44" s="380" t="s">
        <v>165</v>
      </c>
      <c r="N44" s="380"/>
      <c r="O44" s="380" t="s">
        <v>166</v>
      </c>
      <c r="P44" s="380"/>
      <c r="Q44" s="380" t="s">
        <v>167</v>
      </c>
      <c r="R44" s="380"/>
      <c r="S44" s="380"/>
      <c r="T44" s="424"/>
      <c r="U44" s="424"/>
      <c r="V44" s="410"/>
      <c r="W44" s="6"/>
    </row>
    <row r="45" spans="1:23" ht="15.6">
      <c r="A45" s="378"/>
      <c r="B45" s="379" t="s">
        <v>266</v>
      </c>
      <c r="C45" s="380" t="s">
        <v>163</v>
      </c>
      <c r="D45" s="379"/>
      <c r="E45" s="380" t="s">
        <v>228</v>
      </c>
      <c r="F45" s="379"/>
      <c r="G45" s="380" t="s">
        <v>164</v>
      </c>
      <c r="H45" s="379"/>
      <c r="I45" s="380" t="s">
        <v>226</v>
      </c>
      <c r="J45" s="379"/>
      <c r="K45" s="380" t="s">
        <v>106</v>
      </c>
      <c r="L45" s="379"/>
      <c r="M45" s="380" t="s">
        <v>227</v>
      </c>
      <c r="N45" s="379"/>
      <c r="O45" s="380" t="s">
        <v>166</v>
      </c>
      <c r="P45" s="380"/>
      <c r="Q45" s="380" t="s">
        <v>229</v>
      </c>
      <c r="R45" s="380"/>
      <c r="S45" s="380"/>
      <c r="T45" s="424"/>
      <c r="U45" s="424"/>
      <c r="V45" s="410"/>
      <c r="W45" s="6"/>
    </row>
    <row r="46" spans="1:23" ht="15.6">
      <c r="A46" s="378"/>
      <c r="B46" s="379"/>
      <c r="C46" s="379"/>
      <c r="D46" s="379"/>
      <c r="E46" s="379"/>
      <c r="F46" s="379"/>
      <c r="G46" s="379"/>
      <c r="H46" s="379"/>
      <c r="I46" s="379"/>
      <c r="J46" s="379"/>
      <c r="K46" s="379"/>
      <c r="L46" s="379"/>
      <c r="M46" s="431"/>
      <c r="N46" s="431"/>
      <c r="O46" s="379"/>
      <c r="P46" s="431"/>
      <c r="Q46" s="431"/>
      <c r="R46" s="431"/>
      <c r="S46" s="431"/>
      <c r="T46" s="431"/>
      <c r="U46" s="431"/>
      <c r="V46" s="410"/>
      <c r="W46" s="6"/>
    </row>
    <row r="47" spans="1:23" ht="15.6">
      <c r="A47" s="378"/>
      <c r="B47" s="379" t="s">
        <v>201</v>
      </c>
      <c r="C47" s="379"/>
      <c r="D47" s="379"/>
      <c r="E47" s="379"/>
      <c r="F47" s="379"/>
      <c r="G47" s="379"/>
      <c r="H47" s="379"/>
      <c r="I47" s="379"/>
      <c r="J47" s="379"/>
      <c r="K47" s="379"/>
      <c r="L47" s="379"/>
      <c r="M47" s="379"/>
      <c r="N47" s="379"/>
      <c r="O47" s="379"/>
      <c r="P47" s="379"/>
      <c r="Q47" s="379"/>
      <c r="R47" s="379"/>
      <c r="S47" s="379"/>
      <c r="T47" s="379"/>
      <c r="U47" s="427">
        <f>SUM(G31:Q31)/(C31+E31)</f>
        <v>0.3888888888888889</v>
      </c>
      <c r="V47" s="410"/>
      <c r="W47" s="6"/>
    </row>
    <row r="48" spans="1:23" ht="15.6">
      <c r="A48" s="378"/>
      <c r="B48" s="379" t="s">
        <v>202</v>
      </c>
      <c r="C48" s="379"/>
      <c r="D48" s="379"/>
      <c r="E48" s="379"/>
      <c r="F48" s="379"/>
      <c r="G48" s="379"/>
      <c r="H48" s="379"/>
      <c r="I48" s="379"/>
      <c r="J48" s="379"/>
      <c r="K48" s="379"/>
      <c r="L48" s="379"/>
      <c r="M48" s="379"/>
      <c r="N48" s="379"/>
      <c r="O48" s="379"/>
      <c r="P48" s="379"/>
      <c r="Q48" s="379"/>
      <c r="R48" s="379"/>
      <c r="S48" s="379"/>
      <c r="T48" s="379"/>
      <c r="U48" s="427">
        <f>SUM(F33:Q33)/(C33+E33)</f>
        <v>1.2741005587811496</v>
      </c>
      <c r="V48" s="410"/>
      <c r="W48" s="6"/>
    </row>
    <row r="49" spans="1:25" ht="15.6">
      <c r="A49" s="378"/>
      <c r="B49" s="379" t="s">
        <v>203</v>
      </c>
      <c r="C49" s="379"/>
      <c r="D49" s="379"/>
      <c r="E49" s="379"/>
      <c r="F49" s="379"/>
      <c r="G49" s="379"/>
      <c r="H49" s="379"/>
      <c r="I49" s="379"/>
      <c r="J49" s="379"/>
      <c r="K49" s="379"/>
      <c r="L49" s="379"/>
      <c r="M49" s="379"/>
      <c r="N49" s="379"/>
      <c r="O49" s="379"/>
      <c r="P49" s="379"/>
      <c r="Q49" s="379"/>
      <c r="R49" s="379"/>
      <c r="S49" s="380" t="s">
        <v>95</v>
      </c>
      <c r="T49" s="380" t="s">
        <v>117</v>
      </c>
      <c r="U49" s="394">
        <v>99000</v>
      </c>
      <c r="V49" s="410"/>
      <c r="W49" s="6"/>
    </row>
    <row r="50" spans="1:25" ht="15.6">
      <c r="A50" s="378"/>
      <c r="B50" s="379"/>
      <c r="C50" s="379"/>
      <c r="D50" s="379"/>
      <c r="E50" s="379"/>
      <c r="F50" s="379"/>
      <c r="G50" s="379"/>
      <c r="H50" s="379"/>
      <c r="I50" s="379"/>
      <c r="J50" s="379"/>
      <c r="K50" s="379"/>
      <c r="L50" s="379"/>
      <c r="M50" s="379"/>
      <c r="N50" s="379"/>
      <c r="O50" s="379"/>
      <c r="P50" s="379"/>
      <c r="Q50" s="379"/>
      <c r="R50" s="379"/>
      <c r="S50" s="379" t="s">
        <v>213</v>
      </c>
      <c r="T50" s="379"/>
      <c r="U50" s="432"/>
      <c r="V50" s="410"/>
      <c r="W50" s="6"/>
    </row>
    <row r="51" spans="1:25" ht="15.6">
      <c r="A51" s="378"/>
      <c r="B51" s="379" t="s">
        <v>19</v>
      </c>
      <c r="C51" s="379"/>
      <c r="D51" s="379"/>
      <c r="E51" s="379"/>
      <c r="F51" s="379"/>
      <c r="G51" s="379"/>
      <c r="H51" s="379"/>
      <c r="I51" s="379"/>
      <c r="J51" s="379"/>
      <c r="K51" s="379"/>
      <c r="L51" s="379"/>
      <c r="M51" s="379"/>
      <c r="N51" s="379"/>
      <c r="O51" s="379"/>
      <c r="P51" s="379"/>
      <c r="Q51" s="379"/>
      <c r="R51" s="379"/>
      <c r="S51" s="380"/>
      <c r="T51" s="380"/>
      <c r="U51" s="380" t="s">
        <v>118</v>
      </c>
      <c r="V51" s="410"/>
      <c r="W51" s="6"/>
    </row>
    <row r="52" spans="1:25" ht="15.6">
      <c r="A52" s="401"/>
      <c r="B52" s="386" t="s">
        <v>20</v>
      </c>
      <c r="C52" s="386"/>
      <c r="D52" s="386"/>
      <c r="E52" s="386"/>
      <c r="F52" s="386"/>
      <c r="G52" s="386"/>
      <c r="H52" s="386"/>
      <c r="I52" s="386"/>
      <c r="J52" s="386"/>
      <c r="K52" s="386"/>
      <c r="L52" s="386"/>
      <c r="M52" s="386"/>
      <c r="N52" s="386"/>
      <c r="O52" s="386"/>
      <c r="P52" s="386"/>
      <c r="Q52" s="386"/>
      <c r="R52" s="386"/>
      <c r="S52" s="433"/>
      <c r="T52" s="433"/>
      <c r="U52" s="434">
        <v>42566</v>
      </c>
      <c r="V52" s="435"/>
      <c r="W52" s="6"/>
    </row>
    <row r="53" spans="1:25" ht="15.6">
      <c r="A53" s="378"/>
      <c r="B53" s="379" t="s">
        <v>155</v>
      </c>
      <c r="C53" s="379"/>
      <c r="D53" s="379"/>
      <c r="E53" s="379"/>
      <c r="F53" s="379"/>
      <c r="G53" s="379"/>
      <c r="H53" s="379"/>
      <c r="I53" s="379"/>
      <c r="J53" s="379"/>
      <c r="K53" s="379"/>
      <c r="L53" s="379"/>
      <c r="M53" s="379"/>
      <c r="N53" s="379"/>
      <c r="O53" s="379"/>
      <c r="P53" s="379"/>
      <c r="Q53" s="424"/>
      <c r="R53" s="379">
        <f>U53-S53+1</f>
        <v>91</v>
      </c>
      <c r="S53" s="436">
        <v>42384</v>
      </c>
      <c r="T53" s="429"/>
      <c r="U53" s="436">
        <v>42474</v>
      </c>
      <c r="V53" s="410"/>
      <c r="W53" s="6"/>
    </row>
    <row r="54" spans="1:25" ht="15.6">
      <c r="A54" s="378"/>
      <c r="B54" s="379" t="s">
        <v>156</v>
      </c>
      <c r="C54" s="379"/>
      <c r="D54" s="379"/>
      <c r="E54" s="379"/>
      <c r="F54" s="379"/>
      <c r="G54" s="379"/>
      <c r="H54" s="379"/>
      <c r="I54" s="379"/>
      <c r="J54" s="379"/>
      <c r="K54" s="379"/>
      <c r="L54" s="379"/>
      <c r="M54" s="379"/>
      <c r="N54" s="379"/>
      <c r="O54" s="379"/>
      <c r="P54" s="379"/>
      <c r="Q54" s="424"/>
      <c r="R54" s="379">
        <f>U54-S54+1</f>
        <v>91</v>
      </c>
      <c r="S54" s="436">
        <v>42475</v>
      </c>
      <c r="T54" s="429"/>
      <c r="U54" s="436">
        <v>42565</v>
      </c>
      <c r="V54" s="410"/>
      <c r="W54" s="6"/>
    </row>
    <row r="55" spans="1:25" ht="15.6">
      <c r="A55" s="378"/>
      <c r="B55" s="379" t="s">
        <v>21</v>
      </c>
      <c r="C55" s="379"/>
      <c r="D55" s="379"/>
      <c r="E55" s="379"/>
      <c r="F55" s="379"/>
      <c r="G55" s="379"/>
      <c r="H55" s="379"/>
      <c r="I55" s="379"/>
      <c r="J55" s="379"/>
      <c r="K55" s="379"/>
      <c r="L55" s="379"/>
      <c r="M55" s="379"/>
      <c r="N55" s="379"/>
      <c r="O55" s="379"/>
      <c r="P55" s="379"/>
      <c r="Q55" s="379"/>
      <c r="R55" s="379"/>
      <c r="S55" s="436"/>
      <c r="T55" s="429"/>
      <c r="U55" s="436" t="s">
        <v>119</v>
      </c>
      <c r="V55" s="410"/>
      <c r="W55" s="6"/>
    </row>
    <row r="56" spans="1:25" ht="15.6">
      <c r="A56" s="378"/>
      <c r="B56" s="379" t="s">
        <v>22</v>
      </c>
      <c r="C56" s="379"/>
      <c r="D56" s="379"/>
      <c r="E56" s="379"/>
      <c r="F56" s="379"/>
      <c r="G56" s="379"/>
      <c r="H56" s="379"/>
      <c r="I56" s="379"/>
      <c r="J56" s="379"/>
      <c r="K56" s="379"/>
      <c r="L56" s="379"/>
      <c r="M56" s="379"/>
      <c r="N56" s="379"/>
      <c r="O56" s="379"/>
      <c r="P56" s="379"/>
      <c r="Q56" s="379"/>
      <c r="R56" s="379"/>
      <c r="S56" s="436"/>
      <c r="T56" s="429"/>
      <c r="U56" s="436">
        <v>42552</v>
      </c>
      <c r="V56" s="410"/>
      <c r="W56" s="6"/>
    </row>
    <row r="57" spans="1:25" ht="15.6">
      <c r="A57" s="242"/>
      <c r="B57" s="364"/>
      <c r="C57" s="364"/>
      <c r="D57" s="364"/>
      <c r="E57" s="364"/>
      <c r="F57" s="364"/>
      <c r="G57" s="364"/>
      <c r="H57" s="364"/>
      <c r="I57" s="364"/>
      <c r="J57" s="364"/>
      <c r="K57" s="364"/>
      <c r="L57" s="364"/>
      <c r="M57" s="364"/>
      <c r="N57" s="364"/>
      <c r="O57" s="364"/>
      <c r="P57" s="364"/>
      <c r="Q57" s="364"/>
      <c r="R57" s="364"/>
      <c r="S57" s="364"/>
      <c r="T57" s="364"/>
      <c r="U57" s="377"/>
      <c r="V57" s="303"/>
      <c r="W57" s="6"/>
    </row>
    <row r="58" spans="1:25" ht="15.6">
      <c r="A58" s="242"/>
      <c r="B58" s="288"/>
      <c r="C58" s="288"/>
      <c r="D58" s="288"/>
      <c r="E58" s="288"/>
      <c r="F58" s="288"/>
      <c r="G58" s="288"/>
      <c r="H58" s="288"/>
      <c r="I58" s="288"/>
      <c r="J58" s="288"/>
      <c r="K58" s="288"/>
      <c r="L58" s="288"/>
      <c r="M58" s="288"/>
      <c r="N58" s="288"/>
      <c r="O58" s="288"/>
      <c r="P58" s="288"/>
      <c r="Q58" s="288"/>
      <c r="R58" s="288"/>
      <c r="S58" s="288"/>
      <c r="T58" s="288"/>
      <c r="U58" s="302"/>
      <c r="V58" s="303"/>
      <c r="W58" s="6"/>
    </row>
    <row r="59" spans="1:25" ht="16.2" thickBot="1">
      <c r="A59" s="261"/>
      <c r="B59" s="304" t="s">
        <v>298</v>
      </c>
      <c r="C59" s="305"/>
      <c r="D59" s="305"/>
      <c r="E59" s="305"/>
      <c r="F59" s="305"/>
      <c r="G59" s="305"/>
      <c r="H59" s="305"/>
      <c r="I59" s="305"/>
      <c r="J59" s="305"/>
      <c r="K59" s="305"/>
      <c r="L59" s="305"/>
      <c r="M59" s="305"/>
      <c r="N59" s="305"/>
      <c r="O59" s="305"/>
      <c r="P59" s="305"/>
      <c r="Q59" s="305"/>
      <c r="R59" s="305"/>
      <c r="S59" s="305"/>
      <c r="T59" s="305"/>
      <c r="U59" s="306"/>
      <c r="V59" s="307"/>
      <c r="W59" s="6"/>
    </row>
    <row r="60" spans="1:25" ht="15.6">
      <c r="A60" s="230"/>
      <c r="B60" s="511" t="s">
        <v>23</v>
      </c>
      <c r="C60" s="511"/>
      <c r="D60" s="511"/>
      <c r="E60" s="511"/>
      <c r="F60" s="511"/>
      <c r="G60" s="511"/>
      <c r="H60" s="511"/>
      <c r="I60" s="511"/>
      <c r="J60" s="511"/>
      <c r="K60" s="511"/>
      <c r="L60" s="511"/>
      <c r="M60" s="231"/>
      <c r="N60" s="231"/>
      <c r="O60" s="231"/>
      <c r="P60" s="231"/>
      <c r="Q60" s="231"/>
      <c r="R60" s="231"/>
      <c r="S60" s="231"/>
      <c r="T60" s="231"/>
      <c r="U60" s="309"/>
      <c r="V60" s="237"/>
      <c r="W60" s="6"/>
    </row>
    <row r="61" spans="1:25" ht="15.6">
      <c r="A61" s="242"/>
      <c r="B61" s="252"/>
      <c r="C61" s="252"/>
      <c r="D61" s="252"/>
      <c r="E61" s="252"/>
      <c r="F61" s="252"/>
      <c r="G61" s="252"/>
      <c r="H61" s="252"/>
      <c r="I61" s="252"/>
      <c r="J61" s="252"/>
      <c r="K61" s="252"/>
      <c r="L61" s="252"/>
      <c r="M61" s="244"/>
      <c r="N61" s="244"/>
      <c r="O61" s="244"/>
      <c r="P61" s="244"/>
      <c r="Q61" s="244"/>
      <c r="R61" s="244"/>
      <c r="S61" s="244"/>
      <c r="T61" s="244"/>
      <c r="U61" s="263"/>
      <c r="V61" s="245"/>
      <c r="W61" s="6"/>
    </row>
    <row r="62" spans="1:25" s="151" customFormat="1" ht="46.8">
      <c r="A62" s="264"/>
      <c r="B62" s="512"/>
      <c r="C62" s="513"/>
      <c r="D62" s="513"/>
      <c r="E62" s="513"/>
      <c r="F62" s="513"/>
      <c r="G62" s="513"/>
      <c r="H62" s="513"/>
      <c r="I62" s="513"/>
      <c r="J62" s="513"/>
      <c r="K62" s="513" t="s">
        <v>197</v>
      </c>
      <c r="L62" s="513"/>
      <c r="M62" s="513" t="s">
        <v>98</v>
      </c>
      <c r="N62" s="513"/>
      <c r="O62" s="513" t="s">
        <v>107</v>
      </c>
      <c r="P62" s="513"/>
      <c r="Q62" s="513" t="s">
        <v>111</v>
      </c>
      <c r="R62" s="513"/>
      <c r="S62" s="513" t="s">
        <v>113</v>
      </c>
      <c r="T62" s="513"/>
      <c r="U62" s="514" t="s">
        <v>120</v>
      </c>
      <c r="V62" s="515"/>
      <c r="W62" s="150"/>
    </row>
    <row r="63" spans="1:25" ht="15.6">
      <c r="A63" s="378"/>
      <c r="B63" s="379" t="s">
        <v>24</v>
      </c>
      <c r="C63" s="440"/>
      <c r="D63" s="440"/>
      <c r="E63" s="440"/>
      <c r="F63" s="440"/>
      <c r="G63" s="440"/>
      <c r="H63" s="440"/>
      <c r="I63" s="440"/>
      <c r="J63" s="440"/>
      <c r="K63" s="440">
        <f>265+63566+3306</f>
        <v>67137</v>
      </c>
      <c r="L63" s="440"/>
      <c r="M63" s="440">
        <v>5382</v>
      </c>
      <c r="N63" s="440"/>
      <c r="O63" s="440">
        <f>102+1+9</f>
        <v>112</v>
      </c>
      <c r="P63" s="440"/>
      <c r="Q63" s="440">
        <v>0</v>
      </c>
      <c r="R63" s="440"/>
      <c r="S63" s="440">
        <v>0</v>
      </c>
      <c r="T63" s="440"/>
      <c r="U63" s="441">
        <f>+M63-O63+Q63-S63</f>
        <v>5270</v>
      </c>
      <c r="V63" s="410"/>
      <c r="W63" s="6"/>
      <c r="Y63" s="182"/>
    </row>
    <row r="64" spans="1:25" ht="15.6">
      <c r="A64" s="378"/>
      <c r="B64" s="379" t="s">
        <v>25</v>
      </c>
      <c r="C64" s="440"/>
      <c r="D64" s="440"/>
      <c r="E64" s="440"/>
      <c r="F64" s="440"/>
      <c r="G64" s="440"/>
      <c r="H64" s="440"/>
      <c r="I64" s="440"/>
      <c r="J64" s="440"/>
      <c r="K64" s="440"/>
      <c r="L64" s="440"/>
      <c r="M64" s="440"/>
      <c r="N64" s="440"/>
      <c r="O64" s="440"/>
      <c r="P64" s="440"/>
      <c r="Q64" s="440">
        <v>0</v>
      </c>
      <c r="R64" s="440"/>
      <c r="S64" s="440">
        <v>0</v>
      </c>
      <c r="T64" s="440"/>
      <c r="U64" s="441">
        <f>M64-O64</f>
        <v>0</v>
      </c>
      <c r="V64" s="410"/>
      <c r="W64" s="6"/>
    </row>
    <row r="65" spans="1:25" ht="15.6">
      <c r="A65" s="378"/>
      <c r="B65" s="379"/>
      <c r="C65" s="440"/>
      <c r="D65" s="440"/>
      <c r="E65" s="440"/>
      <c r="F65" s="440"/>
      <c r="G65" s="440"/>
      <c r="H65" s="440"/>
      <c r="I65" s="440"/>
      <c r="J65" s="440"/>
      <c r="K65" s="440"/>
      <c r="L65" s="440"/>
      <c r="M65" s="440"/>
      <c r="N65" s="440"/>
      <c r="O65" s="440"/>
      <c r="P65" s="440"/>
      <c r="Q65" s="440"/>
      <c r="R65" s="440"/>
      <c r="S65" s="440"/>
      <c r="T65" s="440"/>
      <c r="U65" s="441"/>
      <c r="V65" s="410"/>
      <c r="W65" s="6"/>
    </row>
    <row r="66" spans="1:25" ht="15.6">
      <c r="A66" s="378"/>
      <c r="B66" s="379" t="s">
        <v>26</v>
      </c>
      <c r="C66" s="440"/>
      <c r="D66" s="440"/>
      <c r="E66" s="440"/>
      <c r="F66" s="440"/>
      <c r="G66" s="440"/>
      <c r="H66" s="440"/>
      <c r="I66" s="440"/>
      <c r="J66" s="440"/>
      <c r="K66" s="440">
        <v>24470</v>
      </c>
      <c r="L66" s="440"/>
      <c r="M66" s="440">
        <v>1133</v>
      </c>
      <c r="N66" s="440"/>
      <c r="O66" s="440">
        <v>42</v>
      </c>
      <c r="P66" s="440"/>
      <c r="Q66" s="440">
        <v>0</v>
      </c>
      <c r="R66" s="440"/>
      <c r="S66" s="440">
        <f>SUM(S63:S65)</f>
        <v>0</v>
      </c>
      <c r="T66" s="440"/>
      <c r="U66" s="441">
        <f>+M66-O66+Q66-S66</f>
        <v>1091</v>
      </c>
      <c r="V66" s="410"/>
      <c r="W66" s="6"/>
      <c r="Y66" s="182"/>
    </row>
    <row r="67" spans="1:25" ht="15.6">
      <c r="A67" s="378"/>
      <c r="B67" s="379" t="s">
        <v>25</v>
      </c>
      <c r="C67" s="440"/>
      <c r="D67" s="440"/>
      <c r="E67" s="440"/>
      <c r="F67" s="440"/>
      <c r="G67" s="440"/>
      <c r="H67" s="440"/>
      <c r="I67" s="440"/>
      <c r="J67" s="440"/>
      <c r="K67" s="440"/>
      <c r="L67" s="440"/>
      <c r="M67" s="440"/>
      <c r="N67" s="440"/>
      <c r="O67" s="440"/>
      <c r="P67" s="440"/>
      <c r="Q67" s="440">
        <v>0</v>
      </c>
      <c r="R67" s="440"/>
      <c r="S67" s="440">
        <v>0</v>
      </c>
      <c r="T67" s="440"/>
      <c r="U67" s="440"/>
      <c r="V67" s="410"/>
      <c r="W67" s="6"/>
    </row>
    <row r="68" spans="1:25" ht="15.6">
      <c r="A68" s="378"/>
      <c r="B68" s="386"/>
      <c r="C68" s="440"/>
      <c r="D68" s="440"/>
      <c r="E68" s="440"/>
      <c r="F68" s="440"/>
      <c r="G68" s="440"/>
      <c r="H68" s="440"/>
      <c r="I68" s="440"/>
      <c r="J68" s="440"/>
      <c r="K68" s="440"/>
      <c r="L68" s="440"/>
      <c r="M68" s="440"/>
      <c r="N68" s="440"/>
      <c r="O68" s="442"/>
      <c r="P68" s="440"/>
      <c r="Q68" s="440"/>
      <c r="R68" s="440"/>
      <c r="S68" s="440"/>
      <c r="T68" s="440"/>
      <c r="U68" s="440"/>
      <c r="V68" s="410"/>
      <c r="W68" s="6"/>
    </row>
    <row r="69" spans="1:25" ht="15.6">
      <c r="A69" s="378"/>
      <c r="B69" s="379" t="s">
        <v>27</v>
      </c>
      <c r="C69" s="440"/>
      <c r="D69" s="440"/>
      <c r="E69" s="440"/>
      <c r="F69" s="440"/>
      <c r="G69" s="440"/>
      <c r="H69" s="440"/>
      <c r="I69" s="440"/>
      <c r="J69" s="440"/>
      <c r="K69" s="440">
        <v>220072</v>
      </c>
      <c r="L69" s="440"/>
      <c r="M69" s="440">
        <v>88750</v>
      </c>
      <c r="N69" s="440"/>
      <c r="O69" s="440">
        <f>3842+412+1</f>
        <v>4255</v>
      </c>
      <c r="P69" s="440"/>
      <c r="Q69" s="440">
        <v>0</v>
      </c>
      <c r="R69" s="440"/>
      <c r="S69" s="440">
        <v>0</v>
      </c>
      <c r="T69" s="440"/>
      <c r="U69" s="441">
        <f>+M69-O69+Q69-S69</f>
        <v>84495</v>
      </c>
      <c r="V69" s="410"/>
      <c r="W69" s="6"/>
      <c r="Y69" s="182"/>
    </row>
    <row r="70" spans="1:25" ht="15.6">
      <c r="A70" s="378"/>
      <c r="B70" s="379" t="s">
        <v>25</v>
      </c>
      <c r="C70" s="440"/>
      <c r="D70" s="440"/>
      <c r="E70" s="440"/>
      <c r="F70" s="440"/>
      <c r="G70" s="440"/>
      <c r="H70" s="440"/>
      <c r="I70" s="440"/>
      <c r="J70" s="440"/>
      <c r="K70" s="440"/>
      <c r="L70" s="440"/>
      <c r="M70" s="440"/>
      <c r="N70" s="440"/>
      <c r="O70" s="440"/>
      <c r="P70" s="440"/>
      <c r="Q70" s="440">
        <v>0</v>
      </c>
      <c r="R70" s="440"/>
      <c r="S70" s="440">
        <v>0</v>
      </c>
      <c r="T70" s="440"/>
      <c r="U70" s="441">
        <f>M70-O70+Q70-S70</f>
        <v>0</v>
      </c>
      <c r="V70" s="410"/>
      <c r="W70" s="6"/>
    </row>
    <row r="71" spans="1:25" ht="15.6">
      <c r="A71" s="378"/>
      <c r="B71" s="379"/>
      <c r="C71" s="440"/>
      <c r="D71" s="440"/>
      <c r="E71" s="440"/>
      <c r="F71" s="440"/>
      <c r="G71" s="440"/>
      <c r="H71" s="440"/>
      <c r="I71" s="440"/>
      <c r="J71" s="440"/>
      <c r="K71" s="440"/>
      <c r="L71" s="440"/>
      <c r="M71" s="440"/>
      <c r="N71" s="440"/>
      <c r="O71" s="440"/>
      <c r="P71" s="440"/>
      <c r="Q71" s="440"/>
      <c r="R71" s="440"/>
      <c r="S71" s="440"/>
      <c r="T71" s="440"/>
      <c r="U71" s="441"/>
      <c r="V71" s="410"/>
      <c r="W71" s="6"/>
    </row>
    <row r="72" spans="1:25" ht="15.6">
      <c r="A72" s="378"/>
      <c r="B72" s="379" t="s">
        <v>28</v>
      </c>
      <c r="C72" s="440"/>
      <c r="D72" s="440"/>
      <c r="E72" s="440"/>
      <c r="F72" s="440"/>
      <c r="G72" s="440"/>
      <c r="H72" s="440"/>
      <c r="I72" s="440"/>
      <c r="J72" s="440"/>
      <c r="K72" s="440">
        <v>138321</v>
      </c>
      <c r="L72" s="440"/>
      <c r="M72" s="440">
        <v>366</v>
      </c>
      <c r="N72" s="440"/>
      <c r="O72" s="440">
        <v>28</v>
      </c>
      <c r="P72" s="440"/>
      <c r="Q72" s="440">
        <v>0</v>
      </c>
      <c r="R72" s="440"/>
      <c r="S72" s="440">
        <v>0</v>
      </c>
      <c r="T72" s="440"/>
      <c r="U72" s="441">
        <f>+M72-O72+Q72-S72</f>
        <v>338</v>
      </c>
      <c r="V72" s="410"/>
      <c r="W72" s="6"/>
      <c r="X72" s="182"/>
      <c r="Y72" s="182"/>
    </row>
    <row r="73" spans="1:25" ht="15.6">
      <c r="A73" s="378"/>
      <c r="B73" s="379" t="s">
        <v>25</v>
      </c>
      <c r="C73" s="440"/>
      <c r="D73" s="440"/>
      <c r="E73" s="440"/>
      <c r="F73" s="440"/>
      <c r="G73" s="440"/>
      <c r="H73" s="440"/>
      <c r="I73" s="440"/>
      <c r="J73" s="440"/>
      <c r="K73" s="440"/>
      <c r="L73" s="440"/>
      <c r="M73" s="440"/>
      <c r="N73" s="440"/>
      <c r="O73" s="440"/>
      <c r="P73" s="440"/>
      <c r="Q73" s="440">
        <v>0</v>
      </c>
      <c r="R73" s="440"/>
      <c r="S73" s="440">
        <v>0</v>
      </c>
      <c r="T73" s="440"/>
      <c r="U73" s="441"/>
      <c r="V73" s="410"/>
      <c r="W73" s="6"/>
    </row>
    <row r="74" spans="1:25" ht="15.6">
      <c r="A74" s="378"/>
      <c r="B74" s="440"/>
      <c r="C74" s="440"/>
      <c r="D74" s="440"/>
      <c r="E74" s="440"/>
      <c r="F74" s="440"/>
      <c r="G74" s="440"/>
      <c r="H74" s="440"/>
      <c r="I74" s="440"/>
      <c r="J74" s="440"/>
      <c r="K74" s="440"/>
      <c r="L74" s="440"/>
      <c r="M74" s="440"/>
      <c r="N74" s="440"/>
      <c r="O74" s="440"/>
      <c r="P74" s="440"/>
      <c r="Q74" s="440"/>
      <c r="R74" s="440"/>
      <c r="S74" s="440"/>
      <c r="T74" s="440"/>
      <c r="U74" s="441"/>
      <c r="V74" s="410"/>
      <c r="W74" s="6"/>
    </row>
    <row r="75" spans="1:25" ht="15.6">
      <c r="A75" s="378"/>
      <c r="B75" s="379" t="s">
        <v>29</v>
      </c>
      <c r="C75" s="440"/>
      <c r="D75" s="440"/>
      <c r="E75" s="440"/>
      <c r="F75" s="440"/>
      <c r="G75" s="440"/>
      <c r="H75" s="440"/>
      <c r="I75" s="440"/>
      <c r="J75" s="440"/>
      <c r="K75" s="440">
        <f>SUM(K63:K72)</f>
        <v>450000</v>
      </c>
      <c r="L75" s="440"/>
      <c r="M75" s="440">
        <f>SUM(M63:M72)</f>
        <v>95631</v>
      </c>
      <c r="N75" s="440"/>
      <c r="O75" s="440">
        <f>SUM(O63:O73)</f>
        <v>4437</v>
      </c>
      <c r="P75" s="440"/>
      <c r="Q75" s="440">
        <f>SUM(Q63:Q73)</f>
        <v>0</v>
      </c>
      <c r="R75" s="440"/>
      <c r="S75" s="440">
        <f>SUM(S70:S74)</f>
        <v>0</v>
      </c>
      <c r="T75" s="440"/>
      <c r="U75" s="440">
        <f>SUM(U63:U73)</f>
        <v>91194</v>
      </c>
      <c r="V75" s="410"/>
      <c r="W75" s="6"/>
      <c r="X75" s="182"/>
      <c r="Y75" s="182"/>
    </row>
    <row r="76" spans="1:25" ht="15.6">
      <c r="A76" s="378"/>
      <c r="B76" s="379"/>
      <c r="C76" s="440"/>
      <c r="D76" s="440"/>
      <c r="E76" s="440"/>
      <c r="F76" s="440"/>
      <c r="G76" s="440"/>
      <c r="H76" s="440"/>
      <c r="I76" s="440"/>
      <c r="J76" s="440"/>
      <c r="K76" s="440"/>
      <c r="L76" s="440"/>
      <c r="M76" s="440"/>
      <c r="N76" s="440"/>
      <c r="O76" s="440"/>
      <c r="P76" s="440"/>
      <c r="Q76" s="440"/>
      <c r="R76" s="440"/>
      <c r="S76" s="440"/>
      <c r="T76" s="440"/>
      <c r="U76" s="440"/>
      <c r="V76" s="410"/>
      <c r="W76" s="6"/>
    </row>
    <row r="77" spans="1:25" ht="15.6">
      <c r="A77" s="378"/>
      <c r="B77" s="379" t="s">
        <v>214</v>
      </c>
      <c r="C77" s="440"/>
      <c r="D77" s="440"/>
      <c r="E77" s="440"/>
      <c r="F77" s="440"/>
      <c r="G77" s="440"/>
      <c r="H77" s="440"/>
      <c r="I77" s="440"/>
      <c r="J77" s="440"/>
      <c r="K77" s="440">
        <v>0</v>
      </c>
      <c r="L77" s="440"/>
      <c r="M77" s="440">
        <v>-13435</v>
      </c>
      <c r="N77" s="440"/>
      <c r="O77" s="440">
        <v>-261</v>
      </c>
      <c r="P77" s="440"/>
      <c r="Q77" s="440"/>
      <c r="R77" s="440"/>
      <c r="S77" s="440"/>
      <c r="T77" s="440"/>
      <c r="U77" s="441">
        <f>+M77-O77</f>
        <v>-13174</v>
      </c>
      <c r="V77" s="410"/>
      <c r="W77" s="6"/>
      <c r="Y77" s="182"/>
    </row>
    <row r="78" spans="1:25" ht="15.6">
      <c r="A78" s="378"/>
      <c r="B78" s="379" t="s">
        <v>30</v>
      </c>
      <c r="C78" s="440"/>
      <c r="D78" s="440"/>
      <c r="E78" s="440"/>
      <c r="F78" s="440"/>
      <c r="G78" s="440"/>
      <c r="H78" s="440"/>
      <c r="I78" s="440"/>
      <c r="J78" s="440"/>
      <c r="K78" s="440">
        <v>0</v>
      </c>
      <c r="L78" s="440"/>
      <c r="M78" s="440">
        <v>0</v>
      </c>
      <c r="N78" s="440"/>
      <c r="O78" s="440">
        <v>0</v>
      </c>
      <c r="P78" s="440"/>
      <c r="Q78" s="440">
        <v>0</v>
      </c>
      <c r="R78" s="440"/>
      <c r="S78" s="440"/>
      <c r="T78" s="440"/>
      <c r="U78" s="440">
        <v>0</v>
      </c>
      <c r="V78" s="410"/>
      <c r="W78" s="6"/>
      <c r="X78" s="182"/>
    </row>
    <row r="79" spans="1:25" ht="15.6">
      <c r="A79" s="378"/>
      <c r="B79" s="379" t="s">
        <v>31</v>
      </c>
      <c r="C79" s="440"/>
      <c r="D79" s="440"/>
      <c r="E79" s="440"/>
      <c r="F79" s="440"/>
      <c r="G79" s="440"/>
      <c r="H79" s="440"/>
      <c r="I79" s="440"/>
      <c r="J79" s="440"/>
      <c r="K79" s="440">
        <v>0</v>
      </c>
      <c r="L79" s="440"/>
      <c r="M79" s="440">
        <v>0</v>
      </c>
      <c r="N79" s="440"/>
      <c r="O79" s="440"/>
      <c r="P79" s="440"/>
      <c r="Q79" s="440">
        <v>0</v>
      </c>
      <c r="R79" s="440"/>
      <c r="S79" s="440"/>
      <c r="T79" s="440"/>
      <c r="U79" s="440">
        <f>Q79+M79</f>
        <v>0</v>
      </c>
      <c r="V79" s="410"/>
      <c r="W79" s="6"/>
    </row>
    <row r="80" spans="1:25" ht="15.6">
      <c r="A80" s="378"/>
      <c r="B80" s="379" t="s">
        <v>16</v>
      </c>
      <c r="C80" s="440"/>
      <c r="D80" s="440"/>
      <c r="E80" s="440"/>
      <c r="F80" s="440"/>
      <c r="G80" s="440"/>
      <c r="H80" s="440"/>
      <c r="I80" s="440"/>
      <c r="J80" s="440"/>
      <c r="K80" s="440">
        <f>SUM(K75:K79)</f>
        <v>450000</v>
      </c>
      <c r="L80" s="440"/>
      <c r="M80" s="440">
        <f>SUM(M75:M79)</f>
        <v>82196</v>
      </c>
      <c r="N80" s="440"/>
      <c r="O80" s="440">
        <f>O78-O79</f>
        <v>0</v>
      </c>
      <c r="P80" s="440"/>
      <c r="Q80" s="440"/>
      <c r="R80" s="440"/>
      <c r="S80" s="440"/>
      <c r="T80" s="440"/>
      <c r="U80" s="440">
        <f>SUM(U75:U79)</f>
        <v>78020</v>
      </c>
      <c r="V80" s="410"/>
      <c r="W80" s="6"/>
      <c r="X80" s="182"/>
      <c r="Y80" s="182"/>
    </row>
    <row r="81" spans="1:24" ht="15.6">
      <c r="A81" s="242"/>
      <c r="B81" s="437"/>
      <c r="C81" s="438"/>
      <c r="D81" s="438"/>
      <c r="E81" s="438"/>
      <c r="F81" s="438"/>
      <c r="G81" s="438"/>
      <c r="H81" s="438"/>
      <c r="I81" s="438"/>
      <c r="J81" s="438"/>
      <c r="K81" s="438"/>
      <c r="L81" s="438"/>
      <c r="M81" s="438"/>
      <c r="N81" s="438"/>
      <c r="O81" s="438"/>
      <c r="P81" s="438"/>
      <c r="Q81" s="438"/>
      <c r="R81" s="438"/>
      <c r="S81" s="439"/>
      <c r="T81" s="438"/>
      <c r="U81" s="439"/>
      <c r="V81" s="245"/>
      <c r="W81" s="6"/>
    </row>
    <row r="82" spans="1:24" ht="15.6">
      <c r="A82" s="230"/>
      <c r="B82" s="511" t="s">
        <v>32</v>
      </c>
      <c r="C82" s="511"/>
      <c r="D82" s="511"/>
      <c r="E82" s="511"/>
      <c r="F82" s="511"/>
      <c r="G82" s="511"/>
      <c r="H82" s="511"/>
      <c r="I82" s="511"/>
      <c r="J82" s="511"/>
      <c r="K82" s="511"/>
      <c r="L82" s="511"/>
      <c r="M82" s="511"/>
      <c r="N82" s="511"/>
      <c r="O82" s="511"/>
      <c r="P82" s="511"/>
      <c r="Q82" s="511"/>
      <c r="R82" s="232"/>
      <c r="S82" s="232"/>
      <c r="T82" s="232"/>
      <c r="U82" s="232" t="s">
        <v>121</v>
      </c>
      <c r="V82" s="516"/>
      <c r="W82" s="6"/>
    </row>
    <row r="83" spans="1:24" ht="15.6">
      <c r="A83" s="315"/>
      <c r="B83" s="294" t="s">
        <v>33</v>
      </c>
      <c r="C83" s="294"/>
      <c r="D83" s="294"/>
      <c r="E83" s="294"/>
      <c r="F83" s="294"/>
      <c r="G83" s="294"/>
      <c r="H83" s="294"/>
      <c r="I83" s="294"/>
      <c r="J83" s="294"/>
      <c r="K83" s="294"/>
      <c r="L83" s="294"/>
      <c r="M83" s="294"/>
      <c r="N83" s="294"/>
      <c r="O83" s="310"/>
      <c r="P83" s="294"/>
      <c r="Q83" s="294"/>
      <c r="R83" s="294"/>
      <c r="S83" s="310"/>
      <c r="T83" s="294"/>
      <c r="U83" s="311">
        <v>46756</v>
      </c>
      <c r="V83" s="298"/>
      <c r="W83" s="6"/>
    </row>
    <row r="84" spans="1:24" ht="15.6">
      <c r="A84" s="444"/>
      <c r="B84" s="379" t="s">
        <v>34</v>
      </c>
      <c r="C84" s="431"/>
      <c r="D84" s="431"/>
      <c r="E84" s="431"/>
      <c r="F84" s="431"/>
      <c r="G84" s="431"/>
      <c r="H84" s="431"/>
      <c r="I84" s="431"/>
      <c r="J84" s="431"/>
      <c r="K84" s="431"/>
      <c r="L84" s="431"/>
      <c r="M84" s="430"/>
      <c r="N84" s="379"/>
      <c r="O84" s="379"/>
      <c r="P84" s="379"/>
      <c r="Q84" s="379"/>
      <c r="R84" s="379"/>
      <c r="S84" s="440"/>
      <c r="T84" s="379"/>
      <c r="U84" s="441">
        <f>-53+173+55</f>
        <v>175</v>
      </c>
      <c r="V84" s="410"/>
      <c r="W84" s="6"/>
    </row>
    <row r="85" spans="1:24" ht="15.6">
      <c r="A85" s="444"/>
      <c r="B85" s="379" t="s">
        <v>230</v>
      </c>
      <c r="C85" s="379"/>
      <c r="D85" s="379"/>
      <c r="E85" s="379"/>
      <c r="F85" s="379"/>
      <c r="G85" s="379"/>
      <c r="H85" s="379"/>
      <c r="I85" s="379"/>
      <c r="J85" s="379"/>
      <c r="K85" s="379"/>
      <c r="L85" s="379"/>
      <c r="M85" s="379"/>
      <c r="N85" s="379"/>
      <c r="O85" s="379"/>
      <c r="P85" s="379"/>
      <c r="Q85" s="379"/>
      <c r="R85" s="379"/>
      <c r="S85" s="440"/>
      <c r="T85" s="379"/>
      <c r="U85" s="441">
        <v>0</v>
      </c>
      <c r="V85" s="410"/>
      <c r="W85" s="6"/>
      <c r="X85" s="64"/>
    </row>
    <row r="86" spans="1:24" ht="15.6">
      <c r="A86" s="444"/>
      <c r="B86" s="379" t="s">
        <v>231</v>
      </c>
      <c r="C86" s="379"/>
      <c r="D86" s="379"/>
      <c r="E86" s="379"/>
      <c r="F86" s="379"/>
      <c r="G86" s="379"/>
      <c r="H86" s="379"/>
      <c r="I86" s="379"/>
      <c r="J86" s="379"/>
      <c r="K86" s="379"/>
      <c r="L86" s="379"/>
      <c r="M86" s="379"/>
      <c r="N86" s="379"/>
      <c r="O86" s="379"/>
      <c r="P86" s="379"/>
      <c r="Q86" s="379"/>
      <c r="R86" s="379"/>
      <c r="S86" s="440"/>
      <c r="T86" s="379"/>
      <c r="U86" s="441">
        <v>0</v>
      </c>
      <c r="V86" s="410"/>
      <c r="W86" s="6"/>
      <c r="X86" s="64"/>
    </row>
    <row r="87" spans="1:24" ht="15.6">
      <c r="A87" s="444"/>
      <c r="B87" s="379" t="s">
        <v>35</v>
      </c>
      <c r="C87" s="379"/>
      <c r="D87" s="379"/>
      <c r="E87" s="379"/>
      <c r="F87" s="379"/>
      <c r="G87" s="379"/>
      <c r="H87" s="379"/>
      <c r="I87" s="379"/>
      <c r="J87" s="379"/>
      <c r="K87" s="379"/>
      <c r="L87" s="379"/>
      <c r="M87" s="379"/>
      <c r="N87" s="379"/>
      <c r="O87" s="379"/>
      <c r="P87" s="379"/>
      <c r="Q87" s="379"/>
      <c r="R87" s="379"/>
      <c r="S87" s="440"/>
      <c r="T87" s="379"/>
      <c r="U87" s="441">
        <f>SUM(U83:U86)</f>
        <v>46931</v>
      </c>
      <c r="V87" s="410"/>
      <c r="W87" s="6"/>
      <c r="X87" s="64"/>
    </row>
    <row r="88" spans="1:24" ht="15.6">
      <c r="A88" s="444"/>
      <c r="B88" s="379"/>
      <c r="C88" s="379"/>
      <c r="D88" s="379"/>
      <c r="E88" s="379"/>
      <c r="F88" s="379"/>
      <c r="G88" s="379"/>
      <c r="H88" s="379"/>
      <c r="I88" s="379"/>
      <c r="J88" s="379"/>
      <c r="K88" s="379"/>
      <c r="L88" s="379"/>
      <c r="M88" s="379"/>
      <c r="N88" s="379"/>
      <c r="O88" s="379"/>
      <c r="P88" s="379"/>
      <c r="Q88" s="379"/>
      <c r="R88" s="379"/>
      <c r="S88" s="440"/>
      <c r="T88" s="379"/>
      <c r="U88" s="440"/>
      <c r="V88" s="410"/>
      <c r="W88" s="6"/>
    </row>
    <row r="89" spans="1:24" ht="15.6">
      <c r="A89" s="444"/>
      <c r="B89" s="446" t="s">
        <v>36</v>
      </c>
      <c r="C89" s="446"/>
      <c r="D89" s="446"/>
      <c r="E89" s="446"/>
      <c r="F89" s="446"/>
      <c r="G89" s="446"/>
      <c r="H89" s="446"/>
      <c r="I89" s="446"/>
      <c r="J89" s="446"/>
      <c r="K89" s="446"/>
      <c r="L89" s="446"/>
      <c r="M89" s="379"/>
      <c r="N89" s="379"/>
      <c r="O89" s="379"/>
      <c r="P89" s="379"/>
      <c r="Q89" s="379"/>
      <c r="R89" s="379"/>
      <c r="S89" s="440"/>
      <c r="T89" s="379"/>
      <c r="U89" s="441"/>
      <c r="V89" s="410"/>
      <c r="W89" s="6"/>
      <c r="X89" s="64"/>
    </row>
    <row r="90" spans="1:24" ht="15.6">
      <c r="A90" s="444">
        <v>1</v>
      </c>
      <c r="B90" s="379" t="s">
        <v>37</v>
      </c>
      <c r="C90" s="379"/>
      <c r="D90" s="379"/>
      <c r="E90" s="379"/>
      <c r="F90" s="379"/>
      <c r="G90" s="379"/>
      <c r="H90" s="379"/>
      <c r="I90" s="379"/>
      <c r="J90" s="379"/>
      <c r="K90" s="379"/>
      <c r="L90" s="379"/>
      <c r="M90" s="379"/>
      <c r="N90" s="379"/>
      <c r="O90" s="379"/>
      <c r="P90" s="379"/>
      <c r="Q90" s="379"/>
      <c r="R90" s="379"/>
      <c r="S90" s="379"/>
      <c r="T90" s="379"/>
      <c r="U90" s="441">
        <v>-2</v>
      </c>
      <c r="V90" s="410"/>
      <c r="W90" s="6"/>
    </row>
    <row r="91" spans="1:24" ht="15.6">
      <c r="A91" s="444">
        <f>A90+1</f>
        <v>2</v>
      </c>
      <c r="B91" s="379" t="s">
        <v>168</v>
      </c>
      <c r="C91" s="379"/>
      <c r="D91" s="379"/>
      <c r="E91" s="379"/>
      <c r="F91" s="379"/>
      <c r="G91" s="379"/>
      <c r="H91" s="379"/>
      <c r="I91" s="379"/>
      <c r="J91" s="379"/>
      <c r="K91" s="379"/>
      <c r="L91" s="379"/>
      <c r="M91" s="379"/>
      <c r="N91" s="379"/>
      <c r="O91" s="379"/>
      <c r="P91" s="379"/>
      <c r="Q91" s="379"/>
      <c r="R91" s="379"/>
      <c r="S91" s="379"/>
      <c r="T91" s="379"/>
      <c r="U91" s="441">
        <f>-82-32-1</f>
        <v>-115</v>
      </c>
      <c r="V91" s="410"/>
      <c r="W91" s="6"/>
      <c r="X91" s="64"/>
    </row>
    <row r="92" spans="1:24" ht="15.6">
      <c r="A92" s="444">
        <v>3</v>
      </c>
      <c r="B92" s="379" t="s">
        <v>38</v>
      </c>
      <c r="C92" s="379"/>
      <c r="D92" s="379"/>
      <c r="E92" s="379"/>
      <c r="F92" s="379"/>
      <c r="G92" s="379"/>
      <c r="H92" s="379"/>
      <c r="I92" s="379"/>
      <c r="J92" s="379"/>
      <c r="K92" s="379"/>
      <c r="L92" s="379"/>
      <c r="M92" s="379"/>
      <c r="N92" s="379"/>
      <c r="O92" s="379"/>
      <c r="P92" s="379"/>
      <c r="Q92" s="379"/>
      <c r="R92" s="379"/>
      <c r="S92" s="379"/>
      <c r="T92" s="379"/>
      <c r="U92" s="441">
        <v>-7</v>
      </c>
      <c r="V92" s="410"/>
      <c r="W92" s="6"/>
      <c r="X92" s="64"/>
    </row>
    <row r="93" spans="1:24" ht="15.6">
      <c r="A93" s="447" t="s">
        <v>190</v>
      </c>
      <c r="B93" s="379" t="s">
        <v>169</v>
      </c>
      <c r="C93" s="379"/>
      <c r="D93" s="379"/>
      <c r="E93" s="379"/>
      <c r="F93" s="379"/>
      <c r="G93" s="379"/>
      <c r="H93" s="379"/>
      <c r="I93" s="379"/>
      <c r="J93" s="379"/>
      <c r="K93" s="379"/>
      <c r="L93" s="379"/>
      <c r="M93" s="379"/>
      <c r="N93" s="379"/>
      <c r="O93" s="379"/>
      <c r="P93" s="379"/>
      <c r="Q93" s="379"/>
      <c r="R93" s="379"/>
      <c r="S93" s="379"/>
      <c r="T93" s="379"/>
      <c r="U93" s="441">
        <v>-42</v>
      </c>
      <c r="V93" s="410"/>
      <c r="W93" s="6"/>
      <c r="X93" s="64"/>
    </row>
    <row r="94" spans="1:24" ht="15.6">
      <c r="A94" s="447" t="s">
        <v>191</v>
      </c>
      <c r="B94" s="379" t="s">
        <v>170</v>
      </c>
      <c r="C94" s="379"/>
      <c r="D94" s="379"/>
      <c r="E94" s="379"/>
      <c r="F94" s="379"/>
      <c r="G94" s="379"/>
      <c r="H94" s="379"/>
      <c r="I94" s="379"/>
      <c r="J94" s="379"/>
      <c r="K94" s="379"/>
      <c r="L94" s="379"/>
      <c r="M94" s="379"/>
      <c r="N94" s="379"/>
      <c r="O94" s="379"/>
      <c r="P94" s="379"/>
      <c r="Q94" s="379"/>
      <c r="R94" s="379"/>
      <c r="S94" s="379"/>
      <c r="T94" s="379"/>
      <c r="U94" s="441">
        <v>-53</v>
      </c>
      <c r="V94" s="410"/>
      <c r="W94" s="6"/>
      <c r="X94" s="182"/>
    </row>
    <row r="95" spans="1:24" ht="15.6">
      <c r="A95" s="444">
        <v>5</v>
      </c>
      <c r="B95" s="379" t="s">
        <v>171</v>
      </c>
      <c r="C95" s="379"/>
      <c r="D95" s="379"/>
      <c r="E95" s="379"/>
      <c r="F95" s="379"/>
      <c r="G95" s="379"/>
      <c r="H95" s="379"/>
      <c r="I95" s="379"/>
      <c r="J95" s="379"/>
      <c r="K95" s="379"/>
      <c r="L95" s="379"/>
      <c r="M95" s="379"/>
      <c r="N95" s="379"/>
      <c r="O95" s="379"/>
      <c r="P95" s="379"/>
      <c r="Q95" s="379"/>
      <c r="R95" s="379"/>
      <c r="S95" s="379"/>
      <c r="T95" s="379"/>
      <c r="U95" s="441">
        <v>-9</v>
      </c>
      <c r="V95" s="410"/>
      <c r="W95" s="6"/>
    </row>
    <row r="96" spans="1:24" ht="15.6">
      <c r="A96" s="447" t="s">
        <v>174</v>
      </c>
      <c r="B96" s="379" t="s">
        <v>172</v>
      </c>
      <c r="C96" s="379"/>
      <c r="D96" s="379"/>
      <c r="E96" s="379"/>
      <c r="F96" s="379"/>
      <c r="G96" s="379"/>
      <c r="H96" s="379"/>
      <c r="I96" s="379"/>
      <c r="J96" s="379"/>
      <c r="K96" s="379"/>
      <c r="L96" s="379"/>
      <c r="M96" s="379"/>
      <c r="N96" s="379"/>
      <c r="O96" s="379"/>
      <c r="P96" s="379"/>
      <c r="Q96" s="379"/>
      <c r="R96" s="379"/>
      <c r="S96" s="379"/>
      <c r="T96" s="379"/>
      <c r="U96" s="441">
        <v>-18</v>
      </c>
      <c r="V96" s="410"/>
      <c r="W96" s="6"/>
      <c r="X96" s="182"/>
    </row>
    <row r="97" spans="1:24" ht="15.6">
      <c r="A97" s="447" t="s">
        <v>176</v>
      </c>
      <c r="B97" s="379" t="s">
        <v>173</v>
      </c>
      <c r="C97" s="379"/>
      <c r="D97" s="379"/>
      <c r="E97" s="379"/>
      <c r="F97" s="379"/>
      <c r="G97" s="379"/>
      <c r="H97" s="379"/>
      <c r="I97" s="379"/>
      <c r="J97" s="379"/>
      <c r="K97" s="379"/>
      <c r="L97" s="379"/>
      <c r="M97" s="379"/>
      <c r="N97" s="379"/>
      <c r="O97" s="379"/>
      <c r="P97" s="379"/>
      <c r="Q97" s="379"/>
      <c r="R97" s="379"/>
      <c r="S97" s="379"/>
      <c r="T97" s="379"/>
      <c r="U97" s="441">
        <v>-29</v>
      </c>
      <c r="V97" s="410"/>
      <c r="W97" s="119"/>
      <c r="X97" s="182"/>
    </row>
    <row r="98" spans="1:24" ht="15.6">
      <c r="A98" s="447" t="s">
        <v>178</v>
      </c>
      <c r="B98" s="379" t="s">
        <v>175</v>
      </c>
      <c r="C98" s="379"/>
      <c r="D98" s="379"/>
      <c r="E98" s="379"/>
      <c r="F98" s="379"/>
      <c r="G98" s="379"/>
      <c r="H98" s="379"/>
      <c r="I98" s="379"/>
      <c r="J98" s="379"/>
      <c r="K98" s="379"/>
      <c r="L98" s="379"/>
      <c r="M98" s="379"/>
      <c r="N98" s="379"/>
      <c r="O98" s="379"/>
      <c r="P98" s="379"/>
      <c r="Q98" s="379"/>
      <c r="R98" s="379"/>
      <c r="S98" s="379"/>
      <c r="T98" s="379"/>
      <c r="U98" s="441">
        <v>-29</v>
      </c>
      <c r="V98" s="410"/>
      <c r="W98" s="6"/>
      <c r="X98" s="182"/>
    </row>
    <row r="99" spans="1:24" ht="15.6">
      <c r="A99" s="447" t="s">
        <v>180</v>
      </c>
      <c r="B99" s="379" t="s">
        <v>177</v>
      </c>
      <c r="C99" s="379"/>
      <c r="D99" s="379"/>
      <c r="E99" s="379"/>
      <c r="F99" s="379"/>
      <c r="G99" s="379"/>
      <c r="H99" s="379"/>
      <c r="I99" s="379"/>
      <c r="J99" s="379"/>
      <c r="K99" s="379"/>
      <c r="L99" s="379"/>
      <c r="M99" s="379"/>
      <c r="N99" s="379"/>
      <c r="O99" s="379"/>
      <c r="P99" s="379"/>
      <c r="Q99" s="379"/>
      <c r="R99" s="379"/>
      <c r="S99" s="379"/>
      <c r="T99" s="379"/>
      <c r="U99" s="441">
        <v>-38</v>
      </c>
      <c r="V99" s="410"/>
      <c r="W99" s="119"/>
      <c r="X99" s="182"/>
    </row>
    <row r="100" spans="1:24" ht="15.6">
      <c r="A100" s="447" t="s">
        <v>192</v>
      </c>
      <c r="B100" s="379" t="s">
        <v>179</v>
      </c>
      <c r="C100" s="379"/>
      <c r="D100" s="379"/>
      <c r="E100" s="379"/>
      <c r="F100" s="379"/>
      <c r="G100" s="379"/>
      <c r="H100" s="379"/>
      <c r="I100" s="379"/>
      <c r="J100" s="379"/>
      <c r="K100" s="379"/>
      <c r="L100" s="379"/>
      <c r="M100" s="379"/>
      <c r="N100" s="379"/>
      <c r="O100" s="379"/>
      <c r="P100" s="379"/>
      <c r="Q100" s="379"/>
      <c r="R100" s="379"/>
      <c r="S100" s="379"/>
      <c r="T100" s="379"/>
      <c r="U100" s="441">
        <v>-55</v>
      </c>
      <c r="V100" s="410"/>
      <c r="W100" s="6"/>
      <c r="X100" s="182"/>
    </row>
    <row r="101" spans="1:24" ht="15.6">
      <c r="A101" s="447" t="s">
        <v>193</v>
      </c>
      <c r="B101" s="379" t="s">
        <v>181</v>
      </c>
      <c r="C101" s="379"/>
      <c r="D101" s="379"/>
      <c r="E101" s="379"/>
      <c r="F101" s="379"/>
      <c r="G101" s="379"/>
      <c r="H101" s="379"/>
      <c r="I101" s="379"/>
      <c r="J101" s="379"/>
      <c r="K101" s="379"/>
      <c r="L101" s="379"/>
      <c r="M101" s="379"/>
      <c r="N101" s="379"/>
      <c r="O101" s="379"/>
      <c r="P101" s="379"/>
      <c r="Q101" s="379"/>
      <c r="R101" s="379"/>
      <c r="S101" s="379"/>
      <c r="T101" s="379"/>
      <c r="U101" s="441">
        <v>-48</v>
      </c>
      <c r="V101" s="410"/>
      <c r="W101" s="119"/>
      <c r="X101" s="182"/>
    </row>
    <row r="102" spans="1:24" ht="15.6">
      <c r="A102" s="444">
        <v>9</v>
      </c>
      <c r="B102" s="379" t="s">
        <v>257</v>
      </c>
      <c r="C102" s="379"/>
      <c r="D102" s="379"/>
      <c r="E102" s="379"/>
      <c r="F102" s="379"/>
      <c r="G102" s="379"/>
      <c r="H102" s="379"/>
      <c r="I102" s="379"/>
      <c r="J102" s="379"/>
      <c r="K102" s="379"/>
      <c r="L102" s="379"/>
      <c r="M102" s="379"/>
      <c r="N102" s="379"/>
      <c r="O102" s="379"/>
      <c r="P102" s="379"/>
      <c r="Q102" s="379"/>
      <c r="R102" s="379"/>
      <c r="S102" s="379"/>
      <c r="T102" s="379"/>
      <c r="U102" s="441">
        <f>+S219-U32</f>
        <v>-4176.4707999999955</v>
      </c>
      <c r="V102" s="410"/>
      <c r="W102" s="6"/>
      <c r="X102" s="182"/>
    </row>
    <row r="103" spans="1:24" ht="15.6">
      <c r="A103" s="444">
        <v>10</v>
      </c>
      <c r="B103" s="379" t="s">
        <v>234</v>
      </c>
      <c r="C103" s="379"/>
      <c r="D103" s="379"/>
      <c r="E103" s="379"/>
      <c r="F103" s="379"/>
      <c r="G103" s="379"/>
      <c r="H103" s="379"/>
      <c r="I103" s="379"/>
      <c r="J103" s="379"/>
      <c r="K103" s="379"/>
      <c r="L103" s="379"/>
      <c r="M103" s="379"/>
      <c r="N103" s="379"/>
      <c r="O103" s="379"/>
      <c r="P103" s="379"/>
      <c r="Q103" s="379"/>
      <c r="R103" s="379"/>
      <c r="S103" s="379"/>
      <c r="T103" s="379"/>
      <c r="U103" s="441">
        <v>-40500</v>
      </c>
      <c r="V103" s="410"/>
      <c r="W103" s="6"/>
      <c r="X103" s="64"/>
    </row>
    <row r="104" spans="1:24" ht="15.6">
      <c r="A104" s="444">
        <v>11</v>
      </c>
      <c r="B104" s="379" t="s">
        <v>183</v>
      </c>
      <c r="C104" s="379"/>
      <c r="D104" s="379"/>
      <c r="E104" s="379"/>
      <c r="F104" s="379"/>
      <c r="G104" s="379"/>
      <c r="H104" s="379"/>
      <c r="I104" s="379"/>
      <c r="J104" s="379"/>
      <c r="K104" s="379"/>
      <c r="L104" s="379"/>
      <c r="M104" s="379"/>
      <c r="N104" s="379"/>
      <c r="O104" s="379"/>
      <c r="P104" s="379"/>
      <c r="Q104" s="379"/>
      <c r="R104" s="379"/>
      <c r="S104" s="379"/>
      <c r="T104" s="379"/>
      <c r="U104" s="441">
        <v>0</v>
      </c>
      <c r="V104" s="410"/>
      <c r="W104" s="6"/>
      <c r="X104" s="64"/>
    </row>
    <row r="105" spans="1:24" ht="15.6">
      <c r="A105" s="444">
        <v>12</v>
      </c>
      <c r="B105" s="379" t="s">
        <v>184</v>
      </c>
      <c r="C105" s="379"/>
      <c r="D105" s="379"/>
      <c r="E105" s="379"/>
      <c r="F105" s="379"/>
      <c r="G105" s="379"/>
      <c r="H105" s="379"/>
      <c r="I105" s="379"/>
      <c r="J105" s="379"/>
      <c r="K105" s="379"/>
      <c r="L105" s="379"/>
      <c r="M105" s="379"/>
      <c r="N105" s="379"/>
      <c r="O105" s="379"/>
      <c r="P105" s="379"/>
      <c r="Q105" s="379"/>
      <c r="R105" s="379"/>
      <c r="S105" s="379"/>
      <c r="T105" s="379"/>
      <c r="U105" s="441">
        <v>-92</v>
      </c>
      <c r="V105" s="410"/>
      <c r="W105" s="6"/>
      <c r="X105" s="182"/>
    </row>
    <row r="106" spans="1:24" ht="15.6">
      <c r="A106" s="444">
        <v>13</v>
      </c>
      <c r="B106" s="379" t="s">
        <v>40</v>
      </c>
      <c r="C106" s="379"/>
      <c r="D106" s="379"/>
      <c r="E106" s="379"/>
      <c r="F106" s="379"/>
      <c r="G106" s="379"/>
      <c r="H106" s="379"/>
      <c r="I106" s="379"/>
      <c r="J106" s="379"/>
      <c r="K106" s="379"/>
      <c r="L106" s="379"/>
      <c r="M106" s="379"/>
      <c r="N106" s="379"/>
      <c r="O106" s="379"/>
      <c r="P106" s="379"/>
      <c r="Q106" s="379"/>
      <c r="R106" s="379"/>
      <c r="S106" s="379"/>
      <c r="T106" s="379"/>
      <c r="U106" s="441">
        <f>-SUM(U87:V105)</f>
        <v>-1717.5292000000045</v>
      </c>
      <c r="V106" s="410"/>
      <c r="W106" s="6"/>
      <c r="X106" s="182"/>
    </row>
    <row r="107" spans="1:24" ht="15.6">
      <c r="A107" s="316"/>
      <c r="B107" s="443"/>
      <c r="C107" s="364"/>
      <c r="D107" s="364"/>
      <c r="E107" s="364"/>
      <c r="F107" s="364"/>
      <c r="G107" s="364"/>
      <c r="H107" s="364"/>
      <c r="I107" s="364"/>
      <c r="J107" s="364"/>
      <c r="K107" s="364"/>
      <c r="L107" s="364"/>
      <c r="M107" s="364"/>
      <c r="N107" s="364"/>
      <c r="O107" s="364"/>
      <c r="P107" s="364"/>
      <c r="Q107" s="364"/>
      <c r="R107" s="364"/>
      <c r="S107" s="360"/>
      <c r="T107" s="360"/>
      <c r="U107" s="360"/>
      <c r="V107" s="303"/>
      <c r="W107" s="6"/>
      <c r="X107" s="182"/>
    </row>
    <row r="108" spans="1:24" ht="15.6">
      <c r="A108" s="316"/>
      <c r="B108" s="317"/>
      <c r="C108" s="288"/>
      <c r="D108" s="288"/>
      <c r="E108" s="288"/>
      <c r="F108" s="288"/>
      <c r="G108" s="288"/>
      <c r="H108" s="288"/>
      <c r="I108" s="288"/>
      <c r="J108" s="288"/>
      <c r="K108" s="288"/>
      <c r="L108" s="288"/>
      <c r="M108" s="288"/>
      <c r="N108" s="288"/>
      <c r="O108" s="288"/>
      <c r="P108" s="288"/>
      <c r="Q108" s="288"/>
      <c r="R108" s="288"/>
      <c r="S108" s="318"/>
      <c r="T108" s="318"/>
      <c r="U108" s="318"/>
      <c r="V108" s="303"/>
      <c r="W108" s="6"/>
    </row>
    <row r="109" spans="1:24" ht="16.2" thickBot="1">
      <c r="A109" s="319"/>
      <c r="B109" s="304" t="str">
        <f>+B59</f>
        <v>PPAF3 INVESTOR REPORT QUARTER ENDING JUNE 2016</v>
      </c>
      <c r="C109" s="305"/>
      <c r="D109" s="305"/>
      <c r="E109" s="305"/>
      <c r="F109" s="305"/>
      <c r="G109" s="305"/>
      <c r="H109" s="305"/>
      <c r="I109" s="305"/>
      <c r="J109" s="305"/>
      <c r="K109" s="305"/>
      <c r="L109" s="305"/>
      <c r="M109" s="305"/>
      <c r="N109" s="305"/>
      <c r="O109" s="305"/>
      <c r="P109" s="305"/>
      <c r="Q109" s="305"/>
      <c r="R109" s="305"/>
      <c r="S109" s="320"/>
      <c r="T109" s="320"/>
      <c r="U109" s="320"/>
      <c r="V109" s="307"/>
      <c r="W109" s="6"/>
    </row>
    <row r="110" spans="1:24" ht="15.6">
      <c r="A110" s="238"/>
      <c r="B110" s="240"/>
      <c r="C110" s="240"/>
      <c r="D110" s="240"/>
      <c r="E110" s="240"/>
      <c r="F110" s="240"/>
      <c r="G110" s="240"/>
      <c r="H110" s="240"/>
      <c r="I110" s="240"/>
      <c r="J110" s="240"/>
      <c r="K110" s="240"/>
      <c r="L110" s="240"/>
      <c r="M110" s="240"/>
      <c r="N110" s="240"/>
      <c r="O110" s="240"/>
      <c r="P110" s="240"/>
      <c r="Q110" s="240"/>
      <c r="R110" s="240"/>
      <c r="S110" s="269"/>
      <c r="T110" s="269"/>
      <c r="U110" s="269"/>
      <c r="V110" s="241"/>
      <c r="W110" s="6"/>
    </row>
    <row r="111" spans="1:24" ht="15.6">
      <c r="A111" s="321"/>
      <c r="B111" s="517" t="s">
        <v>41</v>
      </c>
      <c r="C111" s="322"/>
      <c r="D111" s="322"/>
      <c r="E111" s="322"/>
      <c r="F111" s="322"/>
      <c r="G111" s="322"/>
      <c r="H111" s="322"/>
      <c r="I111" s="322"/>
      <c r="J111" s="322"/>
      <c r="K111" s="322"/>
      <c r="L111" s="322"/>
      <c r="M111" s="322"/>
      <c r="N111" s="322"/>
      <c r="O111" s="322"/>
      <c r="P111" s="322"/>
      <c r="Q111" s="322"/>
      <c r="R111" s="322"/>
      <c r="S111" s="322"/>
      <c r="T111" s="322"/>
      <c r="U111" s="323"/>
      <c r="V111" s="324"/>
      <c r="W111" s="6"/>
    </row>
    <row r="112" spans="1:24" ht="15.6">
      <c r="A112" s="270"/>
      <c r="B112" s="271"/>
      <c r="C112" s="271"/>
      <c r="D112" s="271"/>
      <c r="E112" s="271"/>
      <c r="F112" s="271"/>
      <c r="G112" s="271"/>
      <c r="H112" s="271"/>
      <c r="I112" s="271"/>
      <c r="J112" s="271"/>
      <c r="K112" s="271"/>
      <c r="L112" s="271"/>
      <c r="M112" s="271"/>
      <c r="N112" s="271"/>
      <c r="O112" s="271"/>
      <c r="P112" s="271"/>
      <c r="Q112" s="271"/>
      <c r="R112" s="271"/>
      <c r="S112" s="271"/>
      <c r="T112" s="271"/>
      <c r="U112" s="272"/>
      <c r="V112" s="273"/>
      <c r="W112" s="6"/>
    </row>
    <row r="113" spans="1:24" ht="15.6">
      <c r="A113" s="242"/>
      <c r="B113" s="274" t="s">
        <v>42</v>
      </c>
      <c r="C113" s="252"/>
      <c r="D113" s="252"/>
      <c r="E113" s="252"/>
      <c r="F113" s="252"/>
      <c r="G113" s="252"/>
      <c r="H113" s="252"/>
      <c r="I113" s="252"/>
      <c r="J113" s="252"/>
      <c r="K113" s="252"/>
      <c r="L113" s="252"/>
      <c r="M113" s="244"/>
      <c r="N113" s="244"/>
      <c r="O113" s="244"/>
      <c r="P113" s="244"/>
      <c r="Q113" s="244"/>
      <c r="R113" s="244"/>
      <c r="S113" s="244"/>
      <c r="T113" s="244"/>
      <c r="U113" s="263"/>
      <c r="V113" s="245"/>
      <c r="W113" s="6"/>
    </row>
    <row r="114" spans="1:24" ht="15.6">
      <c r="A114" s="378"/>
      <c r="B114" s="379" t="s">
        <v>43</v>
      </c>
      <c r="C114" s="379"/>
      <c r="D114" s="379"/>
      <c r="E114" s="379"/>
      <c r="F114" s="379"/>
      <c r="G114" s="379"/>
      <c r="H114" s="379"/>
      <c r="I114" s="379"/>
      <c r="J114" s="379"/>
      <c r="K114" s="379"/>
      <c r="L114" s="379"/>
      <c r="M114" s="379"/>
      <c r="N114" s="379"/>
      <c r="O114" s="379"/>
      <c r="P114" s="379"/>
      <c r="Q114" s="379"/>
      <c r="R114" s="379"/>
      <c r="S114" s="379"/>
      <c r="T114" s="379"/>
      <c r="U114" s="441">
        <v>40500</v>
      </c>
      <c r="V114" s="410"/>
      <c r="W114" s="6"/>
    </row>
    <row r="115" spans="1:24" ht="15.6">
      <c r="A115" s="378"/>
      <c r="B115" s="379" t="s">
        <v>240</v>
      </c>
      <c r="C115" s="379"/>
      <c r="D115" s="379"/>
      <c r="E115" s="379"/>
      <c r="F115" s="379"/>
      <c r="G115" s="379"/>
      <c r="H115" s="379"/>
      <c r="I115" s="379"/>
      <c r="J115" s="379"/>
      <c r="K115" s="379"/>
      <c r="L115" s="379"/>
      <c r="M115" s="379"/>
      <c r="N115" s="379"/>
      <c r="O115" s="379"/>
      <c r="P115" s="379"/>
      <c r="Q115" s="379"/>
      <c r="R115" s="379"/>
      <c r="S115" s="379"/>
      <c r="T115" s="379"/>
      <c r="U115" s="441">
        <v>40500</v>
      </c>
      <c r="V115" s="410"/>
      <c r="W115" s="6"/>
    </row>
    <row r="116" spans="1:24" ht="15.6">
      <c r="A116" s="378"/>
      <c r="B116" s="379" t="s">
        <v>241</v>
      </c>
      <c r="C116" s="379"/>
      <c r="D116" s="379"/>
      <c r="E116" s="379"/>
      <c r="F116" s="379"/>
      <c r="G116" s="379"/>
      <c r="H116" s="379"/>
      <c r="I116" s="379"/>
      <c r="J116" s="379"/>
      <c r="K116" s="379"/>
      <c r="L116" s="379"/>
      <c r="M116" s="379"/>
      <c r="N116" s="379"/>
      <c r="O116" s="379"/>
      <c r="P116" s="379"/>
      <c r="Q116" s="379"/>
      <c r="R116" s="379"/>
      <c r="S116" s="379"/>
      <c r="T116" s="379"/>
      <c r="U116" s="441">
        <v>0</v>
      </c>
      <c r="V116" s="410"/>
      <c r="W116" s="6"/>
    </row>
    <row r="117" spans="1:24" ht="15.6">
      <c r="A117" s="378"/>
      <c r="B117" s="379" t="s">
        <v>209</v>
      </c>
      <c r="C117" s="379"/>
      <c r="D117" s="379"/>
      <c r="E117" s="379"/>
      <c r="F117" s="379"/>
      <c r="G117" s="379"/>
      <c r="H117" s="379"/>
      <c r="I117" s="379"/>
      <c r="J117" s="379"/>
      <c r="K117" s="379"/>
      <c r="L117" s="379"/>
      <c r="M117" s="379"/>
      <c r="N117" s="379"/>
      <c r="O117" s="379"/>
      <c r="P117" s="379"/>
      <c r="Q117" s="379"/>
      <c r="R117" s="379"/>
      <c r="S117" s="379"/>
      <c r="T117" s="379"/>
      <c r="U117" s="441">
        <v>0</v>
      </c>
      <c r="V117" s="410"/>
      <c r="W117" s="6"/>
    </row>
    <row r="118" spans="1:24" ht="15.6">
      <c r="A118" s="378"/>
      <c r="B118" s="379" t="s">
        <v>210</v>
      </c>
      <c r="C118" s="379"/>
      <c r="D118" s="379"/>
      <c r="E118" s="379"/>
      <c r="F118" s="379"/>
      <c r="G118" s="379"/>
      <c r="H118" s="379"/>
      <c r="I118" s="379"/>
      <c r="J118" s="379"/>
      <c r="K118" s="379"/>
      <c r="L118" s="379"/>
      <c r="M118" s="379"/>
      <c r="N118" s="379"/>
      <c r="O118" s="379"/>
      <c r="P118" s="379"/>
      <c r="Q118" s="379"/>
      <c r="R118" s="379"/>
      <c r="S118" s="379"/>
      <c r="T118" s="379"/>
      <c r="U118" s="441">
        <v>0</v>
      </c>
      <c r="V118" s="410"/>
      <c r="W118" s="6"/>
    </row>
    <row r="119" spans="1:24" ht="15.6">
      <c r="A119" s="378"/>
      <c r="B119" s="379" t="s">
        <v>211</v>
      </c>
      <c r="C119" s="379"/>
      <c r="D119" s="379"/>
      <c r="E119" s="379"/>
      <c r="F119" s="379"/>
      <c r="G119" s="379"/>
      <c r="H119" s="379"/>
      <c r="I119" s="379"/>
      <c r="J119" s="379"/>
      <c r="K119" s="379"/>
      <c r="L119" s="379"/>
      <c r="M119" s="379"/>
      <c r="N119" s="379"/>
      <c r="O119" s="379"/>
      <c r="P119" s="379"/>
      <c r="Q119" s="379"/>
      <c r="R119" s="379"/>
      <c r="S119" s="379"/>
      <c r="T119" s="379"/>
      <c r="U119" s="441">
        <v>0</v>
      </c>
      <c r="V119" s="410"/>
      <c r="W119" s="6"/>
    </row>
    <row r="120" spans="1:24" ht="15.6">
      <c r="A120" s="378"/>
      <c r="B120" s="379" t="s">
        <v>212</v>
      </c>
      <c r="C120" s="379"/>
      <c r="D120" s="379"/>
      <c r="E120" s="379"/>
      <c r="F120" s="379"/>
      <c r="G120" s="379"/>
      <c r="H120" s="379"/>
      <c r="I120" s="379"/>
      <c r="J120" s="379"/>
      <c r="K120" s="379"/>
      <c r="L120" s="379"/>
      <c r="M120" s="379"/>
      <c r="N120" s="379"/>
      <c r="O120" s="379"/>
      <c r="P120" s="379"/>
      <c r="Q120" s="379"/>
      <c r="R120" s="379"/>
      <c r="S120" s="379"/>
      <c r="T120" s="379"/>
      <c r="U120" s="441">
        <v>0</v>
      </c>
      <c r="V120" s="410"/>
      <c r="W120" s="6"/>
    </row>
    <row r="121" spans="1:24" ht="15.6">
      <c r="A121" s="378"/>
      <c r="B121" s="379" t="s">
        <v>242</v>
      </c>
      <c r="C121" s="379"/>
      <c r="D121" s="379"/>
      <c r="E121" s="379"/>
      <c r="F121" s="379"/>
      <c r="G121" s="379"/>
      <c r="H121" s="379"/>
      <c r="I121" s="379"/>
      <c r="J121" s="379"/>
      <c r="K121" s="379"/>
      <c r="L121" s="379"/>
      <c r="M121" s="379"/>
      <c r="N121" s="379"/>
      <c r="O121" s="379"/>
      <c r="P121" s="379"/>
      <c r="Q121" s="379"/>
      <c r="R121" s="379"/>
      <c r="S121" s="379"/>
      <c r="T121" s="379"/>
      <c r="U121" s="441">
        <v>0</v>
      </c>
      <c r="V121" s="410"/>
      <c r="W121" s="6"/>
    </row>
    <row r="122" spans="1:24" ht="15.6">
      <c r="A122" s="378"/>
      <c r="B122" s="379" t="s">
        <v>45</v>
      </c>
      <c r="C122" s="379"/>
      <c r="D122" s="379"/>
      <c r="E122" s="379"/>
      <c r="F122" s="379"/>
      <c r="G122" s="379"/>
      <c r="H122" s="379"/>
      <c r="I122" s="379"/>
      <c r="J122" s="379"/>
      <c r="K122" s="379"/>
      <c r="L122" s="379"/>
      <c r="M122" s="379"/>
      <c r="N122" s="379"/>
      <c r="O122" s="379"/>
      <c r="P122" s="379"/>
      <c r="Q122" s="379"/>
      <c r="R122" s="379"/>
      <c r="S122" s="379"/>
      <c r="T122" s="379"/>
      <c r="U122" s="441">
        <f>SUM(U115:U121)</f>
        <v>40500</v>
      </c>
      <c r="V122" s="410"/>
      <c r="W122" s="6"/>
    </row>
    <row r="123" spans="1:24" ht="15.6">
      <c r="A123" s="242"/>
      <c r="B123" s="438"/>
      <c r="C123" s="438"/>
      <c r="D123" s="438"/>
      <c r="E123" s="438"/>
      <c r="F123" s="438"/>
      <c r="G123" s="438"/>
      <c r="H123" s="438"/>
      <c r="I123" s="438"/>
      <c r="J123" s="438"/>
      <c r="K123" s="438"/>
      <c r="L123" s="438"/>
      <c r="M123" s="438"/>
      <c r="N123" s="438"/>
      <c r="O123" s="438"/>
      <c r="P123" s="438"/>
      <c r="Q123" s="438"/>
      <c r="R123" s="438"/>
      <c r="S123" s="438"/>
      <c r="T123" s="438"/>
      <c r="U123" s="448"/>
      <c r="V123" s="245"/>
      <c r="W123" s="6"/>
    </row>
    <row r="124" spans="1:24" ht="15.6">
      <c r="A124" s="242"/>
      <c r="B124" s="274" t="s">
        <v>46</v>
      </c>
      <c r="C124" s="252"/>
      <c r="D124" s="252"/>
      <c r="E124" s="252"/>
      <c r="F124" s="252"/>
      <c r="G124" s="252"/>
      <c r="H124" s="252"/>
      <c r="I124" s="252"/>
      <c r="J124" s="252"/>
      <c r="K124" s="252"/>
      <c r="L124" s="252"/>
      <c r="M124" s="244"/>
      <c r="N124" s="244"/>
      <c r="O124" s="244"/>
      <c r="P124" s="275"/>
      <c r="Q124" s="244"/>
      <c r="R124" s="244"/>
      <c r="S124" s="244"/>
      <c r="T124" s="244"/>
      <c r="U124" s="276"/>
      <c r="V124" s="245"/>
      <c r="W124" s="6"/>
    </row>
    <row r="125" spans="1:24" ht="15.6">
      <c r="A125" s="230"/>
      <c r="B125" s="511"/>
      <c r="C125" s="232" t="s">
        <v>185</v>
      </c>
      <c r="D125" s="232"/>
      <c r="E125" s="232" t="s">
        <v>99</v>
      </c>
      <c r="F125" s="232"/>
      <c r="G125" s="232" t="s">
        <v>102</v>
      </c>
      <c r="H125" s="232"/>
      <c r="I125" s="232" t="s">
        <v>108</v>
      </c>
      <c r="J125" s="232"/>
      <c r="K125" s="232"/>
      <c r="L125" s="232"/>
      <c r="M125" s="232"/>
      <c r="N125" s="232"/>
      <c r="O125" s="232"/>
      <c r="P125" s="326"/>
      <c r="Q125" s="326"/>
      <c r="R125" s="231"/>
      <c r="S125" s="231"/>
      <c r="T125" s="231"/>
      <c r="U125" s="309"/>
      <c r="V125" s="237"/>
      <c r="W125" s="6"/>
    </row>
    <row r="126" spans="1:24" ht="15.6">
      <c r="A126" s="257"/>
      <c r="B126" s="294" t="s">
        <v>122</v>
      </c>
      <c r="C126" s="310">
        <f>+N199-'March 16'!N199</f>
        <v>-79</v>
      </c>
      <c r="D126" s="294"/>
      <c r="E126" s="310">
        <f>+S199-'March 16'!S199</f>
        <v>-38</v>
      </c>
      <c r="F126" s="294"/>
      <c r="G126" s="310">
        <f>+'June 16'!N212-'March 16'!N212</f>
        <v>-144</v>
      </c>
      <c r="H126" s="294"/>
      <c r="I126" s="310">
        <f>+S212-'March 16'!S212</f>
        <v>0</v>
      </c>
      <c r="J126" s="294"/>
      <c r="K126" s="294"/>
      <c r="L126" s="294"/>
      <c r="M126" s="294"/>
      <c r="N126" s="294"/>
      <c r="O126" s="294"/>
      <c r="P126" s="325"/>
      <c r="Q126" s="325"/>
      <c r="R126" s="294"/>
      <c r="S126" s="294"/>
      <c r="T126" s="294"/>
      <c r="U126" s="311">
        <f>SUM(C126:I126)</f>
        <v>-261</v>
      </c>
      <c r="V126" s="298"/>
      <c r="W126" s="6"/>
      <c r="X126" s="182"/>
    </row>
    <row r="127" spans="1:24" ht="15.6">
      <c r="A127" s="378"/>
      <c r="B127" s="379" t="s">
        <v>47</v>
      </c>
      <c r="C127" s="379">
        <v>9</v>
      </c>
      <c r="D127" s="379"/>
      <c r="E127" s="379">
        <v>0</v>
      </c>
      <c r="F127" s="379"/>
      <c r="G127" s="379">
        <v>413</v>
      </c>
      <c r="H127" s="379"/>
      <c r="I127" s="440">
        <v>0</v>
      </c>
      <c r="J127" s="379"/>
      <c r="K127" s="379"/>
      <c r="L127" s="379"/>
      <c r="M127" s="379"/>
      <c r="N127" s="379"/>
      <c r="O127" s="379"/>
      <c r="P127" s="450"/>
      <c r="Q127" s="450"/>
      <c r="R127" s="379"/>
      <c r="S127" s="379"/>
      <c r="T127" s="379"/>
      <c r="U127" s="441">
        <f>SUM(C127:I127)</f>
        <v>422</v>
      </c>
      <c r="V127" s="410"/>
      <c r="W127" s="6"/>
    </row>
    <row r="128" spans="1:24" ht="15.6">
      <c r="A128" s="242"/>
      <c r="B128" s="364" t="s">
        <v>48</v>
      </c>
      <c r="C128" s="364"/>
      <c r="D128" s="364"/>
      <c r="E128" s="364"/>
      <c r="F128" s="364"/>
      <c r="G128" s="364"/>
      <c r="H128" s="364"/>
      <c r="I128" s="364"/>
      <c r="J128" s="364"/>
      <c r="K128" s="364"/>
      <c r="L128" s="364"/>
      <c r="M128" s="364"/>
      <c r="N128" s="364"/>
      <c r="O128" s="364"/>
      <c r="P128" s="364"/>
      <c r="Q128" s="364"/>
      <c r="R128" s="364"/>
      <c r="S128" s="364"/>
      <c r="T128" s="364"/>
      <c r="U128" s="449">
        <f>SUM(U126:U127)</f>
        <v>161</v>
      </c>
      <c r="V128" s="303"/>
      <c r="W128" s="6"/>
      <c r="X128" s="182"/>
    </row>
    <row r="129" spans="1:25" ht="15.6">
      <c r="A129" s="242"/>
      <c r="B129" s="274" t="s">
        <v>49</v>
      </c>
      <c r="C129" s="252"/>
      <c r="D129" s="252"/>
      <c r="E129" s="252"/>
      <c r="F129" s="252"/>
      <c r="G129" s="252"/>
      <c r="H129" s="252"/>
      <c r="I129" s="252"/>
      <c r="J129" s="252"/>
      <c r="K129" s="252"/>
      <c r="L129" s="252"/>
      <c r="M129" s="244"/>
      <c r="N129" s="244"/>
      <c r="O129" s="244"/>
      <c r="P129" s="244"/>
      <c r="Q129" s="244"/>
      <c r="R129" s="244"/>
      <c r="S129" s="244"/>
      <c r="T129" s="244"/>
      <c r="U129" s="263"/>
      <c r="V129" s="245"/>
      <c r="W129" s="6"/>
    </row>
    <row r="130" spans="1:25" ht="15.6">
      <c r="A130" s="444"/>
      <c r="B130" s="379" t="s">
        <v>50</v>
      </c>
      <c r="C130" s="386"/>
      <c r="D130" s="386"/>
      <c r="E130" s="386"/>
      <c r="F130" s="386"/>
      <c r="G130" s="386"/>
      <c r="H130" s="386"/>
      <c r="I130" s="386"/>
      <c r="J130" s="386"/>
      <c r="K130" s="386"/>
      <c r="L130" s="386"/>
      <c r="M130" s="379"/>
      <c r="N130" s="379"/>
      <c r="O130" s="379"/>
      <c r="P130" s="379"/>
      <c r="Q130" s="379"/>
      <c r="R130" s="379"/>
      <c r="S130" s="379"/>
      <c r="T130" s="379"/>
      <c r="U130" s="441">
        <f>U75+U77</f>
        <v>78020</v>
      </c>
      <c r="V130" s="410"/>
      <c r="W130" s="6"/>
      <c r="X130" s="182"/>
    </row>
    <row r="131" spans="1:25" ht="15.6">
      <c r="A131" s="444"/>
      <c r="B131" s="379" t="s">
        <v>51</v>
      </c>
      <c r="C131" s="386"/>
      <c r="D131" s="386"/>
      <c r="E131" s="386"/>
      <c r="F131" s="386"/>
      <c r="G131" s="386"/>
      <c r="H131" s="386"/>
      <c r="I131" s="386"/>
      <c r="J131" s="386"/>
      <c r="K131" s="386"/>
      <c r="L131" s="386"/>
      <c r="M131" s="379"/>
      <c r="N131" s="379"/>
      <c r="O131" s="379"/>
      <c r="P131" s="379"/>
      <c r="Q131" s="379"/>
      <c r="R131" s="379"/>
      <c r="S131" s="379"/>
      <c r="T131" s="379"/>
      <c r="U131" s="441">
        <v>0</v>
      </c>
      <c r="V131" s="410"/>
      <c r="W131" s="6"/>
      <c r="Y131" s="182"/>
    </row>
    <row r="132" spans="1:25" ht="15.6">
      <c r="A132" s="444"/>
      <c r="B132" s="379" t="s">
        <v>52</v>
      </c>
      <c r="C132" s="386"/>
      <c r="D132" s="386"/>
      <c r="E132" s="386"/>
      <c r="F132" s="386"/>
      <c r="G132" s="386"/>
      <c r="H132" s="386"/>
      <c r="I132" s="386"/>
      <c r="J132" s="386"/>
      <c r="K132" s="386"/>
      <c r="L132" s="386"/>
      <c r="M132" s="379"/>
      <c r="N132" s="379"/>
      <c r="O132" s="379"/>
      <c r="P132" s="379"/>
      <c r="Q132" s="379"/>
      <c r="R132" s="379"/>
      <c r="S132" s="379"/>
      <c r="T132" s="379"/>
      <c r="U132" s="441">
        <f>+U130+U131</f>
        <v>78020</v>
      </c>
      <c r="V132" s="410"/>
      <c r="W132" s="6"/>
    </row>
    <row r="133" spans="1:25" ht="15.6">
      <c r="A133" s="444"/>
      <c r="B133" s="379" t="s">
        <v>53</v>
      </c>
      <c r="C133" s="386"/>
      <c r="D133" s="386"/>
      <c r="E133" s="386"/>
      <c r="F133" s="386"/>
      <c r="G133" s="386"/>
      <c r="H133" s="386"/>
      <c r="I133" s="386"/>
      <c r="J133" s="386"/>
      <c r="K133" s="386"/>
      <c r="L133" s="386"/>
      <c r="M133" s="379"/>
      <c r="N133" s="379"/>
      <c r="O133" s="379"/>
      <c r="P133" s="379"/>
      <c r="Q133" s="379"/>
      <c r="R133" s="379"/>
      <c r="S133" s="379"/>
      <c r="T133" s="379"/>
      <c r="U133" s="441">
        <f>U80</f>
        <v>78020</v>
      </c>
      <c r="V133" s="410"/>
      <c r="W133" s="6"/>
      <c r="X133" s="64"/>
    </row>
    <row r="134" spans="1:25" ht="15.6">
      <c r="A134" s="242"/>
      <c r="B134" s="438"/>
      <c r="C134" s="438"/>
      <c r="D134" s="438"/>
      <c r="E134" s="438"/>
      <c r="F134" s="438"/>
      <c r="G134" s="438"/>
      <c r="H134" s="438"/>
      <c r="I134" s="438"/>
      <c r="J134" s="438"/>
      <c r="K134" s="438"/>
      <c r="L134" s="438"/>
      <c r="M134" s="438"/>
      <c r="N134" s="438"/>
      <c r="O134" s="438"/>
      <c r="P134" s="438"/>
      <c r="Q134" s="438"/>
      <c r="R134" s="438"/>
      <c r="S134" s="438"/>
      <c r="T134" s="438"/>
      <c r="U134" s="451"/>
      <c r="V134" s="245"/>
      <c r="W134" s="6"/>
    </row>
    <row r="135" spans="1:25" ht="15.6">
      <c r="A135" s="242"/>
      <c r="B135" s="274" t="s">
        <v>54</v>
      </c>
      <c r="C135" s="247"/>
      <c r="D135" s="247"/>
      <c r="E135" s="247"/>
      <c r="F135" s="247"/>
      <c r="G135" s="247"/>
      <c r="H135" s="247"/>
      <c r="I135" s="247"/>
      <c r="J135" s="247"/>
      <c r="K135" s="247"/>
      <c r="L135" s="247"/>
      <c r="M135" s="247"/>
      <c r="N135" s="247"/>
      <c r="O135" s="247"/>
      <c r="P135" s="247"/>
      <c r="Q135" s="277" t="s">
        <v>112</v>
      </c>
      <c r="R135" s="278"/>
      <c r="S135" s="277" t="s">
        <v>114</v>
      </c>
      <c r="T135" s="247"/>
      <c r="U135" s="279" t="s">
        <v>90</v>
      </c>
      <c r="V135" s="245"/>
      <c r="W135" s="6"/>
    </row>
    <row r="136" spans="1:25" ht="15.6">
      <c r="A136" s="378"/>
      <c r="B136" s="379" t="s">
        <v>55</v>
      </c>
      <c r="C136" s="379"/>
      <c r="D136" s="379"/>
      <c r="E136" s="379"/>
      <c r="F136" s="379"/>
      <c r="G136" s="379"/>
      <c r="H136" s="379"/>
      <c r="I136" s="379"/>
      <c r="J136" s="379"/>
      <c r="K136" s="379"/>
      <c r="L136" s="379"/>
      <c r="M136" s="379"/>
      <c r="N136" s="379"/>
      <c r="O136" s="379"/>
      <c r="P136" s="379"/>
      <c r="Q136" s="441">
        <v>0</v>
      </c>
      <c r="R136" s="379"/>
      <c r="S136" s="453" t="s">
        <v>115</v>
      </c>
      <c r="T136" s="379"/>
      <c r="U136" s="441">
        <f>Q136</f>
        <v>0</v>
      </c>
      <c r="V136" s="385"/>
      <c r="W136" s="6"/>
    </row>
    <row r="137" spans="1:25" ht="15.6">
      <c r="A137" s="378"/>
      <c r="B137" s="379" t="s">
        <v>56</v>
      </c>
      <c r="C137" s="379"/>
      <c r="D137" s="379"/>
      <c r="E137" s="379"/>
      <c r="F137" s="379"/>
      <c r="G137" s="379"/>
      <c r="H137" s="379"/>
      <c r="I137" s="379"/>
      <c r="J137" s="379"/>
      <c r="K137" s="379"/>
      <c r="L137" s="379"/>
      <c r="M137" s="379"/>
      <c r="N137" s="379"/>
      <c r="O137" s="379"/>
      <c r="P137" s="379"/>
      <c r="Q137" s="441">
        <f>+'March 16'!Q139</f>
        <v>4229</v>
      </c>
      <c r="R137" s="379"/>
      <c r="S137" s="453" t="s">
        <v>115</v>
      </c>
      <c r="T137" s="379"/>
      <c r="U137" s="441">
        <f>Q137</f>
        <v>4229</v>
      </c>
      <c r="V137" s="385"/>
      <c r="W137" s="6"/>
    </row>
    <row r="138" spans="1:25" ht="15.6">
      <c r="A138" s="378"/>
      <c r="B138" s="379" t="s">
        <v>57</v>
      </c>
      <c r="C138" s="379"/>
      <c r="D138" s="379"/>
      <c r="E138" s="379"/>
      <c r="F138" s="379"/>
      <c r="G138" s="379"/>
      <c r="H138" s="379"/>
      <c r="I138" s="379"/>
      <c r="J138" s="379"/>
      <c r="K138" s="379"/>
      <c r="L138" s="379"/>
      <c r="M138" s="379"/>
      <c r="N138" s="379"/>
      <c r="O138" s="379"/>
      <c r="P138" s="379"/>
      <c r="Q138" s="441">
        <v>0</v>
      </c>
      <c r="R138" s="379"/>
      <c r="S138" s="453" t="s">
        <v>115</v>
      </c>
      <c r="T138" s="379"/>
      <c r="U138" s="441">
        <f>Q138</f>
        <v>0</v>
      </c>
      <c r="V138" s="385"/>
      <c r="W138" s="6"/>
    </row>
    <row r="139" spans="1:25" ht="15.6">
      <c r="A139" s="378"/>
      <c r="B139" s="379" t="s">
        <v>58</v>
      </c>
      <c r="C139" s="379"/>
      <c r="D139" s="379"/>
      <c r="E139" s="379"/>
      <c r="F139" s="379"/>
      <c r="G139" s="379"/>
      <c r="H139" s="379"/>
      <c r="I139" s="379"/>
      <c r="J139" s="379"/>
      <c r="K139" s="379"/>
      <c r="L139" s="379"/>
      <c r="M139" s="379"/>
      <c r="N139" s="379"/>
      <c r="O139" s="379"/>
      <c r="P139" s="379"/>
      <c r="Q139" s="441">
        <f>SUM(Q137:Q138)</f>
        <v>4229</v>
      </c>
      <c r="R139" s="379"/>
      <c r="S139" s="453" t="s">
        <v>115</v>
      </c>
      <c r="T139" s="379"/>
      <c r="U139" s="441">
        <f>Q139</f>
        <v>4229</v>
      </c>
      <c r="V139" s="385"/>
      <c r="W139" s="6"/>
    </row>
    <row r="140" spans="1:25" ht="15.6">
      <c r="A140" s="378"/>
      <c r="B140" s="379" t="s">
        <v>215</v>
      </c>
      <c r="C140" s="379"/>
      <c r="D140" s="379"/>
      <c r="E140" s="379"/>
      <c r="F140" s="379"/>
      <c r="G140" s="379"/>
      <c r="H140" s="379"/>
      <c r="I140" s="379"/>
      <c r="J140" s="379"/>
      <c r="K140" s="379"/>
      <c r="L140" s="379"/>
      <c r="M140" s="379"/>
      <c r="N140" s="379"/>
      <c r="O140" s="379"/>
      <c r="P140" s="379"/>
      <c r="Q140" s="441"/>
      <c r="R140" s="379"/>
      <c r="S140" s="453"/>
      <c r="T140" s="379"/>
      <c r="U140" s="441"/>
      <c r="V140" s="385"/>
      <c r="W140" s="6"/>
    </row>
    <row r="141" spans="1:25" ht="15.6">
      <c r="A141" s="378"/>
      <c r="B141" s="454"/>
      <c r="C141" s="454"/>
      <c r="D141" s="454"/>
      <c r="E141" s="454"/>
      <c r="F141" s="454"/>
      <c r="G141" s="454"/>
      <c r="H141" s="454"/>
      <c r="I141" s="454"/>
      <c r="J141" s="454"/>
      <c r="K141" s="454"/>
      <c r="L141" s="454"/>
      <c r="M141" s="454"/>
      <c r="N141" s="454"/>
      <c r="O141" s="454"/>
      <c r="P141" s="454"/>
      <c r="Q141" s="454"/>
      <c r="R141" s="454"/>
      <c r="S141" s="454"/>
      <c r="T141" s="454"/>
      <c r="U141" s="454"/>
      <c r="V141" s="385"/>
      <c r="W141" s="6"/>
    </row>
    <row r="142" spans="1:25" ht="15.6">
      <c r="A142" s="242"/>
      <c r="B142" s="452"/>
      <c r="C142" s="452"/>
      <c r="D142" s="452"/>
      <c r="E142" s="452"/>
      <c r="F142" s="452"/>
      <c r="G142" s="452"/>
      <c r="H142" s="452"/>
      <c r="I142" s="452"/>
      <c r="J142" s="452"/>
      <c r="K142" s="452"/>
      <c r="L142" s="452"/>
      <c r="M142" s="452"/>
      <c r="N142" s="452"/>
      <c r="O142" s="452"/>
      <c r="P142" s="452"/>
      <c r="Q142" s="452"/>
      <c r="R142" s="452"/>
      <c r="S142" s="452"/>
      <c r="T142" s="452"/>
      <c r="U142" s="452"/>
      <c r="V142" s="284"/>
      <c r="W142" s="6"/>
    </row>
    <row r="143" spans="1:25" ht="15.6">
      <c r="A143" s="230"/>
      <c r="B143" s="511" t="s">
        <v>59</v>
      </c>
      <c r="C143" s="518"/>
      <c r="D143" s="518"/>
      <c r="E143" s="518"/>
      <c r="F143" s="518"/>
      <c r="G143" s="518"/>
      <c r="H143" s="518"/>
      <c r="I143" s="518"/>
      <c r="J143" s="518"/>
      <c r="K143" s="518"/>
      <c r="L143" s="518"/>
      <c r="M143" s="518"/>
      <c r="N143" s="518"/>
      <c r="O143" s="518"/>
      <c r="P143" s="519"/>
      <c r="Q143" s="519"/>
      <c r="R143" s="519"/>
      <c r="S143" s="519">
        <v>42551</v>
      </c>
      <c r="T143" s="231"/>
      <c r="U143" s="231"/>
      <c r="V143" s="237"/>
      <c r="W143" s="6"/>
    </row>
    <row r="144" spans="1:25" ht="15.6">
      <c r="A144" s="281"/>
      <c r="B144" s="294" t="s">
        <v>60</v>
      </c>
      <c r="C144" s="329"/>
      <c r="D144" s="329"/>
      <c r="E144" s="329"/>
      <c r="F144" s="329"/>
      <c r="G144" s="329"/>
      <c r="H144" s="329"/>
      <c r="I144" s="329"/>
      <c r="J144" s="329"/>
      <c r="K144" s="329"/>
      <c r="L144" s="329"/>
      <c r="M144" s="329"/>
      <c r="N144" s="329"/>
      <c r="O144" s="329"/>
      <c r="P144" s="300"/>
      <c r="Q144" s="300"/>
      <c r="R144" s="300"/>
      <c r="S144" s="299">
        <v>0.10630000000000001</v>
      </c>
      <c r="T144" s="294"/>
      <c r="U144" s="294"/>
      <c r="V144" s="260"/>
      <c r="W144" s="6"/>
    </row>
    <row r="145" spans="1:23" ht="15.6">
      <c r="A145" s="458"/>
      <c r="B145" s="379" t="s">
        <v>61</v>
      </c>
      <c r="C145" s="459"/>
      <c r="D145" s="459"/>
      <c r="E145" s="459"/>
      <c r="F145" s="459"/>
      <c r="G145" s="459"/>
      <c r="H145" s="459"/>
      <c r="I145" s="459"/>
      <c r="J145" s="459"/>
      <c r="K145" s="459"/>
      <c r="L145" s="459"/>
      <c r="M145" s="459"/>
      <c r="N145" s="459"/>
      <c r="O145" s="459"/>
      <c r="P145" s="433"/>
      <c r="Q145" s="433"/>
      <c r="R145" s="433"/>
      <c r="S145" s="427">
        <v>5.2200000000000003E-2</v>
      </c>
      <c r="T145" s="427"/>
      <c r="U145" s="379"/>
      <c r="V145" s="385"/>
      <c r="W145" s="6"/>
    </row>
    <row r="146" spans="1:23" ht="15.6">
      <c r="A146" s="458"/>
      <c r="B146" s="379" t="s">
        <v>62</v>
      </c>
      <c r="C146" s="459"/>
      <c r="D146" s="459"/>
      <c r="E146" s="459"/>
      <c r="F146" s="459"/>
      <c r="G146" s="459"/>
      <c r="H146" s="459"/>
      <c r="I146" s="459"/>
      <c r="J146" s="459"/>
      <c r="K146" s="459"/>
      <c r="L146" s="459"/>
      <c r="M146" s="459"/>
      <c r="N146" s="459"/>
      <c r="O146" s="459"/>
      <c r="P146" s="433"/>
      <c r="Q146" s="433"/>
      <c r="R146" s="433"/>
      <c r="S146" s="427">
        <f>S144-S145</f>
        <v>5.4100000000000002E-2</v>
      </c>
      <c r="T146" s="379"/>
      <c r="U146" s="379"/>
      <c r="V146" s="385"/>
      <c r="W146" s="6"/>
    </row>
    <row r="147" spans="1:23" ht="15.6">
      <c r="A147" s="458"/>
      <c r="B147" s="379" t="s">
        <v>63</v>
      </c>
      <c r="C147" s="459"/>
      <c r="D147" s="459"/>
      <c r="E147" s="459"/>
      <c r="F147" s="459"/>
      <c r="G147" s="459"/>
      <c r="H147" s="459"/>
      <c r="I147" s="459"/>
      <c r="J147" s="459"/>
      <c r="K147" s="459"/>
      <c r="L147" s="459"/>
      <c r="M147" s="459"/>
      <c r="N147" s="459"/>
      <c r="O147" s="459"/>
      <c r="P147" s="433"/>
      <c r="Q147" s="433"/>
      <c r="R147" s="433"/>
      <c r="S147" s="554">
        <v>9.0149999999999994E-2</v>
      </c>
      <c r="T147" s="379"/>
      <c r="U147" s="379"/>
      <c r="V147" s="385"/>
      <c r="W147" s="6"/>
    </row>
    <row r="148" spans="1:23" ht="15.6">
      <c r="A148" s="458"/>
      <c r="B148" s="379" t="s">
        <v>64</v>
      </c>
      <c r="C148" s="459"/>
      <c r="D148" s="459"/>
      <c r="E148" s="459"/>
      <c r="F148" s="459"/>
      <c r="G148" s="459"/>
      <c r="H148" s="459"/>
      <c r="I148" s="459"/>
      <c r="J148" s="459"/>
      <c r="K148" s="459"/>
      <c r="L148" s="459"/>
      <c r="M148" s="459"/>
      <c r="N148" s="459"/>
      <c r="O148" s="459"/>
      <c r="P148" s="433"/>
      <c r="Q148" s="433"/>
      <c r="R148" s="433"/>
      <c r="S148" s="427">
        <f>+U40</f>
        <v>1.531469828037167E-2</v>
      </c>
      <c r="T148" s="379"/>
      <c r="U148" s="379"/>
      <c r="V148" s="385"/>
      <c r="W148" s="6"/>
    </row>
    <row r="149" spans="1:23" ht="15.6">
      <c r="A149" s="458"/>
      <c r="B149" s="379" t="s">
        <v>65</v>
      </c>
      <c r="C149" s="459"/>
      <c r="D149" s="459"/>
      <c r="E149" s="459"/>
      <c r="F149" s="459"/>
      <c r="G149" s="459"/>
      <c r="H149" s="459"/>
      <c r="I149" s="459"/>
      <c r="J149" s="459"/>
      <c r="K149" s="459"/>
      <c r="L149" s="459"/>
      <c r="M149" s="459"/>
      <c r="N149" s="459"/>
      <c r="O149" s="459"/>
      <c r="P149" s="433"/>
      <c r="Q149" s="433"/>
      <c r="R149" s="433"/>
      <c r="S149" s="427">
        <f>S147-S148</f>
        <v>7.4835301719628322E-2</v>
      </c>
      <c r="T149" s="379"/>
      <c r="U149" s="379"/>
      <c r="V149" s="385"/>
      <c r="W149" s="6"/>
    </row>
    <row r="150" spans="1:23" ht="15.6">
      <c r="A150" s="458"/>
      <c r="B150" s="379" t="s">
        <v>204</v>
      </c>
      <c r="C150" s="459"/>
      <c r="D150" s="459"/>
      <c r="E150" s="459"/>
      <c r="F150" s="459"/>
      <c r="G150" s="459"/>
      <c r="H150" s="459"/>
      <c r="I150" s="459"/>
      <c r="J150" s="459"/>
      <c r="K150" s="459"/>
      <c r="L150" s="459"/>
      <c r="M150" s="459"/>
      <c r="N150" s="459"/>
      <c r="O150" s="459"/>
      <c r="P150" s="433"/>
      <c r="Q150" s="433"/>
      <c r="R150" s="433"/>
      <c r="S150" s="429">
        <v>49780</v>
      </c>
      <c r="T150" s="379"/>
      <c r="U150" s="379"/>
      <c r="V150" s="385"/>
      <c r="W150" s="6"/>
    </row>
    <row r="151" spans="1:23" ht="15.6">
      <c r="A151" s="458"/>
      <c r="B151" s="379" t="s">
        <v>205</v>
      </c>
      <c r="C151" s="459"/>
      <c r="D151" s="459"/>
      <c r="E151" s="459"/>
      <c r="F151" s="459"/>
      <c r="G151" s="459"/>
      <c r="H151" s="459"/>
      <c r="I151" s="459"/>
      <c r="J151" s="459"/>
      <c r="K151" s="459"/>
      <c r="L151" s="459"/>
      <c r="M151" s="459"/>
      <c r="N151" s="459"/>
      <c r="O151" s="459"/>
      <c r="P151" s="433"/>
      <c r="Q151" s="433"/>
      <c r="R151" s="433"/>
      <c r="S151" s="429">
        <v>49780</v>
      </c>
      <c r="T151" s="379"/>
      <c r="U151" s="379"/>
      <c r="V151" s="385"/>
      <c r="W151" s="6"/>
    </row>
    <row r="152" spans="1:23" ht="15.6">
      <c r="A152" s="458"/>
      <c r="B152" s="379" t="s">
        <v>206</v>
      </c>
      <c r="C152" s="459"/>
      <c r="D152" s="459"/>
      <c r="E152" s="459"/>
      <c r="F152" s="459"/>
      <c r="G152" s="459"/>
      <c r="H152" s="459"/>
      <c r="I152" s="459"/>
      <c r="J152" s="459"/>
      <c r="K152" s="459"/>
      <c r="L152" s="459"/>
      <c r="M152" s="459"/>
      <c r="N152" s="459"/>
      <c r="O152" s="459"/>
      <c r="P152" s="433"/>
      <c r="Q152" s="433"/>
      <c r="R152" s="433"/>
      <c r="S152" s="429">
        <v>49780</v>
      </c>
      <c r="T152" s="379"/>
      <c r="U152" s="379"/>
      <c r="V152" s="385"/>
      <c r="W152" s="6"/>
    </row>
    <row r="153" spans="1:23" ht="15.6">
      <c r="A153" s="458"/>
      <c r="B153" s="379" t="s">
        <v>207</v>
      </c>
      <c r="C153" s="459"/>
      <c r="D153" s="459"/>
      <c r="E153" s="459"/>
      <c r="F153" s="459"/>
      <c r="G153" s="459"/>
      <c r="H153" s="459"/>
      <c r="I153" s="459"/>
      <c r="J153" s="459"/>
      <c r="K153" s="459"/>
      <c r="L153" s="459"/>
      <c r="M153" s="459"/>
      <c r="N153" s="459"/>
      <c r="O153" s="459"/>
      <c r="P153" s="433"/>
      <c r="Q153" s="433"/>
      <c r="R153" s="433"/>
      <c r="S153" s="429">
        <v>49780</v>
      </c>
      <c r="T153" s="379"/>
      <c r="U153" s="379"/>
      <c r="V153" s="385"/>
      <c r="W153" s="6"/>
    </row>
    <row r="154" spans="1:23" ht="15.6">
      <c r="A154" s="458"/>
      <c r="B154" s="379" t="s">
        <v>221</v>
      </c>
      <c r="C154" s="459"/>
      <c r="D154" s="459"/>
      <c r="E154" s="459"/>
      <c r="F154" s="459"/>
      <c r="G154" s="459"/>
      <c r="H154" s="459"/>
      <c r="I154" s="459"/>
      <c r="J154" s="459"/>
      <c r="K154" s="459"/>
      <c r="L154" s="459"/>
      <c r="M154" s="459"/>
      <c r="N154" s="459"/>
      <c r="O154" s="459"/>
      <c r="P154" s="433"/>
      <c r="Q154" s="433"/>
      <c r="R154" s="433"/>
      <c r="S154" s="432">
        <v>111.34</v>
      </c>
      <c r="T154" s="379"/>
      <c r="U154" s="379"/>
      <c r="V154" s="385"/>
      <c r="W154" s="6"/>
    </row>
    <row r="155" spans="1:23" ht="15.6">
      <c r="A155" s="458"/>
      <c r="B155" s="379" t="s">
        <v>222</v>
      </c>
      <c r="C155" s="459"/>
      <c r="D155" s="459"/>
      <c r="E155" s="459"/>
      <c r="F155" s="459"/>
      <c r="G155" s="459"/>
      <c r="H155" s="459"/>
      <c r="I155" s="459"/>
      <c r="J155" s="459"/>
      <c r="K155" s="459"/>
      <c r="L155" s="459"/>
      <c r="M155" s="459"/>
      <c r="N155" s="459"/>
      <c r="O155" s="459"/>
      <c r="P155" s="433"/>
      <c r="Q155" s="433"/>
      <c r="R155" s="433"/>
      <c r="S155" s="555">
        <v>132.44</v>
      </c>
      <c r="T155" s="379"/>
      <c r="U155" s="379"/>
      <c r="V155" s="385"/>
      <c r="W155" s="6"/>
    </row>
    <row r="156" spans="1:23" ht="15.6">
      <c r="A156" s="458" t="s">
        <v>223</v>
      </c>
      <c r="B156" s="379" t="s">
        <v>66</v>
      </c>
      <c r="C156" s="459"/>
      <c r="D156" s="459"/>
      <c r="E156" s="459"/>
      <c r="F156" s="459"/>
      <c r="G156" s="459"/>
      <c r="H156" s="459"/>
      <c r="I156" s="459"/>
      <c r="J156" s="459"/>
      <c r="K156" s="459"/>
      <c r="L156" s="459"/>
      <c r="M156" s="459"/>
      <c r="N156" s="459"/>
      <c r="O156" s="459"/>
      <c r="P156" s="433"/>
      <c r="Q156" s="433"/>
      <c r="R156" s="433"/>
      <c r="S156" s="427">
        <v>4.8899999999999999E-2</v>
      </c>
      <c r="T156" s="379"/>
      <c r="U156" s="379"/>
      <c r="V156" s="385"/>
      <c r="W156" s="6"/>
    </row>
    <row r="157" spans="1:23" ht="15.6">
      <c r="A157" s="458"/>
      <c r="B157" s="379" t="s">
        <v>67</v>
      </c>
      <c r="C157" s="459"/>
      <c r="D157" s="459"/>
      <c r="E157" s="459"/>
      <c r="F157" s="459"/>
      <c r="G157" s="459"/>
      <c r="H157" s="459"/>
      <c r="I157" s="459"/>
      <c r="J157" s="459"/>
      <c r="K157" s="459"/>
      <c r="L157" s="459"/>
      <c r="M157" s="459"/>
      <c r="N157" s="459"/>
      <c r="O157" s="459"/>
      <c r="P157" s="433"/>
      <c r="Q157" s="433"/>
      <c r="R157" s="433"/>
      <c r="S157" s="427">
        <v>0.252</v>
      </c>
      <c r="T157" s="379"/>
      <c r="U157" s="379"/>
      <c r="V157" s="385"/>
      <c r="W157" s="6"/>
    </row>
    <row r="158" spans="1:23" ht="15.6">
      <c r="A158" s="280"/>
      <c r="B158" s="364"/>
      <c r="C158" s="364"/>
      <c r="D158" s="364"/>
      <c r="E158" s="364"/>
      <c r="F158" s="364"/>
      <c r="G158" s="364"/>
      <c r="H158" s="364"/>
      <c r="I158" s="364"/>
      <c r="J158" s="364"/>
      <c r="K158" s="364"/>
      <c r="L158" s="364"/>
      <c r="M158" s="364"/>
      <c r="N158" s="364"/>
      <c r="O158" s="364"/>
      <c r="P158" s="364"/>
      <c r="Q158" s="364"/>
      <c r="R158" s="455"/>
      <c r="S158" s="456"/>
      <c r="T158" s="364"/>
      <c r="U158" s="457"/>
      <c r="V158" s="245"/>
      <c r="W158" s="6"/>
    </row>
    <row r="159" spans="1:23" ht="15.6">
      <c r="A159" s="280"/>
      <c r="B159" s="288"/>
      <c r="C159" s="288"/>
      <c r="D159" s="288"/>
      <c r="E159" s="288"/>
      <c r="F159" s="288"/>
      <c r="G159" s="288"/>
      <c r="H159" s="288"/>
      <c r="I159" s="288"/>
      <c r="J159" s="288"/>
      <c r="K159" s="288"/>
      <c r="L159" s="288"/>
      <c r="M159" s="288"/>
      <c r="N159" s="288"/>
      <c r="O159" s="288"/>
      <c r="P159" s="288"/>
      <c r="Q159" s="288"/>
      <c r="R159" s="331"/>
      <c r="S159" s="332"/>
      <c r="T159" s="288"/>
      <c r="U159" s="333"/>
      <c r="V159" s="245"/>
      <c r="W159" s="6"/>
    </row>
    <row r="160" spans="1:23" ht="16.2" thickBot="1">
      <c r="A160" s="282"/>
      <c r="B160" s="304" t="str">
        <f>+B109</f>
        <v>PPAF3 INVESTOR REPORT QUARTER ENDING JUNE 2016</v>
      </c>
      <c r="C160" s="305"/>
      <c r="D160" s="305"/>
      <c r="E160" s="305"/>
      <c r="F160" s="305"/>
      <c r="G160" s="305"/>
      <c r="H160" s="305"/>
      <c r="I160" s="305"/>
      <c r="J160" s="305"/>
      <c r="K160" s="305"/>
      <c r="L160" s="305"/>
      <c r="M160" s="305"/>
      <c r="N160" s="305"/>
      <c r="O160" s="305"/>
      <c r="P160" s="305"/>
      <c r="Q160" s="305"/>
      <c r="R160" s="334"/>
      <c r="S160" s="335"/>
      <c r="T160" s="305"/>
      <c r="U160" s="336"/>
      <c r="V160" s="262"/>
      <c r="W160" s="6"/>
    </row>
    <row r="161" spans="1:23" ht="15.6">
      <c r="A161" s="337"/>
      <c r="B161" s="520" t="s">
        <v>68</v>
      </c>
      <c r="C161" s="521"/>
      <c r="D161" s="521"/>
      <c r="E161" s="521"/>
      <c r="F161" s="521"/>
      <c r="G161" s="521"/>
      <c r="H161" s="521"/>
      <c r="I161" s="521"/>
      <c r="J161" s="521"/>
      <c r="K161" s="521"/>
      <c r="L161" s="521"/>
      <c r="M161" s="522"/>
      <c r="N161" s="521"/>
      <c r="O161" s="522"/>
      <c r="P161" s="521"/>
      <c r="Q161" s="522"/>
      <c r="R161" s="521" t="s">
        <v>94</v>
      </c>
      <c r="S161" s="522" t="s">
        <v>116</v>
      </c>
      <c r="T161" s="340"/>
      <c r="U161" s="340"/>
      <c r="V161" s="341"/>
      <c r="W161" s="6"/>
    </row>
    <row r="162" spans="1:23" ht="15.6">
      <c r="A162" s="283"/>
      <c r="B162" s="294" t="s">
        <v>216</v>
      </c>
      <c r="C162" s="310"/>
      <c r="D162" s="310"/>
      <c r="E162" s="310"/>
      <c r="F162" s="310"/>
      <c r="G162" s="310"/>
      <c r="H162" s="310"/>
      <c r="I162" s="310"/>
      <c r="J162" s="310"/>
      <c r="K162" s="310"/>
      <c r="L162" s="310"/>
      <c r="M162" s="310"/>
      <c r="N162" s="310"/>
      <c r="O162" s="294"/>
      <c r="P162" s="294"/>
      <c r="Q162" s="294"/>
      <c r="R162" s="310">
        <v>399</v>
      </c>
      <c r="S162" s="311">
        <v>8504</v>
      </c>
      <c r="T162" s="311"/>
      <c r="U162" s="330"/>
      <c r="V162" s="342"/>
      <c r="W162" s="6"/>
    </row>
    <row r="163" spans="1:23" ht="15.6">
      <c r="A163" s="465"/>
      <c r="B163" s="379" t="s">
        <v>217</v>
      </c>
      <c r="C163" s="440"/>
      <c r="D163" s="440"/>
      <c r="E163" s="440"/>
      <c r="F163" s="440"/>
      <c r="G163" s="440"/>
      <c r="H163" s="440"/>
      <c r="I163" s="440"/>
      <c r="J163" s="440"/>
      <c r="K163" s="440"/>
      <c r="L163" s="440"/>
      <c r="M163" s="440"/>
      <c r="N163" s="440"/>
      <c r="O163" s="379"/>
      <c r="P163" s="379"/>
      <c r="Q163" s="379"/>
      <c r="R163" s="545">
        <v>4</v>
      </c>
      <c r="S163" s="546">
        <v>9</v>
      </c>
      <c r="T163" s="441"/>
      <c r="U163" s="466"/>
      <c r="V163" s="467"/>
      <c r="W163" s="6"/>
    </row>
    <row r="164" spans="1:23" ht="15.6">
      <c r="A164" s="465"/>
      <c r="B164" s="379" t="s">
        <v>218</v>
      </c>
      <c r="C164" s="440"/>
      <c r="D164" s="440"/>
      <c r="E164" s="440"/>
      <c r="F164" s="440"/>
      <c r="G164" s="440"/>
      <c r="H164" s="440"/>
      <c r="I164" s="440"/>
      <c r="J164" s="440"/>
      <c r="K164" s="440"/>
      <c r="L164" s="440"/>
      <c r="M164" s="440"/>
      <c r="N164" s="440"/>
      <c r="O164" s="379"/>
      <c r="P164" s="379"/>
      <c r="Q164" s="379"/>
      <c r="R164" s="545">
        <v>97</v>
      </c>
      <c r="S164" s="546">
        <v>79</v>
      </c>
      <c r="T164" s="441"/>
      <c r="U164" s="466"/>
      <c r="V164" s="467"/>
      <c r="W164" s="6"/>
    </row>
    <row r="165" spans="1:23" ht="15.6">
      <c r="A165" s="465"/>
      <c r="B165" s="379" t="s">
        <v>219</v>
      </c>
      <c r="C165" s="440"/>
      <c r="D165" s="440"/>
      <c r="E165" s="440"/>
      <c r="F165" s="440"/>
      <c r="G165" s="440"/>
      <c r="H165" s="440"/>
      <c r="I165" s="440"/>
      <c r="J165" s="440"/>
      <c r="K165" s="440"/>
      <c r="L165" s="440"/>
      <c r="M165" s="440"/>
      <c r="N165" s="440"/>
      <c r="O165" s="379"/>
      <c r="P165" s="379"/>
      <c r="Q165" s="379"/>
      <c r="R165" s="545">
        <v>80</v>
      </c>
      <c r="S165" s="546">
        <v>103</v>
      </c>
      <c r="T165" s="441"/>
      <c r="U165" s="466"/>
      <c r="V165" s="467"/>
      <c r="W165" s="6"/>
    </row>
    <row r="166" spans="1:23" ht="15.6">
      <c r="A166" s="465"/>
      <c r="B166" s="379" t="s">
        <v>90</v>
      </c>
      <c r="C166" s="440"/>
      <c r="D166" s="440"/>
      <c r="E166" s="440"/>
      <c r="F166" s="440"/>
      <c r="G166" s="440"/>
      <c r="H166" s="440"/>
      <c r="I166" s="440"/>
      <c r="J166" s="440"/>
      <c r="K166" s="440"/>
      <c r="L166" s="440"/>
      <c r="M166" s="440"/>
      <c r="N166" s="440"/>
      <c r="O166" s="379"/>
      <c r="P166" s="379"/>
      <c r="Q166" s="379"/>
      <c r="R166" s="547">
        <f>SUM(R162:R165)</f>
        <v>580</v>
      </c>
      <c r="S166" s="546">
        <f>SUM(S162:S165)</f>
        <v>8695</v>
      </c>
      <c r="T166" s="441"/>
      <c r="U166" s="466"/>
      <c r="V166" s="467"/>
      <c r="W166" s="6"/>
    </row>
    <row r="167" spans="1:23" ht="15.6">
      <c r="A167" s="465"/>
      <c r="B167" s="379"/>
      <c r="C167" s="440"/>
      <c r="D167" s="440"/>
      <c r="E167" s="440"/>
      <c r="F167" s="440"/>
      <c r="G167" s="440"/>
      <c r="H167" s="440"/>
      <c r="I167" s="440"/>
      <c r="J167" s="440"/>
      <c r="K167" s="440"/>
      <c r="L167" s="440"/>
      <c r="M167" s="440"/>
      <c r="N167" s="440"/>
      <c r="O167" s="379"/>
      <c r="P167" s="379"/>
      <c r="Q167" s="379"/>
      <c r="R167" s="545"/>
      <c r="S167" s="546"/>
      <c r="T167" s="441"/>
      <c r="U167" s="466"/>
      <c r="V167" s="467"/>
      <c r="W167" s="6"/>
    </row>
    <row r="168" spans="1:23" ht="15.6">
      <c r="A168" s="465"/>
      <c r="B168" s="379" t="s">
        <v>220</v>
      </c>
      <c r="C168" s="440"/>
      <c r="D168" s="440"/>
      <c r="E168" s="440"/>
      <c r="F168" s="440"/>
      <c r="G168" s="440"/>
      <c r="H168" s="440"/>
      <c r="I168" s="440"/>
      <c r="J168" s="440"/>
      <c r="K168" s="440"/>
      <c r="L168" s="440"/>
      <c r="M168" s="440"/>
      <c r="N168" s="440"/>
      <c r="O168" s="379"/>
      <c r="P168" s="379"/>
      <c r="Q168" s="379"/>
      <c r="R168" s="545">
        <v>0</v>
      </c>
      <c r="S168" s="546">
        <v>0</v>
      </c>
      <c r="T168" s="441"/>
      <c r="U168" s="466"/>
      <c r="V168" s="467"/>
      <c r="W168" s="6"/>
    </row>
    <row r="169" spans="1:23" ht="15.6">
      <c r="A169" s="465"/>
      <c r="B169" s="379" t="s">
        <v>224</v>
      </c>
      <c r="C169" s="440"/>
      <c r="D169" s="440"/>
      <c r="E169" s="440"/>
      <c r="F169" s="440"/>
      <c r="G169" s="440"/>
      <c r="H169" s="440"/>
      <c r="I169" s="440"/>
      <c r="J169" s="440"/>
      <c r="K169" s="440"/>
      <c r="L169" s="440"/>
      <c r="M169" s="440"/>
      <c r="N169" s="440"/>
      <c r="O169" s="379"/>
      <c r="P169" s="379"/>
      <c r="Q169" s="379"/>
      <c r="R169" s="545">
        <v>4</v>
      </c>
      <c r="S169" s="546">
        <v>133</v>
      </c>
      <c r="T169" s="441"/>
      <c r="U169" s="466"/>
      <c r="V169" s="467"/>
      <c r="W169" s="6"/>
    </row>
    <row r="170" spans="1:23" ht="15.6">
      <c r="A170" s="465"/>
      <c r="B170" s="468" t="s">
        <v>69</v>
      </c>
      <c r="C170" s="469"/>
      <c r="D170" s="469"/>
      <c r="E170" s="469"/>
      <c r="F170" s="469"/>
      <c r="G170" s="469"/>
      <c r="H170" s="469"/>
      <c r="I170" s="469"/>
      <c r="J170" s="469"/>
      <c r="K170" s="469"/>
      <c r="L170" s="469"/>
      <c r="M170" s="469"/>
      <c r="N170" s="469"/>
      <c r="O170" s="454"/>
      <c r="P170" s="454"/>
      <c r="Q170" s="454"/>
      <c r="R170" s="539"/>
      <c r="S170" s="540">
        <v>0</v>
      </c>
      <c r="T170" s="454"/>
      <c r="U170" s="470"/>
      <c r="V170" s="471"/>
      <c r="W170" s="6"/>
    </row>
    <row r="171" spans="1:23" ht="15.6">
      <c r="A171" s="465"/>
      <c r="B171" s="468" t="s">
        <v>70</v>
      </c>
      <c r="C171" s="469"/>
      <c r="D171" s="469"/>
      <c r="E171" s="469"/>
      <c r="F171" s="469"/>
      <c r="G171" s="469"/>
      <c r="H171" s="469"/>
      <c r="I171" s="469"/>
      <c r="J171" s="469"/>
      <c r="K171" s="469"/>
      <c r="L171" s="469"/>
      <c r="M171" s="469"/>
      <c r="N171" s="469"/>
      <c r="O171" s="454"/>
      <c r="P171" s="454"/>
      <c r="Q171" s="454"/>
      <c r="R171" s="539"/>
      <c r="S171" s="540">
        <f>Q75</f>
        <v>0</v>
      </c>
      <c r="T171" s="454"/>
      <c r="U171" s="470"/>
      <c r="V171" s="471"/>
      <c r="W171" s="6"/>
    </row>
    <row r="172" spans="1:23" ht="15.6">
      <c r="A172" s="472"/>
      <c r="B172" s="468" t="s">
        <v>71</v>
      </c>
      <c r="C172" s="469"/>
      <c r="D172" s="469"/>
      <c r="E172" s="469"/>
      <c r="F172" s="469"/>
      <c r="G172" s="469"/>
      <c r="H172" s="469"/>
      <c r="I172" s="469"/>
      <c r="J172" s="469"/>
      <c r="K172" s="469"/>
      <c r="L172" s="469"/>
      <c r="M172" s="473"/>
      <c r="N172" s="473"/>
      <c r="O172" s="473"/>
      <c r="P172" s="454"/>
      <c r="Q172" s="454"/>
      <c r="R172" s="379"/>
      <c r="S172" s="500"/>
      <c r="T172" s="454"/>
      <c r="U172" s="470"/>
      <c r="V172" s="474"/>
      <c r="W172" s="6"/>
    </row>
    <row r="173" spans="1:23" ht="15.6">
      <c r="A173" s="465"/>
      <c r="B173" s="379" t="s">
        <v>72</v>
      </c>
      <c r="C173" s="469"/>
      <c r="D173" s="469"/>
      <c r="E173" s="469"/>
      <c r="F173" s="469"/>
      <c r="G173" s="469"/>
      <c r="H173" s="469"/>
      <c r="I173" s="469"/>
      <c r="J173" s="469"/>
      <c r="K173" s="469"/>
      <c r="L173" s="469"/>
      <c r="M173" s="469"/>
      <c r="N173" s="469"/>
      <c r="O173" s="469"/>
      <c r="P173" s="454"/>
      <c r="Q173" s="454"/>
      <c r="R173" s="379"/>
      <c r="S173" s="546">
        <f>U128</f>
        <v>161</v>
      </c>
      <c r="T173" s="454"/>
      <c r="U173" s="470"/>
      <c r="V173" s="474"/>
      <c r="W173" s="6"/>
    </row>
    <row r="174" spans="1:23" ht="15.6">
      <c r="A174" s="465"/>
      <c r="B174" s="379" t="s">
        <v>73</v>
      </c>
      <c r="C174" s="469"/>
      <c r="D174" s="469"/>
      <c r="E174" s="469"/>
      <c r="F174" s="469"/>
      <c r="G174" s="469"/>
      <c r="H174" s="469"/>
      <c r="I174" s="469"/>
      <c r="J174" s="469"/>
      <c r="K174" s="469"/>
      <c r="L174" s="469"/>
      <c r="M174" s="469"/>
      <c r="N174" s="469"/>
      <c r="O174" s="469"/>
      <c r="P174" s="454"/>
      <c r="Q174" s="454"/>
      <c r="R174" s="379"/>
      <c r="S174" s="546">
        <f>'March 16'!S174+S173</f>
        <v>89432</v>
      </c>
      <c r="T174" s="454"/>
      <c r="U174" s="470"/>
      <c r="V174" s="474"/>
      <c r="W174" s="6"/>
    </row>
    <row r="175" spans="1:23" ht="15.6">
      <c r="A175" s="465"/>
      <c r="B175" s="379" t="s">
        <v>74</v>
      </c>
      <c r="C175" s="469"/>
      <c r="D175" s="469"/>
      <c r="E175" s="469"/>
      <c r="F175" s="469"/>
      <c r="G175" s="469"/>
      <c r="H175" s="469"/>
      <c r="I175" s="469"/>
      <c r="J175" s="469"/>
      <c r="K175" s="469"/>
      <c r="L175" s="469"/>
      <c r="M175" s="469"/>
      <c r="N175" s="469"/>
      <c r="O175" s="469"/>
      <c r="P175" s="454"/>
      <c r="Q175" s="454"/>
      <c r="R175" s="379"/>
      <c r="S175" s="546">
        <f>'March 16'!S175+740</f>
        <v>29864</v>
      </c>
      <c r="T175" s="454"/>
      <c r="U175" s="470"/>
      <c r="V175" s="474"/>
      <c r="W175" s="6"/>
    </row>
    <row r="176" spans="1:23" ht="15.6">
      <c r="A176" s="465"/>
      <c r="B176" s="473"/>
      <c r="C176" s="469"/>
      <c r="D176" s="469"/>
      <c r="E176" s="469"/>
      <c r="F176" s="469"/>
      <c r="G176" s="469"/>
      <c r="H176" s="469"/>
      <c r="I176" s="469"/>
      <c r="J176" s="469"/>
      <c r="K176" s="469"/>
      <c r="L176" s="469"/>
      <c r="M176" s="469"/>
      <c r="N176" s="469"/>
      <c r="O176" s="469"/>
      <c r="P176" s="454"/>
      <c r="Q176" s="454"/>
      <c r="R176" s="379"/>
      <c r="S176" s="546"/>
      <c r="T176" s="454"/>
      <c r="U176" s="470"/>
      <c r="V176" s="474"/>
      <c r="W176" s="6"/>
    </row>
    <row r="177" spans="1:23" ht="15.6">
      <c r="A177" s="472"/>
      <c r="B177" s="468" t="s">
        <v>259</v>
      </c>
      <c r="C177" s="469"/>
      <c r="D177" s="469"/>
      <c r="E177" s="469"/>
      <c r="F177" s="469"/>
      <c r="G177" s="469"/>
      <c r="H177" s="469"/>
      <c r="I177" s="469"/>
      <c r="J177" s="469"/>
      <c r="K177" s="469"/>
      <c r="L177" s="469"/>
      <c r="M177" s="473"/>
      <c r="N177" s="473"/>
      <c r="O177" s="473"/>
      <c r="P177" s="454"/>
      <c r="Q177" s="454"/>
      <c r="R177" s="379"/>
      <c r="S177" s="548"/>
      <c r="T177" s="454"/>
      <c r="U177" s="470"/>
      <c r="V177" s="474"/>
      <c r="W177" s="6"/>
    </row>
    <row r="178" spans="1:23" ht="15.6">
      <c r="A178" s="472"/>
      <c r="B178" s="379" t="s">
        <v>254</v>
      </c>
      <c r="C178" s="469"/>
      <c r="D178" s="469"/>
      <c r="E178" s="469"/>
      <c r="F178" s="469"/>
      <c r="G178" s="469"/>
      <c r="H178" s="469"/>
      <c r="I178" s="469"/>
      <c r="J178" s="469"/>
      <c r="K178" s="469"/>
      <c r="L178" s="469"/>
      <c r="M178" s="473"/>
      <c r="N178" s="473"/>
      <c r="O178" s="473"/>
      <c r="P178" s="454"/>
      <c r="Q178" s="454"/>
      <c r="R178" s="379"/>
      <c r="S178" s="548">
        <v>0</v>
      </c>
      <c r="T178" s="454"/>
      <c r="U178" s="470"/>
      <c r="V178" s="474"/>
      <c r="W178" s="6"/>
    </row>
    <row r="179" spans="1:23" ht="15.6">
      <c r="A179" s="465"/>
      <c r="B179" s="379" t="s">
        <v>75</v>
      </c>
      <c r="C179" s="469"/>
      <c r="D179" s="469"/>
      <c r="E179" s="469"/>
      <c r="F179" s="469"/>
      <c r="G179" s="469"/>
      <c r="H179" s="469"/>
      <c r="I179" s="469"/>
      <c r="J179" s="469"/>
      <c r="K179" s="469"/>
      <c r="L179" s="469"/>
      <c r="M179" s="475"/>
      <c r="N179" s="475"/>
      <c r="O179" s="476"/>
      <c r="P179" s="454"/>
      <c r="Q179" s="454"/>
      <c r="R179" s="379"/>
      <c r="S179" s="549">
        <v>0</v>
      </c>
      <c r="T179" s="454"/>
      <c r="U179" s="470"/>
      <c r="V179" s="474"/>
      <c r="W179" s="6"/>
    </row>
    <row r="180" spans="1:23" ht="15.6">
      <c r="A180" s="465"/>
      <c r="B180" s="379" t="s">
        <v>76</v>
      </c>
      <c r="C180" s="469"/>
      <c r="D180" s="469"/>
      <c r="E180" s="469"/>
      <c r="F180" s="469"/>
      <c r="G180" s="469"/>
      <c r="H180" s="469"/>
      <c r="I180" s="469"/>
      <c r="J180" s="469"/>
      <c r="K180" s="469"/>
      <c r="L180" s="469"/>
      <c r="M180" s="475"/>
      <c r="N180" s="475"/>
      <c r="O180" s="476"/>
      <c r="P180" s="454"/>
      <c r="Q180" s="454"/>
      <c r="R180" s="379"/>
      <c r="S180" s="548">
        <v>0</v>
      </c>
      <c r="T180" s="454"/>
      <c r="U180" s="470"/>
      <c r="V180" s="474"/>
      <c r="W180" s="6"/>
    </row>
    <row r="181" spans="1:23" ht="15.6">
      <c r="A181" s="465"/>
      <c r="B181" s="473"/>
      <c r="C181" s="469"/>
      <c r="D181" s="469"/>
      <c r="E181" s="469"/>
      <c r="F181" s="469"/>
      <c r="G181" s="469"/>
      <c r="H181" s="469"/>
      <c r="I181" s="469"/>
      <c r="J181" s="469"/>
      <c r="K181" s="469"/>
      <c r="L181" s="469"/>
      <c r="M181" s="477"/>
      <c r="N181" s="475"/>
      <c r="O181" s="476"/>
      <c r="P181" s="454"/>
      <c r="Q181" s="454"/>
      <c r="R181" s="379"/>
      <c r="S181" s="537"/>
      <c r="T181" s="454"/>
      <c r="U181" s="470"/>
      <c r="V181" s="474"/>
      <c r="W181" s="6"/>
    </row>
    <row r="182" spans="1:23" ht="15.6">
      <c r="A182" s="465"/>
      <c r="B182" s="468" t="s">
        <v>77</v>
      </c>
      <c r="C182" s="469"/>
      <c r="D182" s="469"/>
      <c r="E182" s="469"/>
      <c r="F182" s="469"/>
      <c r="G182" s="469"/>
      <c r="H182" s="469"/>
      <c r="I182" s="469"/>
      <c r="J182" s="469"/>
      <c r="K182" s="469"/>
      <c r="L182" s="469"/>
      <c r="M182" s="469"/>
      <c r="N182" s="477"/>
      <c r="O182" s="475"/>
      <c r="P182" s="476"/>
      <c r="Q182" s="454"/>
      <c r="R182" s="380"/>
      <c r="S182" s="538"/>
      <c r="T182" s="478"/>
      <c r="U182" s="390"/>
      <c r="V182" s="479"/>
      <c r="W182" s="6"/>
    </row>
    <row r="183" spans="1:23" ht="15.6">
      <c r="A183" s="465"/>
      <c r="B183" s="379" t="s">
        <v>78</v>
      </c>
      <c r="C183" s="469"/>
      <c r="D183" s="469"/>
      <c r="E183" s="469"/>
      <c r="F183" s="469"/>
      <c r="G183" s="469"/>
      <c r="H183" s="469"/>
      <c r="I183" s="469"/>
      <c r="J183" s="469"/>
      <c r="K183" s="469"/>
      <c r="L183" s="469"/>
      <c r="M183" s="469"/>
      <c r="N183" s="477"/>
      <c r="O183" s="475"/>
      <c r="P183" s="476"/>
      <c r="Q183" s="454"/>
      <c r="R183" s="380"/>
      <c r="S183" s="550">
        <v>0</v>
      </c>
      <c r="T183" s="480"/>
      <c r="U183" s="390"/>
      <c r="V183" s="479"/>
      <c r="W183" s="6"/>
    </row>
    <row r="184" spans="1:23" ht="15.6">
      <c r="A184" s="465"/>
      <c r="B184" s="379" t="s">
        <v>75</v>
      </c>
      <c r="C184" s="469"/>
      <c r="D184" s="469"/>
      <c r="E184" s="469"/>
      <c r="F184" s="469"/>
      <c r="G184" s="469"/>
      <c r="H184" s="469"/>
      <c r="I184" s="469"/>
      <c r="J184" s="469"/>
      <c r="K184" s="469"/>
      <c r="L184" s="469"/>
      <c r="M184" s="469"/>
      <c r="N184" s="477"/>
      <c r="O184" s="475"/>
      <c r="P184" s="476"/>
      <c r="Q184" s="454"/>
      <c r="R184" s="380"/>
      <c r="S184" s="550">
        <v>0</v>
      </c>
      <c r="T184" s="480"/>
      <c r="U184" s="390"/>
      <c r="V184" s="479"/>
      <c r="W184" s="6"/>
    </row>
    <row r="185" spans="1:23" ht="15.6">
      <c r="A185" s="465"/>
      <c r="B185" s="379" t="s">
        <v>79</v>
      </c>
      <c r="C185" s="469"/>
      <c r="D185" s="469"/>
      <c r="E185" s="469"/>
      <c r="F185" s="469"/>
      <c r="G185" s="469"/>
      <c r="H185" s="469"/>
      <c r="I185" s="469"/>
      <c r="J185" s="469"/>
      <c r="K185" s="469"/>
      <c r="L185" s="469"/>
      <c r="M185" s="469"/>
      <c r="N185" s="477"/>
      <c r="O185" s="475"/>
      <c r="P185" s="476"/>
      <c r="Q185" s="454"/>
      <c r="R185" s="380"/>
      <c r="S185" s="550">
        <v>0</v>
      </c>
      <c r="T185" s="480"/>
      <c r="U185" s="390"/>
      <c r="V185" s="479"/>
      <c r="W185" s="6"/>
    </row>
    <row r="186" spans="1:23" ht="15.6">
      <c r="A186" s="465"/>
      <c r="B186" s="473"/>
      <c r="C186" s="469"/>
      <c r="D186" s="469"/>
      <c r="E186" s="469"/>
      <c r="F186" s="469"/>
      <c r="G186" s="469"/>
      <c r="H186" s="469"/>
      <c r="I186" s="469"/>
      <c r="J186" s="469"/>
      <c r="K186" s="469"/>
      <c r="L186" s="469"/>
      <c r="M186" s="477"/>
      <c r="N186" s="475"/>
      <c r="O186" s="476"/>
      <c r="P186" s="454"/>
      <c r="Q186" s="454"/>
      <c r="R186" s="454"/>
      <c r="S186" s="537"/>
      <c r="T186" s="454"/>
      <c r="U186" s="470"/>
      <c r="V186" s="474"/>
      <c r="W186" s="6"/>
    </row>
    <row r="187" spans="1:23" ht="17.399999999999999">
      <c r="A187" s="465"/>
      <c r="B187" s="482" t="s">
        <v>196</v>
      </c>
      <c r="C187" s="469"/>
      <c r="D187" s="469"/>
      <c r="E187" s="469"/>
      <c r="F187" s="469"/>
      <c r="G187" s="469"/>
      <c r="H187" s="469"/>
      <c r="I187" s="469"/>
      <c r="J187" s="469"/>
      <c r="K187" s="483" t="s">
        <v>195</v>
      </c>
      <c r="L187" s="469"/>
      <c r="M187" s="477"/>
      <c r="N187" s="475"/>
      <c r="O187" s="476"/>
      <c r="P187" s="454"/>
      <c r="Q187" s="454"/>
      <c r="R187" s="454"/>
      <c r="S187" s="481"/>
      <c r="T187" s="454"/>
      <c r="U187" s="470"/>
      <c r="V187" s="474"/>
      <c r="W187" s="6"/>
    </row>
    <row r="188" spans="1:23" ht="15.6">
      <c r="A188" s="242"/>
      <c r="B188" s="460"/>
      <c r="C188" s="461"/>
      <c r="D188" s="461"/>
      <c r="E188" s="461"/>
      <c r="F188" s="461"/>
      <c r="G188" s="461"/>
      <c r="H188" s="461"/>
      <c r="I188" s="461"/>
      <c r="J188" s="461"/>
      <c r="K188" s="461"/>
      <c r="L188" s="461"/>
      <c r="M188" s="462"/>
      <c r="N188" s="461"/>
      <c r="O188" s="462"/>
      <c r="P188" s="461"/>
      <c r="Q188" s="462"/>
      <c r="R188" s="461"/>
      <c r="S188" s="462"/>
      <c r="T188" s="461"/>
      <c r="U188" s="463"/>
      <c r="V188" s="464"/>
      <c r="W188" s="6"/>
    </row>
    <row r="189" spans="1:23" ht="15.6">
      <c r="A189" s="348"/>
      <c r="B189" s="525" t="s">
        <v>80</v>
      </c>
      <c r="C189" s="343"/>
      <c r="D189" s="343"/>
      <c r="E189" s="343"/>
      <c r="F189" s="343"/>
      <c r="G189" s="343"/>
      <c r="H189" s="343"/>
      <c r="I189" s="343"/>
      <c r="J189" s="343"/>
      <c r="K189" s="343"/>
      <c r="L189" s="343"/>
      <c r="M189" s="525" t="s">
        <v>100</v>
      </c>
      <c r="N189" s="526"/>
      <c r="O189" s="527"/>
      <c r="P189" s="526"/>
      <c r="Q189" s="525"/>
      <c r="R189" s="525" t="s">
        <v>26</v>
      </c>
      <c r="S189" s="527"/>
      <c r="T189" s="526"/>
      <c r="U189" s="346"/>
      <c r="V189" s="528"/>
      <c r="W189" s="6"/>
    </row>
    <row r="190" spans="1:23" ht="15.6">
      <c r="A190" s="365"/>
      <c r="B190" s="366"/>
      <c r="C190" s="529"/>
      <c r="D190" s="529"/>
      <c r="E190" s="529"/>
      <c r="F190" s="529"/>
      <c r="G190" s="529"/>
      <c r="H190" s="529"/>
      <c r="I190" s="529"/>
      <c r="J190" s="529"/>
      <c r="K190" s="529"/>
      <c r="L190" s="529" t="s">
        <v>94</v>
      </c>
      <c r="M190" s="530" t="s">
        <v>101</v>
      </c>
      <c r="N190" s="529" t="s">
        <v>103</v>
      </c>
      <c r="O190" s="530" t="s">
        <v>101</v>
      </c>
      <c r="P190" s="530"/>
      <c r="Q190" s="529" t="s">
        <v>94</v>
      </c>
      <c r="R190" s="530" t="s">
        <v>101</v>
      </c>
      <c r="S190" s="529" t="s">
        <v>103</v>
      </c>
      <c r="T190" s="530" t="s">
        <v>101</v>
      </c>
      <c r="U190" s="369"/>
      <c r="V190" s="531"/>
      <c r="W190" s="6"/>
    </row>
    <row r="191" spans="1:23" ht="15.6">
      <c r="A191" s="316"/>
      <c r="B191" s="360" t="s">
        <v>81</v>
      </c>
      <c r="C191" s="361"/>
      <c r="D191" s="361"/>
      <c r="E191" s="361"/>
      <c r="F191" s="361"/>
      <c r="G191" s="361"/>
      <c r="H191" s="361"/>
      <c r="I191" s="361"/>
      <c r="J191" s="361"/>
      <c r="K191" s="361"/>
      <c r="L191" s="361">
        <v>187</v>
      </c>
      <c r="M191" s="362">
        <f t="shared" ref="M191:M197" si="0">+L191/$L$198</f>
        <v>0.61920529801324509</v>
      </c>
      <c r="N191" s="361">
        <v>677</v>
      </c>
      <c r="O191" s="362">
        <f t="shared" ref="O191:O197" si="1">N191/$N$198</f>
        <v>0.81566265060240961</v>
      </c>
      <c r="P191" s="363"/>
      <c r="Q191" s="361">
        <v>13</v>
      </c>
      <c r="R191" s="362">
        <f t="shared" ref="R191:R197" si="2">+Q191/$Q$198</f>
        <v>8.0246913580246909E-2</v>
      </c>
      <c r="S191" s="552">
        <v>16</v>
      </c>
      <c r="T191" s="362">
        <f>+S191/$S$198</f>
        <v>0.128</v>
      </c>
      <c r="U191" s="364"/>
      <c r="V191" s="312"/>
      <c r="W191" s="6"/>
    </row>
    <row r="192" spans="1:23" ht="15.6">
      <c r="A192" s="444"/>
      <c r="B192" s="440" t="s">
        <v>82</v>
      </c>
      <c r="C192" s="489"/>
      <c r="D192" s="489"/>
      <c r="E192" s="489"/>
      <c r="F192" s="489"/>
      <c r="G192" s="489"/>
      <c r="H192" s="489"/>
      <c r="I192" s="489"/>
      <c r="J192" s="489"/>
      <c r="K192" s="489"/>
      <c r="L192" s="489">
        <v>4</v>
      </c>
      <c r="M192" s="427">
        <f t="shared" si="0"/>
        <v>1.3245033112582781E-2</v>
      </c>
      <c r="N192" s="553">
        <v>1</v>
      </c>
      <c r="O192" s="427">
        <f>N192/$N$198</f>
        <v>1.2048192771084338E-3</v>
      </c>
      <c r="P192" s="381"/>
      <c r="Q192" s="489">
        <v>5</v>
      </c>
      <c r="R192" s="427">
        <f t="shared" si="2"/>
        <v>3.0864197530864196E-2</v>
      </c>
      <c r="S192" s="553">
        <v>2</v>
      </c>
      <c r="T192" s="427">
        <f>+S192/$S$198</f>
        <v>1.6E-2</v>
      </c>
      <c r="U192" s="379"/>
      <c r="V192" s="435"/>
      <c r="W192" s="6"/>
    </row>
    <row r="193" spans="1:24" ht="15.6">
      <c r="A193" s="444"/>
      <c r="B193" s="440" t="s">
        <v>83</v>
      </c>
      <c r="C193" s="489"/>
      <c r="D193" s="489"/>
      <c r="E193" s="489"/>
      <c r="F193" s="489"/>
      <c r="G193" s="489"/>
      <c r="H193" s="489"/>
      <c r="I193" s="489"/>
      <c r="J193" s="489"/>
      <c r="K193" s="489"/>
      <c r="L193" s="489">
        <v>12</v>
      </c>
      <c r="M193" s="427">
        <f t="shared" si="0"/>
        <v>3.9735099337748346E-2</v>
      </c>
      <c r="N193" s="489">
        <v>21</v>
      </c>
      <c r="O193" s="427">
        <f>N193/$N$198</f>
        <v>2.5301204819277109E-2</v>
      </c>
      <c r="P193" s="381"/>
      <c r="Q193" s="489">
        <v>10</v>
      </c>
      <c r="R193" s="427">
        <f t="shared" si="2"/>
        <v>6.1728395061728392E-2</v>
      </c>
      <c r="S193" s="553">
        <v>3</v>
      </c>
      <c r="T193" s="427">
        <f>+S193/$S$198</f>
        <v>2.4E-2</v>
      </c>
      <c r="U193" s="379"/>
      <c r="V193" s="435"/>
      <c r="W193" s="6"/>
    </row>
    <row r="194" spans="1:24" ht="15.6">
      <c r="A194" s="444"/>
      <c r="B194" s="440" t="s">
        <v>186</v>
      </c>
      <c r="C194" s="489"/>
      <c r="D194" s="489"/>
      <c r="E194" s="489"/>
      <c r="F194" s="489"/>
      <c r="G194" s="489"/>
      <c r="H194" s="489"/>
      <c r="I194" s="489"/>
      <c r="J194" s="489"/>
      <c r="K194" s="489"/>
      <c r="L194" s="489">
        <v>10</v>
      </c>
      <c r="M194" s="427">
        <f t="shared" si="0"/>
        <v>3.3112582781456956E-2</v>
      </c>
      <c r="N194" s="489">
        <v>11</v>
      </c>
      <c r="O194" s="427">
        <f t="shared" si="1"/>
        <v>1.3253012048192771E-2</v>
      </c>
      <c r="P194" s="381"/>
      <c r="Q194" s="489">
        <v>10</v>
      </c>
      <c r="R194" s="551">
        <f t="shared" si="2"/>
        <v>6.1728395061728392E-2</v>
      </c>
      <c r="S194" s="489">
        <v>8</v>
      </c>
      <c r="T194" s="427">
        <f>+S194/$S$198</f>
        <v>6.4000000000000001E-2</v>
      </c>
      <c r="U194" s="379"/>
      <c r="V194" s="435"/>
      <c r="W194" s="6"/>
    </row>
    <row r="195" spans="1:24" ht="15.6">
      <c r="A195" s="444"/>
      <c r="B195" s="440" t="s">
        <v>187</v>
      </c>
      <c r="C195" s="489"/>
      <c r="D195" s="489"/>
      <c r="E195" s="489"/>
      <c r="F195" s="489"/>
      <c r="G195" s="489"/>
      <c r="H195" s="489"/>
      <c r="I195" s="489"/>
      <c r="J195" s="489"/>
      <c r="K195" s="489"/>
      <c r="L195" s="489">
        <v>9</v>
      </c>
      <c r="M195" s="427">
        <f t="shared" si="0"/>
        <v>2.9801324503311258E-2</v>
      </c>
      <c r="N195" s="489">
        <v>5</v>
      </c>
      <c r="O195" s="427">
        <f t="shared" si="1"/>
        <v>6.024096385542169E-3</v>
      </c>
      <c r="P195" s="381"/>
      <c r="Q195" s="489">
        <v>14</v>
      </c>
      <c r="R195" s="427">
        <f t="shared" si="2"/>
        <v>8.6419753086419748E-2</v>
      </c>
      <c r="S195" s="489">
        <v>9</v>
      </c>
      <c r="T195" s="427">
        <f>+S195/$S$198</f>
        <v>7.1999999999999995E-2</v>
      </c>
      <c r="U195" s="379"/>
      <c r="V195" s="435"/>
      <c r="W195" s="6"/>
    </row>
    <row r="196" spans="1:24" ht="15.6">
      <c r="A196" s="444"/>
      <c r="B196" s="440" t="s">
        <v>188</v>
      </c>
      <c r="C196" s="489"/>
      <c r="D196" s="489"/>
      <c r="E196" s="489"/>
      <c r="F196" s="489"/>
      <c r="G196" s="489"/>
      <c r="H196" s="489"/>
      <c r="I196" s="489"/>
      <c r="J196" s="489"/>
      <c r="K196" s="489"/>
      <c r="L196" s="489">
        <v>9</v>
      </c>
      <c r="M196" s="427">
        <f t="shared" si="0"/>
        <v>2.9801324503311258E-2</v>
      </c>
      <c r="N196" s="489">
        <v>12</v>
      </c>
      <c r="O196" s="427">
        <f t="shared" si="1"/>
        <v>1.4457831325301205E-2</v>
      </c>
      <c r="P196" s="381"/>
      <c r="Q196" s="489">
        <v>19</v>
      </c>
      <c r="R196" s="427">
        <f t="shared" si="2"/>
        <v>0.11728395061728394</v>
      </c>
      <c r="S196" s="489">
        <v>11</v>
      </c>
      <c r="T196" s="427">
        <f t="shared" ref="T196:T197" si="3">+S196/$S$198</f>
        <v>8.7999999999999995E-2</v>
      </c>
      <c r="U196" s="379"/>
      <c r="V196" s="435"/>
      <c r="W196" s="6"/>
    </row>
    <row r="197" spans="1:24" ht="15.6">
      <c r="A197" s="444"/>
      <c r="B197" s="440" t="s">
        <v>189</v>
      </c>
      <c r="C197" s="489"/>
      <c r="D197" s="489"/>
      <c r="E197" s="489"/>
      <c r="F197" s="489"/>
      <c r="G197" s="489"/>
      <c r="H197" s="489"/>
      <c r="I197" s="489"/>
      <c r="J197" s="489"/>
      <c r="K197" s="489"/>
      <c r="L197" s="489">
        <v>71</v>
      </c>
      <c r="M197" s="427">
        <f t="shared" si="0"/>
        <v>0.23509933774834438</v>
      </c>
      <c r="N197" s="489">
        <v>103</v>
      </c>
      <c r="O197" s="427">
        <f t="shared" si="1"/>
        <v>0.12409638554216867</v>
      </c>
      <c r="P197" s="381"/>
      <c r="Q197" s="489">
        <v>91</v>
      </c>
      <c r="R197" s="427">
        <f t="shared" si="2"/>
        <v>0.56172839506172845</v>
      </c>
      <c r="S197" s="489">
        <v>76</v>
      </c>
      <c r="T197" s="427">
        <f t="shared" si="3"/>
        <v>0.60799999999999998</v>
      </c>
      <c r="U197" s="379"/>
      <c r="V197" s="435"/>
      <c r="W197" s="6"/>
    </row>
    <row r="198" spans="1:24" ht="15.6">
      <c r="A198" s="444"/>
      <c r="B198" s="440" t="s">
        <v>84</v>
      </c>
      <c r="C198" s="489"/>
      <c r="D198" s="489"/>
      <c r="E198" s="489"/>
      <c r="F198" s="489"/>
      <c r="G198" s="489"/>
      <c r="H198" s="489"/>
      <c r="I198" s="489"/>
      <c r="J198" s="489"/>
      <c r="K198" s="489"/>
      <c r="L198" s="489">
        <f>SUM(L191:L197)</f>
        <v>302</v>
      </c>
      <c r="M198" s="427">
        <f>SUM(M191:M197)</f>
        <v>1</v>
      </c>
      <c r="N198" s="489">
        <f>SUM(N191:N197)</f>
        <v>830</v>
      </c>
      <c r="O198" s="427">
        <f>SUM(O191:O197)</f>
        <v>1</v>
      </c>
      <c r="P198" s="381"/>
      <c r="Q198" s="489">
        <f>SUM(Q191:Q197)</f>
        <v>162</v>
      </c>
      <c r="R198" s="427">
        <f>SUM(R191:R197)</f>
        <v>1</v>
      </c>
      <c r="S198" s="489">
        <f>SUM(S191:S197)</f>
        <v>125</v>
      </c>
      <c r="T198" s="427">
        <f>SUM(T191:T197)</f>
        <v>1</v>
      </c>
      <c r="U198" s="379"/>
      <c r="V198" s="435"/>
      <c r="W198" s="6"/>
      <c r="X198" s="64"/>
    </row>
    <row r="199" spans="1:24" ht="15.6">
      <c r="A199" s="444"/>
      <c r="B199" s="440" t="s">
        <v>85</v>
      </c>
      <c r="C199" s="489"/>
      <c r="D199" s="489"/>
      <c r="E199" s="489"/>
      <c r="F199" s="489"/>
      <c r="G199" s="489"/>
      <c r="H199" s="489"/>
      <c r="I199" s="489"/>
      <c r="J199" s="489"/>
      <c r="K199" s="489"/>
      <c r="L199" s="489">
        <v>767</v>
      </c>
      <c r="M199" s="380"/>
      <c r="N199" s="489">
        <v>4440</v>
      </c>
      <c r="O199" s="380"/>
      <c r="P199" s="381"/>
      <c r="Q199" s="489">
        <v>446</v>
      </c>
      <c r="R199" s="380"/>
      <c r="S199" s="489">
        <v>966</v>
      </c>
      <c r="T199" s="380"/>
      <c r="U199" s="379"/>
      <c r="V199" s="435"/>
      <c r="W199" s="6"/>
      <c r="X199" s="64"/>
    </row>
    <row r="200" spans="1:24" ht="15.6">
      <c r="A200" s="444"/>
      <c r="B200" s="440" t="s">
        <v>86</v>
      </c>
      <c r="C200" s="489"/>
      <c r="D200" s="489"/>
      <c r="E200" s="489"/>
      <c r="F200" s="489"/>
      <c r="G200" s="489"/>
      <c r="H200" s="489"/>
      <c r="I200" s="489"/>
      <c r="J200" s="489"/>
      <c r="K200" s="489"/>
      <c r="L200" s="489">
        <f>SUM(L198:L199)</f>
        <v>1069</v>
      </c>
      <c r="M200" s="450"/>
      <c r="N200" s="489">
        <f>SUM(N198:N199)</f>
        <v>5270</v>
      </c>
      <c r="O200" s="490"/>
      <c r="P200" s="450"/>
      <c r="Q200" s="489">
        <f>SUM(Q198:Q199)</f>
        <v>608</v>
      </c>
      <c r="R200" s="450"/>
      <c r="S200" s="489">
        <f>SUM(S198:S199)</f>
        <v>1091</v>
      </c>
      <c r="T200" s="450"/>
      <c r="U200" s="450"/>
      <c r="V200" s="435"/>
      <c r="W200" s="6"/>
      <c r="X200" s="64"/>
    </row>
    <row r="201" spans="1:24" ht="15.6">
      <c r="A201" s="242"/>
      <c r="B201" s="484"/>
      <c r="C201" s="485"/>
      <c r="D201" s="485"/>
      <c r="E201" s="485"/>
      <c r="F201" s="485"/>
      <c r="G201" s="485"/>
      <c r="H201" s="485"/>
      <c r="I201" s="485"/>
      <c r="J201" s="485"/>
      <c r="K201" s="485"/>
      <c r="L201" s="532"/>
      <c r="M201" s="533"/>
      <c r="N201" s="532"/>
      <c r="O201" s="533"/>
      <c r="P201" s="488"/>
      <c r="Q201" s="532"/>
      <c r="R201" s="533"/>
      <c r="S201" s="532"/>
      <c r="T201" s="533"/>
      <c r="U201" s="463"/>
      <c r="V201" s="464"/>
      <c r="W201" s="6"/>
    </row>
    <row r="202" spans="1:24" ht="15.6">
      <c r="A202" s="349"/>
      <c r="B202" s="525" t="s">
        <v>80</v>
      </c>
      <c r="C202" s="526"/>
      <c r="D202" s="526"/>
      <c r="E202" s="526"/>
      <c r="F202" s="526"/>
      <c r="G202" s="526"/>
      <c r="H202" s="526"/>
      <c r="I202" s="526"/>
      <c r="J202" s="526"/>
      <c r="K202" s="526"/>
      <c r="L202" s="526"/>
      <c r="M202" s="525" t="s">
        <v>27</v>
      </c>
      <c r="N202" s="526"/>
      <c r="O202" s="527"/>
      <c r="P202" s="526"/>
      <c r="Q202" s="525"/>
      <c r="R202" s="525" t="s">
        <v>28</v>
      </c>
      <c r="S202" s="527"/>
      <c r="T202" s="526"/>
      <c r="U202" s="346"/>
      <c r="V202" s="528"/>
      <c r="W202" s="6"/>
    </row>
    <row r="203" spans="1:24" ht="15.6">
      <c r="A203" s="371"/>
      <c r="B203" s="372"/>
      <c r="C203" s="534"/>
      <c r="D203" s="534"/>
      <c r="E203" s="534"/>
      <c r="F203" s="534"/>
      <c r="G203" s="534"/>
      <c r="H203" s="534"/>
      <c r="I203" s="534"/>
      <c r="J203" s="534"/>
      <c r="K203" s="534"/>
      <c r="L203" s="534" t="s">
        <v>94</v>
      </c>
      <c r="M203" s="535" t="s">
        <v>101</v>
      </c>
      <c r="N203" s="534" t="s">
        <v>103</v>
      </c>
      <c r="O203" s="535" t="s">
        <v>101</v>
      </c>
      <c r="P203" s="535"/>
      <c r="Q203" s="534" t="s">
        <v>94</v>
      </c>
      <c r="R203" s="535" t="s">
        <v>101</v>
      </c>
      <c r="S203" s="534" t="s">
        <v>103</v>
      </c>
      <c r="T203" s="535" t="s">
        <v>101</v>
      </c>
      <c r="U203" s="375"/>
      <c r="V203" s="536"/>
      <c r="W203" s="6"/>
    </row>
    <row r="204" spans="1:24" ht="15.6">
      <c r="A204" s="315"/>
      <c r="B204" s="310" t="s">
        <v>81</v>
      </c>
      <c r="C204" s="351"/>
      <c r="D204" s="351"/>
      <c r="E204" s="351"/>
      <c r="F204" s="351"/>
      <c r="G204" s="351"/>
      <c r="H204" s="351"/>
      <c r="I204" s="351"/>
      <c r="J204" s="351"/>
      <c r="K204" s="351"/>
      <c r="L204" s="351">
        <v>3348</v>
      </c>
      <c r="M204" s="299">
        <f t="shared" ref="M204:M210" si="4">+L204/$L$211</f>
        <v>0.89351481184947956</v>
      </c>
      <c r="N204" s="351">
        <v>68393</v>
      </c>
      <c r="O204" s="299">
        <f t="shared" ref="O204:O210" si="5">+N204/$N$211</f>
        <v>0.88941051016294526</v>
      </c>
      <c r="P204" s="296"/>
      <c r="Q204" s="351">
        <v>26</v>
      </c>
      <c r="R204" s="299">
        <f t="shared" ref="R204:R210" si="6">Q204/$Q$211</f>
        <v>0.76470588235294112</v>
      </c>
      <c r="S204" s="351">
        <v>105</v>
      </c>
      <c r="T204" s="299">
        <f t="shared" ref="T204:T210" si="7">+S204/$S$211</f>
        <v>0.625</v>
      </c>
      <c r="U204" s="294"/>
      <c r="V204" s="301"/>
      <c r="W204" s="6"/>
    </row>
    <row r="205" spans="1:24" ht="15.6">
      <c r="A205" s="444"/>
      <c r="B205" s="440" t="s">
        <v>82</v>
      </c>
      <c r="C205" s="489"/>
      <c r="D205" s="489"/>
      <c r="E205" s="489"/>
      <c r="F205" s="489"/>
      <c r="G205" s="489"/>
      <c r="H205" s="489"/>
      <c r="I205" s="489"/>
      <c r="J205" s="489"/>
      <c r="K205" s="489"/>
      <c r="L205" s="489">
        <v>81</v>
      </c>
      <c r="M205" s="427">
        <f t="shared" si="4"/>
        <v>2.1617293835068056E-2</v>
      </c>
      <c r="N205" s="489">
        <v>1587</v>
      </c>
      <c r="O205" s="427">
        <f t="shared" si="5"/>
        <v>2.063799628073917E-2</v>
      </c>
      <c r="P205" s="381"/>
      <c r="Q205" s="489">
        <v>4</v>
      </c>
      <c r="R205" s="427">
        <f t="shared" si="6"/>
        <v>0.11764705882352941</v>
      </c>
      <c r="S205" s="489">
        <v>54</v>
      </c>
      <c r="T205" s="427">
        <f t="shared" si="7"/>
        <v>0.32142857142857145</v>
      </c>
      <c r="U205" s="379"/>
      <c r="V205" s="435"/>
      <c r="W205" s="6"/>
    </row>
    <row r="206" spans="1:24" ht="15.6">
      <c r="A206" s="444"/>
      <c r="B206" s="440" t="s">
        <v>83</v>
      </c>
      <c r="C206" s="489"/>
      <c r="D206" s="489"/>
      <c r="E206" s="489"/>
      <c r="F206" s="489"/>
      <c r="G206" s="489"/>
      <c r="H206" s="489"/>
      <c r="I206" s="489"/>
      <c r="J206" s="489"/>
      <c r="K206" s="489"/>
      <c r="L206" s="489">
        <v>50</v>
      </c>
      <c r="M206" s="427">
        <f t="shared" si="4"/>
        <v>1.3344008540165465E-2</v>
      </c>
      <c r="N206" s="489">
        <v>891</v>
      </c>
      <c r="O206" s="427">
        <f t="shared" si="5"/>
        <v>1.1586927968581349E-2</v>
      </c>
      <c r="P206" s="381"/>
      <c r="Q206" s="489">
        <v>0</v>
      </c>
      <c r="R206" s="427">
        <f t="shared" si="6"/>
        <v>0</v>
      </c>
      <c r="S206" s="489">
        <v>0</v>
      </c>
      <c r="T206" s="427">
        <f t="shared" si="7"/>
        <v>0</v>
      </c>
      <c r="U206" s="379"/>
      <c r="V206" s="435"/>
      <c r="W206" s="6"/>
      <c r="X206" s="182"/>
    </row>
    <row r="207" spans="1:24" ht="15.6">
      <c r="A207" s="444"/>
      <c r="B207" s="440" t="s">
        <v>186</v>
      </c>
      <c r="C207" s="489"/>
      <c r="D207" s="489"/>
      <c r="E207" s="489"/>
      <c r="F207" s="489"/>
      <c r="G207" s="489"/>
      <c r="H207" s="489"/>
      <c r="I207" s="489"/>
      <c r="J207" s="489"/>
      <c r="K207" s="489"/>
      <c r="L207" s="489">
        <v>44</v>
      </c>
      <c r="M207" s="427">
        <f t="shared" si="4"/>
        <v>1.174272751534561E-2</v>
      </c>
      <c r="N207" s="489">
        <v>1022</v>
      </c>
      <c r="O207" s="427">
        <f t="shared" si="5"/>
        <v>1.329050548135818E-2</v>
      </c>
      <c r="P207" s="381"/>
      <c r="Q207" s="489">
        <v>0</v>
      </c>
      <c r="R207" s="427">
        <f t="shared" si="6"/>
        <v>0</v>
      </c>
      <c r="S207" s="489">
        <v>0</v>
      </c>
      <c r="T207" s="427">
        <f t="shared" si="7"/>
        <v>0</v>
      </c>
      <c r="U207" s="379"/>
      <c r="V207" s="435"/>
      <c r="W207" s="6"/>
    </row>
    <row r="208" spans="1:24" ht="15.6">
      <c r="A208" s="444"/>
      <c r="B208" s="440" t="s">
        <v>187</v>
      </c>
      <c r="C208" s="489"/>
      <c r="D208" s="489"/>
      <c r="E208" s="489"/>
      <c r="F208" s="489"/>
      <c r="G208" s="489"/>
      <c r="H208" s="489"/>
      <c r="I208" s="489"/>
      <c r="J208" s="489"/>
      <c r="K208" s="489"/>
      <c r="L208" s="489">
        <v>35</v>
      </c>
      <c r="M208" s="427">
        <f t="shared" si="4"/>
        <v>9.3408059781158268E-3</v>
      </c>
      <c r="N208" s="489">
        <v>727</v>
      </c>
      <c r="O208" s="427">
        <f t="shared" si="5"/>
        <v>9.4542049754866905E-3</v>
      </c>
      <c r="P208" s="381"/>
      <c r="Q208" s="489">
        <v>0</v>
      </c>
      <c r="R208" s="427">
        <f t="shared" si="6"/>
        <v>0</v>
      </c>
      <c r="S208" s="489">
        <v>0</v>
      </c>
      <c r="T208" s="427">
        <f t="shared" si="7"/>
        <v>0</v>
      </c>
      <c r="U208" s="379"/>
      <c r="V208" s="435"/>
      <c r="W208" s="6"/>
    </row>
    <row r="209" spans="1:24" ht="15.6">
      <c r="A209" s="444"/>
      <c r="B209" s="440" t="s">
        <v>188</v>
      </c>
      <c r="C209" s="489"/>
      <c r="D209" s="489"/>
      <c r="E209" s="489"/>
      <c r="F209" s="489"/>
      <c r="G209" s="489"/>
      <c r="H209" s="489"/>
      <c r="I209" s="489"/>
      <c r="J209" s="489"/>
      <c r="K209" s="489"/>
      <c r="L209" s="489">
        <v>44</v>
      </c>
      <c r="M209" s="427">
        <f t="shared" si="4"/>
        <v>1.174272751534561E-2</v>
      </c>
      <c r="N209" s="489">
        <v>989</v>
      </c>
      <c r="O209" s="427">
        <f t="shared" si="5"/>
        <v>1.2861360001040352E-2</v>
      </c>
      <c r="P209" s="381"/>
      <c r="Q209" s="489">
        <v>1</v>
      </c>
      <c r="R209" s="427">
        <f t="shared" si="6"/>
        <v>2.9411764705882353E-2</v>
      </c>
      <c r="S209" s="489">
        <v>2</v>
      </c>
      <c r="T209" s="427">
        <f t="shared" si="7"/>
        <v>1.1904761904761904E-2</v>
      </c>
      <c r="U209" s="379"/>
      <c r="V209" s="435"/>
      <c r="W209" s="6"/>
    </row>
    <row r="210" spans="1:24" ht="15.6">
      <c r="A210" s="444"/>
      <c r="B210" s="440" t="s">
        <v>189</v>
      </c>
      <c r="C210" s="489"/>
      <c r="D210" s="489"/>
      <c r="E210" s="489"/>
      <c r="F210" s="489"/>
      <c r="G210" s="489"/>
      <c r="H210" s="489"/>
      <c r="I210" s="489"/>
      <c r="J210" s="489"/>
      <c r="K210" s="489"/>
      <c r="L210" s="489">
        <v>145</v>
      </c>
      <c r="M210" s="427">
        <f t="shared" si="4"/>
        <v>3.8697624766479852E-2</v>
      </c>
      <c r="N210" s="489">
        <v>3288</v>
      </c>
      <c r="O210" s="427">
        <f t="shared" si="5"/>
        <v>4.2758495129849021E-2</v>
      </c>
      <c r="P210" s="381"/>
      <c r="Q210" s="489">
        <v>3</v>
      </c>
      <c r="R210" s="427">
        <f t="shared" si="6"/>
        <v>8.8235294117647065E-2</v>
      </c>
      <c r="S210" s="489">
        <v>7</v>
      </c>
      <c r="T210" s="427">
        <f t="shared" si="7"/>
        <v>4.1666666666666664E-2</v>
      </c>
      <c r="U210" s="379"/>
      <c r="V210" s="435"/>
      <c r="W210" s="6"/>
    </row>
    <row r="211" spans="1:24" ht="15.6">
      <c r="A211" s="444"/>
      <c r="B211" s="440" t="str">
        <f>B198</f>
        <v>Total Performing  Assets</v>
      </c>
      <c r="C211" s="489"/>
      <c r="D211" s="489"/>
      <c r="E211" s="489"/>
      <c r="F211" s="489"/>
      <c r="G211" s="489"/>
      <c r="H211" s="489"/>
      <c r="I211" s="489"/>
      <c r="J211" s="489"/>
      <c r="K211" s="489"/>
      <c r="L211" s="489">
        <f>SUM(L204:L210)</f>
        <v>3747</v>
      </c>
      <c r="M211" s="427">
        <f>SUM(M204:M210)</f>
        <v>1</v>
      </c>
      <c r="N211" s="489">
        <f>SUM(N204:N210)</f>
        <v>76897</v>
      </c>
      <c r="O211" s="427">
        <f>SUM(O204:O210)</f>
        <v>0.99999999999999978</v>
      </c>
      <c r="P211" s="381"/>
      <c r="Q211" s="489">
        <f>SUM(Q204:Q210)</f>
        <v>34</v>
      </c>
      <c r="R211" s="427">
        <f>SUM(R204:R210)</f>
        <v>1</v>
      </c>
      <c r="S211" s="489">
        <f>SUM(S204:S210)</f>
        <v>168</v>
      </c>
      <c r="T211" s="427">
        <f>SUM(T204:T210)</f>
        <v>0.99999999999999989</v>
      </c>
      <c r="U211" s="379"/>
      <c r="V211" s="435"/>
      <c r="W211" s="6"/>
    </row>
    <row r="212" spans="1:24" ht="15.6">
      <c r="A212" s="444"/>
      <c r="B212" s="440" t="s">
        <v>85</v>
      </c>
      <c r="C212" s="489"/>
      <c r="D212" s="489"/>
      <c r="E212" s="489"/>
      <c r="F212" s="489"/>
      <c r="G212" s="489"/>
      <c r="H212" s="489"/>
      <c r="I212" s="489"/>
      <c r="J212" s="489"/>
      <c r="K212" s="489"/>
      <c r="L212" s="489">
        <v>273</v>
      </c>
      <c r="M212" s="381"/>
      <c r="N212" s="489">
        <v>7598</v>
      </c>
      <c r="O212" s="380"/>
      <c r="P212" s="381"/>
      <c r="Q212" s="489">
        <v>10</v>
      </c>
      <c r="R212" s="381"/>
      <c r="S212" s="489">
        <v>170</v>
      </c>
      <c r="T212" s="381"/>
      <c r="U212" s="379"/>
      <c r="V212" s="435"/>
      <c r="W212" s="6"/>
    </row>
    <row r="213" spans="1:24" ht="15.6">
      <c r="A213" s="444"/>
      <c r="B213" s="440" t="s">
        <v>86</v>
      </c>
      <c r="C213" s="489"/>
      <c r="D213" s="489"/>
      <c r="E213" s="489"/>
      <c r="F213" s="489"/>
      <c r="G213" s="489"/>
      <c r="H213" s="489"/>
      <c r="I213" s="489"/>
      <c r="J213" s="489"/>
      <c r="K213" s="489"/>
      <c r="L213" s="489">
        <f>SUM(L211:L212)</f>
        <v>4020</v>
      </c>
      <c r="M213" s="450"/>
      <c r="N213" s="489">
        <f>SUM(N211:N212)</f>
        <v>84495</v>
      </c>
      <c r="O213" s="427"/>
      <c r="P213" s="450"/>
      <c r="Q213" s="489">
        <f>SUM(Q211:Q212)</f>
        <v>44</v>
      </c>
      <c r="R213" s="450"/>
      <c r="S213" s="489">
        <f>SUM(S211:S212)</f>
        <v>338</v>
      </c>
      <c r="T213" s="450"/>
      <c r="U213" s="450"/>
      <c r="V213" s="492"/>
    </row>
    <row r="214" spans="1:24" ht="15.6">
      <c r="A214" s="444"/>
      <c r="B214" s="440"/>
      <c r="C214" s="381"/>
      <c r="D214" s="381"/>
      <c r="E214" s="381"/>
      <c r="F214" s="381"/>
      <c r="G214" s="381"/>
      <c r="H214" s="381"/>
      <c r="I214" s="381"/>
      <c r="J214" s="381"/>
      <c r="K214" s="381"/>
      <c r="L214" s="381"/>
      <c r="M214" s="493"/>
      <c r="N214" s="381"/>
      <c r="O214" s="493"/>
      <c r="P214" s="381"/>
      <c r="Q214" s="493"/>
      <c r="R214" s="381"/>
      <c r="S214" s="489"/>
      <c r="T214" s="381"/>
      <c r="U214" s="379"/>
      <c r="V214" s="435"/>
      <c r="W214" s="6"/>
    </row>
    <row r="215" spans="1:24" ht="15.6">
      <c r="A215" s="444"/>
      <c r="B215" s="440" t="s">
        <v>86</v>
      </c>
      <c r="C215" s="381"/>
      <c r="D215" s="381"/>
      <c r="E215" s="381"/>
      <c r="F215" s="381"/>
      <c r="G215" s="381"/>
      <c r="H215" s="381"/>
      <c r="I215" s="381"/>
      <c r="J215" s="381"/>
      <c r="K215" s="381"/>
      <c r="L215" s="493"/>
      <c r="M215" s="493"/>
      <c r="N215" s="493"/>
      <c r="O215" s="493"/>
      <c r="P215" s="381"/>
      <c r="Q215" s="493"/>
      <c r="R215" s="381"/>
      <c r="S215" s="489">
        <f>+N200+S200+N213+S213</f>
        <v>91194</v>
      </c>
      <c r="T215" s="490"/>
      <c r="U215" s="379"/>
      <c r="V215" s="435"/>
      <c r="W215" s="6"/>
      <c r="X215" s="182"/>
    </row>
    <row r="216" spans="1:24" ht="15.6">
      <c r="A216" s="316"/>
      <c r="B216" s="360"/>
      <c r="C216" s="363"/>
      <c r="D216" s="363"/>
      <c r="E216" s="363"/>
      <c r="F216" s="363"/>
      <c r="G216" s="363"/>
      <c r="H216" s="363"/>
      <c r="I216" s="363"/>
      <c r="J216" s="363"/>
      <c r="K216" s="363"/>
      <c r="L216" s="491"/>
      <c r="M216" s="491"/>
      <c r="N216" s="491"/>
      <c r="O216" s="491"/>
      <c r="P216" s="363"/>
      <c r="Q216" s="491"/>
      <c r="R216" s="363"/>
      <c r="S216" s="361"/>
      <c r="T216" s="363"/>
      <c r="U216" s="364"/>
      <c r="V216" s="312"/>
      <c r="W216" s="6"/>
    </row>
    <row r="217" spans="1:24" ht="15.6">
      <c r="A217" s="349"/>
      <c r="B217" s="357" t="s">
        <v>87</v>
      </c>
      <c r="C217" s="526"/>
      <c r="D217" s="526"/>
      <c r="E217" s="526"/>
      <c r="F217" s="526"/>
      <c r="G217" s="526"/>
      <c r="H217" s="526"/>
      <c r="I217" s="526"/>
      <c r="J217" s="526"/>
      <c r="K217" s="526"/>
      <c r="L217" s="526"/>
      <c r="M217" s="527"/>
      <c r="N217" s="526"/>
      <c r="O217" s="527"/>
      <c r="P217" s="526"/>
      <c r="Q217" s="527"/>
      <c r="R217" s="526"/>
      <c r="S217" s="358"/>
      <c r="T217" s="526"/>
      <c r="U217" s="350"/>
      <c r="V217" s="528"/>
      <c r="W217" s="6"/>
    </row>
    <row r="218" spans="1:24" ht="15.6">
      <c r="A218" s="315"/>
      <c r="B218" s="310"/>
      <c r="C218" s="296"/>
      <c r="D218" s="296"/>
      <c r="E218" s="296"/>
      <c r="F218" s="296"/>
      <c r="G218" s="296"/>
      <c r="H218" s="296"/>
      <c r="I218" s="296"/>
      <c r="J218" s="296"/>
      <c r="K218" s="296"/>
      <c r="L218" s="296"/>
      <c r="M218" s="352"/>
      <c r="N218" s="296"/>
      <c r="O218" s="352"/>
      <c r="P218" s="296"/>
      <c r="Q218" s="352"/>
      <c r="R218" s="296"/>
      <c r="S218" s="351"/>
      <c r="T218" s="296"/>
      <c r="U218" s="294"/>
      <c r="V218" s="301"/>
      <c r="W218" s="6"/>
    </row>
    <row r="219" spans="1:24" ht="15.6">
      <c r="A219" s="444"/>
      <c r="B219" s="440" t="s">
        <v>88</v>
      </c>
      <c r="C219" s="381"/>
      <c r="D219" s="381"/>
      <c r="E219" s="381"/>
      <c r="F219" s="381"/>
      <c r="G219" s="381"/>
      <c r="H219" s="381"/>
      <c r="I219" s="381"/>
      <c r="J219" s="381"/>
      <c r="K219" s="381"/>
      <c r="L219" s="381"/>
      <c r="M219" s="493"/>
      <c r="N219" s="381"/>
      <c r="O219" s="493"/>
      <c r="P219" s="381"/>
      <c r="Q219" s="493"/>
      <c r="R219" s="381"/>
      <c r="S219" s="489">
        <f>+N198+S198+N211+S211</f>
        <v>78020</v>
      </c>
      <c r="T219" s="381"/>
      <c r="U219" s="379"/>
      <c r="V219" s="435"/>
      <c r="W219" s="6"/>
      <c r="X219" s="182"/>
    </row>
    <row r="220" spans="1:24" ht="15.6">
      <c r="A220" s="444"/>
      <c r="B220" s="440" t="s">
        <v>89</v>
      </c>
      <c r="C220" s="381"/>
      <c r="D220" s="381"/>
      <c r="E220" s="381"/>
      <c r="F220" s="381"/>
      <c r="G220" s="381"/>
      <c r="H220" s="381"/>
      <c r="I220" s="381"/>
      <c r="J220" s="381"/>
      <c r="K220" s="381"/>
      <c r="L220" s="493"/>
      <c r="M220" s="493"/>
      <c r="N220" s="493"/>
      <c r="O220" s="493"/>
      <c r="P220" s="381"/>
      <c r="Q220" s="493"/>
      <c r="R220" s="381"/>
      <c r="S220" s="489">
        <f>+U78</f>
        <v>0</v>
      </c>
      <c r="T220" s="381"/>
      <c r="U220" s="379"/>
      <c r="V220" s="435"/>
      <c r="W220" s="119"/>
    </row>
    <row r="221" spans="1:24" ht="15.6">
      <c r="A221" s="444"/>
      <c r="B221" s="440" t="s">
        <v>90</v>
      </c>
      <c r="C221" s="381"/>
      <c r="D221" s="381"/>
      <c r="E221" s="381"/>
      <c r="F221" s="381"/>
      <c r="G221" s="381"/>
      <c r="H221" s="381"/>
      <c r="I221" s="381"/>
      <c r="J221" s="381"/>
      <c r="K221" s="381"/>
      <c r="L221" s="381"/>
      <c r="M221" s="493"/>
      <c r="N221" s="493"/>
      <c r="O221" s="493"/>
      <c r="P221" s="381"/>
      <c r="Q221" s="493"/>
      <c r="R221" s="381"/>
      <c r="S221" s="489">
        <f>SUM(S219:S220)</f>
        <v>78020</v>
      </c>
      <c r="T221" s="381"/>
      <c r="U221" s="379"/>
      <c r="V221" s="435"/>
      <c r="W221" s="6"/>
    </row>
    <row r="222" spans="1:24" ht="15.6">
      <c r="A222" s="444"/>
      <c r="B222" s="440"/>
      <c r="C222" s="381"/>
      <c r="D222" s="381"/>
      <c r="E222" s="381"/>
      <c r="F222" s="381"/>
      <c r="G222" s="381"/>
      <c r="H222" s="381"/>
      <c r="I222" s="381"/>
      <c r="J222" s="381"/>
      <c r="K222" s="381"/>
      <c r="L222" s="381"/>
      <c r="M222" s="493"/>
      <c r="N222" s="493"/>
      <c r="O222" s="493"/>
      <c r="P222" s="381"/>
      <c r="Q222" s="493"/>
      <c r="R222" s="381"/>
      <c r="S222" s="489"/>
      <c r="T222" s="381"/>
      <c r="U222" s="379"/>
      <c r="V222" s="435"/>
      <c r="W222" s="6"/>
    </row>
    <row r="223" spans="1:24" ht="15.6">
      <c r="A223" s="444"/>
      <c r="B223" s="440" t="s">
        <v>91</v>
      </c>
      <c r="C223" s="381"/>
      <c r="D223" s="381"/>
      <c r="E223" s="381"/>
      <c r="F223" s="381"/>
      <c r="G223" s="381"/>
      <c r="H223" s="381"/>
      <c r="I223" s="381"/>
      <c r="J223" s="381"/>
      <c r="K223" s="381"/>
      <c r="L223" s="381"/>
      <c r="M223" s="493"/>
      <c r="N223" s="381"/>
      <c r="O223" s="493"/>
      <c r="P223" s="381"/>
      <c r="Q223" s="493"/>
      <c r="R223" s="381"/>
      <c r="S223" s="489">
        <f>U33</f>
        <v>78020.071200000006</v>
      </c>
      <c r="T223" s="381"/>
      <c r="U223" s="379"/>
      <c r="V223" s="435"/>
      <c r="W223" s="6"/>
    </row>
    <row r="224" spans="1:24" ht="15.6">
      <c r="A224" s="444"/>
      <c r="B224" s="440"/>
      <c r="C224" s="381"/>
      <c r="D224" s="381"/>
      <c r="E224" s="381"/>
      <c r="F224" s="381"/>
      <c r="G224" s="381"/>
      <c r="H224" s="381"/>
      <c r="I224" s="381"/>
      <c r="J224" s="381"/>
      <c r="K224" s="381"/>
      <c r="L224" s="381"/>
      <c r="M224" s="493"/>
      <c r="N224" s="381"/>
      <c r="O224" s="493"/>
      <c r="P224" s="381"/>
      <c r="Q224" s="493"/>
      <c r="R224" s="381"/>
      <c r="S224" s="489"/>
      <c r="T224" s="381"/>
      <c r="U224" s="379"/>
      <c r="V224" s="435"/>
      <c r="W224" s="6"/>
    </row>
    <row r="225" spans="1:23" ht="15.6">
      <c r="A225" s="444"/>
      <c r="B225" s="440" t="s">
        <v>92</v>
      </c>
      <c r="C225" s="381"/>
      <c r="D225" s="381"/>
      <c r="E225" s="381"/>
      <c r="F225" s="381"/>
      <c r="G225" s="381"/>
      <c r="H225" s="381"/>
      <c r="I225" s="381"/>
      <c r="J225" s="381"/>
      <c r="K225" s="381"/>
      <c r="L225" s="381"/>
      <c r="M225" s="493"/>
      <c r="N225" s="381"/>
      <c r="O225" s="493"/>
      <c r="P225" s="381"/>
      <c r="Q225" s="493"/>
      <c r="R225" s="381"/>
      <c r="S225" s="489">
        <f>S221/S223</f>
        <v>0.99999908741431642</v>
      </c>
      <c r="T225" s="381"/>
      <c r="U225" s="379"/>
      <c r="V225" s="435"/>
      <c r="W225" s="6"/>
    </row>
    <row r="226" spans="1:23" ht="15.6">
      <c r="A226" s="444"/>
      <c r="B226" s="379"/>
      <c r="C226" s="379"/>
      <c r="D226" s="379"/>
      <c r="E226" s="379"/>
      <c r="F226" s="379"/>
      <c r="G226" s="379"/>
      <c r="H226" s="379"/>
      <c r="I226" s="379"/>
      <c r="J226" s="379"/>
      <c r="K226" s="379"/>
      <c r="L226" s="379"/>
      <c r="M226" s="380"/>
      <c r="N226" s="379"/>
      <c r="O226" s="379"/>
      <c r="P226" s="379"/>
      <c r="Q226" s="440"/>
      <c r="R226" s="497"/>
      <c r="S226" s="441"/>
      <c r="T226" s="497"/>
      <c r="U226" s="466"/>
      <c r="V226" s="410"/>
      <c r="W226" s="6"/>
    </row>
    <row r="227" spans="1:23" ht="15.6">
      <c r="A227" s="353"/>
      <c r="B227" s="494" t="s">
        <v>127</v>
      </c>
      <c r="C227" s="495"/>
      <c r="D227" s="495"/>
      <c r="E227" s="495"/>
      <c r="F227" s="495"/>
      <c r="G227" s="495"/>
      <c r="H227" s="495"/>
      <c r="I227" s="495"/>
      <c r="J227" s="495"/>
      <c r="K227" s="495"/>
      <c r="L227" s="495"/>
      <c r="M227" s="363"/>
      <c r="N227" s="364"/>
      <c r="O227" s="494"/>
      <c r="P227" s="443"/>
      <c r="Q227" s="443"/>
      <c r="R227" s="443"/>
      <c r="S227" s="496"/>
      <c r="T227" s="443"/>
      <c r="U227" s="443"/>
      <c r="V227" s="355"/>
      <c r="W227" s="6"/>
    </row>
    <row r="228" spans="1:23" ht="15.6">
      <c r="A228" s="353"/>
      <c r="B228" s="287" t="s">
        <v>128</v>
      </c>
      <c r="C228" s="354"/>
      <c r="D228" s="354"/>
      <c r="E228" s="354"/>
      <c r="F228" s="354"/>
      <c r="G228" s="354"/>
      <c r="H228" s="354"/>
      <c r="I228" s="354"/>
      <c r="J228" s="354"/>
      <c r="K228" s="354"/>
      <c r="L228" s="354"/>
      <c r="M228" s="290"/>
      <c r="N228" s="287"/>
      <c r="O228" s="287"/>
      <c r="P228" s="354"/>
      <c r="Q228" s="354"/>
      <c r="R228" s="317"/>
      <c r="S228" s="317"/>
      <c r="T228" s="317"/>
      <c r="U228" s="317"/>
      <c r="V228" s="355"/>
      <c r="W228" s="6"/>
    </row>
    <row r="229" spans="1:23" ht="15.6">
      <c r="A229" s="353"/>
      <c r="B229" s="287" t="s">
        <v>246</v>
      </c>
      <c r="C229" s="287"/>
      <c r="D229" s="287"/>
      <c r="E229" s="287"/>
      <c r="F229" s="287"/>
      <c r="G229" s="287"/>
      <c r="H229" s="287"/>
      <c r="I229" s="287"/>
      <c r="J229" s="287"/>
      <c r="K229" s="287"/>
      <c r="L229" s="287"/>
      <c r="M229" s="287"/>
      <c r="N229" s="287"/>
      <c r="O229" s="287"/>
      <c r="P229" s="287"/>
      <c r="Q229" s="287"/>
      <c r="R229" s="287"/>
      <c r="S229" s="287"/>
      <c r="T229" s="287"/>
      <c r="U229" s="287"/>
      <c r="V229" s="355"/>
      <c r="W229" s="6"/>
    </row>
    <row r="230" spans="1:23" ht="15.6">
      <c r="A230" s="353"/>
      <c r="B230" s="287" t="s">
        <v>129</v>
      </c>
      <c r="C230" s="354"/>
      <c r="D230" s="354"/>
      <c r="E230" s="354"/>
      <c r="F230" s="354"/>
      <c r="G230" s="354"/>
      <c r="H230" s="354"/>
      <c r="I230" s="354"/>
      <c r="J230" s="354"/>
      <c r="K230" s="354"/>
      <c r="L230" s="354"/>
      <c r="M230" s="290"/>
      <c r="N230" s="287"/>
      <c r="O230" s="287"/>
      <c r="P230" s="354"/>
      <c r="Q230" s="354"/>
      <c r="R230" s="317"/>
      <c r="S230" s="317"/>
      <c r="T230" s="317"/>
      <c r="U230" s="317"/>
      <c r="V230" s="355"/>
      <c r="W230" s="6"/>
    </row>
    <row r="231" spans="1:23" ht="15.6">
      <c r="A231" s="353"/>
      <c r="B231" s="287"/>
      <c r="C231" s="354"/>
      <c r="D231" s="354"/>
      <c r="E231" s="354"/>
      <c r="F231" s="354"/>
      <c r="G231" s="354"/>
      <c r="H231" s="354"/>
      <c r="I231" s="354"/>
      <c r="J231" s="354"/>
      <c r="K231" s="354"/>
      <c r="L231" s="354"/>
      <c r="M231" s="290"/>
      <c r="N231" s="287"/>
      <c r="O231" s="287"/>
      <c r="P231" s="354"/>
      <c r="Q231" s="354"/>
      <c r="R231" s="317"/>
      <c r="S231" s="317"/>
      <c r="T231" s="317"/>
      <c r="U231" s="317"/>
      <c r="V231" s="355"/>
      <c r="W231" s="6"/>
    </row>
    <row r="232" spans="1:23" ht="15.6">
      <c r="A232" s="353"/>
      <c r="B232" s="287"/>
      <c r="C232" s="354"/>
      <c r="D232" s="354"/>
      <c r="E232" s="354"/>
      <c r="F232" s="354"/>
      <c r="G232" s="354"/>
      <c r="H232" s="354"/>
      <c r="I232" s="354"/>
      <c r="J232" s="354"/>
      <c r="K232" s="354"/>
      <c r="L232" s="354"/>
      <c r="M232" s="290"/>
      <c r="N232" s="287"/>
      <c r="O232" s="287"/>
      <c r="P232" s="354"/>
      <c r="Q232" s="354"/>
      <c r="R232" s="317"/>
      <c r="S232" s="317"/>
      <c r="T232" s="317"/>
      <c r="U232" s="317"/>
      <c r="V232" s="355"/>
      <c r="W232" s="6"/>
    </row>
    <row r="233" spans="1:23" ht="16.2" thickBot="1">
      <c r="A233" s="353"/>
      <c r="B233" s="287" t="str">
        <f>+B160</f>
        <v>PPAF3 INVESTOR REPORT QUARTER ENDING JUNE 2016</v>
      </c>
      <c r="C233" s="354"/>
      <c r="D233" s="354"/>
      <c r="E233" s="354"/>
      <c r="F233" s="354"/>
      <c r="G233" s="354"/>
      <c r="H233" s="354"/>
      <c r="I233" s="354"/>
      <c r="J233" s="354"/>
      <c r="K233" s="354"/>
      <c r="L233" s="354"/>
      <c r="M233" s="290"/>
      <c r="N233" s="287"/>
      <c r="O233" s="287"/>
      <c r="P233" s="354"/>
      <c r="Q233" s="354"/>
      <c r="R233" s="317"/>
      <c r="S233" s="317"/>
      <c r="T233" s="317"/>
      <c r="U233" s="317"/>
      <c r="V233" s="356"/>
      <c r="W233" s="6"/>
    </row>
    <row r="234" spans="1:2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row>
  </sheetData>
  <hyperlinks>
    <hyperlink ref="I9" r:id="rId1"/>
    <hyperlink ref="K187"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21" man="1"/>
    <brk id="109" max="16383" man="1"/>
    <brk id="160" max="21" man="1"/>
    <brk id="239" man="1"/>
  </rowBreaks>
  <colBreaks count="1" manualBreakCount="1">
    <brk id="23" max="1048575" man="1"/>
  </colBreaks>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808080"/>
  </sheetPr>
  <dimension ref="A1:Y234"/>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38" t="s">
        <v>223</v>
      </c>
      <c r="B1" s="285" t="s">
        <v>123</v>
      </c>
      <c r="C1" s="239"/>
      <c r="D1" s="239"/>
      <c r="E1" s="239"/>
      <c r="F1" s="239"/>
      <c r="G1" s="239"/>
      <c r="H1" s="239"/>
      <c r="I1" s="239"/>
      <c r="J1" s="239"/>
      <c r="K1" s="239"/>
      <c r="L1" s="239"/>
      <c r="M1" s="240"/>
      <c r="N1" s="240"/>
      <c r="O1" s="240"/>
      <c r="P1" s="240"/>
      <c r="Q1" s="240"/>
      <c r="R1" s="240"/>
      <c r="S1" s="240"/>
      <c r="T1" s="240"/>
      <c r="U1" s="240"/>
      <c r="V1" s="241"/>
      <c r="W1" s="6"/>
    </row>
    <row r="2" spans="1:23" ht="15.6">
      <c r="A2" s="242"/>
      <c r="B2" s="243"/>
      <c r="C2" s="243"/>
      <c r="D2" s="243"/>
      <c r="E2" s="243"/>
      <c r="F2" s="243"/>
      <c r="G2" s="243"/>
      <c r="H2" s="243"/>
      <c r="I2" s="243"/>
      <c r="J2" s="243"/>
      <c r="K2" s="243"/>
      <c r="L2" s="243"/>
      <c r="M2" s="244"/>
      <c r="N2" s="244"/>
      <c r="O2" s="244"/>
      <c r="P2" s="244"/>
      <c r="Q2" s="244"/>
      <c r="R2" s="244"/>
      <c r="S2" s="244"/>
      <c r="T2" s="244"/>
      <c r="U2" s="244"/>
      <c r="V2" s="245"/>
      <c r="W2" s="6"/>
    </row>
    <row r="3" spans="1:23" ht="15.6">
      <c r="A3" s="246"/>
      <c r="B3" s="247" t="s">
        <v>125</v>
      </c>
      <c r="C3" s="244"/>
      <c r="D3" s="244"/>
      <c r="E3" s="244"/>
      <c r="F3" s="244"/>
      <c r="G3" s="244"/>
      <c r="H3" s="244"/>
      <c r="I3" s="244"/>
      <c r="J3" s="244"/>
      <c r="K3" s="244"/>
      <c r="L3" s="244"/>
      <c r="M3" s="244"/>
      <c r="N3" s="244"/>
      <c r="O3" s="244"/>
      <c r="P3" s="244"/>
      <c r="Q3" s="244"/>
      <c r="R3" s="244"/>
      <c r="S3" s="244"/>
      <c r="T3" s="244"/>
      <c r="U3" s="244"/>
      <c r="V3" s="245"/>
      <c r="W3" s="6"/>
    </row>
    <row r="4" spans="1:23" ht="15.6">
      <c r="A4" s="242"/>
      <c r="B4" s="243"/>
      <c r="C4" s="243"/>
      <c r="D4" s="243"/>
      <c r="E4" s="243"/>
      <c r="F4" s="243"/>
      <c r="G4" s="243"/>
      <c r="H4" s="243"/>
      <c r="I4" s="243"/>
      <c r="J4" s="243"/>
      <c r="K4" s="243"/>
      <c r="L4" s="243"/>
      <c r="M4" s="244"/>
      <c r="N4" s="244"/>
      <c r="O4" s="244"/>
      <c r="P4" s="244"/>
      <c r="Q4" s="244"/>
      <c r="R4" s="244"/>
      <c r="S4" s="244"/>
      <c r="T4" s="244"/>
      <c r="U4" s="244"/>
      <c r="V4" s="245"/>
      <c r="W4" s="6"/>
    </row>
    <row r="5" spans="1:23" ht="16.2">
      <c r="A5" s="242"/>
      <c r="B5" s="286" t="s">
        <v>0</v>
      </c>
      <c r="C5" s="248"/>
      <c r="D5" s="248"/>
      <c r="E5" s="248"/>
      <c r="F5" s="248"/>
      <c r="G5" s="248"/>
      <c r="H5" s="248"/>
      <c r="I5" s="248"/>
      <c r="J5" s="248"/>
      <c r="K5" s="248"/>
      <c r="L5" s="248"/>
      <c r="M5" s="244"/>
      <c r="N5" s="244"/>
      <c r="O5" s="244"/>
      <c r="P5" s="244"/>
      <c r="Q5" s="244"/>
      <c r="R5" s="244"/>
      <c r="S5" s="244"/>
      <c r="T5" s="244"/>
      <c r="U5" s="244"/>
      <c r="V5" s="245"/>
      <c r="W5" s="6"/>
    </row>
    <row r="6" spans="1:23" ht="16.2">
      <c r="A6" s="242"/>
      <c r="B6" s="286" t="s">
        <v>1</v>
      </c>
      <c r="C6" s="248"/>
      <c r="D6" s="248"/>
      <c r="E6" s="248"/>
      <c r="F6" s="248"/>
      <c r="G6" s="248"/>
      <c r="H6" s="248"/>
      <c r="I6" s="248"/>
      <c r="J6" s="248"/>
      <c r="K6" s="248"/>
      <c r="L6" s="248"/>
      <c r="M6" s="244"/>
      <c r="N6" s="244"/>
      <c r="O6" s="244"/>
      <c r="P6" s="244"/>
      <c r="Q6" s="244"/>
      <c r="R6" s="244"/>
      <c r="S6" s="244"/>
      <c r="T6" s="244"/>
      <c r="U6" s="244"/>
      <c r="V6" s="245"/>
      <c r="W6" s="6"/>
    </row>
    <row r="7" spans="1:23" ht="16.2">
      <c r="A7" s="242"/>
      <c r="B7" s="286" t="s">
        <v>2</v>
      </c>
      <c r="C7" s="248"/>
      <c r="D7" s="248"/>
      <c r="E7" s="248"/>
      <c r="F7" s="248"/>
      <c r="G7" s="248"/>
      <c r="H7" s="248"/>
      <c r="I7" s="248"/>
      <c r="J7" s="248"/>
      <c r="K7" s="248"/>
      <c r="L7" s="248"/>
      <c r="M7" s="244"/>
      <c r="N7" s="244"/>
      <c r="O7" s="244"/>
      <c r="P7" s="244"/>
      <c r="Q7" s="244"/>
      <c r="R7" s="244"/>
      <c r="S7" s="244"/>
      <c r="T7" s="244"/>
      <c r="U7" s="244"/>
      <c r="V7" s="245"/>
      <c r="W7" s="6"/>
    </row>
    <row r="8" spans="1:23" ht="16.2">
      <c r="A8" s="242"/>
      <c r="B8" s="249"/>
      <c r="C8" s="248"/>
      <c r="D8" s="248"/>
      <c r="E8" s="248"/>
      <c r="F8" s="248"/>
      <c r="G8" s="248"/>
      <c r="H8" s="248"/>
      <c r="I8" s="248"/>
      <c r="J8" s="248"/>
      <c r="K8" s="248"/>
      <c r="L8" s="248"/>
      <c r="M8" s="244"/>
      <c r="N8" s="244"/>
      <c r="O8" s="244"/>
      <c r="P8" s="244"/>
      <c r="Q8" s="244"/>
      <c r="R8" s="244"/>
      <c r="S8" s="244"/>
      <c r="T8" s="244"/>
      <c r="U8" s="244"/>
      <c r="V8" s="245"/>
      <c r="W8" s="6"/>
    </row>
    <row r="9" spans="1:23" ht="18">
      <c r="A9" s="242"/>
      <c r="B9" s="250" t="s">
        <v>194</v>
      </c>
      <c r="C9" s="248"/>
      <c r="D9" s="248"/>
      <c r="E9" s="248"/>
      <c r="F9" s="248"/>
      <c r="G9" s="248"/>
      <c r="H9" s="248"/>
      <c r="I9" s="251" t="s">
        <v>195</v>
      </c>
      <c r="J9" s="248"/>
      <c r="K9" s="248"/>
      <c r="L9" s="248"/>
      <c r="M9" s="244"/>
      <c r="N9" s="244"/>
      <c r="O9" s="244"/>
      <c r="P9" s="244"/>
      <c r="Q9" s="244"/>
      <c r="R9" s="244"/>
      <c r="S9" s="244"/>
      <c r="T9" s="244"/>
      <c r="U9" s="244"/>
      <c r="V9" s="245"/>
      <c r="W9" s="6"/>
    </row>
    <row r="10" spans="1:23" ht="16.2">
      <c r="A10" s="242"/>
      <c r="B10" s="248"/>
      <c r="C10" s="248"/>
      <c r="D10" s="248"/>
      <c r="E10" s="248"/>
      <c r="F10" s="248"/>
      <c r="G10" s="248"/>
      <c r="H10" s="248"/>
      <c r="I10" s="248"/>
      <c r="J10" s="248"/>
      <c r="K10" s="248"/>
      <c r="L10" s="248"/>
      <c r="M10" s="252"/>
      <c r="N10" s="252"/>
      <c r="O10" s="244"/>
      <c r="P10" s="244"/>
      <c r="Q10" s="244"/>
      <c r="R10" s="244"/>
      <c r="S10" s="244"/>
      <c r="T10" s="244"/>
      <c r="U10" s="244"/>
      <c r="V10" s="245"/>
      <c r="W10" s="6"/>
    </row>
    <row r="11" spans="1:23" ht="15.6">
      <c r="A11" s="242"/>
      <c r="B11" s="287" t="s">
        <v>3</v>
      </c>
      <c r="C11" s="252"/>
      <c r="D11" s="252"/>
      <c r="E11" s="252"/>
      <c r="F11" s="252"/>
      <c r="G11" s="252"/>
      <c r="H11" s="252"/>
      <c r="I11" s="252"/>
      <c r="J11" s="252"/>
      <c r="K11" s="252"/>
      <c r="L11" s="252"/>
      <c r="M11" s="244"/>
      <c r="N11" s="244"/>
      <c r="O11" s="244"/>
      <c r="P11" s="244"/>
      <c r="Q11" s="244"/>
      <c r="R11" s="244"/>
      <c r="S11" s="244"/>
      <c r="T11" s="244"/>
      <c r="U11" s="244"/>
      <c r="V11" s="245"/>
      <c r="W11" s="6"/>
    </row>
    <row r="12" spans="1:23" ht="16.2" thickBot="1">
      <c r="A12" s="242"/>
      <c r="B12" s="252"/>
      <c r="C12" s="252"/>
      <c r="D12" s="252"/>
      <c r="E12" s="252"/>
      <c r="F12" s="252"/>
      <c r="G12" s="252"/>
      <c r="H12" s="252"/>
      <c r="I12" s="252"/>
      <c r="J12" s="252"/>
      <c r="K12" s="252"/>
      <c r="L12" s="252"/>
      <c r="M12" s="244"/>
      <c r="N12" s="244"/>
      <c r="O12" s="244"/>
      <c r="P12" s="244"/>
      <c r="Q12" s="244"/>
      <c r="R12" s="244"/>
      <c r="S12" s="244"/>
      <c r="T12" s="244"/>
      <c r="U12" s="244"/>
      <c r="V12" s="245"/>
      <c r="W12" s="6"/>
    </row>
    <row r="13" spans="1:23" ht="15.6">
      <c r="A13" s="238"/>
      <c r="B13" s="240"/>
      <c r="C13" s="240"/>
      <c r="D13" s="240"/>
      <c r="E13" s="240"/>
      <c r="F13" s="240"/>
      <c r="G13" s="240"/>
      <c r="H13" s="240"/>
      <c r="I13" s="240"/>
      <c r="J13" s="240"/>
      <c r="K13" s="240"/>
      <c r="L13" s="240"/>
      <c r="M13" s="240"/>
      <c r="N13" s="240"/>
      <c r="O13" s="240"/>
      <c r="P13" s="240"/>
      <c r="Q13" s="240"/>
      <c r="R13" s="240"/>
      <c r="S13" s="240"/>
      <c r="T13" s="240"/>
      <c r="U13" s="240"/>
      <c r="V13" s="241"/>
      <c r="W13" s="6"/>
    </row>
    <row r="14" spans="1:23" ht="15.6">
      <c r="A14" s="242"/>
      <c r="B14" s="287" t="s">
        <v>4</v>
      </c>
      <c r="C14" s="253"/>
      <c r="D14" s="253"/>
      <c r="E14" s="253"/>
      <c r="F14" s="253"/>
      <c r="G14" s="253"/>
      <c r="H14" s="253"/>
      <c r="I14" s="253"/>
      <c r="J14" s="253"/>
      <c r="K14" s="253"/>
      <c r="L14" s="253"/>
      <c r="M14" s="288"/>
      <c r="N14" s="288"/>
      <c r="O14" s="288"/>
      <c r="P14" s="288"/>
      <c r="Q14" s="288"/>
      <c r="R14" s="288"/>
      <c r="S14" s="288"/>
      <c r="T14" s="288"/>
      <c r="U14" s="289" t="s">
        <v>126</v>
      </c>
      <c r="V14" s="245"/>
      <c r="W14" s="6"/>
    </row>
    <row r="15" spans="1:23" ht="15.6">
      <c r="A15" s="242"/>
      <c r="B15" s="287" t="s">
        <v>5</v>
      </c>
      <c r="C15" s="253"/>
      <c r="D15" s="253"/>
      <c r="E15" s="253"/>
      <c r="F15" s="253"/>
      <c r="G15" s="253"/>
      <c r="H15" s="253"/>
      <c r="I15" s="253"/>
      <c r="J15" s="253"/>
      <c r="K15" s="253"/>
      <c r="L15" s="253"/>
      <c r="M15" s="290" t="s">
        <v>93</v>
      </c>
      <c r="N15" s="291">
        <v>0.1492</v>
      </c>
      <c r="O15" s="290" t="s">
        <v>99</v>
      </c>
      <c r="P15" s="291">
        <v>5.4399999999999997E-2</v>
      </c>
      <c r="Q15" s="290" t="s">
        <v>102</v>
      </c>
      <c r="R15" s="291">
        <v>0.48899999999999999</v>
      </c>
      <c r="S15" s="290" t="s">
        <v>108</v>
      </c>
      <c r="T15" s="291">
        <v>0.30740000000000001</v>
      </c>
      <c r="U15" s="289"/>
      <c r="V15" s="254"/>
      <c r="W15" s="6"/>
    </row>
    <row r="16" spans="1:23" ht="15.6">
      <c r="A16" s="242"/>
      <c r="B16" s="287" t="s">
        <v>6</v>
      </c>
      <c r="C16" s="253"/>
      <c r="D16" s="253"/>
      <c r="E16" s="253"/>
      <c r="F16" s="253"/>
      <c r="G16" s="253"/>
      <c r="H16" s="253"/>
      <c r="I16" s="253"/>
      <c r="J16" s="253"/>
      <c r="K16" s="253"/>
      <c r="L16" s="253"/>
      <c r="M16" s="290" t="s">
        <v>93</v>
      </c>
      <c r="N16" s="291">
        <f>+N198/S221</f>
        <v>1.0496028529745502E-2</v>
      </c>
      <c r="O16" s="290" t="s">
        <v>99</v>
      </c>
      <c r="P16" s="291">
        <f>+S198/S221</f>
        <v>1.5939914626897931E-3</v>
      </c>
      <c r="Q16" s="290" t="s">
        <v>102</v>
      </c>
      <c r="R16" s="291">
        <f>+N211/S221</f>
        <v>0.98616739612038684</v>
      </c>
      <c r="S16" s="290" t="s">
        <v>108</v>
      </c>
      <c r="T16" s="291">
        <f>+S211/S221</f>
        <v>1.7425838871778245E-3</v>
      </c>
      <c r="U16" s="289"/>
      <c r="V16" s="254"/>
      <c r="W16" s="6"/>
    </row>
    <row r="17" spans="1:23" ht="15.6">
      <c r="A17" s="242"/>
      <c r="B17" s="287" t="s">
        <v>7</v>
      </c>
      <c r="C17" s="253"/>
      <c r="D17" s="253"/>
      <c r="E17" s="253"/>
      <c r="F17" s="253"/>
      <c r="G17" s="253"/>
      <c r="H17" s="253"/>
      <c r="I17" s="253"/>
      <c r="J17" s="253"/>
      <c r="K17" s="253"/>
      <c r="L17" s="253"/>
      <c r="M17" s="288"/>
      <c r="N17" s="288"/>
      <c r="O17" s="288"/>
      <c r="P17" s="288"/>
      <c r="Q17" s="288"/>
      <c r="R17" s="288"/>
      <c r="S17" s="288"/>
      <c r="T17" s="288"/>
      <c r="U17" s="292">
        <v>38491</v>
      </c>
      <c r="V17" s="245"/>
      <c r="W17" s="6"/>
    </row>
    <row r="18" spans="1:23" ht="15.6">
      <c r="A18" s="242"/>
      <c r="B18" s="287" t="s">
        <v>8</v>
      </c>
      <c r="C18" s="253"/>
      <c r="D18" s="253"/>
      <c r="E18" s="253"/>
      <c r="F18" s="253"/>
      <c r="G18" s="253"/>
      <c r="H18" s="253"/>
      <c r="I18" s="253"/>
      <c r="J18" s="253"/>
      <c r="K18" s="253"/>
      <c r="L18" s="253"/>
      <c r="M18" s="288"/>
      <c r="N18" s="288"/>
      <c r="O18" s="288"/>
      <c r="P18" s="288"/>
      <c r="Q18" s="288"/>
      <c r="R18" s="288"/>
      <c r="S18" s="288"/>
      <c r="T18" s="288"/>
      <c r="U18" s="292">
        <v>42663</v>
      </c>
      <c r="V18" s="245"/>
      <c r="W18" s="6"/>
    </row>
    <row r="19" spans="1:23" ht="15.6">
      <c r="A19" s="242"/>
      <c r="B19" s="288"/>
      <c r="C19" s="244"/>
      <c r="D19" s="244"/>
      <c r="E19" s="244"/>
      <c r="F19" s="244"/>
      <c r="G19" s="244"/>
      <c r="H19" s="244"/>
      <c r="I19" s="244"/>
      <c r="J19" s="244"/>
      <c r="K19" s="244"/>
      <c r="L19" s="244"/>
      <c r="M19" s="244"/>
      <c r="N19" s="244"/>
      <c r="O19" s="244"/>
      <c r="P19" s="244"/>
      <c r="Q19" s="244"/>
      <c r="R19" s="244"/>
      <c r="S19" s="244"/>
      <c r="T19" s="244"/>
      <c r="U19" s="255"/>
      <c r="V19" s="245"/>
      <c r="W19" s="6"/>
    </row>
    <row r="20" spans="1:23" ht="15.6">
      <c r="A20" s="242"/>
      <c r="B20" s="293" t="s">
        <v>9</v>
      </c>
      <c r="C20" s="244"/>
      <c r="D20" s="244"/>
      <c r="E20" s="244"/>
      <c r="F20" s="244"/>
      <c r="G20" s="244"/>
      <c r="H20" s="244"/>
      <c r="I20" s="244"/>
      <c r="J20" s="244"/>
      <c r="K20" s="244"/>
      <c r="L20" s="244"/>
      <c r="M20" s="244"/>
      <c r="N20" s="244"/>
      <c r="O20" s="244"/>
      <c r="P20" s="244"/>
      <c r="Q20" s="244"/>
      <c r="R20" s="244"/>
      <c r="S20" s="255"/>
      <c r="T20" s="244"/>
      <c r="U20" s="249"/>
      <c r="V20" s="245"/>
      <c r="W20" s="6"/>
    </row>
    <row r="21" spans="1:23" ht="15.6">
      <c r="A21" s="242"/>
      <c r="B21" s="244"/>
      <c r="C21" s="244"/>
      <c r="D21" s="244"/>
      <c r="E21" s="244"/>
      <c r="F21" s="244"/>
      <c r="G21" s="244"/>
      <c r="H21" s="244"/>
      <c r="I21" s="244"/>
      <c r="J21" s="244"/>
      <c r="K21" s="244"/>
      <c r="L21" s="244"/>
      <c r="M21" s="244"/>
      <c r="N21" s="244"/>
      <c r="O21" s="244"/>
      <c r="P21" s="244"/>
      <c r="Q21" s="244"/>
      <c r="R21" s="244"/>
      <c r="S21" s="244"/>
      <c r="T21" s="244"/>
      <c r="U21" s="256"/>
      <c r="V21" s="245"/>
      <c r="W21" s="6"/>
    </row>
    <row r="22" spans="1:23" ht="15.6">
      <c r="A22" s="230"/>
      <c r="B22" s="231"/>
      <c r="C22" s="232" t="s">
        <v>130</v>
      </c>
      <c r="D22" s="232"/>
      <c r="E22" s="232" t="s">
        <v>131</v>
      </c>
      <c r="F22" s="232"/>
      <c r="G22" s="232" t="s">
        <v>132</v>
      </c>
      <c r="H22" s="232"/>
      <c r="I22" s="232" t="s">
        <v>133</v>
      </c>
      <c r="J22" s="232"/>
      <c r="K22" s="232" t="s">
        <v>134</v>
      </c>
      <c r="L22" s="232"/>
      <c r="M22" s="233" t="s">
        <v>135</v>
      </c>
      <c r="N22" s="233"/>
      <c r="O22" s="233" t="s">
        <v>136</v>
      </c>
      <c r="P22" s="233"/>
      <c r="Q22" s="233" t="s">
        <v>137</v>
      </c>
      <c r="R22" s="233"/>
      <c r="S22" s="235"/>
      <c r="T22" s="236"/>
      <c r="U22" s="236"/>
      <c r="V22" s="237"/>
      <c r="W22" s="6"/>
    </row>
    <row r="23" spans="1:23" ht="15.6">
      <c r="A23" s="257"/>
      <c r="B23" s="294" t="s">
        <v>10</v>
      </c>
      <c r="C23" s="295" t="s">
        <v>96</v>
      </c>
      <c r="D23" s="295"/>
      <c r="E23" s="295" t="s">
        <v>96</v>
      </c>
      <c r="F23" s="295"/>
      <c r="G23" s="295" t="s">
        <v>138</v>
      </c>
      <c r="H23" s="295"/>
      <c r="I23" s="295" t="s">
        <v>138</v>
      </c>
      <c r="J23" s="295"/>
      <c r="K23" s="295" t="s">
        <v>104</v>
      </c>
      <c r="L23" s="296"/>
      <c r="M23" s="297" t="s">
        <v>104</v>
      </c>
      <c r="N23" s="297"/>
      <c r="O23" s="297" t="s">
        <v>109</v>
      </c>
      <c r="P23" s="297"/>
      <c r="Q23" s="297" t="s">
        <v>109</v>
      </c>
      <c r="R23" s="258"/>
      <c r="S23" s="258"/>
      <c r="T23" s="259"/>
      <c r="U23" s="259"/>
      <c r="V23" s="260"/>
      <c r="W23" s="6"/>
    </row>
    <row r="24" spans="1:23" ht="15.6">
      <c r="A24" s="378"/>
      <c r="B24" s="379" t="s">
        <v>11</v>
      </c>
      <c r="C24" s="380" t="s">
        <v>97</v>
      </c>
      <c r="D24" s="380"/>
      <c r="E24" s="380" t="s">
        <v>97</v>
      </c>
      <c r="F24" s="380"/>
      <c r="G24" s="380" t="s">
        <v>139</v>
      </c>
      <c r="H24" s="380"/>
      <c r="I24" s="380" t="s">
        <v>139</v>
      </c>
      <c r="J24" s="380"/>
      <c r="K24" s="380" t="s">
        <v>105</v>
      </c>
      <c r="L24" s="381"/>
      <c r="M24" s="382" t="s">
        <v>105</v>
      </c>
      <c r="N24" s="382"/>
      <c r="O24" s="382" t="s">
        <v>110</v>
      </c>
      <c r="P24" s="382"/>
      <c r="Q24" s="382" t="s">
        <v>110</v>
      </c>
      <c r="R24" s="383"/>
      <c r="S24" s="383"/>
      <c r="T24" s="384"/>
      <c r="U24" s="384"/>
      <c r="V24" s="385"/>
      <c r="W24" s="6"/>
    </row>
    <row r="25" spans="1:23" ht="15.6">
      <c r="A25" s="378"/>
      <c r="B25" s="386" t="s">
        <v>12</v>
      </c>
      <c r="C25" s="381" t="s">
        <v>284</v>
      </c>
      <c r="D25" s="381"/>
      <c r="E25" s="381" t="s">
        <v>284</v>
      </c>
      <c r="F25" s="381"/>
      <c r="G25" s="381" t="s">
        <v>284</v>
      </c>
      <c r="H25" s="381"/>
      <c r="I25" s="381" t="s">
        <v>284</v>
      </c>
      <c r="J25" s="386"/>
      <c r="K25" s="381" t="s">
        <v>284</v>
      </c>
      <c r="L25" s="386"/>
      <c r="M25" s="387" t="s">
        <v>284</v>
      </c>
      <c r="N25" s="382"/>
      <c r="O25" s="387" t="s">
        <v>284</v>
      </c>
      <c r="P25" s="382"/>
      <c r="Q25" s="387" t="s">
        <v>284</v>
      </c>
      <c r="R25" s="388"/>
      <c r="S25" s="388"/>
      <c r="T25" s="389"/>
      <c r="U25" s="384"/>
      <c r="V25" s="385"/>
      <c r="W25" s="6"/>
    </row>
    <row r="26" spans="1:23" ht="15.6">
      <c r="A26" s="378"/>
      <c r="B26" s="386" t="s">
        <v>13</v>
      </c>
      <c r="C26" s="381" t="s">
        <v>139</v>
      </c>
      <c r="D26" s="381"/>
      <c r="E26" s="381" t="s">
        <v>139</v>
      </c>
      <c r="F26" s="381"/>
      <c r="G26" s="381" t="s">
        <v>139</v>
      </c>
      <c r="H26" s="381"/>
      <c r="I26" s="381" t="s">
        <v>139</v>
      </c>
      <c r="J26" s="386"/>
      <c r="K26" s="381" t="s">
        <v>139</v>
      </c>
      <c r="L26" s="386"/>
      <c r="M26" s="387" t="s">
        <v>139</v>
      </c>
      <c r="N26" s="382"/>
      <c r="O26" s="387" t="s">
        <v>105</v>
      </c>
      <c r="P26" s="382"/>
      <c r="Q26" s="387" t="s">
        <v>105</v>
      </c>
      <c r="R26" s="388"/>
      <c r="S26" s="388"/>
      <c r="T26" s="389"/>
      <c r="U26" s="384"/>
      <c r="V26" s="385"/>
      <c r="W26" s="6"/>
    </row>
    <row r="27" spans="1:23" ht="15.6">
      <c r="A27" s="378"/>
      <c r="B27" s="379" t="s">
        <v>14</v>
      </c>
      <c r="C27" s="380" t="s">
        <v>140</v>
      </c>
      <c r="D27" s="379"/>
      <c r="E27" s="380" t="s">
        <v>141</v>
      </c>
      <c r="F27" s="379"/>
      <c r="G27" s="380" t="s">
        <v>142</v>
      </c>
      <c r="H27" s="379"/>
      <c r="I27" s="380" t="s">
        <v>258</v>
      </c>
      <c r="J27" s="379"/>
      <c r="K27" s="380" t="s">
        <v>143</v>
      </c>
      <c r="L27" s="379"/>
      <c r="M27" s="379" t="s">
        <v>144</v>
      </c>
      <c r="N27" s="382"/>
      <c r="O27" s="379" t="s">
        <v>145</v>
      </c>
      <c r="P27" s="382"/>
      <c r="Q27" s="379" t="s">
        <v>146</v>
      </c>
      <c r="R27" s="383"/>
      <c r="S27" s="390"/>
      <c r="T27" s="384"/>
      <c r="U27" s="384"/>
      <c r="V27" s="385"/>
      <c r="W27" s="6"/>
    </row>
    <row r="28" spans="1:23" ht="15.6">
      <c r="A28" s="378"/>
      <c r="B28" s="379" t="s">
        <v>147</v>
      </c>
      <c r="C28" s="391">
        <v>146000</v>
      </c>
      <c r="D28" s="380"/>
      <c r="E28" s="392">
        <v>259500</v>
      </c>
      <c r="F28" s="380"/>
      <c r="G28" s="391">
        <v>16000</v>
      </c>
      <c r="H28" s="380"/>
      <c r="I28" s="392">
        <v>35500</v>
      </c>
      <c r="J28" s="379"/>
      <c r="K28" s="391">
        <v>18000</v>
      </c>
      <c r="L28" s="379"/>
      <c r="M28" s="392">
        <v>33000</v>
      </c>
      <c r="N28" s="393"/>
      <c r="O28" s="394">
        <v>24500</v>
      </c>
      <c r="P28" s="394"/>
      <c r="Q28" s="392">
        <v>30000</v>
      </c>
      <c r="R28" s="395"/>
      <c r="S28" s="395"/>
      <c r="T28" s="396"/>
      <c r="U28" s="395"/>
      <c r="V28" s="397"/>
      <c r="W28" s="6"/>
    </row>
    <row r="29" spans="1:23" ht="15.6">
      <c r="A29" s="378"/>
      <c r="B29" s="379" t="s">
        <v>15</v>
      </c>
      <c r="C29" s="391">
        <f>C28*C35</f>
        <v>15459.823200000001</v>
      </c>
      <c r="D29" s="398"/>
      <c r="E29" s="392">
        <f>E28*E35</f>
        <v>27478.2474</v>
      </c>
      <c r="F29" s="398"/>
      <c r="G29" s="391">
        <f>G28*G35</f>
        <v>5550.7264000000005</v>
      </c>
      <c r="H29" s="398"/>
      <c r="I29" s="392">
        <f>I28*I35</f>
        <v>12315.674200000001</v>
      </c>
      <c r="J29" s="399"/>
      <c r="K29" s="391">
        <f>K28*K35</f>
        <v>6244.5672000000004</v>
      </c>
      <c r="L29" s="399"/>
      <c r="M29" s="392">
        <f>M28*M35</f>
        <v>11448.3732</v>
      </c>
      <c r="N29" s="393"/>
      <c r="O29" s="391">
        <f>O28*O35</f>
        <v>8499.5498000000007</v>
      </c>
      <c r="P29" s="394"/>
      <c r="Q29" s="392">
        <f>Q28*Q35</f>
        <v>10407.612000000001</v>
      </c>
      <c r="R29" s="400"/>
      <c r="S29" s="395"/>
      <c r="T29" s="396"/>
      <c r="U29" s="395"/>
      <c r="V29" s="397"/>
      <c r="W29" s="6"/>
    </row>
    <row r="30" spans="1:23" ht="15.6">
      <c r="A30" s="401"/>
      <c r="B30" s="386" t="s">
        <v>148</v>
      </c>
      <c r="C30" s="415">
        <f>C34*C28</f>
        <v>14668.736800000001</v>
      </c>
      <c r="D30" s="505"/>
      <c r="E30" s="406">
        <f>E34*E28</f>
        <v>26072.172599999998</v>
      </c>
      <c r="F30" s="505"/>
      <c r="G30" s="415">
        <f>G34*G28</f>
        <v>5266.768</v>
      </c>
      <c r="H30" s="505"/>
      <c r="I30" s="406">
        <f>I34*I28</f>
        <v>11685.6415</v>
      </c>
      <c r="J30" s="506"/>
      <c r="K30" s="415">
        <f>K34*K28</f>
        <v>5925.1139999999996</v>
      </c>
      <c r="L30" s="399"/>
      <c r="M30" s="406">
        <f>M34*M28</f>
        <v>10862.708999999999</v>
      </c>
      <c r="N30" s="407"/>
      <c r="O30" s="415">
        <f>O34*O28</f>
        <v>8064.7384999999995</v>
      </c>
      <c r="P30" s="408"/>
      <c r="Q30" s="406">
        <f>Q34*Q28</f>
        <v>9875.19</v>
      </c>
      <c r="R30" s="408"/>
      <c r="S30" s="408"/>
      <c r="T30" s="409"/>
      <c r="U30" s="408"/>
      <c r="V30" s="410"/>
      <c r="W30" s="6"/>
    </row>
    <row r="31" spans="1:23" ht="15.6">
      <c r="A31" s="401"/>
      <c r="B31" s="379" t="s">
        <v>260</v>
      </c>
      <c r="C31" s="391">
        <v>146000</v>
      </c>
      <c r="D31" s="398"/>
      <c r="E31" s="391">
        <v>178000</v>
      </c>
      <c r="F31" s="391"/>
      <c r="G31" s="391">
        <v>16000</v>
      </c>
      <c r="H31" s="391"/>
      <c r="I31" s="391">
        <v>24500</v>
      </c>
      <c r="J31" s="412"/>
      <c r="K31" s="391">
        <v>18000</v>
      </c>
      <c r="L31" s="412"/>
      <c r="M31" s="391">
        <v>22500</v>
      </c>
      <c r="N31" s="414"/>
      <c r="O31" s="391">
        <v>24500</v>
      </c>
      <c r="P31" s="415"/>
      <c r="Q31" s="391">
        <v>20500</v>
      </c>
      <c r="R31" s="408"/>
      <c r="S31" s="408"/>
      <c r="T31" s="409"/>
      <c r="U31" s="394">
        <f>+Q31+O31+M31+K31+I31+G31+E31+C31</f>
        <v>450000</v>
      </c>
      <c r="V31" s="410"/>
      <c r="W31" s="6"/>
    </row>
    <row r="32" spans="1:23" ht="15.6">
      <c r="A32" s="401"/>
      <c r="B32" s="379" t="s">
        <v>261</v>
      </c>
      <c r="C32" s="391">
        <f>C28*C35</f>
        <v>15459.823200000001</v>
      </c>
      <c r="D32" s="398"/>
      <c r="E32" s="391">
        <f>E31*E35</f>
        <v>18848.277600000001</v>
      </c>
      <c r="F32" s="391"/>
      <c r="G32" s="391">
        <f>G28*G35</f>
        <v>5550.7264000000005</v>
      </c>
      <c r="H32" s="391"/>
      <c r="I32" s="391">
        <f>I31*I35</f>
        <v>8499.5498000000007</v>
      </c>
      <c r="J32" s="412"/>
      <c r="K32" s="391">
        <f>K28*K35</f>
        <v>6244.5672000000004</v>
      </c>
      <c r="L32" s="412"/>
      <c r="M32" s="391">
        <f>M31*M35</f>
        <v>7805.7090000000007</v>
      </c>
      <c r="N32" s="414"/>
      <c r="O32" s="391">
        <f>O28*O35</f>
        <v>8499.5498000000007</v>
      </c>
      <c r="P32" s="415"/>
      <c r="Q32" s="391">
        <f>Q31*Q35</f>
        <v>7111.8682000000008</v>
      </c>
      <c r="R32" s="391"/>
      <c r="S32" s="408"/>
      <c r="T32" s="409"/>
      <c r="U32" s="394">
        <f>+Q32+O32+M32+K32+I32+G32+E32+C32</f>
        <v>78020.071200000006</v>
      </c>
      <c r="V32" s="410"/>
      <c r="W32" s="6"/>
    </row>
    <row r="33" spans="1:23" ht="15.6">
      <c r="A33" s="401"/>
      <c r="B33" s="386" t="s">
        <v>262</v>
      </c>
      <c r="C33" s="415">
        <f>C34*C28</f>
        <v>14668.736800000001</v>
      </c>
      <c r="D33" s="415"/>
      <c r="E33" s="415">
        <f>E34*E31</f>
        <v>17883.8024</v>
      </c>
      <c r="F33" s="415"/>
      <c r="G33" s="415">
        <f>G34*G28</f>
        <v>5266.768</v>
      </c>
      <c r="H33" s="415"/>
      <c r="I33" s="415">
        <f>I34*I31</f>
        <v>8064.7384999999995</v>
      </c>
      <c r="J33" s="414"/>
      <c r="K33" s="415">
        <f>K34*K28</f>
        <v>5925.1139999999996</v>
      </c>
      <c r="L33" s="414"/>
      <c r="M33" s="415">
        <f>M34*M31</f>
        <v>7406.3924999999999</v>
      </c>
      <c r="N33" s="414"/>
      <c r="O33" s="415">
        <f>O34*O28</f>
        <v>8064.7384999999995</v>
      </c>
      <c r="P33" s="415"/>
      <c r="Q33" s="415">
        <f>Q34*Q31</f>
        <v>6748.0464999999995</v>
      </c>
      <c r="R33" s="408"/>
      <c r="S33" s="408"/>
      <c r="T33" s="409"/>
      <c r="U33" s="408">
        <f>+Q33+O33+M33+K33+I33+G33+E33+C33</f>
        <v>74028.337199999994</v>
      </c>
      <c r="V33" s="410"/>
      <c r="W33" s="6"/>
    </row>
    <row r="34" spans="1:23" ht="15.6">
      <c r="A34" s="401"/>
      <c r="B34" s="468" t="s">
        <v>149</v>
      </c>
      <c r="C34" s="507">
        <v>0.1004708</v>
      </c>
      <c r="D34" s="507"/>
      <c r="E34" s="507">
        <v>0.1004708</v>
      </c>
      <c r="F34" s="507"/>
      <c r="G34" s="507">
        <v>0.32917299999999999</v>
      </c>
      <c r="H34" s="507"/>
      <c r="I34" s="507">
        <v>0.32917299999999999</v>
      </c>
      <c r="J34" s="507"/>
      <c r="K34" s="507">
        <v>0.32917299999999999</v>
      </c>
      <c r="L34" s="507"/>
      <c r="M34" s="507">
        <v>0.32917299999999999</v>
      </c>
      <c r="N34" s="507"/>
      <c r="O34" s="507">
        <v>0.32917299999999999</v>
      </c>
      <c r="P34" s="507"/>
      <c r="Q34" s="507">
        <v>0.32917299999999999</v>
      </c>
      <c r="R34" s="508"/>
      <c r="S34" s="420"/>
      <c r="T34" s="421"/>
      <c r="U34" s="420"/>
      <c r="V34" s="385"/>
      <c r="W34" s="6"/>
    </row>
    <row r="35" spans="1:23" ht="15.6">
      <c r="A35" s="401"/>
      <c r="B35" s="468" t="s">
        <v>150</v>
      </c>
      <c r="C35" s="507">
        <v>0.1058892</v>
      </c>
      <c r="D35" s="507"/>
      <c r="E35" s="507">
        <v>0.1058892</v>
      </c>
      <c r="F35" s="507"/>
      <c r="G35" s="507">
        <v>0.34692040000000002</v>
      </c>
      <c r="H35" s="507"/>
      <c r="I35" s="507">
        <v>0.34692040000000002</v>
      </c>
      <c r="J35" s="507"/>
      <c r="K35" s="507">
        <v>0.34692040000000002</v>
      </c>
      <c r="L35" s="507"/>
      <c r="M35" s="507">
        <v>0.34692040000000002</v>
      </c>
      <c r="N35" s="507"/>
      <c r="O35" s="507">
        <v>0.34692040000000002</v>
      </c>
      <c r="P35" s="507"/>
      <c r="Q35" s="507">
        <v>0.34692040000000002</v>
      </c>
      <c r="R35" s="508"/>
      <c r="S35" s="420"/>
      <c r="T35" s="421"/>
      <c r="U35" s="420"/>
      <c r="V35" s="385"/>
      <c r="W35" s="6"/>
    </row>
    <row r="36" spans="1:23" ht="15.6">
      <c r="A36" s="378"/>
      <c r="B36" s="379" t="s">
        <v>153</v>
      </c>
      <c r="C36" s="380" t="s">
        <v>163</v>
      </c>
      <c r="D36" s="380"/>
      <c r="E36" s="380" t="s">
        <v>163</v>
      </c>
      <c r="F36" s="380"/>
      <c r="G36" s="380" t="s">
        <v>164</v>
      </c>
      <c r="H36" s="380"/>
      <c r="I36" s="380" t="s">
        <v>164</v>
      </c>
      <c r="J36" s="380"/>
      <c r="K36" s="380" t="s">
        <v>106</v>
      </c>
      <c r="L36" s="380"/>
      <c r="M36" s="380" t="s">
        <v>165</v>
      </c>
      <c r="N36" s="380"/>
      <c r="O36" s="380" t="s">
        <v>166</v>
      </c>
      <c r="P36" s="380"/>
      <c r="Q36" s="380" t="s">
        <v>167</v>
      </c>
      <c r="R36" s="380"/>
      <c r="S36" s="380"/>
      <c r="T36" s="379"/>
      <c r="U36" s="424"/>
      <c r="V36" s="410"/>
      <c r="W36" s="6"/>
    </row>
    <row r="37" spans="1:23" ht="15.6">
      <c r="A37" s="378"/>
      <c r="B37" s="379" t="s">
        <v>151</v>
      </c>
      <c r="C37" s="509">
        <v>9.6749999999999996E-3</v>
      </c>
      <c r="D37" s="509"/>
      <c r="E37" s="509">
        <v>1.4499999999999999E-3</v>
      </c>
      <c r="F37" s="509"/>
      <c r="G37" s="509">
        <v>1.1875E-2</v>
      </c>
      <c r="H37" s="509"/>
      <c r="I37" s="509">
        <v>3.65E-3</v>
      </c>
      <c r="J37" s="509"/>
      <c r="K37" s="509">
        <v>1.7274999999999999E-2</v>
      </c>
      <c r="L37" s="509"/>
      <c r="M37" s="509">
        <v>8.4499999999999992E-3</v>
      </c>
      <c r="N37" s="509"/>
      <c r="O37" s="509">
        <v>2.4275000000000001E-2</v>
      </c>
      <c r="P37" s="509"/>
      <c r="Q37" s="509">
        <v>1.5049999999999999E-2</v>
      </c>
      <c r="R37" s="427"/>
      <c r="S37" s="509"/>
      <c r="T37" s="379"/>
      <c r="U37" s="380"/>
      <c r="V37" s="410"/>
      <c r="W37" s="6"/>
    </row>
    <row r="38" spans="1:23" ht="15.6">
      <c r="A38" s="378"/>
      <c r="B38" s="379" t="s">
        <v>152</v>
      </c>
      <c r="C38" s="509">
        <v>1.02781E-2</v>
      </c>
      <c r="D38" s="509"/>
      <c r="E38" s="509">
        <v>1.91E-3</v>
      </c>
      <c r="F38" s="509"/>
      <c r="G38" s="509">
        <v>1.2478100000000001E-2</v>
      </c>
      <c r="H38" s="509"/>
      <c r="I38" s="509">
        <v>4.1099999999999999E-3</v>
      </c>
      <c r="J38" s="509"/>
      <c r="K38" s="509">
        <v>1.7878100000000001E-2</v>
      </c>
      <c r="L38" s="509"/>
      <c r="M38" s="509">
        <v>8.9099999999999995E-3</v>
      </c>
      <c r="N38" s="509"/>
      <c r="O38" s="509">
        <v>2.48781E-2</v>
      </c>
      <c r="P38" s="509"/>
      <c r="Q38" s="509">
        <v>1.5509999999999999E-2</v>
      </c>
      <c r="R38" s="427"/>
      <c r="S38" s="509"/>
      <c r="T38" s="379"/>
      <c r="U38" s="424"/>
      <c r="V38" s="410"/>
      <c r="W38" s="6"/>
    </row>
    <row r="39" spans="1:23" ht="15.6">
      <c r="A39" s="378"/>
      <c r="B39" s="379" t="s">
        <v>263</v>
      </c>
      <c r="C39" s="380" t="s">
        <v>163</v>
      </c>
      <c r="D39" s="379"/>
      <c r="E39" s="380" t="s">
        <v>228</v>
      </c>
      <c r="F39" s="379"/>
      <c r="G39" s="380" t="s">
        <v>164</v>
      </c>
      <c r="H39" s="379"/>
      <c r="I39" s="380" t="s">
        <v>226</v>
      </c>
      <c r="J39" s="379"/>
      <c r="K39" s="380" t="s">
        <v>106</v>
      </c>
      <c r="L39" s="379"/>
      <c r="M39" s="380" t="s">
        <v>227</v>
      </c>
      <c r="N39" s="379"/>
      <c r="O39" s="380" t="s">
        <v>166</v>
      </c>
      <c r="P39" s="380"/>
      <c r="Q39" s="380" t="s">
        <v>229</v>
      </c>
      <c r="R39" s="427"/>
      <c r="S39" s="509"/>
      <c r="T39" s="379"/>
      <c r="U39" s="424"/>
      <c r="V39" s="410"/>
      <c r="W39" s="6"/>
    </row>
    <row r="40" spans="1:23" ht="15.6">
      <c r="A40" s="378"/>
      <c r="B40" s="379" t="s">
        <v>264</v>
      </c>
      <c r="C40" s="509">
        <f>+C37</f>
        <v>9.6749999999999996E-3</v>
      </c>
      <c r="D40" s="509"/>
      <c r="E40" s="509">
        <v>1.0251E-2</v>
      </c>
      <c r="F40" s="509"/>
      <c r="G40" s="509">
        <f>+G37</f>
        <v>1.1875E-2</v>
      </c>
      <c r="H40" s="509"/>
      <c r="I40" s="509">
        <v>1.2607999999999999E-2</v>
      </c>
      <c r="J40" s="509"/>
      <c r="K40" s="509">
        <f>+K37</f>
        <v>1.7274999999999999E-2</v>
      </c>
      <c r="L40" s="510"/>
      <c r="M40" s="509">
        <v>1.7835400000000001E-2</v>
      </c>
      <c r="N40" s="510"/>
      <c r="O40" s="509">
        <f>+O37</f>
        <v>2.4275000000000001E-2</v>
      </c>
      <c r="P40" s="509"/>
      <c r="Q40" s="509">
        <v>2.5101399999999999E-2</v>
      </c>
      <c r="R40" s="427"/>
      <c r="S40" s="509"/>
      <c r="T40" s="379"/>
      <c r="U40" s="427">
        <f>SUMPRODUCT(C40:Q40,C32:Q32)/U32</f>
        <v>1.4711623892046386E-2</v>
      </c>
      <c r="V40" s="410"/>
      <c r="W40" s="6"/>
    </row>
    <row r="41" spans="1:23" ht="15.6">
      <c r="A41" s="378"/>
      <c r="B41" s="379" t="s">
        <v>265</v>
      </c>
      <c r="C41" s="509">
        <f>+C38</f>
        <v>1.02781E-2</v>
      </c>
      <c r="D41" s="509"/>
      <c r="E41" s="509">
        <v>1.08541E-2</v>
      </c>
      <c r="F41" s="509"/>
      <c r="G41" s="509">
        <f>+G38</f>
        <v>1.2478100000000001E-2</v>
      </c>
      <c r="H41" s="509"/>
      <c r="I41" s="509">
        <v>1.32111E-2</v>
      </c>
      <c r="J41" s="509"/>
      <c r="K41" s="509">
        <f>+K38</f>
        <v>1.7878100000000001E-2</v>
      </c>
      <c r="L41" s="510"/>
      <c r="M41" s="509">
        <v>1.84385E-2</v>
      </c>
      <c r="N41" s="510"/>
      <c r="O41" s="509">
        <f>+O38</f>
        <v>2.48781E-2</v>
      </c>
      <c r="P41" s="509"/>
      <c r="Q41" s="509">
        <v>2.5704500000000002E-2</v>
      </c>
      <c r="R41" s="427"/>
      <c r="S41" s="509"/>
      <c r="T41" s="379"/>
      <c r="U41" s="424"/>
      <c r="V41" s="410"/>
      <c r="W41" s="6"/>
    </row>
    <row r="42" spans="1:23" ht="15.6">
      <c r="A42" s="378"/>
      <c r="B42" s="379" t="s">
        <v>17</v>
      </c>
      <c r="C42" s="429">
        <v>39918</v>
      </c>
      <c r="D42" s="429"/>
      <c r="E42" s="429">
        <v>39918</v>
      </c>
      <c r="F42" s="429"/>
      <c r="G42" s="429">
        <v>39918</v>
      </c>
      <c r="H42" s="429"/>
      <c r="I42" s="429">
        <v>39918</v>
      </c>
      <c r="J42" s="429"/>
      <c r="K42" s="429">
        <v>39918</v>
      </c>
      <c r="L42" s="429"/>
      <c r="M42" s="429">
        <v>39918</v>
      </c>
      <c r="N42" s="429"/>
      <c r="O42" s="429">
        <v>39918</v>
      </c>
      <c r="P42" s="429"/>
      <c r="Q42" s="429">
        <v>39918</v>
      </c>
      <c r="R42" s="380"/>
      <c r="S42" s="380"/>
      <c r="T42" s="379"/>
      <c r="U42" s="424"/>
      <c r="V42" s="410"/>
      <c r="W42" s="6"/>
    </row>
    <row r="43" spans="1:23" ht="15.6">
      <c r="A43" s="378"/>
      <c r="B43" s="379" t="s">
        <v>18</v>
      </c>
      <c r="C43" s="429">
        <v>40283</v>
      </c>
      <c r="D43" s="430"/>
      <c r="E43" s="429">
        <v>40283</v>
      </c>
      <c r="F43" s="430"/>
      <c r="G43" s="429">
        <v>40283</v>
      </c>
      <c r="H43" s="430"/>
      <c r="I43" s="429">
        <v>40283</v>
      </c>
      <c r="J43" s="430"/>
      <c r="K43" s="429">
        <v>40283</v>
      </c>
      <c r="L43" s="430"/>
      <c r="M43" s="429">
        <v>40283</v>
      </c>
      <c r="N43" s="430"/>
      <c r="O43" s="429">
        <v>40283</v>
      </c>
      <c r="P43" s="429"/>
      <c r="Q43" s="429">
        <v>40283</v>
      </c>
      <c r="R43" s="380"/>
      <c r="S43" s="380"/>
      <c r="T43" s="424"/>
      <c r="U43" s="424"/>
      <c r="V43" s="410"/>
      <c r="W43" s="6"/>
    </row>
    <row r="44" spans="1:23" ht="15.6">
      <c r="A44" s="378"/>
      <c r="B44" s="379" t="s">
        <v>154</v>
      </c>
      <c r="C44" s="380" t="s">
        <v>163</v>
      </c>
      <c r="D44" s="380"/>
      <c r="E44" s="380" t="s">
        <v>163</v>
      </c>
      <c r="F44" s="380"/>
      <c r="G44" s="380" t="s">
        <v>164</v>
      </c>
      <c r="H44" s="380"/>
      <c r="I44" s="380" t="s">
        <v>164</v>
      </c>
      <c r="J44" s="380"/>
      <c r="K44" s="380" t="s">
        <v>106</v>
      </c>
      <c r="L44" s="380"/>
      <c r="M44" s="380" t="s">
        <v>165</v>
      </c>
      <c r="N44" s="380"/>
      <c r="O44" s="380" t="s">
        <v>166</v>
      </c>
      <c r="P44" s="380"/>
      <c r="Q44" s="380" t="s">
        <v>167</v>
      </c>
      <c r="R44" s="380"/>
      <c r="S44" s="380"/>
      <c r="T44" s="424"/>
      <c r="U44" s="424"/>
      <c r="V44" s="410"/>
      <c r="W44" s="6"/>
    </row>
    <row r="45" spans="1:23" ht="15.6">
      <c r="A45" s="378"/>
      <c r="B45" s="379" t="s">
        <v>266</v>
      </c>
      <c r="C45" s="380" t="s">
        <v>163</v>
      </c>
      <c r="D45" s="379"/>
      <c r="E45" s="380" t="s">
        <v>228</v>
      </c>
      <c r="F45" s="379"/>
      <c r="G45" s="380" t="s">
        <v>164</v>
      </c>
      <c r="H45" s="379"/>
      <c r="I45" s="380" t="s">
        <v>226</v>
      </c>
      <c r="J45" s="379"/>
      <c r="K45" s="380" t="s">
        <v>106</v>
      </c>
      <c r="L45" s="379"/>
      <c r="M45" s="380" t="s">
        <v>227</v>
      </c>
      <c r="N45" s="379"/>
      <c r="O45" s="380" t="s">
        <v>166</v>
      </c>
      <c r="P45" s="380"/>
      <c r="Q45" s="380" t="s">
        <v>229</v>
      </c>
      <c r="R45" s="380"/>
      <c r="S45" s="380"/>
      <c r="T45" s="424"/>
      <c r="U45" s="424"/>
      <c r="V45" s="410"/>
      <c r="W45" s="6"/>
    </row>
    <row r="46" spans="1:23" ht="15.6">
      <c r="A46" s="378"/>
      <c r="B46" s="379"/>
      <c r="C46" s="379"/>
      <c r="D46" s="379"/>
      <c r="E46" s="379"/>
      <c r="F46" s="379"/>
      <c r="G46" s="379"/>
      <c r="H46" s="379"/>
      <c r="I46" s="379"/>
      <c r="J46" s="379"/>
      <c r="K46" s="379"/>
      <c r="L46" s="379"/>
      <c r="M46" s="431"/>
      <c r="N46" s="431"/>
      <c r="O46" s="379"/>
      <c r="P46" s="431"/>
      <c r="Q46" s="431"/>
      <c r="R46" s="431"/>
      <c r="S46" s="431"/>
      <c r="T46" s="431"/>
      <c r="U46" s="431"/>
      <c r="V46" s="410"/>
      <c r="W46" s="6"/>
    </row>
    <row r="47" spans="1:23" ht="15.6">
      <c r="A47" s="378"/>
      <c r="B47" s="379" t="s">
        <v>201</v>
      </c>
      <c r="C47" s="379"/>
      <c r="D47" s="379"/>
      <c r="E47" s="379"/>
      <c r="F47" s="379"/>
      <c r="G47" s="379"/>
      <c r="H47" s="379"/>
      <c r="I47" s="379"/>
      <c r="J47" s="379"/>
      <c r="K47" s="379"/>
      <c r="L47" s="379"/>
      <c r="M47" s="379"/>
      <c r="N47" s="379"/>
      <c r="O47" s="379"/>
      <c r="P47" s="379"/>
      <c r="Q47" s="379"/>
      <c r="R47" s="379"/>
      <c r="S47" s="379"/>
      <c r="T47" s="379"/>
      <c r="U47" s="427">
        <f>SUM(G31:Q31)/(C31+E31)</f>
        <v>0.3888888888888889</v>
      </c>
      <c r="V47" s="410"/>
      <c r="W47" s="6"/>
    </row>
    <row r="48" spans="1:23" ht="15.6">
      <c r="A48" s="378"/>
      <c r="B48" s="379" t="s">
        <v>202</v>
      </c>
      <c r="C48" s="379"/>
      <c r="D48" s="379"/>
      <c r="E48" s="379"/>
      <c r="F48" s="379"/>
      <c r="G48" s="379"/>
      <c r="H48" s="379"/>
      <c r="I48" s="379"/>
      <c r="J48" s="379"/>
      <c r="K48" s="379"/>
      <c r="L48" s="379"/>
      <c r="M48" s="379"/>
      <c r="N48" s="379"/>
      <c r="O48" s="379"/>
      <c r="P48" s="379"/>
      <c r="Q48" s="379"/>
      <c r="R48" s="379"/>
      <c r="S48" s="379"/>
      <c r="T48" s="379"/>
      <c r="U48" s="427">
        <f>SUM(F33:Q33)/(C33+E33)</f>
        <v>1.2741186715167214</v>
      </c>
      <c r="V48" s="410"/>
      <c r="W48" s="6"/>
    </row>
    <row r="49" spans="1:25" ht="15.6">
      <c r="A49" s="378"/>
      <c r="B49" s="379" t="s">
        <v>203</v>
      </c>
      <c r="C49" s="379"/>
      <c r="D49" s="379"/>
      <c r="E49" s="379"/>
      <c r="F49" s="379"/>
      <c r="G49" s="379"/>
      <c r="H49" s="379"/>
      <c r="I49" s="379"/>
      <c r="J49" s="379"/>
      <c r="K49" s="379"/>
      <c r="L49" s="379"/>
      <c r="M49" s="379"/>
      <c r="N49" s="379"/>
      <c r="O49" s="379"/>
      <c r="P49" s="379"/>
      <c r="Q49" s="379"/>
      <c r="R49" s="379"/>
      <c r="S49" s="380" t="s">
        <v>95</v>
      </c>
      <c r="T49" s="380" t="s">
        <v>117</v>
      </c>
      <c r="U49" s="394">
        <v>99000</v>
      </c>
      <c r="V49" s="410"/>
      <c r="W49" s="6"/>
    </row>
    <row r="50" spans="1:25" ht="15.6">
      <c r="A50" s="378"/>
      <c r="B50" s="379"/>
      <c r="C50" s="379"/>
      <c r="D50" s="379"/>
      <c r="E50" s="379"/>
      <c r="F50" s="379"/>
      <c r="G50" s="379"/>
      <c r="H50" s="379"/>
      <c r="I50" s="379"/>
      <c r="J50" s="379"/>
      <c r="K50" s="379"/>
      <c r="L50" s="379"/>
      <c r="M50" s="379"/>
      <c r="N50" s="379"/>
      <c r="O50" s="379"/>
      <c r="P50" s="379"/>
      <c r="Q50" s="379"/>
      <c r="R50" s="379"/>
      <c r="S50" s="379" t="s">
        <v>213</v>
      </c>
      <c r="T50" s="379"/>
      <c r="U50" s="432"/>
      <c r="V50" s="410"/>
      <c r="W50" s="6"/>
    </row>
    <row r="51" spans="1:25" ht="15.6">
      <c r="A51" s="378"/>
      <c r="B51" s="379" t="s">
        <v>19</v>
      </c>
      <c r="C51" s="379"/>
      <c r="D51" s="379"/>
      <c r="E51" s="379"/>
      <c r="F51" s="379"/>
      <c r="G51" s="379"/>
      <c r="H51" s="379"/>
      <c r="I51" s="379"/>
      <c r="J51" s="379"/>
      <c r="K51" s="379"/>
      <c r="L51" s="379"/>
      <c r="M51" s="379"/>
      <c r="N51" s="379"/>
      <c r="O51" s="379"/>
      <c r="P51" s="379"/>
      <c r="Q51" s="379"/>
      <c r="R51" s="379"/>
      <c r="S51" s="380"/>
      <c r="T51" s="380"/>
      <c r="U51" s="380" t="s">
        <v>118</v>
      </c>
      <c r="V51" s="410"/>
      <c r="W51" s="6"/>
    </row>
    <row r="52" spans="1:25" ht="15.6">
      <c r="A52" s="401"/>
      <c r="B52" s="386" t="s">
        <v>20</v>
      </c>
      <c r="C52" s="386"/>
      <c r="D52" s="386"/>
      <c r="E52" s="386"/>
      <c r="F52" s="386"/>
      <c r="G52" s="386"/>
      <c r="H52" s="386"/>
      <c r="I52" s="386"/>
      <c r="J52" s="386"/>
      <c r="K52" s="386"/>
      <c r="L52" s="386"/>
      <c r="M52" s="386"/>
      <c r="N52" s="386"/>
      <c r="O52" s="386"/>
      <c r="P52" s="386"/>
      <c r="Q52" s="386"/>
      <c r="R52" s="386"/>
      <c r="S52" s="433"/>
      <c r="T52" s="433"/>
      <c r="U52" s="434">
        <v>42660</v>
      </c>
      <c r="V52" s="435"/>
      <c r="W52" s="6"/>
    </row>
    <row r="53" spans="1:25" ht="15.6">
      <c r="A53" s="378"/>
      <c r="B53" s="379" t="s">
        <v>155</v>
      </c>
      <c r="C53" s="379"/>
      <c r="D53" s="379"/>
      <c r="E53" s="379"/>
      <c r="F53" s="379"/>
      <c r="G53" s="379"/>
      <c r="H53" s="379"/>
      <c r="I53" s="379"/>
      <c r="J53" s="379"/>
      <c r="K53" s="379"/>
      <c r="L53" s="379"/>
      <c r="M53" s="379"/>
      <c r="N53" s="379"/>
      <c r="O53" s="379"/>
      <c r="P53" s="379"/>
      <c r="Q53" s="424"/>
      <c r="R53" s="379">
        <f>U53-S53+1</f>
        <v>91</v>
      </c>
      <c r="S53" s="436">
        <v>42475</v>
      </c>
      <c r="T53" s="429"/>
      <c r="U53" s="436">
        <v>42565</v>
      </c>
      <c r="V53" s="410"/>
      <c r="W53" s="6"/>
    </row>
    <row r="54" spans="1:25" ht="15.6">
      <c r="A54" s="378"/>
      <c r="B54" s="379" t="s">
        <v>156</v>
      </c>
      <c r="C54" s="379"/>
      <c r="D54" s="379"/>
      <c r="E54" s="379"/>
      <c r="F54" s="379"/>
      <c r="G54" s="379"/>
      <c r="H54" s="379"/>
      <c r="I54" s="379"/>
      <c r="J54" s="379"/>
      <c r="K54" s="379"/>
      <c r="L54" s="379"/>
      <c r="M54" s="379"/>
      <c r="N54" s="379"/>
      <c r="O54" s="379"/>
      <c r="P54" s="379"/>
      <c r="Q54" s="424"/>
      <c r="R54" s="379">
        <f>U54-S54+1</f>
        <v>94</v>
      </c>
      <c r="S54" s="436">
        <v>42566</v>
      </c>
      <c r="T54" s="429"/>
      <c r="U54" s="436">
        <v>42659</v>
      </c>
      <c r="V54" s="410"/>
      <c r="W54" s="6"/>
    </row>
    <row r="55" spans="1:25" ht="15.6">
      <c r="A55" s="378"/>
      <c r="B55" s="379" t="s">
        <v>21</v>
      </c>
      <c r="C55" s="379"/>
      <c r="D55" s="379"/>
      <c r="E55" s="379"/>
      <c r="F55" s="379"/>
      <c r="G55" s="379"/>
      <c r="H55" s="379"/>
      <c r="I55" s="379"/>
      <c r="J55" s="379"/>
      <c r="K55" s="379"/>
      <c r="L55" s="379"/>
      <c r="M55" s="379"/>
      <c r="N55" s="379"/>
      <c r="O55" s="379"/>
      <c r="P55" s="379"/>
      <c r="Q55" s="379"/>
      <c r="R55" s="379"/>
      <c r="S55" s="436"/>
      <c r="T55" s="429"/>
      <c r="U55" s="436" t="s">
        <v>119</v>
      </c>
      <c r="V55" s="410"/>
      <c r="W55" s="6"/>
    </row>
    <row r="56" spans="1:25" ht="15.6">
      <c r="A56" s="378"/>
      <c r="B56" s="379" t="s">
        <v>22</v>
      </c>
      <c r="C56" s="379"/>
      <c r="D56" s="379"/>
      <c r="E56" s="379"/>
      <c r="F56" s="379"/>
      <c r="G56" s="379"/>
      <c r="H56" s="379"/>
      <c r="I56" s="379"/>
      <c r="J56" s="379"/>
      <c r="K56" s="379"/>
      <c r="L56" s="379"/>
      <c r="M56" s="379"/>
      <c r="N56" s="379"/>
      <c r="O56" s="379"/>
      <c r="P56" s="379"/>
      <c r="Q56" s="379"/>
      <c r="R56" s="379"/>
      <c r="S56" s="436"/>
      <c r="T56" s="429"/>
      <c r="U56" s="436">
        <v>42646</v>
      </c>
      <c r="V56" s="410"/>
      <c r="W56" s="6"/>
    </row>
    <row r="57" spans="1:25" ht="15.6">
      <c r="A57" s="242"/>
      <c r="B57" s="364"/>
      <c r="C57" s="364"/>
      <c r="D57" s="364"/>
      <c r="E57" s="364"/>
      <c r="F57" s="364"/>
      <c r="G57" s="364"/>
      <c r="H57" s="364"/>
      <c r="I57" s="364"/>
      <c r="J57" s="364"/>
      <c r="K57" s="364"/>
      <c r="L57" s="364"/>
      <c r="M57" s="364"/>
      <c r="N57" s="364"/>
      <c r="O57" s="364"/>
      <c r="P57" s="364"/>
      <c r="Q57" s="364"/>
      <c r="R57" s="364"/>
      <c r="S57" s="364"/>
      <c r="T57" s="364"/>
      <c r="U57" s="377"/>
      <c r="V57" s="303"/>
      <c r="W57" s="6"/>
    </row>
    <row r="58" spans="1:25" ht="15.6">
      <c r="A58" s="242"/>
      <c r="B58" s="288"/>
      <c r="C58" s="288"/>
      <c r="D58" s="288"/>
      <c r="E58" s="288"/>
      <c r="F58" s="288"/>
      <c r="G58" s="288"/>
      <c r="H58" s="288"/>
      <c r="I58" s="288"/>
      <c r="J58" s="288"/>
      <c r="K58" s="288"/>
      <c r="L58" s="288"/>
      <c r="M58" s="288"/>
      <c r="N58" s="288"/>
      <c r="O58" s="288"/>
      <c r="P58" s="288"/>
      <c r="Q58" s="288"/>
      <c r="R58" s="288"/>
      <c r="S58" s="288"/>
      <c r="T58" s="288"/>
      <c r="U58" s="302"/>
      <c r="V58" s="303"/>
      <c r="W58" s="6"/>
    </row>
    <row r="59" spans="1:25" ht="16.2" thickBot="1">
      <c r="A59" s="261"/>
      <c r="B59" s="304" t="s">
        <v>299</v>
      </c>
      <c r="C59" s="305"/>
      <c r="D59" s="305"/>
      <c r="E59" s="305"/>
      <c r="F59" s="305"/>
      <c r="G59" s="305"/>
      <c r="H59" s="305"/>
      <c r="I59" s="305"/>
      <c r="J59" s="305"/>
      <c r="K59" s="305"/>
      <c r="L59" s="305"/>
      <c r="M59" s="305"/>
      <c r="N59" s="305"/>
      <c r="O59" s="305"/>
      <c r="P59" s="305"/>
      <c r="Q59" s="305"/>
      <c r="R59" s="305"/>
      <c r="S59" s="305"/>
      <c r="T59" s="305"/>
      <c r="U59" s="306"/>
      <c r="V59" s="307"/>
      <c r="W59" s="6"/>
    </row>
    <row r="60" spans="1:25" ht="15.6">
      <c r="A60" s="230"/>
      <c r="B60" s="511" t="s">
        <v>23</v>
      </c>
      <c r="C60" s="511"/>
      <c r="D60" s="511"/>
      <c r="E60" s="511"/>
      <c r="F60" s="511"/>
      <c r="G60" s="511"/>
      <c r="H60" s="511"/>
      <c r="I60" s="511"/>
      <c r="J60" s="511"/>
      <c r="K60" s="511"/>
      <c r="L60" s="511"/>
      <c r="M60" s="231"/>
      <c r="N60" s="231"/>
      <c r="O60" s="231"/>
      <c r="P60" s="231"/>
      <c r="Q60" s="231"/>
      <c r="R60" s="231"/>
      <c r="S60" s="231"/>
      <c r="T60" s="231"/>
      <c r="U60" s="309"/>
      <c r="V60" s="237"/>
      <c r="W60" s="6"/>
    </row>
    <row r="61" spans="1:25" ht="15.6">
      <c r="A61" s="242"/>
      <c r="B61" s="252"/>
      <c r="C61" s="252"/>
      <c r="D61" s="252"/>
      <c r="E61" s="252"/>
      <c r="F61" s="252"/>
      <c r="G61" s="252"/>
      <c r="H61" s="252"/>
      <c r="I61" s="252"/>
      <c r="J61" s="252"/>
      <c r="K61" s="252"/>
      <c r="L61" s="252"/>
      <c r="M61" s="244"/>
      <c r="N61" s="244"/>
      <c r="O61" s="244"/>
      <c r="P61" s="244"/>
      <c r="Q61" s="244"/>
      <c r="R61" s="244"/>
      <c r="S61" s="244"/>
      <c r="T61" s="244"/>
      <c r="U61" s="263"/>
      <c r="V61" s="245"/>
      <c r="W61" s="6"/>
    </row>
    <row r="62" spans="1:25" s="151" customFormat="1" ht="46.8">
      <c r="A62" s="264"/>
      <c r="B62" s="512"/>
      <c r="C62" s="513"/>
      <c r="D62" s="513"/>
      <c r="E62" s="513"/>
      <c r="F62" s="513"/>
      <c r="G62" s="513"/>
      <c r="H62" s="513"/>
      <c r="I62" s="513"/>
      <c r="J62" s="513"/>
      <c r="K62" s="513" t="s">
        <v>197</v>
      </c>
      <c r="L62" s="513"/>
      <c r="M62" s="513" t="s">
        <v>98</v>
      </c>
      <c r="N62" s="513"/>
      <c r="O62" s="513" t="s">
        <v>107</v>
      </c>
      <c r="P62" s="513"/>
      <c r="Q62" s="513" t="s">
        <v>111</v>
      </c>
      <c r="R62" s="513"/>
      <c r="S62" s="513" t="s">
        <v>113</v>
      </c>
      <c r="T62" s="513"/>
      <c r="U62" s="514" t="s">
        <v>120</v>
      </c>
      <c r="V62" s="515"/>
      <c r="W62" s="150"/>
    </row>
    <row r="63" spans="1:25" ht="15.6">
      <c r="A63" s="378"/>
      <c r="B63" s="379" t="s">
        <v>24</v>
      </c>
      <c r="C63" s="440"/>
      <c r="D63" s="440"/>
      <c r="E63" s="440"/>
      <c r="F63" s="440"/>
      <c r="G63" s="440"/>
      <c r="H63" s="440"/>
      <c r="I63" s="440"/>
      <c r="J63" s="440"/>
      <c r="K63" s="440">
        <f>265+63566+3306</f>
        <v>67137</v>
      </c>
      <c r="L63" s="440"/>
      <c r="M63" s="440">
        <v>5270</v>
      </c>
      <c r="N63" s="440"/>
      <c r="O63" s="440">
        <f>85+1+3</f>
        <v>89</v>
      </c>
      <c r="P63" s="440"/>
      <c r="Q63" s="440">
        <v>0</v>
      </c>
      <c r="R63" s="440"/>
      <c r="S63" s="440">
        <v>0</v>
      </c>
      <c r="T63" s="440"/>
      <c r="U63" s="441">
        <f>+M63-O63+Q63-S63</f>
        <v>5181</v>
      </c>
      <c r="V63" s="410"/>
      <c r="W63" s="6"/>
      <c r="Y63" s="182"/>
    </row>
    <row r="64" spans="1:25" ht="15.6">
      <c r="A64" s="378"/>
      <c r="B64" s="379" t="s">
        <v>25</v>
      </c>
      <c r="C64" s="440"/>
      <c r="D64" s="440"/>
      <c r="E64" s="440"/>
      <c r="F64" s="440"/>
      <c r="G64" s="440"/>
      <c r="H64" s="440"/>
      <c r="I64" s="440"/>
      <c r="J64" s="440"/>
      <c r="K64" s="440"/>
      <c r="L64" s="440"/>
      <c r="M64" s="440"/>
      <c r="N64" s="440"/>
      <c r="O64" s="440"/>
      <c r="P64" s="440"/>
      <c r="Q64" s="440">
        <v>0</v>
      </c>
      <c r="R64" s="440"/>
      <c r="S64" s="440">
        <v>0</v>
      </c>
      <c r="T64" s="440"/>
      <c r="U64" s="441">
        <f>M64-O64</f>
        <v>0</v>
      </c>
      <c r="V64" s="410"/>
      <c r="W64" s="6"/>
    </row>
    <row r="65" spans="1:25" ht="15.6">
      <c r="A65" s="378"/>
      <c r="B65" s="379"/>
      <c r="C65" s="440"/>
      <c r="D65" s="440"/>
      <c r="E65" s="440"/>
      <c r="F65" s="440"/>
      <c r="G65" s="440"/>
      <c r="H65" s="440"/>
      <c r="I65" s="440"/>
      <c r="J65" s="440"/>
      <c r="K65" s="440"/>
      <c r="L65" s="440"/>
      <c r="M65" s="440"/>
      <c r="N65" s="440"/>
      <c r="O65" s="440"/>
      <c r="P65" s="440"/>
      <c r="Q65" s="440"/>
      <c r="R65" s="440"/>
      <c r="S65" s="440"/>
      <c r="T65" s="440"/>
      <c r="U65" s="441"/>
      <c r="V65" s="410"/>
      <c r="W65" s="6"/>
    </row>
    <row r="66" spans="1:25" ht="15.6">
      <c r="A66" s="378"/>
      <c r="B66" s="379" t="s">
        <v>26</v>
      </c>
      <c r="C66" s="440"/>
      <c r="D66" s="440"/>
      <c r="E66" s="440"/>
      <c r="F66" s="440"/>
      <c r="G66" s="440"/>
      <c r="H66" s="440"/>
      <c r="I66" s="440"/>
      <c r="J66" s="440"/>
      <c r="K66" s="440">
        <v>24470</v>
      </c>
      <c r="L66" s="440"/>
      <c r="M66" s="440">
        <v>1091</v>
      </c>
      <c r="N66" s="440"/>
      <c r="O66" s="440">
        <v>16</v>
      </c>
      <c r="P66" s="440"/>
      <c r="Q66" s="440">
        <v>0</v>
      </c>
      <c r="R66" s="440"/>
      <c r="S66" s="440">
        <f>SUM(S63:S65)</f>
        <v>0</v>
      </c>
      <c r="T66" s="440"/>
      <c r="U66" s="441">
        <f>+M66-O66+Q66-S66</f>
        <v>1075</v>
      </c>
      <c r="V66" s="410"/>
      <c r="W66" s="6"/>
      <c r="Y66" s="182"/>
    </row>
    <row r="67" spans="1:25" ht="15.6">
      <c r="A67" s="378"/>
      <c r="B67" s="379" t="s">
        <v>25</v>
      </c>
      <c r="C67" s="440"/>
      <c r="D67" s="440"/>
      <c r="E67" s="440"/>
      <c r="F67" s="440"/>
      <c r="G67" s="440"/>
      <c r="H67" s="440"/>
      <c r="I67" s="440"/>
      <c r="J67" s="440"/>
      <c r="K67" s="440"/>
      <c r="L67" s="440"/>
      <c r="M67" s="440"/>
      <c r="N67" s="440"/>
      <c r="O67" s="440"/>
      <c r="P67" s="440"/>
      <c r="Q67" s="440">
        <v>0</v>
      </c>
      <c r="R67" s="440"/>
      <c r="S67" s="440">
        <v>0</v>
      </c>
      <c r="T67" s="440"/>
      <c r="U67" s="440"/>
      <c r="V67" s="410"/>
      <c r="W67" s="6"/>
    </row>
    <row r="68" spans="1:25" ht="15.6">
      <c r="A68" s="378"/>
      <c r="B68" s="386"/>
      <c r="C68" s="440"/>
      <c r="D68" s="440"/>
      <c r="E68" s="440"/>
      <c r="F68" s="440"/>
      <c r="G68" s="440"/>
      <c r="H68" s="440"/>
      <c r="I68" s="440"/>
      <c r="J68" s="440"/>
      <c r="K68" s="440"/>
      <c r="L68" s="440"/>
      <c r="M68" s="440"/>
      <c r="N68" s="440"/>
      <c r="O68" s="442"/>
      <c r="P68" s="440"/>
      <c r="Q68" s="440"/>
      <c r="R68" s="440"/>
      <c r="S68" s="440"/>
      <c r="T68" s="440"/>
      <c r="U68" s="440"/>
      <c r="V68" s="410"/>
      <c r="W68" s="6"/>
    </row>
    <row r="69" spans="1:25" ht="15.6">
      <c r="A69" s="378"/>
      <c r="B69" s="379" t="s">
        <v>27</v>
      </c>
      <c r="C69" s="440"/>
      <c r="D69" s="440"/>
      <c r="E69" s="440"/>
      <c r="F69" s="440"/>
      <c r="G69" s="440"/>
      <c r="H69" s="440"/>
      <c r="I69" s="440"/>
      <c r="J69" s="440"/>
      <c r="K69" s="440">
        <v>220072</v>
      </c>
      <c r="L69" s="440"/>
      <c r="M69" s="440">
        <v>84495</v>
      </c>
      <c r="N69" s="440"/>
      <c r="O69" s="440">
        <f>3812+221+1</f>
        <v>4034</v>
      </c>
      <c r="P69" s="440"/>
      <c r="Q69" s="440">
        <v>0</v>
      </c>
      <c r="R69" s="440"/>
      <c r="S69" s="440">
        <v>0</v>
      </c>
      <c r="T69" s="440"/>
      <c r="U69" s="441">
        <f>+M69-O69+Q69-S69</f>
        <v>80461</v>
      </c>
      <c r="V69" s="410"/>
      <c r="W69" s="6"/>
      <c r="Y69" s="182"/>
    </row>
    <row r="70" spans="1:25" ht="15.6">
      <c r="A70" s="378"/>
      <c r="B70" s="379" t="s">
        <v>25</v>
      </c>
      <c r="C70" s="440"/>
      <c r="D70" s="440"/>
      <c r="E70" s="440"/>
      <c r="F70" s="440"/>
      <c r="G70" s="440"/>
      <c r="H70" s="440"/>
      <c r="I70" s="440"/>
      <c r="J70" s="440"/>
      <c r="K70" s="440"/>
      <c r="L70" s="440"/>
      <c r="M70" s="440"/>
      <c r="N70" s="440"/>
      <c r="O70" s="440"/>
      <c r="P70" s="440"/>
      <c r="Q70" s="440">
        <v>0</v>
      </c>
      <c r="R70" s="440"/>
      <c r="S70" s="440">
        <v>0</v>
      </c>
      <c r="T70" s="440"/>
      <c r="U70" s="441">
        <f>M70-O70+Q70-S70</f>
        <v>0</v>
      </c>
      <c r="V70" s="410"/>
      <c r="W70" s="6"/>
    </row>
    <row r="71" spans="1:25" ht="15.6">
      <c r="A71" s="378"/>
      <c r="B71" s="379"/>
      <c r="C71" s="440"/>
      <c r="D71" s="440"/>
      <c r="E71" s="440"/>
      <c r="F71" s="440"/>
      <c r="G71" s="440"/>
      <c r="H71" s="440"/>
      <c r="I71" s="440"/>
      <c r="J71" s="440"/>
      <c r="K71" s="440"/>
      <c r="L71" s="440"/>
      <c r="M71" s="440"/>
      <c r="N71" s="440"/>
      <c r="O71" s="440"/>
      <c r="P71" s="440"/>
      <c r="Q71" s="440"/>
      <c r="R71" s="440"/>
      <c r="S71" s="440"/>
      <c r="T71" s="440"/>
      <c r="U71" s="441"/>
      <c r="V71" s="410"/>
      <c r="W71" s="6"/>
    </row>
    <row r="72" spans="1:25" ht="15.6">
      <c r="A72" s="378"/>
      <c r="B72" s="379" t="s">
        <v>28</v>
      </c>
      <c r="C72" s="440"/>
      <c r="D72" s="440"/>
      <c r="E72" s="440"/>
      <c r="F72" s="440"/>
      <c r="G72" s="440"/>
      <c r="H72" s="440"/>
      <c r="I72" s="440"/>
      <c r="J72" s="440"/>
      <c r="K72" s="440">
        <v>138321</v>
      </c>
      <c r="L72" s="440"/>
      <c r="M72" s="440">
        <v>338</v>
      </c>
      <c r="N72" s="440"/>
      <c r="O72" s="440">
        <f>34+42</f>
        <v>76</v>
      </c>
      <c r="P72" s="440"/>
      <c r="Q72" s="440">
        <v>0</v>
      </c>
      <c r="R72" s="440"/>
      <c r="S72" s="440">
        <v>0</v>
      </c>
      <c r="T72" s="440"/>
      <c r="U72" s="441">
        <f>+M72-O72+Q72-S72</f>
        <v>262</v>
      </c>
      <c r="V72" s="410"/>
      <c r="W72" s="6"/>
      <c r="X72" s="182"/>
      <c r="Y72" s="182"/>
    </row>
    <row r="73" spans="1:25" ht="15.6">
      <c r="A73" s="378"/>
      <c r="B73" s="379" t="s">
        <v>25</v>
      </c>
      <c r="C73" s="440"/>
      <c r="D73" s="440"/>
      <c r="E73" s="440"/>
      <c r="F73" s="440"/>
      <c r="G73" s="440"/>
      <c r="H73" s="440"/>
      <c r="I73" s="440"/>
      <c r="J73" s="440"/>
      <c r="K73" s="440"/>
      <c r="L73" s="440"/>
      <c r="M73" s="440"/>
      <c r="N73" s="440"/>
      <c r="O73" s="440"/>
      <c r="P73" s="440"/>
      <c r="Q73" s="440">
        <v>0</v>
      </c>
      <c r="R73" s="440"/>
      <c r="S73" s="440">
        <v>0</v>
      </c>
      <c r="T73" s="440"/>
      <c r="U73" s="441"/>
      <c r="V73" s="410"/>
      <c r="W73" s="6"/>
    </row>
    <row r="74" spans="1:25" ht="15.6">
      <c r="A74" s="378"/>
      <c r="B74" s="440"/>
      <c r="C74" s="440"/>
      <c r="D74" s="440"/>
      <c r="E74" s="440"/>
      <c r="F74" s="440"/>
      <c r="G74" s="440"/>
      <c r="H74" s="440"/>
      <c r="I74" s="440"/>
      <c r="J74" s="440"/>
      <c r="K74" s="440"/>
      <c r="L74" s="440"/>
      <c r="M74" s="440"/>
      <c r="N74" s="440"/>
      <c r="O74" s="440"/>
      <c r="P74" s="440"/>
      <c r="Q74" s="440"/>
      <c r="R74" s="440"/>
      <c r="S74" s="440"/>
      <c r="T74" s="440"/>
      <c r="U74" s="441"/>
      <c r="V74" s="410"/>
      <c r="W74" s="6"/>
    </row>
    <row r="75" spans="1:25" ht="15.6">
      <c r="A75" s="378"/>
      <c r="B75" s="379" t="s">
        <v>29</v>
      </c>
      <c r="C75" s="440"/>
      <c r="D75" s="440"/>
      <c r="E75" s="440"/>
      <c r="F75" s="440"/>
      <c r="G75" s="440"/>
      <c r="H75" s="440"/>
      <c r="I75" s="440"/>
      <c r="J75" s="440"/>
      <c r="K75" s="440">
        <f>SUM(K63:K72)</f>
        <v>450000</v>
      </c>
      <c r="L75" s="440"/>
      <c r="M75" s="440">
        <f>SUM(M63:M72)</f>
        <v>91194</v>
      </c>
      <c r="N75" s="440"/>
      <c r="O75" s="440">
        <f>SUM(O63:O73)</f>
        <v>4215</v>
      </c>
      <c r="P75" s="440"/>
      <c r="Q75" s="440">
        <f>SUM(Q63:Q73)</f>
        <v>0</v>
      </c>
      <c r="R75" s="440"/>
      <c r="S75" s="440">
        <f>SUM(S70:S74)</f>
        <v>0</v>
      </c>
      <c r="T75" s="440"/>
      <c r="U75" s="440">
        <f>SUM(U63:U73)</f>
        <v>86979</v>
      </c>
      <c r="V75" s="410"/>
      <c r="W75" s="6"/>
      <c r="X75" s="182"/>
      <c r="Y75" s="182"/>
    </row>
    <row r="76" spans="1:25" ht="15.6">
      <c r="A76" s="378"/>
      <c r="B76" s="379"/>
      <c r="C76" s="440"/>
      <c r="D76" s="440"/>
      <c r="E76" s="440"/>
      <c r="F76" s="440"/>
      <c r="G76" s="440"/>
      <c r="H76" s="440"/>
      <c r="I76" s="440"/>
      <c r="J76" s="440"/>
      <c r="K76" s="440"/>
      <c r="L76" s="440"/>
      <c r="M76" s="440"/>
      <c r="N76" s="440"/>
      <c r="O76" s="440"/>
      <c r="P76" s="440"/>
      <c r="Q76" s="440"/>
      <c r="R76" s="440"/>
      <c r="S76" s="440"/>
      <c r="T76" s="440"/>
      <c r="U76" s="440"/>
      <c r="V76" s="410"/>
      <c r="W76" s="6"/>
    </row>
    <row r="77" spans="1:25" ht="15.6">
      <c r="A77" s="378"/>
      <c r="B77" s="379" t="s">
        <v>214</v>
      </c>
      <c r="C77" s="440"/>
      <c r="D77" s="440"/>
      <c r="E77" s="440"/>
      <c r="F77" s="440"/>
      <c r="G77" s="440"/>
      <c r="H77" s="440"/>
      <c r="I77" s="440"/>
      <c r="J77" s="440"/>
      <c r="K77" s="440">
        <v>0</v>
      </c>
      <c r="L77" s="440"/>
      <c r="M77" s="440">
        <v>-13174</v>
      </c>
      <c r="N77" s="440"/>
      <c r="O77" s="440">
        <v>-223</v>
      </c>
      <c r="P77" s="440"/>
      <c r="Q77" s="440"/>
      <c r="R77" s="440"/>
      <c r="S77" s="440"/>
      <c r="T77" s="440"/>
      <c r="U77" s="441">
        <f>+M77-O77</f>
        <v>-12951</v>
      </c>
      <c r="V77" s="410"/>
      <c r="W77" s="6"/>
      <c r="Y77" s="182"/>
    </row>
    <row r="78" spans="1:25" ht="15.6">
      <c r="A78" s="378"/>
      <c r="B78" s="379" t="s">
        <v>30</v>
      </c>
      <c r="C78" s="440"/>
      <c r="D78" s="440"/>
      <c r="E78" s="440"/>
      <c r="F78" s="440"/>
      <c r="G78" s="440"/>
      <c r="H78" s="440"/>
      <c r="I78" s="440"/>
      <c r="J78" s="440"/>
      <c r="K78" s="440">
        <v>0</v>
      </c>
      <c r="L78" s="440"/>
      <c r="M78" s="440">
        <v>0</v>
      </c>
      <c r="N78" s="440"/>
      <c r="O78" s="440">
        <v>0</v>
      </c>
      <c r="P78" s="440"/>
      <c r="Q78" s="440">
        <v>0</v>
      </c>
      <c r="R78" s="440"/>
      <c r="S78" s="440"/>
      <c r="T78" s="440"/>
      <c r="U78" s="440">
        <v>0</v>
      </c>
      <c r="V78" s="410"/>
      <c r="W78" s="6"/>
      <c r="X78" s="182"/>
    </row>
    <row r="79" spans="1:25" ht="15.6">
      <c r="A79" s="378"/>
      <c r="B79" s="379" t="s">
        <v>31</v>
      </c>
      <c r="C79" s="440"/>
      <c r="D79" s="440"/>
      <c r="E79" s="440"/>
      <c r="F79" s="440"/>
      <c r="G79" s="440"/>
      <c r="H79" s="440"/>
      <c r="I79" s="440"/>
      <c r="J79" s="440"/>
      <c r="K79" s="440">
        <v>0</v>
      </c>
      <c r="L79" s="440"/>
      <c r="M79" s="440">
        <v>0</v>
      </c>
      <c r="N79" s="440"/>
      <c r="O79" s="440"/>
      <c r="P79" s="440"/>
      <c r="Q79" s="440">
        <v>0</v>
      </c>
      <c r="R79" s="440"/>
      <c r="S79" s="440"/>
      <c r="T79" s="440"/>
      <c r="U79" s="440">
        <f>Q79+M79</f>
        <v>0</v>
      </c>
      <c r="V79" s="410"/>
      <c r="W79" s="6"/>
    </row>
    <row r="80" spans="1:25" ht="15.6">
      <c r="A80" s="378"/>
      <c r="B80" s="379" t="s">
        <v>16</v>
      </c>
      <c r="C80" s="440"/>
      <c r="D80" s="440"/>
      <c r="E80" s="440"/>
      <c r="F80" s="440"/>
      <c r="G80" s="440"/>
      <c r="H80" s="440"/>
      <c r="I80" s="440"/>
      <c r="J80" s="440"/>
      <c r="K80" s="440">
        <f>SUM(K75:K79)</f>
        <v>450000</v>
      </c>
      <c r="L80" s="440"/>
      <c r="M80" s="440">
        <f>SUM(M75:M79)</f>
        <v>78020</v>
      </c>
      <c r="N80" s="440"/>
      <c r="O80" s="440">
        <f>O78-O79</f>
        <v>0</v>
      </c>
      <c r="P80" s="440"/>
      <c r="Q80" s="440"/>
      <c r="R80" s="440"/>
      <c r="S80" s="440"/>
      <c r="T80" s="440"/>
      <c r="U80" s="440">
        <f>SUM(U75:U79)</f>
        <v>74028</v>
      </c>
      <c r="V80" s="410"/>
      <c r="W80" s="6"/>
      <c r="X80" s="182"/>
      <c r="Y80" s="182"/>
    </row>
    <row r="81" spans="1:24" ht="15.6">
      <c r="A81" s="242"/>
      <c r="B81" s="437"/>
      <c r="C81" s="438"/>
      <c r="D81" s="438"/>
      <c r="E81" s="438"/>
      <c r="F81" s="438"/>
      <c r="G81" s="438"/>
      <c r="H81" s="438"/>
      <c r="I81" s="438"/>
      <c r="J81" s="438"/>
      <c r="K81" s="438"/>
      <c r="L81" s="438"/>
      <c r="M81" s="438"/>
      <c r="N81" s="438"/>
      <c r="O81" s="438"/>
      <c r="P81" s="438"/>
      <c r="Q81" s="438"/>
      <c r="R81" s="438"/>
      <c r="S81" s="439"/>
      <c r="T81" s="438"/>
      <c r="U81" s="439"/>
      <c r="V81" s="245"/>
      <c r="W81" s="6"/>
    </row>
    <row r="82" spans="1:24" ht="15.6">
      <c r="A82" s="230"/>
      <c r="B82" s="511" t="s">
        <v>32</v>
      </c>
      <c r="C82" s="511"/>
      <c r="D82" s="511"/>
      <c r="E82" s="511"/>
      <c r="F82" s="511"/>
      <c r="G82" s="511"/>
      <c r="H82" s="511"/>
      <c r="I82" s="511"/>
      <c r="J82" s="511"/>
      <c r="K82" s="511"/>
      <c r="L82" s="511"/>
      <c r="M82" s="511"/>
      <c r="N82" s="511"/>
      <c r="O82" s="511"/>
      <c r="P82" s="511"/>
      <c r="Q82" s="511"/>
      <c r="R82" s="232"/>
      <c r="S82" s="232"/>
      <c r="T82" s="232"/>
      <c r="U82" s="232" t="s">
        <v>121</v>
      </c>
      <c r="V82" s="516"/>
      <c r="W82" s="6"/>
    </row>
    <row r="83" spans="1:24" ht="15.6">
      <c r="A83" s="315"/>
      <c r="B83" s="294" t="s">
        <v>33</v>
      </c>
      <c r="C83" s="294"/>
      <c r="D83" s="294"/>
      <c r="E83" s="294"/>
      <c r="F83" s="294"/>
      <c r="G83" s="294"/>
      <c r="H83" s="294"/>
      <c r="I83" s="294"/>
      <c r="J83" s="294"/>
      <c r="K83" s="294"/>
      <c r="L83" s="294"/>
      <c r="M83" s="294"/>
      <c r="N83" s="294"/>
      <c r="O83" s="310"/>
      <c r="P83" s="294"/>
      <c r="Q83" s="294"/>
      <c r="R83" s="294"/>
      <c r="S83" s="310"/>
      <c r="T83" s="294"/>
      <c r="U83" s="311">
        <v>46419</v>
      </c>
      <c r="V83" s="298"/>
      <c r="W83" s="6"/>
    </row>
    <row r="84" spans="1:24" ht="15.6">
      <c r="A84" s="444"/>
      <c r="B84" s="379" t="s">
        <v>34</v>
      </c>
      <c r="C84" s="431"/>
      <c r="D84" s="431"/>
      <c r="E84" s="431"/>
      <c r="F84" s="431"/>
      <c r="G84" s="431"/>
      <c r="H84" s="431"/>
      <c r="I84" s="431"/>
      <c r="J84" s="431"/>
      <c r="K84" s="431"/>
      <c r="L84" s="431"/>
      <c r="M84" s="430"/>
      <c r="N84" s="379"/>
      <c r="O84" s="379"/>
      <c r="P84" s="379"/>
      <c r="Q84" s="379"/>
      <c r="R84" s="379"/>
      <c r="S84" s="440"/>
      <c r="T84" s="379"/>
      <c r="U84" s="441">
        <f>-40+245+48</f>
        <v>253</v>
      </c>
      <c r="V84" s="410"/>
      <c r="W84" s="6"/>
    </row>
    <row r="85" spans="1:24" ht="15.6">
      <c r="A85" s="444"/>
      <c r="B85" s="379" t="s">
        <v>230</v>
      </c>
      <c r="C85" s="379"/>
      <c r="D85" s="379"/>
      <c r="E85" s="379"/>
      <c r="F85" s="379"/>
      <c r="G85" s="379"/>
      <c r="H85" s="379"/>
      <c r="I85" s="379"/>
      <c r="J85" s="379"/>
      <c r="K85" s="379"/>
      <c r="L85" s="379"/>
      <c r="M85" s="379"/>
      <c r="N85" s="379"/>
      <c r="O85" s="379"/>
      <c r="P85" s="379"/>
      <c r="Q85" s="379"/>
      <c r="R85" s="379"/>
      <c r="S85" s="440"/>
      <c r="T85" s="379"/>
      <c r="U85" s="441">
        <v>0</v>
      </c>
      <c r="V85" s="410"/>
      <c r="W85" s="6"/>
      <c r="X85" s="64"/>
    </row>
    <row r="86" spans="1:24" ht="15.6">
      <c r="A86" s="444"/>
      <c r="B86" s="379" t="s">
        <v>231</v>
      </c>
      <c r="C86" s="379"/>
      <c r="D86" s="379"/>
      <c r="E86" s="379"/>
      <c r="F86" s="379"/>
      <c r="G86" s="379"/>
      <c r="H86" s="379"/>
      <c r="I86" s="379"/>
      <c r="J86" s="379"/>
      <c r="K86" s="379"/>
      <c r="L86" s="379"/>
      <c r="M86" s="379"/>
      <c r="N86" s="379"/>
      <c r="O86" s="379"/>
      <c r="P86" s="379"/>
      <c r="Q86" s="379"/>
      <c r="R86" s="379"/>
      <c r="S86" s="440"/>
      <c r="T86" s="379"/>
      <c r="U86" s="441">
        <v>0</v>
      </c>
      <c r="V86" s="410"/>
      <c r="W86" s="6"/>
      <c r="X86" s="64"/>
    </row>
    <row r="87" spans="1:24" ht="15.6">
      <c r="A87" s="444"/>
      <c r="B87" s="379" t="s">
        <v>35</v>
      </c>
      <c r="C87" s="379"/>
      <c r="D87" s="379"/>
      <c r="E87" s="379"/>
      <c r="F87" s="379"/>
      <c r="G87" s="379"/>
      <c r="H87" s="379"/>
      <c r="I87" s="379"/>
      <c r="J87" s="379"/>
      <c r="K87" s="379"/>
      <c r="L87" s="379"/>
      <c r="M87" s="379"/>
      <c r="N87" s="379"/>
      <c r="O87" s="379"/>
      <c r="P87" s="379"/>
      <c r="Q87" s="379"/>
      <c r="R87" s="379"/>
      <c r="S87" s="440"/>
      <c r="T87" s="379"/>
      <c r="U87" s="441">
        <f>SUM(U83:U86)</f>
        <v>46672</v>
      </c>
      <c r="V87" s="410"/>
      <c r="W87" s="6"/>
      <c r="X87" s="64"/>
    </row>
    <row r="88" spans="1:24" ht="15.6">
      <c r="A88" s="444"/>
      <c r="B88" s="379"/>
      <c r="C88" s="379"/>
      <c r="D88" s="379"/>
      <c r="E88" s="379"/>
      <c r="F88" s="379"/>
      <c r="G88" s="379"/>
      <c r="H88" s="379"/>
      <c r="I88" s="379"/>
      <c r="J88" s="379"/>
      <c r="K88" s="379"/>
      <c r="L88" s="379"/>
      <c r="M88" s="379"/>
      <c r="N88" s="379"/>
      <c r="O88" s="379"/>
      <c r="P88" s="379"/>
      <c r="Q88" s="379"/>
      <c r="R88" s="379"/>
      <c r="S88" s="440"/>
      <c r="T88" s="379"/>
      <c r="U88" s="440"/>
      <c r="V88" s="410"/>
      <c r="W88" s="6"/>
    </row>
    <row r="89" spans="1:24" ht="15.6">
      <c r="A89" s="444"/>
      <c r="B89" s="446" t="s">
        <v>36</v>
      </c>
      <c r="C89" s="446"/>
      <c r="D89" s="446"/>
      <c r="E89" s="446"/>
      <c r="F89" s="446"/>
      <c r="G89" s="446"/>
      <c r="H89" s="446"/>
      <c r="I89" s="446"/>
      <c r="J89" s="446"/>
      <c r="K89" s="446"/>
      <c r="L89" s="446"/>
      <c r="M89" s="379"/>
      <c r="N89" s="379"/>
      <c r="O89" s="379"/>
      <c r="P89" s="379"/>
      <c r="Q89" s="379"/>
      <c r="R89" s="379"/>
      <c r="S89" s="440"/>
      <c r="T89" s="379"/>
      <c r="U89" s="441"/>
      <c r="V89" s="410"/>
      <c r="W89" s="6"/>
      <c r="X89" s="64"/>
    </row>
    <row r="90" spans="1:24" ht="15.6">
      <c r="A90" s="444">
        <v>1</v>
      </c>
      <c r="B90" s="379" t="s">
        <v>37</v>
      </c>
      <c r="C90" s="379"/>
      <c r="D90" s="379"/>
      <c r="E90" s="379"/>
      <c r="F90" s="379"/>
      <c r="G90" s="379"/>
      <c r="H90" s="379"/>
      <c r="I90" s="379"/>
      <c r="J90" s="379"/>
      <c r="K90" s="379"/>
      <c r="L90" s="379"/>
      <c r="M90" s="379"/>
      <c r="N90" s="379"/>
      <c r="O90" s="379"/>
      <c r="P90" s="379"/>
      <c r="Q90" s="379"/>
      <c r="R90" s="379"/>
      <c r="S90" s="379"/>
      <c r="T90" s="379"/>
      <c r="U90" s="441">
        <v>-2</v>
      </c>
      <c r="V90" s="410"/>
      <c r="W90" s="6"/>
    </row>
    <row r="91" spans="1:24" ht="15.6">
      <c r="A91" s="444">
        <f>A90+1</f>
        <v>2</v>
      </c>
      <c r="B91" s="379" t="s">
        <v>168</v>
      </c>
      <c r="C91" s="379"/>
      <c r="D91" s="379"/>
      <c r="E91" s="379"/>
      <c r="F91" s="379"/>
      <c r="G91" s="379"/>
      <c r="H91" s="379"/>
      <c r="I91" s="379"/>
      <c r="J91" s="379"/>
      <c r="K91" s="379"/>
      <c r="L91" s="379"/>
      <c r="M91" s="379"/>
      <c r="N91" s="379"/>
      <c r="O91" s="379"/>
      <c r="P91" s="379"/>
      <c r="Q91" s="379"/>
      <c r="R91" s="379"/>
      <c r="S91" s="379"/>
      <c r="T91" s="379"/>
      <c r="U91" s="441">
        <f>-78-18-1</f>
        <v>-97</v>
      </c>
      <c r="V91" s="410"/>
      <c r="W91" s="6"/>
      <c r="X91" s="64"/>
    </row>
    <row r="92" spans="1:24" ht="15.6">
      <c r="A92" s="444">
        <v>3</v>
      </c>
      <c r="B92" s="379" t="s">
        <v>38</v>
      </c>
      <c r="C92" s="379"/>
      <c r="D92" s="379"/>
      <c r="E92" s="379"/>
      <c r="F92" s="379"/>
      <c r="G92" s="379"/>
      <c r="H92" s="379"/>
      <c r="I92" s="379"/>
      <c r="J92" s="379"/>
      <c r="K92" s="379"/>
      <c r="L92" s="379"/>
      <c r="M92" s="379"/>
      <c r="N92" s="379"/>
      <c r="O92" s="379"/>
      <c r="P92" s="379"/>
      <c r="Q92" s="379"/>
      <c r="R92" s="379"/>
      <c r="S92" s="379"/>
      <c r="T92" s="379"/>
      <c r="U92" s="441">
        <v>-5</v>
      </c>
      <c r="V92" s="410"/>
      <c r="W92" s="6"/>
      <c r="X92" s="64"/>
    </row>
    <row r="93" spans="1:24" ht="15.6">
      <c r="A93" s="447" t="s">
        <v>190</v>
      </c>
      <c r="B93" s="379" t="s">
        <v>169</v>
      </c>
      <c r="C93" s="379"/>
      <c r="D93" s="379"/>
      <c r="E93" s="379"/>
      <c r="F93" s="379"/>
      <c r="G93" s="379"/>
      <c r="H93" s="379"/>
      <c r="I93" s="379"/>
      <c r="J93" s="379"/>
      <c r="K93" s="379"/>
      <c r="L93" s="379"/>
      <c r="M93" s="379"/>
      <c r="N93" s="379"/>
      <c r="O93" s="379"/>
      <c r="P93" s="379"/>
      <c r="Q93" s="379"/>
      <c r="R93" s="379"/>
      <c r="S93" s="379"/>
      <c r="T93" s="379"/>
      <c r="U93" s="441">
        <v>-38</v>
      </c>
      <c r="V93" s="410"/>
      <c r="W93" s="6"/>
      <c r="X93" s="64"/>
    </row>
    <row r="94" spans="1:24" ht="15.6">
      <c r="A94" s="447" t="s">
        <v>191</v>
      </c>
      <c r="B94" s="379" t="s">
        <v>170</v>
      </c>
      <c r="C94" s="379"/>
      <c r="D94" s="379"/>
      <c r="E94" s="379"/>
      <c r="F94" s="379"/>
      <c r="G94" s="379"/>
      <c r="H94" s="379"/>
      <c r="I94" s="379"/>
      <c r="J94" s="379"/>
      <c r="K94" s="379"/>
      <c r="L94" s="379"/>
      <c r="M94" s="379"/>
      <c r="N94" s="379"/>
      <c r="O94" s="379"/>
      <c r="P94" s="379"/>
      <c r="Q94" s="379"/>
      <c r="R94" s="379"/>
      <c r="S94" s="379"/>
      <c r="T94" s="379"/>
      <c r="U94" s="441">
        <v>-50</v>
      </c>
      <c r="V94" s="410"/>
      <c r="W94" s="6"/>
      <c r="X94" s="182"/>
    </row>
    <row r="95" spans="1:24" ht="15.6">
      <c r="A95" s="444">
        <v>5</v>
      </c>
      <c r="B95" s="379" t="s">
        <v>171</v>
      </c>
      <c r="C95" s="379"/>
      <c r="D95" s="379"/>
      <c r="E95" s="379"/>
      <c r="F95" s="379"/>
      <c r="G95" s="379"/>
      <c r="H95" s="379"/>
      <c r="I95" s="379"/>
      <c r="J95" s="379"/>
      <c r="K95" s="379"/>
      <c r="L95" s="379"/>
      <c r="M95" s="379"/>
      <c r="N95" s="379"/>
      <c r="O95" s="379"/>
      <c r="P95" s="379"/>
      <c r="Q95" s="379"/>
      <c r="R95" s="379"/>
      <c r="S95" s="379"/>
      <c r="T95" s="379"/>
      <c r="U95" s="441">
        <v>-9</v>
      </c>
      <c r="V95" s="410"/>
      <c r="W95" s="6"/>
    </row>
    <row r="96" spans="1:24" ht="15.6">
      <c r="A96" s="447" t="s">
        <v>174</v>
      </c>
      <c r="B96" s="379" t="s">
        <v>172</v>
      </c>
      <c r="C96" s="379"/>
      <c r="D96" s="379"/>
      <c r="E96" s="379"/>
      <c r="F96" s="379"/>
      <c r="G96" s="379"/>
      <c r="H96" s="379"/>
      <c r="I96" s="379"/>
      <c r="J96" s="379"/>
      <c r="K96" s="379"/>
      <c r="L96" s="379"/>
      <c r="M96" s="379"/>
      <c r="N96" s="379"/>
      <c r="O96" s="379"/>
      <c r="P96" s="379"/>
      <c r="Q96" s="379"/>
      <c r="R96" s="379"/>
      <c r="S96" s="379"/>
      <c r="T96" s="379"/>
      <c r="U96" s="441">
        <v>-17</v>
      </c>
      <c r="V96" s="410"/>
      <c r="W96" s="6"/>
      <c r="X96" s="182"/>
    </row>
    <row r="97" spans="1:24" ht="15.6">
      <c r="A97" s="447" t="s">
        <v>176</v>
      </c>
      <c r="B97" s="379" t="s">
        <v>173</v>
      </c>
      <c r="C97" s="379"/>
      <c r="D97" s="379"/>
      <c r="E97" s="379"/>
      <c r="F97" s="379"/>
      <c r="G97" s="379"/>
      <c r="H97" s="379"/>
      <c r="I97" s="379"/>
      <c r="J97" s="379"/>
      <c r="K97" s="379"/>
      <c r="L97" s="379"/>
      <c r="M97" s="379"/>
      <c r="N97" s="379"/>
      <c r="O97" s="379"/>
      <c r="P97" s="379"/>
      <c r="Q97" s="379"/>
      <c r="R97" s="379"/>
      <c r="S97" s="379"/>
      <c r="T97" s="379"/>
      <c r="U97" s="441">
        <v>-27</v>
      </c>
      <c r="V97" s="410"/>
      <c r="W97" s="119"/>
      <c r="X97" s="182"/>
    </row>
    <row r="98" spans="1:24" ht="15.6">
      <c r="A98" s="447" t="s">
        <v>178</v>
      </c>
      <c r="B98" s="379" t="s">
        <v>175</v>
      </c>
      <c r="C98" s="379"/>
      <c r="D98" s="379"/>
      <c r="E98" s="379"/>
      <c r="F98" s="379"/>
      <c r="G98" s="379"/>
      <c r="H98" s="379"/>
      <c r="I98" s="379"/>
      <c r="J98" s="379"/>
      <c r="K98" s="379"/>
      <c r="L98" s="379"/>
      <c r="M98" s="379"/>
      <c r="N98" s="379"/>
      <c r="O98" s="379"/>
      <c r="P98" s="379"/>
      <c r="Q98" s="379"/>
      <c r="R98" s="379"/>
      <c r="S98" s="379"/>
      <c r="T98" s="379"/>
      <c r="U98" s="441">
        <v>-28</v>
      </c>
      <c r="V98" s="410"/>
      <c r="W98" s="6"/>
      <c r="X98" s="182"/>
    </row>
    <row r="99" spans="1:24" ht="15.6">
      <c r="A99" s="447" t="s">
        <v>180</v>
      </c>
      <c r="B99" s="379" t="s">
        <v>177</v>
      </c>
      <c r="C99" s="379"/>
      <c r="D99" s="379"/>
      <c r="E99" s="379"/>
      <c r="F99" s="379"/>
      <c r="G99" s="379"/>
      <c r="H99" s="379"/>
      <c r="I99" s="379"/>
      <c r="J99" s="379"/>
      <c r="K99" s="379"/>
      <c r="L99" s="379"/>
      <c r="M99" s="379"/>
      <c r="N99" s="379"/>
      <c r="O99" s="379"/>
      <c r="P99" s="379"/>
      <c r="Q99" s="379"/>
      <c r="R99" s="379"/>
      <c r="S99" s="379"/>
      <c r="T99" s="379"/>
      <c r="U99" s="441">
        <v>-35</v>
      </c>
      <c r="V99" s="410"/>
      <c r="W99" s="119"/>
      <c r="X99" s="182"/>
    </row>
    <row r="100" spans="1:24" ht="15.6">
      <c r="A100" s="447" t="s">
        <v>192</v>
      </c>
      <c r="B100" s="379" t="s">
        <v>179</v>
      </c>
      <c r="C100" s="379"/>
      <c r="D100" s="379"/>
      <c r="E100" s="379"/>
      <c r="F100" s="379"/>
      <c r="G100" s="379"/>
      <c r="H100" s="379"/>
      <c r="I100" s="379"/>
      <c r="J100" s="379"/>
      <c r="K100" s="379"/>
      <c r="L100" s="379"/>
      <c r="M100" s="379"/>
      <c r="N100" s="379"/>
      <c r="O100" s="379"/>
      <c r="P100" s="379"/>
      <c r="Q100" s="379"/>
      <c r="R100" s="379"/>
      <c r="S100" s="379"/>
      <c r="T100" s="379"/>
      <c r="U100" s="441">
        <v>-53</v>
      </c>
      <c r="V100" s="410"/>
      <c r="W100" s="6"/>
      <c r="X100" s="182"/>
    </row>
    <row r="101" spans="1:24" ht="15.6">
      <c r="A101" s="447" t="s">
        <v>193</v>
      </c>
      <c r="B101" s="379" t="s">
        <v>181</v>
      </c>
      <c r="C101" s="379"/>
      <c r="D101" s="379"/>
      <c r="E101" s="379"/>
      <c r="F101" s="379"/>
      <c r="G101" s="379"/>
      <c r="H101" s="379"/>
      <c r="I101" s="379"/>
      <c r="J101" s="379"/>
      <c r="K101" s="379"/>
      <c r="L101" s="379"/>
      <c r="M101" s="379"/>
      <c r="N101" s="379"/>
      <c r="O101" s="379"/>
      <c r="P101" s="379"/>
      <c r="Q101" s="379"/>
      <c r="R101" s="379"/>
      <c r="S101" s="379"/>
      <c r="T101" s="379"/>
      <c r="U101" s="441">
        <v>-46</v>
      </c>
      <c r="V101" s="410"/>
      <c r="W101" s="119"/>
      <c r="X101" s="182"/>
    </row>
    <row r="102" spans="1:24" ht="15.6">
      <c r="A102" s="444">
        <v>9</v>
      </c>
      <c r="B102" s="379" t="s">
        <v>257</v>
      </c>
      <c r="C102" s="379"/>
      <c r="D102" s="379"/>
      <c r="E102" s="379"/>
      <c r="F102" s="379"/>
      <c r="G102" s="379"/>
      <c r="H102" s="379"/>
      <c r="I102" s="379"/>
      <c r="J102" s="379"/>
      <c r="K102" s="379"/>
      <c r="L102" s="379"/>
      <c r="M102" s="379"/>
      <c r="N102" s="379"/>
      <c r="O102" s="379"/>
      <c r="P102" s="379"/>
      <c r="Q102" s="379"/>
      <c r="R102" s="379"/>
      <c r="S102" s="379"/>
      <c r="T102" s="379"/>
      <c r="U102" s="441">
        <f>+S219-U32</f>
        <v>-3992.0712000000058</v>
      </c>
      <c r="V102" s="410"/>
      <c r="W102" s="6"/>
      <c r="X102" s="182"/>
    </row>
    <row r="103" spans="1:24" ht="15.6">
      <c r="A103" s="444">
        <v>10</v>
      </c>
      <c r="B103" s="379" t="s">
        <v>234</v>
      </c>
      <c r="C103" s="379"/>
      <c r="D103" s="379"/>
      <c r="E103" s="379"/>
      <c r="F103" s="379"/>
      <c r="G103" s="379"/>
      <c r="H103" s="379"/>
      <c r="I103" s="379"/>
      <c r="J103" s="379"/>
      <c r="K103" s="379"/>
      <c r="L103" s="379"/>
      <c r="M103" s="379"/>
      <c r="N103" s="379"/>
      <c r="O103" s="379"/>
      <c r="P103" s="379"/>
      <c r="Q103" s="379"/>
      <c r="R103" s="379"/>
      <c r="S103" s="379"/>
      <c r="T103" s="379"/>
      <c r="U103" s="441">
        <v>-40500</v>
      </c>
      <c r="V103" s="410"/>
      <c r="W103" s="6"/>
      <c r="X103" s="64"/>
    </row>
    <row r="104" spans="1:24" ht="15.6">
      <c r="A104" s="444">
        <v>11</v>
      </c>
      <c r="B104" s="379" t="s">
        <v>183</v>
      </c>
      <c r="C104" s="379"/>
      <c r="D104" s="379"/>
      <c r="E104" s="379"/>
      <c r="F104" s="379"/>
      <c r="G104" s="379"/>
      <c r="H104" s="379"/>
      <c r="I104" s="379"/>
      <c r="J104" s="379"/>
      <c r="K104" s="379"/>
      <c r="L104" s="379"/>
      <c r="M104" s="379"/>
      <c r="N104" s="379"/>
      <c r="O104" s="379"/>
      <c r="P104" s="379"/>
      <c r="Q104" s="379"/>
      <c r="R104" s="379"/>
      <c r="S104" s="379"/>
      <c r="T104" s="379"/>
      <c r="U104" s="441">
        <v>0</v>
      </c>
      <c r="V104" s="410"/>
      <c r="W104" s="6"/>
      <c r="X104" s="64"/>
    </row>
    <row r="105" spans="1:24" ht="15.6">
      <c r="A105" s="444">
        <v>12</v>
      </c>
      <c r="B105" s="379" t="s">
        <v>184</v>
      </c>
      <c r="C105" s="379"/>
      <c r="D105" s="379"/>
      <c r="E105" s="379"/>
      <c r="F105" s="379"/>
      <c r="G105" s="379"/>
      <c r="H105" s="379"/>
      <c r="I105" s="379"/>
      <c r="J105" s="379"/>
      <c r="K105" s="379"/>
      <c r="L105" s="379"/>
      <c r="M105" s="379"/>
      <c r="N105" s="379"/>
      <c r="O105" s="379"/>
      <c r="P105" s="379"/>
      <c r="Q105" s="379"/>
      <c r="R105" s="379"/>
      <c r="S105" s="379"/>
      <c r="T105" s="379"/>
      <c r="U105" s="441">
        <v>-88</v>
      </c>
      <c r="V105" s="410"/>
      <c r="W105" s="6"/>
      <c r="X105" s="182"/>
    </row>
    <row r="106" spans="1:24" ht="15.6">
      <c r="A106" s="444">
        <v>13</v>
      </c>
      <c r="B106" s="379" t="s">
        <v>40</v>
      </c>
      <c r="C106" s="379"/>
      <c r="D106" s="379"/>
      <c r="E106" s="379"/>
      <c r="F106" s="379"/>
      <c r="G106" s="379"/>
      <c r="H106" s="379"/>
      <c r="I106" s="379"/>
      <c r="J106" s="379"/>
      <c r="K106" s="379"/>
      <c r="L106" s="379"/>
      <c r="M106" s="379"/>
      <c r="N106" s="379"/>
      <c r="O106" s="379"/>
      <c r="P106" s="379"/>
      <c r="Q106" s="379"/>
      <c r="R106" s="379"/>
      <c r="S106" s="379"/>
      <c r="T106" s="379"/>
      <c r="U106" s="441">
        <f>-SUM(U87:V105)</f>
        <v>-1684.9287999999942</v>
      </c>
      <c r="V106" s="410"/>
      <c r="W106" s="6"/>
      <c r="X106" s="182"/>
    </row>
    <row r="107" spans="1:24" ht="15.6">
      <c r="A107" s="316"/>
      <c r="B107" s="443"/>
      <c r="C107" s="364"/>
      <c r="D107" s="364"/>
      <c r="E107" s="364"/>
      <c r="F107" s="364"/>
      <c r="G107" s="364"/>
      <c r="H107" s="364"/>
      <c r="I107" s="364"/>
      <c r="J107" s="364"/>
      <c r="K107" s="364"/>
      <c r="L107" s="364"/>
      <c r="M107" s="364"/>
      <c r="N107" s="364"/>
      <c r="O107" s="364"/>
      <c r="P107" s="364"/>
      <c r="Q107" s="364"/>
      <c r="R107" s="364"/>
      <c r="S107" s="360"/>
      <c r="T107" s="360"/>
      <c r="U107" s="360"/>
      <c r="V107" s="303"/>
      <c r="W107" s="6"/>
      <c r="X107" s="182"/>
    </row>
    <row r="108" spans="1:24" ht="15.6">
      <c r="A108" s="316"/>
      <c r="B108" s="317"/>
      <c r="C108" s="288"/>
      <c r="D108" s="288"/>
      <c r="E108" s="288"/>
      <c r="F108" s="288"/>
      <c r="G108" s="288"/>
      <c r="H108" s="288"/>
      <c r="I108" s="288"/>
      <c r="J108" s="288"/>
      <c r="K108" s="288"/>
      <c r="L108" s="288"/>
      <c r="M108" s="288"/>
      <c r="N108" s="288"/>
      <c r="O108" s="288"/>
      <c r="P108" s="288"/>
      <c r="Q108" s="288"/>
      <c r="R108" s="288"/>
      <c r="S108" s="318"/>
      <c r="T108" s="318"/>
      <c r="U108" s="318"/>
      <c r="V108" s="303"/>
      <c r="W108" s="6"/>
    </row>
    <row r="109" spans="1:24" ht="16.2" thickBot="1">
      <c r="A109" s="319"/>
      <c r="B109" s="304" t="str">
        <f>+B59</f>
        <v>PPAF3 INVESTOR REPORT QUARTER ENDING SEPTEMBER 2016</v>
      </c>
      <c r="C109" s="305"/>
      <c r="D109" s="305"/>
      <c r="E109" s="305"/>
      <c r="F109" s="305"/>
      <c r="G109" s="305"/>
      <c r="H109" s="305"/>
      <c r="I109" s="305"/>
      <c r="J109" s="305"/>
      <c r="K109" s="305"/>
      <c r="L109" s="305"/>
      <c r="M109" s="305"/>
      <c r="N109" s="305"/>
      <c r="O109" s="305"/>
      <c r="P109" s="305"/>
      <c r="Q109" s="305"/>
      <c r="R109" s="305"/>
      <c r="S109" s="320"/>
      <c r="T109" s="320"/>
      <c r="U109" s="320"/>
      <c r="V109" s="307"/>
      <c r="W109" s="6"/>
    </row>
    <row r="110" spans="1:24" ht="15.6">
      <c r="A110" s="238"/>
      <c r="B110" s="240"/>
      <c r="C110" s="240"/>
      <c r="D110" s="240"/>
      <c r="E110" s="240"/>
      <c r="F110" s="240"/>
      <c r="G110" s="240"/>
      <c r="H110" s="240"/>
      <c r="I110" s="240"/>
      <c r="J110" s="240"/>
      <c r="K110" s="240"/>
      <c r="L110" s="240"/>
      <c r="M110" s="240"/>
      <c r="N110" s="240"/>
      <c r="O110" s="240"/>
      <c r="P110" s="240"/>
      <c r="Q110" s="240"/>
      <c r="R110" s="240"/>
      <c r="S110" s="269"/>
      <c r="T110" s="269"/>
      <c r="U110" s="269"/>
      <c r="V110" s="241"/>
      <c r="W110" s="6"/>
    </row>
    <row r="111" spans="1:24" ht="15.6">
      <c r="A111" s="321"/>
      <c r="B111" s="517" t="s">
        <v>41</v>
      </c>
      <c r="C111" s="322"/>
      <c r="D111" s="322"/>
      <c r="E111" s="322"/>
      <c r="F111" s="322"/>
      <c r="G111" s="322"/>
      <c r="H111" s="322"/>
      <c r="I111" s="322"/>
      <c r="J111" s="322"/>
      <c r="K111" s="322"/>
      <c r="L111" s="322"/>
      <c r="M111" s="322"/>
      <c r="N111" s="322"/>
      <c r="O111" s="322"/>
      <c r="P111" s="322"/>
      <c r="Q111" s="322"/>
      <c r="R111" s="322"/>
      <c r="S111" s="322"/>
      <c r="T111" s="322"/>
      <c r="U111" s="323"/>
      <c r="V111" s="324"/>
      <c r="W111" s="6"/>
    </row>
    <row r="112" spans="1:24" ht="15.6">
      <c r="A112" s="270"/>
      <c r="B112" s="271"/>
      <c r="C112" s="271"/>
      <c r="D112" s="271"/>
      <c r="E112" s="271"/>
      <c r="F112" s="271"/>
      <c r="G112" s="271"/>
      <c r="H112" s="271"/>
      <c r="I112" s="271"/>
      <c r="J112" s="271"/>
      <c r="K112" s="271"/>
      <c r="L112" s="271"/>
      <c r="M112" s="271"/>
      <c r="N112" s="271"/>
      <c r="O112" s="271"/>
      <c r="P112" s="271"/>
      <c r="Q112" s="271"/>
      <c r="R112" s="271"/>
      <c r="S112" s="271"/>
      <c r="T112" s="271"/>
      <c r="U112" s="272"/>
      <c r="V112" s="273"/>
      <c r="W112" s="6"/>
    </row>
    <row r="113" spans="1:24" ht="15.6">
      <c r="A113" s="242"/>
      <c r="B113" s="274" t="s">
        <v>42</v>
      </c>
      <c r="C113" s="252"/>
      <c r="D113" s="252"/>
      <c r="E113" s="252"/>
      <c r="F113" s="252"/>
      <c r="G113" s="252"/>
      <c r="H113" s="252"/>
      <c r="I113" s="252"/>
      <c r="J113" s="252"/>
      <c r="K113" s="252"/>
      <c r="L113" s="252"/>
      <c r="M113" s="244"/>
      <c r="N113" s="244"/>
      <c r="O113" s="244"/>
      <c r="P113" s="244"/>
      <c r="Q113" s="244"/>
      <c r="R113" s="244"/>
      <c r="S113" s="244"/>
      <c r="T113" s="244"/>
      <c r="U113" s="263"/>
      <c r="V113" s="245"/>
      <c r="W113" s="6"/>
    </row>
    <row r="114" spans="1:24" ht="15.6">
      <c r="A114" s="378"/>
      <c r="B114" s="379" t="s">
        <v>43</v>
      </c>
      <c r="C114" s="379"/>
      <c r="D114" s="379"/>
      <c r="E114" s="379"/>
      <c r="F114" s="379"/>
      <c r="G114" s="379"/>
      <c r="H114" s="379"/>
      <c r="I114" s="379"/>
      <c r="J114" s="379"/>
      <c r="K114" s="379"/>
      <c r="L114" s="379"/>
      <c r="M114" s="379"/>
      <c r="N114" s="379"/>
      <c r="O114" s="379"/>
      <c r="P114" s="379"/>
      <c r="Q114" s="379"/>
      <c r="R114" s="379"/>
      <c r="S114" s="379"/>
      <c r="T114" s="379"/>
      <c r="U114" s="441">
        <v>40500</v>
      </c>
      <c r="V114" s="410"/>
      <c r="W114" s="6"/>
    </row>
    <row r="115" spans="1:24" ht="15.6">
      <c r="A115" s="378"/>
      <c r="B115" s="379" t="s">
        <v>240</v>
      </c>
      <c r="C115" s="379"/>
      <c r="D115" s="379"/>
      <c r="E115" s="379"/>
      <c r="F115" s="379"/>
      <c r="G115" s="379"/>
      <c r="H115" s="379"/>
      <c r="I115" s="379"/>
      <c r="J115" s="379"/>
      <c r="K115" s="379"/>
      <c r="L115" s="379"/>
      <c r="M115" s="379"/>
      <c r="N115" s="379"/>
      <c r="O115" s="379"/>
      <c r="P115" s="379"/>
      <c r="Q115" s="379"/>
      <c r="R115" s="379"/>
      <c r="S115" s="379"/>
      <c r="T115" s="379"/>
      <c r="U115" s="441">
        <v>40500</v>
      </c>
      <c r="V115" s="410"/>
      <c r="W115" s="6"/>
    </row>
    <row r="116" spans="1:24" ht="15.6">
      <c r="A116" s="378"/>
      <c r="B116" s="379" t="s">
        <v>241</v>
      </c>
      <c r="C116" s="379"/>
      <c r="D116" s="379"/>
      <c r="E116" s="379"/>
      <c r="F116" s="379"/>
      <c r="G116" s="379"/>
      <c r="H116" s="379"/>
      <c r="I116" s="379"/>
      <c r="J116" s="379"/>
      <c r="K116" s="379"/>
      <c r="L116" s="379"/>
      <c r="M116" s="379"/>
      <c r="N116" s="379"/>
      <c r="O116" s="379"/>
      <c r="P116" s="379"/>
      <c r="Q116" s="379"/>
      <c r="R116" s="379"/>
      <c r="S116" s="379"/>
      <c r="T116" s="379"/>
      <c r="U116" s="441">
        <v>0</v>
      </c>
      <c r="V116" s="410"/>
      <c r="W116" s="6"/>
    </row>
    <row r="117" spans="1:24" ht="15.6">
      <c r="A117" s="378"/>
      <c r="B117" s="379" t="s">
        <v>209</v>
      </c>
      <c r="C117" s="379"/>
      <c r="D117" s="379"/>
      <c r="E117" s="379"/>
      <c r="F117" s="379"/>
      <c r="G117" s="379"/>
      <c r="H117" s="379"/>
      <c r="I117" s="379"/>
      <c r="J117" s="379"/>
      <c r="K117" s="379"/>
      <c r="L117" s="379"/>
      <c r="M117" s="379"/>
      <c r="N117" s="379"/>
      <c r="O117" s="379"/>
      <c r="P117" s="379"/>
      <c r="Q117" s="379"/>
      <c r="R117" s="379"/>
      <c r="S117" s="379"/>
      <c r="T117" s="379"/>
      <c r="U117" s="441">
        <v>0</v>
      </c>
      <c r="V117" s="410"/>
      <c r="W117" s="6"/>
    </row>
    <row r="118" spans="1:24" ht="15.6">
      <c r="A118" s="378"/>
      <c r="B118" s="379" t="s">
        <v>210</v>
      </c>
      <c r="C118" s="379"/>
      <c r="D118" s="379"/>
      <c r="E118" s="379"/>
      <c r="F118" s="379"/>
      <c r="G118" s="379"/>
      <c r="H118" s="379"/>
      <c r="I118" s="379"/>
      <c r="J118" s="379"/>
      <c r="K118" s="379"/>
      <c r="L118" s="379"/>
      <c r="M118" s="379"/>
      <c r="N118" s="379"/>
      <c r="O118" s="379"/>
      <c r="P118" s="379"/>
      <c r="Q118" s="379"/>
      <c r="R118" s="379"/>
      <c r="S118" s="379"/>
      <c r="T118" s="379"/>
      <c r="U118" s="441">
        <v>0</v>
      </c>
      <c r="V118" s="410"/>
      <c r="W118" s="6"/>
    </row>
    <row r="119" spans="1:24" ht="15.6">
      <c r="A119" s="378"/>
      <c r="B119" s="379" t="s">
        <v>211</v>
      </c>
      <c r="C119" s="379"/>
      <c r="D119" s="379"/>
      <c r="E119" s="379"/>
      <c r="F119" s="379"/>
      <c r="G119" s="379"/>
      <c r="H119" s="379"/>
      <c r="I119" s="379"/>
      <c r="J119" s="379"/>
      <c r="K119" s="379"/>
      <c r="L119" s="379"/>
      <c r="M119" s="379"/>
      <c r="N119" s="379"/>
      <c r="O119" s="379"/>
      <c r="P119" s="379"/>
      <c r="Q119" s="379"/>
      <c r="R119" s="379"/>
      <c r="S119" s="379"/>
      <c r="T119" s="379"/>
      <c r="U119" s="441">
        <v>0</v>
      </c>
      <c r="V119" s="410"/>
      <c r="W119" s="6"/>
    </row>
    <row r="120" spans="1:24" ht="15.6">
      <c r="A120" s="378"/>
      <c r="B120" s="379" t="s">
        <v>212</v>
      </c>
      <c r="C120" s="379"/>
      <c r="D120" s="379"/>
      <c r="E120" s="379"/>
      <c r="F120" s="379"/>
      <c r="G120" s="379"/>
      <c r="H120" s="379"/>
      <c r="I120" s="379"/>
      <c r="J120" s="379"/>
      <c r="K120" s="379"/>
      <c r="L120" s="379"/>
      <c r="M120" s="379"/>
      <c r="N120" s="379"/>
      <c r="O120" s="379"/>
      <c r="P120" s="379"/>
      <c r="Q120" s="379"/>
      <c r="R120" s="379"/>
      <c r="S120" s="379"/>
      <c r="T120" s="379"/>
      <c r="U120" s="441">
        <v>0</v>
      </c>
      <c r="V120" s="410"/>
      <c r="W120" s="6"/>
    </row>
    <row r="121" spans="1:24" ht="15.6">
      <c r="A121" s="378"/>
      <c r="B121" s="379" t="s">
        <v>242</v>
      </c>
      <c r="C121" s="379"/>
      <c r="D121" s="379"/>
      <c r="E121" s="379"/>
      <c r="F121" s="379"/>
      <c r="G121" s="379"/>
      <c r="H121" s="379"/>
      <c r="I121" s="379"/>
      <c r="J121" s="379"/>
      <c r="K121" s="379"/>
      <c r="L121" s="379"/>
      <c r="M121" s="379"/>
      <c r="N121" s="379"/>
      <c r="O121" s="379"/>
      <c r="P121" s="379"/>
      <c r="Q121" s="379"/>
      <c r="R121" s="379"/>
      <c r="S121" s="379"/>
      <c r="T121" s="379"/>
      <c r="U121" s="441">
        <v>0</v>
      </c>
      <c r="V121" s="410"/>
      <c r="W121" s="6"/>
    </row>
    <row r="122" spans="1:24" ht="15.6">
      <c r="A122" s="378"/>
      <c r="B122" s="379" t="s">
        <v>45</v>
      </c>
      <c r="C122" s="379"/>
      <c r="D122" s="379"/>
      <c r="E122" s="379"/>
      <c r="F122" s="379"/>
      <c r="G122" s="379"/>
      <c r="H122" s="379"/>
      <c r="I122" s="379"/>
      <c r="J122" s="379"/>
      <c r="K122" s="379"/>
      <c r="L122" s="379"/>
      <c r="M122" s="379"/>
      <c r="N122" s="379"/>
      <c r="O122" s="379"/>
      <c r="P122" s="379"/>
      <c r="Q122" s="379"/>
      <c r="R122" s="379"/>
      <c r="S122" s="379"/>
      <c r="T122" s="379"/>
      <c r="U122" s="441">
        <f>SUM(U115:U121)</f>
        <v>40500</v>
      </c>
      <c r="V122" s="410"/>
      <c r="W122" s="6"/>
    </row>
    <row r="123" spans="1:24" ht="15.6">
      <c r="A123" s="242"/>
      <c r="B123" s="438"/>
      <c r="C123" s="438"/>
      <c r="D123" s="438"/>
      <c r="E123" s="438"/>
      <c r="F123" s="438"/>
      <c r="G123" s="438"/>
      <c r="H123" s="438"/>
      <c r="I123" s="438"/>
      <c r="J123" s="438"/>
      <c r="K123" s="438"/>
      <c r="L123" s="438"/>
      <c r="M123" s="438"/>
      <c r="N123" s="438"/>
      <c r="O123" s="438"/>
      <c r="P123" s="438"/>
      <c r="Q123" s="438"/>
      <c r="R123" s="438"/>
      <c r="S123" s="438"/>
      <c r="T123" s="438"/>
      <c r="U123" s="448"/>
      <c r="V123" s="245"/>
      <c r="W123" s="6"/>
    </row>
    <row r="124" spans="1:24" ht="15.6">
      <c r="A124" s="242"/>
      <c r="B124" s="274" t="s">
        <v>46</v>
      </c>
      <c r="C124" s="252"/>
      <c r="D124" s="252"/>
      <c r="E124" s="252"/>
      <c r="F124" s="252"/>
      <c r="G124" s="252"/>
      <c r="H124" s="252"/>
      <c r="I124" s="252"/>
      <c r="J124" s="252"/>
      <c r="K124" s="252"/>
      <c r="L124" s="252"/>
      <c r="M124" s="244"/>
      <c r="N124" s="244"/>
      <c r="O124" s="244"/>
      <c r="P124" s="275"/>
      <c r="Q124" s="244"/>
      <c r="R124" s="244"/>
      <c r="S124" s="244"/>
      <c r="T124" s="244"/>
      <c r="U124" s="276"/>
      <c r="V124" s="245"/>
      <c r="W124" s="6"/>
    </row>
    <row r="125" spans="1:24" ht="15.6">
      <c r="A125" s="230"/>
      <c r="B125" s="511"/>
      <c r="C125" s="232" t="s">
        <v>185</v>
      </c>
      <c r="D125" s="232"/>
      <c r="E125" s="232" t="s">
        <v>99</v>
      </c>
      <c r="F125" s="232"/>
      <c r="G125" s="232" t="s">
        <v>102</v>
      </c>
      <c r="H125" s="232"/>
      <c r="I125" s="232" t="s">
        <v>108</v>
      </c>
      <c r="J125" s="232"/>
      <c r="K125" s="232"/>
      <c r="L125" s="232"/>
      <c r="M125" s="232"/>
      <c r="N125" s="232"/>
      <c r="O125" s="232"/>
      <c r="P125" s="326"/>
      <c r="Q125" s="326"/>
      <c r="R125" s="231"/>
      <c r="S125" s="231"/>
      <c r="T125" s="231"/>
      <c r="U125" s="309"/>
      <c r="V125" s="237"/>
      <c r="W125" s="6"/>
    </row>
    <row r="126" spans="1:24" ht="15.6">
      <c r="A126" s="257"/>
      <c r="B126" s="294" t="s">
        <v>122</v>
      </c>
      <c r="C126" s="310">
        <f>+N199-'June 16'!N199</f>
        <v>-36</v>
      </c>
      <c r="D126" s="294"/>
      <c r="E126" s="310">
        <f>+S199-'June 16'!S199</f>
        <v>-9</v>
      </c>
      <c r="F126" s="294"/>
      <c r="G126" s="310">
        <f>+'Sept 16'!N212-'June 16'!N212</f>
        <v>-141</v>
      </c>
      <c r="H126" s="294"/>
      <c r="I126" s="310">
        <f>+S212-'June 16'!S212</f>
        <v>-37</v>
      </c>
      <c r="J126" s="294"/>
      <c r="K126" s="294"/>
      <c r="L126" s="294"/>
      <c r="M126" s="294"/>
      <c r="N126" s="294"/>
      <c r="O126" s="294"/>
      <c r="P126" s="325"/>
      <c r="Q126" s="325"/>
      <c r="R126" s="294"/>
      <c r="S126" s="294"/>
      <c r="T126" s="294"/>
      <c r="U126" s="311">
        <f>SUM(C126:I126)</f>
        <v>-223</v>
      </c>
      <c r="V126" s="298"/>
      <c r="W126" s="6"/>
      <c r="X126" s="182"/>
    </row>
    <row r="127" spans="1:24" ht="15.6">
      <c r="A127" s="378"/>
      <c r="B127" s="379" t="s">
        <v>47</v>
      </c>
      <c r="C127" s="379">
        <v>3</v>
      </c>
      <c r="D127" s="379"/>
      <c r="E127" s="379">
        <v>0</v>
      </c>
      <c r="F127" s="379"/>
      <c r="G127" s="379">
        <v>220</v>
      </c>
      <c r="H127" s="379"/>
      <c r="I127" s="440">
        <v>42</v>
      </c>
      <c r="J127" s="379"/>
      <c r="K127" s="379"/>
      <c r="L127" s="379"/>
      <c r="M127" s="379"/>
      <c r="N127" s="379"/>
      <c r="O127" s="379"/>
      <c r="P127" s="450"/>
      <c r="Q127" s="450"/>
      <c r="R127" s="379"/>
      <c r="S127" s="379"/>
      <c r="T127" s="379"/>
      <c r="U127" s="441">
        <f>SUM(C127:I127)</f>
        <v>265</v>
      </c>
      <c r="V127" s="410"/>
      <c r="W127" s="6"/>
    </row>
    <row r="128" spans="1:24" ht="15.6">
      <c r="A128" s="242"/>
      <c r="B128" s="364" t="s">
        <v>48</v>
      </c>
      <c r="C128" s="364"/>
      <c r="D128" s="364"/>
      <c r="E128" s="364"/>
      <c r="F128" s="364"/>
      <c r="G128" s="364"/>
      <c r="H128" s="364"/>
      <c r="I128" s="364"/>
      <c r="J128" s="364"/>
      <c r="K128" s="364"/>
      <c r="L128" s="364"/>
      <c r="M128" s="364"/>
      <c r="N128" s="364"/>
      <c r="O128" s="364"/>
      <c r="P128" s="364"/>
      <c r="Q128" s="364"/>
      <c r="R128" s="364"/>
      <c r="S128" s="364"/>
      <c r="T128" s="364"/>
      <c r="U128" s="449">
        <f>SUM(U126:U127)</f>
        <v>42</v>
      </c>
      <c r="V128" s="303"/>
      <c r="W128" s="6"/>
      <c r="X128" s="182"/>
    </row>
    <row r="129" spans="1:25" ht="15.6">
      <c r="A129" s="242"/>
      <c r="B129" s="274" t="s">
        <v>49</v>
      </c>
      <c r="C129" s="252"/>
      <c r="D129" s="252"/>
      <c r="E129" s="252"/>
      <c r="F129" s="252"/>
      <c r="G129" s="252"/>
      <c r="H129" s="252"/>
      <c r="I129" s="252"/>
      <c r="J129" s="252"/>
      <c r="K129" s="252"/>
      <c r="L129" s="252"/>
      <c r="M129" s="244"/>
      <c r="N129" s="244"/>
      <c r="O129" s="244"/>
      <c r="P129" s="244"/>
      <c r="Q129" s="244"/>
      <c r="R129" s="244"/>
      <c r="S129" s="244"/>
      <c r="T129" s="244"/>
      <c r="U129" s="263"/>
      <c r="V129" s="245"/>
      <c r="W129" s="6"/>
    </row>
    <row r="130" spans="1:25" ht="15.6">
      <c r="A130" s="444"/>
      <c r="B130" s="379" t="s">
        <v>50</v>
      </c>
      <c r="C130" s="386"/>
      <c r="D130" s="386"/>
      <c r="E130" s="386"/>
      <c r="F130" s="386"/>
      <c r="G130" s="386"/>
      <c r="H130" s="386"/>
      <c r="I130" s="386"/>
      <c r="J130" s="386"/>
      <c r="K130" s="386"/>
      <c r="L130" s="386"/>
      <c r="M130" s="379"/>
      <c r="N130" s="379"/>
      <c r="O130" s="379"/>
      <c r="P130" s="379"/>
      <c r="Q130" s="379"/>
      <c r="R130" s="379"/>
      <c r="S130" s="379"/>
      <c r="T130" s="379"/>
      <c r="U130" s="441">
        <f>U75+U77</f>
        <v>74028</v>
      </c>
      <c r="V130" s="410"/>
      <c r="W130" s="6"/>
      <c r="X130" s="182"/>
    </row>
    <row r="131" spans="1:25" ht="15.6">
      <c r="A131" s="444"/>
      <c r="B131" s="379" t="s">
        <v>51</v>
      </c>
      <c r="C131" s="386"/>
      <c r="D131" s="386"/>
      <c r="E131" s="386"/>
      <c r="F131" s="386"/>
      <c r="G131" s="386"/>
      <c r="H131" s="386"/>
      <c r="I131" s="386"/>
      <c r="J131" s="386"/>
      <c r="K131" s="386"/>
      <c r="L131" s="386"/>
      <c r="M131" s="379"/>
      <c r="N131" s="379"/>
      <c r="O131" s="379"/>
      <c r="P131" s="379"/>
      <c r="Q131" s="379"/>
      <c r="R131" s="379"/>
      <c r="S131" s="379"/>
      <c r="T131" s="379"/>
      <c r="U131" s="441">
        <v>0</v>
      </c>
      <c r="V131" s="410"/>
      <c r="W131" s="6"/>
      <c r="Y131" s="182"/>
    </row>
    <row r="132" spans="1:25" ht="15.6">
      <c r="A132" s="444"/>
      <c r="B132" s="379" t="s">
        <v>52</v>
      </c>
      <c r="C132" s="386"/>
      <c r="D132" s="386"/>
      <c r="E132" s="386"/>
      <c r="F132" s="386"/>
      <c r="G132" s="386"/>
      <c r="H132" s="386"/>
      <c r="I132" s="386"/>
      <c r="J132" s="386"/>
      <c r="K132" s="386"/>
      <c r="L132" s="386"/>
      <c r="M132" s="379"/>
      <c r="N132" s="379"/>
      <c r="O132" s="379"/>
      <c r="P132" s="379"/>
      <c r="Q132" s="379"/>
      <c r="R132" s="379"/>
      <c r="S132" s="379"/>
      <c r="T132" s="379"/>
      <c r="U132" s="441">
        <f>+U130+U131</f>
        <v>74028</v>
      </c>
      <c r="V132" s="410"/>
      <c r="W132" s="6"/>
    </row>
    <row r="133" spans="1:25" ht="15.6">
      <c r="A133" s="444"/>
      <c r="B133" s="379" t="s">
        <v>53</v>
      </c>
      <c r="C133" s="386"/>
      <c r="D133" s="386"/>
      <c r="E133" s="386"/>
      <c r="F133" s="386"/>
      <c r="G133" s="386"/>
      <c r="H133" s="386"/>
      <c r="I133" s="386"/>
      <c r="J133" s="386"/>
      <c r="K133" s="386"/>
      <c r="L133" s="386"/>
      <c r="M133" s="379"/>
      <c r="N133" s="379"/>
      <c r="O133" s="379"/>
      <c r="P133" s="379"/>
      <c r="Q133" s="379"/>
      <c r="R133" s="379"/>
      <c r="S133" s="379"/>
      <c r="T133" s="379"/>
      <c r="U133" s="441">
        <f>U80</f>
        <v>74028</v>
      </c>
      <c r="V133" s="410"/>
      <c r="W133" s="6"/>
      <c r="X133" s="64"/>
    </row>
    <row r="134" spans="1:25" ht="15.6">
      <c r="A134" s="242"/>
      <c r="B134" s="438"/>
      <c r="C134" s="438"/>
      <c r="D134" s="438"/>
      <c r="E134" s="438"/>
      <c r="F134" s="438"/>
      <c r="G134" s="438"/>
      <c r="H134" s="438"/>
      <c r="I134" s="438"/>
      <c r="J134" s="438"/>
      <c r="K134" s="438"/>
      <c r="L134" s="438"/>
      <c r="M134" s="438"/>
      <c r="N134" s="438"/>
      <c r="O134" s="438"/>
      <c r="P134" s="438"/>
      <c r="Q134" s="438"/>
      <c r="R134" s="438"/>
      <c r="S134" s="438"/>
      <c r="T134" s="438"/>
      <c r="U134" s="451"/>
      <c r="V134" s="245"/>
      <c r="W134" s="6"/>
    </row>
    <row r="135" spans="1:25" ht="15.6">
      <c r="A135" s="242"/>
      <c r="B135" s="274" t="s">
        <v>54</v>
      </c>
      <c r="C135" s="247"/>
      <c r="D135" s="247"/>
      <c r="E135" s="247"/>
      <c r="F135" s="247"/>
      <c r="G135" s="247"/>
      <c r="H135" s="247"/>
      <c r="I135" s="247"/>
      <c r="J135" s="247"/>
      <c r="K135" s="247"/>
      <c r="L135" s="247"/>
      <c r="M135" s="247"/>
      <c r="N135" s="247"/>
      <c r="O135" s="247"/>
      <c r="P135" s="247"/>
      <c r="Q135" s="277" t="s">
        <v>112</v>
      </c>
      <c r="R135" s="278"/>
      <c r="S135" s="277" t="s">
        <v>114</v>
      </c>
      <c r="T135" s="247"/>
      <c r="U135" s="279" t="s">
        <v>90</v>
      </c>
      <c r="V135" s="245"/>
      <c r="W135" s="6"/>
    </row>
    <row r="136" spans="1:25" ht="15.6">
      <c r="A136" s="378"/>
      <c r="B136" s="379" t="s">
        <v>55</v>
      </c>
      <c r="C136" s="379"/>
      <c r="D136" s="379"/>
      <c r="E136" s="379"/>
      <c r="F136" s="379"/>
      <c r="G136" s="379"/>
      <c r="H136" s="379"/>
      <c r="I136" s="379"/>
      <c r="J136" s="379"/>
      <c r="K136" s="379"/>
      <c r="L136" s="379"/>
      <c r="M136" s="379"/>
      <c r="N136" s="379"/>
      <c r="O136" s="379"/>
      <c r="P136" s="379"/>
      <c r="Q136" s="441">
        <v>0</v>
      </c>
      <c r="R136" s="379"/>
      <c r="S136" s="453" t="s">
        <v>115</v>
      </c>
      <c r="T136" s="379"/>
      <c r="U136" s="441">
        <f>Q136</f>
        <v>0</v>
      </c>
      <c r="V136" s="385"/>
      <c r="W136" s="6"/>
    </row>
    <row r="137" spans="1:25" ht="15.6">
      <c r="A137" s="378"/>
      <c r="B137" s="379" t="s">
        <v>56</v>
      </c>
      <c r="C137" s="379"/>
      <c r="D137" s="379"/>
      <c r="E137" s="379"/>
      <c r="F137" s="379"/>
      <c r="G137" s="379"/>
      <c r="H137" s="379"/>
      <c r="I137" s="379"/>
      <c r="J137" s="379"/>
      <c r="K137" s="379"/>
      <c r="L137" s="379"/>
      <c r="M137" s="379"/>
      <c r="N137" s="379"/>
      <c r="O137" s="379"/>
      <c r="P137" s="379"/>
      <c r="Q137" s="441">
        <f>+'June 16'!Q139</f>
        <v>4229</v>
      </c>
      <c r="R137" s="379"/>
      <c r="S137" s="453" t="s">
        <v>115</v>
      </c>
      <c r="T137" s="379"/>
      <c r="U137" s="441">
        <f>Q137</f>
        <v>4229</v>
      </c>
      <c r="V137" s="385"/>
      <c r="W137" s="6"/>
    </row>
    <row r="138" spans="1:25" ht="15.6">
      <c r="A138" s="378"/>
      <c r="B138" s="379" t="s">
        <v>57</v>
      </c>
      <c r="C138" s="379"/>
      <c r="D138" s="379"/>
      <c r="E138" s="379"/>
      <c r="F138" s="379"/>
      <c r="G138" s="379"/>
      <c r="H138" s="379"/>
      <c r="I138" s="379"/>
      <c r="J138" s="379"/>
      <c r="K138" s="379"/>
      <c r="L138" s="379"/>
      <c r="M138" s="379"/>
      <c r="N138" s="379"/>
      <c r="O138" s="379"/>
      <c r="P138" s="379"/>
      <c r="Q138" s="441">
        <v>0</v>
      </c>
      <c r="R138" s="379"/>
      <c r="S138" s="453" t="s">
        <v>115</v>
      </c>
      <c r="T138" s="379"/>
      <c r="U138" s="441">
        <f>Q138</f>
        <v>0</v>
      </c>
      <c r="V138" s="385"/>
      <c r="W138" s="6"/>
    </row>
    <row r="139" spans="1:25" ht="15.6">
      <c r="A139" s="378"/>
      <c r="B139" s="379" t="s">
        <v>58</v>
      </c>
      <c r="C139" s="379"/>
      <c r="D139" s="379"/>
      <c r="E139" s="379"/>
      <c r="F139" s="379"/>
      <c r="G139" s="379"/>
      <c r="H139" s="379"/>
      <c r="I139" s="379"/>
      <c r="J139" s="379"/>
      <c r="K139" s="379"/>
      <c r="L139" s="379"/>
      <c r="M139" s="379"/>
      <c r="N139" s="379"/>
      <c r="O139" s="379"/>
      <c r="P139" s="379"/>
      <c r="Q139" s="441">
        <f>SUM(Q137:Q138)</f>
        <v>4229</v>
      </c>
      <c r="R139" s="379"/>
      <c r="S139" s="453" t="s">
        <v>115</v>
      </c>
      <c r="T139" s="379"/>
      <c r="U139" s="441">
        <f>Q139</f>
        <v>4229</v>
      </c>
      <c r="V139" s="385"/>
      <c r="W139" s="6"/>
    </row>
    <row r="140" spans="1:25" ht="15.6">
      <c r="A140" s="378"/>
      <c r="B140" s="379" t="s">
        <v>215</v>
      </c>
      <c r="C140" s="379"/>
      <c r="D140" s="379"/>
      <c r="E140" s="379"/>
      <c r="F140" s="379"/>
      <c r="G140" s="379"/>
      <c r="H140" s="379"/>
      <c r="I140" s="379"/>
      <c r="J140" s="379"/>
      <c r="K140" s="379"/>
      <c r="L140" s="379"/>
      <c r="M140" s="379"/>
      <c r="N140" s="379"/>
      <c r="O140" s="379"/>
      <c r="P140" s="379"/>
      <c r="Q140" s="441"/>
      <c r="R140" s="379"/>
      <c r="S140" s="453"/>
      <c r="T140" s="379"/>
      <c r="U140" s="441"/>
      <c r="V140" s="385"/>
      <c r="W140" s="6"/>
    </row>
    <row r="141" spans="1:25" ht="15.6">
      <c r="A141" s="378"/>
      <c r="B141" s="454"/>
      <c r="C141" s="454"/>
      <c r="D141" s="454"/>
      <c r="E141" s="454"/>
      <c r="F141" s="454"/>
      <c r="G141" s="454"/>
      <c r="H141" s="454"/>
      <c r="I141" s="454"/>
      <c r="J141" s="454"/>
      <c r="K141" s="454"/>
      <c r="L141" s="454"/>
      <c r="M141" s="454"/>
      <c r="N141" s="454"/>
      <c r="O141" s="454"/>
      <c r="P141" s="454"/>
      <c r="Q141" s="454"/>
      <c r="R141" s="454"/>
      <c r="S141" s="454"/>
      <c r="T141" s="454"/>
      <c r="U141" s="454"/>
      <c r="V141" s="385"/>
      <c r="W141" s="6"/>
    </row>
    <row r="142" spans="1:25" ht="15.6">
      <c r="A142" s="242"/>
      <c r="B142" s="452"/>
      <c r="C142" s="452"/>
      <c r="D142" s="452"/>
      <c r="E142" s="452"/>
      <c r="F142" s="452"/>
      <c r="G142" s="452"/>
      <c r="H142" s="452"/>
      <c r="I142" s="452"/>
      <c r="J142" s="452"/>
      <c r="K142" s="452"/>
      <c r="L142" s="452"/>
      <c r="M142" s="452"/>
      <c r="N142" s="452"/>
      <c r="O142" s="452"/>
      <c r="P142" s="452"/>
      <c r="Q142" s="452"/>
      <c r="R142" s="452"/>
      <c r="S142" s="452"/>
      <c r="T142" s="452"/>
      <c r="U142" s="452"/>
      <c r="V142" s="284"/>
      <c r="W142" s="6"/>
    </row>
    <row r="143" spans="1:25" ht="15.6">
      <c r="A143" s="230"/>
      <c r="B143" s="511" t="s">
        <v>59</v>
      </c>
      <c r="C143" s="518"/>
      <c r="D143" s="518"/>
      <c r="E143" s="518"/>
      <c r="F143" s="518"/>
      <c r="G143" s="518"/>
      <c r="H143" s="518"/>
      <c r="I143" s="518"/>
      <c r="J143" s="518"/>
      <c r="K143" s="518"/>
      <c r="L143" s="518"/>
      <c r="M143" s="518"/>
      <c r="N143" s="518"/>
      <c r="O143" s="518"/>
      <c r="P143" s="519"/>
      <c r="Q143" s="519"/>
      <c r="R143" s="519"/>
      <c r="S143" s="519">
        <v>42643</v>
      </c>
      <c r="T143" s="231"/>
      <c r="U143" s="231"/>
      <c r="V143" s="237"/>
      <c r="W143" s="6"/>
    </row>
    <row r="144" spans="1:25" ht="15.6">
      <c r="A144" s="281"/>
      <c r="B144" s="294" t="s">
        <v>60</v>
      </c>
      <c r="C144" s="329"/>
      <c r="D144" s="329"/>
      <c r="E144" s="329"/>
      <c r="F144" s="329"/>
      <c r="G144" s="329"/>
      <c r="H144" s="329"/>
      <c r="I144" s="329"/>
      <c r="J144" s="329"/>
      <c r="K144" s="329"/>
      <c r="L144" s="329"/>
      <c r="M144" s="329"/>
      <c r="N144" s="329"/>
      <c r="O144" s="329"/>
      <c r="P144" s="300"/>
      <c r="Q144" s="300"/>
      <c r="R144" s="300"/>
      <c r="S144" s="299">
        <v>0.10630000000000001</v>
      </c>
      <c r="T144" s="294"/>
      <c r="U144" s="294"/>
      <c r="V144" s="260"/>
      <c r="W144" s="6"/>
    </row>
    <row r="145" spans="1:23" ht="15.6">
      <c r="A145" s="458"/>
      <c r="B145" s="379" t="s">
        <v>61</v>
      </c>
      <c r="C145" s="459"/>
      <c r="D145" s="459"/>
      <c r="E145" s="459"/>
      <c r="F145" s="459"/>
      <c r="G145" s="459"/>
      <c r="H145" s="459"/>
      <c r="I145" s="459"/>
      <c r="J145" s="459"/>
      <c r="K145" s="459"/>
      <c r="L145" s="459"/>
      <c r="M145" s="459"/>
      <c r="N145" s="459"/>
      <c r="O145" s="459"/>
      <c r="P145" s="433"/>
      <c r="Q145" s="433"/>
      <c r="R145" s="433"/>
      <c r="S145" s="427">
        <v>5.2200000000000003E-2</v>
      </c>
      <c r="T145" s="427"/>
      <c r="U145" s="379"/>
      <c r="V145" s="385"/>
      <c r="W145" s="6"/>
    </row>
    <row r="146" spans="1:23" ht="15.6">
      <c r="A146" s="458"/>
      <c r="B146" s="379" t="s">
        <v>62</v>
      </c>
      <c r="C146" s="459"/>
      <c r="D146" s="459"/>
      <c r="E146" s="459"/>
      <c r="F146" s="459"/>
      <c r="G146" s="459"/>
      <c r="H146" s="459"/>
      <c r="I146" s="459"/>
      <c r="J146" s="459"/>
      <c r="K146" s="459"/>
      <c r="L146" s="459"/>
      <c r="M146" s="459"/>
      <c r="N146" s="459"/>
      <c r="O146" s="459"/>
      <c r="P146" s="433"/>
      <c r="Q146" s="433"/>
      <c r="R146" s="433"/>
      <c r="S146" s="427">
        <f>S144-S145</f>
        <v>5.4100000000000002E-2</v>
      </c>
      <c r="T146" s="379"/>
      <c r="U146" s="379"/>
      <c r="V146" s="385"/>
      <c r="W146" s="6"/>
    </row>
    <row r="147" spans="1:23" ht="15.6">
      <c r="A147" s="458"/>
      <c r="B147" s="379" t="s">
        <v>63</v>
      </c>
      <c r="C147" s="459"/>
      <c r="D147" s="459"/>
      <c r="E147" s="459"/>
      <c r="F147" s="459"/>
      <c r="G147" s="459"/>
      <c r="H147" s="459"/>
      <c r="I147" s="459"/>
      <c r="J147" s="459"/>
      <c r="K147" s="459"/>
      <c r="L147" s="459"/>
      <c r="M147" s="459"/>
      <c r="N147" s="459"/>
      <c r="O147" s="459"/>
      <c r="P147" s="433"/>
      <c r="Q147" s="433"/>
      <c r="R147" s="433"/>
      <c r="S147" s="554">
        <v>9.0120000000000006E-2</v>
      </c>
      <c r="T147" s="379"/>
      <c r="U147" s="379"/>
      <c r="V147" s="385"/>
      <c r="W147" s="6"/>
    </row>
    <row r="148" spans="1:23" ht="15.6">
      <c r="A148" s="458"/>
      <c r="B148" s="379" t="s">
        <v>64</v>
      </c>
      <c r="C148" s="459"/>
      <c r="D148" s="459"/>
      <c r="E148" s="459"/>
      <c r="F148" s="459"/>
      <c r="G148" s="459"/>
      <c r="H148" s="459"/>
      <c r="I148" s="459"/>
      <c r="J148" s="459"/>
      <c r="K148" s="459"/>
      <c r="L148" s="459"/>
      <c r="M148" s="459"/>
      <c r="N148" s="459"/>
      <c r="O148" s="459"/>
      <c r="P148" s="433"/>
      <c r="Q148" s="433"/>
      <c r="R148" s="433"/>
      <c r="S148" s="427">
        <f>+U40</f>
        <v>1.4711623892046386E-2</v>
      </c>
      <c r="T148" s="379"/>
      <c r="U148" s="379"/>
      <c r="V148" s="385"/>
      <c r="W148" s="6"/>
    </row>
    <row r="149" spans="1:23" ht="15.6">
      <c r="A149" s="458"/>
      <c r="B149" s="379" t="s">
        <v>65</v>
      </c>
      <c r="C149" s="459"/>
      <c r="D149" s="459"/>
      <c r="E149" s="459"/>
      <c r="F149" s="459"/>
      <c r="G149" s="459"/>
      <c r="H149" s="459"/>
      <c r="I149" s="459"/>
      <c r="J149" s="459"/>
      <c r="K149" s="459"/>
      <c r="L149" s="459"/>
      <c r="M149" s="459"/>
      <c r="N149" s="459"/>
      <c r="O149" s="459"/>
      <c r="P149" s="433"/>
      <c r="Q149" s="433"/>
      <c r="R149" s="433"/>
      <c r="S149" s="427">
        <f>S147-S148</f>
        <v>7.5408376107953617E-2</v>
      </c>
      <c r="T149" s="379"/>
      <c r="U149" s="379"/>
      <c r="V149" s="385"/>
      <c r="W149" s="6"/>
    </row>
    <row r="150" spans="1:23" ht="15.6">
      <c r="A150" s="458"/>
      <c r="B150" s="379" t="s">
        <v>204</v>
      </c>
      <c r="C150" s="459"/>
      <c r="D150" s="459"/>
      <c r="E150" s="459"/>
      <c r="F150" s="459"/>
      <c r="G150" s="459"/>
      <c r="H150" s="459"/>
      <c r="I150" s="459"/>
      <c r="J150" s="459"/>
      <c r="K150" s="459"/>
      <c r="L150" s="459"/>
      <c r="M150" s="459"/>
      <c r="N150" s="459"/>
      <c r="O150" s="459"/>
      <c r="P150" s="433"/>
      <c r="Q150" s="433"/>
      <c r="R150" s="433"/>
      <c r="S150" s="429">
        <v>49780</v>
      </c>
      <c r="T150" s="379"/>
      <c r="U150" s="379"/>
      <c r="V150" s="385"/>
      <c r="W150" s="6"/>
    </row>
    <row r="151" spans="1:23" ht="15.6">
      <c r="A151" s="458"/>
      <c r="B151" s="379" t="s">
        <v>205</v>
      </c>
      <c r="C151" s="459"/>
      <c r="D151" s="459"/>
      <c r="E151" s="459"/>
      <c r="F151" s="459"/>
      <c r="G151" s="459"/>
      <c r="H151" s="459"/>
      <c r="I151" s="459"/>
      <c r="J151" s="459"/>
      <c r="K151" s="459"/>
      <c r="L151" s="459"/>
      <c r="M151" s="459"/>
      <c r="N151" s="459"/>
      <c r="O151" s="459"/>
      <c r="P151" s="433"/>
      <c r="Q151" s="433"/>
      <c r="R151" s="433"/>
      <c r="S151" s="429">
        <v>49780</v>
      </c>
      <c r="T151" s="379"/>
      <c r="U151" s="379"/>
      <c r="V151" s="385"/>
      <c r="W151" s="6"/>
    </row>
    <row r="152" spans="1:23" ht="15.6">
      <c r="A152" s="458"/>
      <c r="B152" s="379" t="s">
        <v>206</v>
      </c>
      <c r="C152" s="459"/>
      <c r="D152" s="459"/>
      <c r="E152" s="459"/>
      <c r="F152" s="459"/>
      <c r="G152" s="459"/>
      <c r="H152" s="459"/>
      <c r="I152" s="459"/>
      <c r="J152" s="459"/>
      <c r="K152" s="459"/>
      <c r="L152" s="459"/>
      <c r="M152" s="459"/>
      <c r="N152" s="459"/>
      <c r="O152" s="459"/>
      <c r="P152" s="433"/>
      <c r="Q152" s="433"/>
      <c r="R152" s="433"/>
      <c r="S152" s="429">
        <v>49780</v>
      </c>
      <c r="T152" s="379"/>
      <c r="U152" s="379"/>
      <c r="V152" s="385"/>
      <c r="W152" s="6"/>
    </row>
    <row r="153" spans="1:23" ht="15.6">
      <c r="A153" s="458"/>
      <c r="B153" s="379" t="s">
        <v>207</v>
      </c>
      <c r="C153" s="459"/>
      <c r="D153" s="459"/>
      <c r="E153" s="459"/>
      <c r="F153" s="459"/>
      <c r="G153" s="459"/>
      <c r="H153" s="459"/>
      <c r="I153" s="459"/>
      <c r="J153" s="459"/>
      <c r="K153" s="459"/>
      <c r="L153" s="459"/>
      <c r="M153" s="459"/>
      <c r="N153" s="459"/>
      <c r="O153" s="459"/>
      <c r="P153" s="433"/>
      <c r="Q153" s="433"/>
      <c r="R153" s="433"/>
      <c r="S153" s="429">
        <v>49780</v>
      </c>
      <c r="T153" s="379"/>
      <c r="U153" s="379"/>
      <c r="V153" s="385"/>
      <c r="W153" s="6"/>
    </row>
    <row r="154" spans="1:23" ht="15.6">
      <c r="A154" s="458"/>
      <c r="B154" s="379" t="s">
        <v>221</v>
      </c>
      <c r="C154" s="459"/>
      <c r="D154" s="459"/>
      <c r="E154" s="459"/>
      <c r="F154" s="459"/>
      <c r="G154" s="459"/>
      <c r="H154" s="459"/>
      <c r="I154" s="459"/>
      <c r="J154" s="459"/>
      <c r="K154" s="459"/>
      <c r="L154" s="459"/>
      <c r="M154" s="459"/>
      <c r="N154" s="459"/>
      <c r="O154" s="459"/>
      <c r="P154" s="433"/>
      <c r="Q154" s="433"/>
      <c r="R154" s="433"/>
      <c r="S154" s="432">
        <v>111.34</v>
      </c>
      <c r="T154" s="379"/>
      <c r="U154" s="379"/>
      <c r="V154" s="385"/>
      <c r="W154" s="6"/>
    </row>
    <row r="155" spans="1:23" ht="15.6">
      <c r="A155" s="458"/>
      <c r="B155" s="379" t="s">
        <v>222</v>
      </c>
      <c r="C155" s="459"/>
      <c r="D155" s="459"/>
      <c r="E155" s="459"/>
      <c r="F155" s="459"/>
      <c r="G155" s="459"/>
      <c r="H155" s="459"/>
      <c r="I155" s="459"/>
      <c r="J155" s="459"/>
      <c r="K155" s="459"/>
      <c r="L155" s="459"/>
      <c r="M155" s="459"/>
      <c r="N155" s="459"/>
      <c r="O155" s="459"/>
      <c r="P155" s="433"/>
      <c r="Q155" s="433"/>
      <c r="R155" s="433"/>
      <c r="S155" s="555">
        <v>131.31</v>
      </c>
      <c r="T155" s="379"/>
      <c r="U155" s="379"/>
      <c r="V155" s="385"/>
      <c r="W155" s="6"/>
    </row>
    <row r="156" spans="1:23" ht="15.6">
      <c r="A156" s="458" t="s">
        <v>223</v>
      </c>
      <c r="B156" s="379" t="s">
        <v>66</v>
      </c>
      <c r="C156" s="459"/>
      <c r="D156" s="459"/>
      <c r="E156" s="459"/>
      <c r="F156" s="459"/>
      <c r="G156" s="459"/>
      <c r="H156" s="459"/>
      <c r="I156" s="459"/>
      <c r="J156" s="459"/>
      <c r="K156" s="459"/>
      <c r="L156" s="459"/>
      <c r="M156" s="459"/>
      <c r="N156" s="459"/>
      <c r="O156" s="459"/>
      <c r="P156" s="433"/>
      <c r="Q156" s="433"/>
      <c r="R156" s="433"/>
      <c r="S156" s="427">
        <v>5.0599999999999999E-2</v>
      </c>
      <c r="T156" s="379"/>
      <c r="U156" s="379"/>
      <c r="V156" s="385"/>
      <c r="W156" s="6"/>
    </row>
    <row r="157" spans="1:23" ht="15.6">
      <c r="A157" s="458"/>
      <c r="B157" s="379" t="s">
        <v>67</v>
      </c>
      <c r="C157" s="459"/>
      <c r="D157" s="459"/>
      <c r="E157" s="459"/>
      <c r="F157" s="459"/>
      <c r="G157" s="459"/>
      <c r="H157" s="459"/>
      <c r="I157" s="459"/>
      <c r="J157" s="459"/>
      <c r="K157" s="459"/>
      <c r="L157" s="459"/>
      <c r="M157" s="459"/>
      <c r="N157" s="459"/>
      <c r="O157" s="459"/>
      <c r="P157" s="433"/>
      <c r="Q157" s="433"/>
      <c r="R157" s="433"/>
      <c r="S157" s="427">
        <v>0.25059999999999999</v>
      </c>
      <c r="T157" s="379"/>
      <c r="U157" s="379"/>
      <c r="V157" s="385"/>
      <c r="W157" s="6"/>
    </row>
    <row r="158" spans="1:23" ht="15.6">
      <c r="A158" s="280"/>
      <c r="B158" s="364"/>
      <c r="C158" s="364"/>
      <c r="D158" s="364"/>
      <c r="E158" s="364"/>
      <c r="F158" s="364"/>
      <c r="G158" s="364"/>
      <c r="H158" s="364"/>
      <c r="I158" s="364"/>
      <c r="J158" s="364"/>
      <c r="K158" s="364"/>
      <c r="L158" s="364"/>
      <c r="M158" s="364"/>
      <c r="N158" s="364"/>
      <c r="O158" s="364"/>
      <c r="P158" s="364"/>
      <c r="Q158" s="364"/>
      <c r="R158" s="455"/>
      <c r="S158" s="456"/>
      <c r="T158" s="364"/>
      <c r="U158" s="457"/>
      <c r="V158" s="245"/>
      <c r="W158" s="6"/>
    </row>
    <row r="159" spans="1:23" ht="15.6">
      <c r="A159" s="280"/>
      <c r="B159" s="288"/>
      <c r="C159" s="288"/>
      <c r="D159" s="288"/>
      <c r="E159" s="288"/>
      <c r="F159" s="288"/>
      <c r="G159" s="288"/>
      <c r="H159" s="288"/>
      <c r="I159" s="288"/>
      <c r="J159" s="288"/>
      <c r="K159" s="288"/>
      <c r="L159" s="288"/>
      <c r="M159" s="288"/>
      <c r="N159" s="288"/>
      <c r="O159" s="288"/>
      <c r="P159" s="288"/>
      <c r="Q159" s="288"/>
      <c r="R159" s="331"/>
      <c r="S159" s="332"/>
      <c r="T159" s="288"/>
      <c r="U159" s="333"/>
      <c r="V159" s="245"/>
      <c r="W159" s="6"/>
    </row>
    <row r="160" spans="1:23" ht="16.2" thickBot="1">
      <c r="A160" s="282"/>
      <c r="B160" s="304" t="str">
        <f>+B109</f>
        <v>PPAF3 INVESTOR REPORT QUARTER ENDING SEPTEMBER 2016</v>
      </c>
      <c r="C160" s="305"/>
      <c r="D160" s="305"/>
      <c r="E160" s="305"/>
      <c r="F160" s="305"/>
      <c r="G160" s="305"/>
      <c r="H160" s="305"/>
      <c r="I160" s="305"/>
      <c r="J160" s="305"/>
      <c r="K160" s="305"/>
      <c r="L160" s="305"/>
      <c r="M160" s="305"/>
      <c r="N160" s="305"/>
      <c r="O160" s="305"/>
      <c r="P160" s="305"/>
      <c r="Q160" s="305"/>
      <c r="R160" s="334"/>
      <c r="S160" s="335"/>
      <c r="T160" s="305"/>
      <c r="U160" s="336"/>
      <c r="V160" s="262"/>
      <c r="W160" s="6"/>
    </row>
    <row r="161" spans="1:23" ht="15.6">
      <c r="A161" s="337"/>
      <c r="B161" s="520" t="s">
        <v>68</v>
      </c>
      <c r="C161" s="521"/>
      <c r="D161" s="521"/>
      <c r="E161" s="521"/>
      <c r="F161" s="521"/>
      <c r="G161" s="521"/>
      <c r="H161" s="521"/>
      <c r="I161" s="521"/>
      <c r="J161" s="521"/>
      <c r="K161" s="521"/>
      <c r="L161" s="521"/>
      <c r="M161" s="522"/>
      <c r="N161" s="521"/>
      <c r="O161" s="522"/>
      <c r="P161" s="521"/>
      <c r="Q161" s="522"/>
      <c r="R161" s="521" t="s">
        <v>94</v>
      </c>
      <c r="S161" s="522" t="s">
        <v>116</v>
      </c>
      <c r="T161" s="340"/>
      <c r="U161" s="340"/>
      <c r="V161" s="341"/>
      <c r="W161" s="6"/>
    </row>
    <row r="162" spans="1:23" ht="15.6">
      <c r="A162" s="283"/>
      <c r="B162" s="294" t="s">
        <v>216</v>
      </c>
      <c r="C162" s="310"/>
      <c r="D162" s="310"/>
      <c r="E162" s="310"/>
      <c r="F162" s="310"/>
      <c r="G162" s="310"/>
      <c r="H162" s="310"/>
      <c r="I162" s="310"/>
      <c r="J162" s="310"/>
      <c r="K162" s="310"/>
      <c r="L162" s="310"/>
      <c r="M162" s="310"/>
      <c r="N162" s="310"/>
      <c r="O162" s="294"/>
      <c r="P162" s="294"/>
      <c r="Q162" s="294"/>
      <c r="R162" s="310">
        <v>374</v>
      </c>
      <c r="S162" s="311">
        <v>8028</v>
      </c>
      <c r="T162" s="311"/>
      <c r="U162" s="330"/>
      <c r="V162" s="342"/>
      <c r="W162" s="6"/>
    </row>
    <row r="163" spans="1:23" ht="15.6">
      <c r="A163" s="465"/>
      <c r="B163" s="379" t="s">
        <v>217</v>
      </c>
      <c r="C163" s="440"/>
      <c r="D163" s="440"/>
      <c r="E163" s="440"/>
      <c r="F163" s="440"/>
      <c r="G163" s="440"/>
      <c r="H163" s="440"/>
      <c r="I163" s="440"/>
      <c r="J163" s="440"/>
      <c r="K163" s="440"/>
      <c r="L163" s="440"/>
      <c r="M163" s="440"/>
      <c r="N163" s="440"/>
      <c r="O163" s="379"/>
      <c r="P163" s="379"/>
      <c r="Q163" s="379"/>
      <c r="R163" s="545">
        <v>1</v>
      </c>
      <c r="S163" s="546">
        <v>1</v>
      </c>
      <c r="T163" s="441"/>
      <c r="U163" s="466"/>
      <c r="V163" s="467"/>
      <c r="W163" s="6"/>
    </row>
    <row r="164" spans="1:23" ht="15.6">
      <c r="A164" s="465"/>
      <c r="B164" s="379" t="s">
        <v>218</v>
      </c>
      <c r="C164" s="440"/>
      <c r="D164" s="440"/>
      <c r="E164" s="440"/>
      <c r="F164" s="440"/>
      <c r="G164" s="440"/>
      <c r="H164" s="440"/>
      <c r="I164" s="440"/>
      <c r="J164" s="440"/>
      <c r="K164" s="440"/>
      <c r="L164" s="440"/>
      <c r="M164" s="440"/>
      <c r="N164" s="440"/>
      <c r="O164" s="379"/>
      <c r="P164" s="379"/>
      <c r="Q164" s="379"/>
      <c r="R164" s="545">
        <v>97</v>
      </c>
      <c r="S164" s="546">
        <v>78</v>
      </c>
      <c r="T164" s="441"/>
      <c r="U164" s="466"/>
      <c r="V164" s="467"/>
      <c r="W164" s="6"/>
    </row>
    <row r="165" spans="1:23" ht="15.6">
      <c r="A165" s="465"/>
      <c r="B165" s="379" t="s">
        <v>219</v>
      </c>
      <c r="C165" s="440"/>
      <c r="D165" s="440"/>
      <c r="E165" s="440"/>
      <c r="F165" s="440"/>
      <c r="G165" s="440"/>
      <c r="H165" s="440"/>
      <c r="I165" s="440"/>
      <c r="J165" s="440"/>
      <c r="K165" s="440"/>
      <c r="L165" s="440"/>
      <c r="M165" s="440"/>
      <c r="N165" s="440"/>
      <c r="O165" s="379"/>
      <c r="P165" s="379"/>
      <c r="Q165" s="379"/>
      <c r="R165" s="545">
        <v>78</v>
      </c>
      <c r="S165" s="546">
        <v>91</v>
      </c>
      <c r="T165" s="441"/>
      <c r="U165" s="466"/>
      <c r="V165" s="467"/>
      <c r="W165" s="6"/>
    </row>
    <row r="166" spans="1:23" ht="15.6">
      <c r="A166" s="465"/>
      <c r="B166" s="379" t="s">
        <v>90</v>
      </c>
      <c r="C166" s="440"/>
      <c r="D166" s="440"/>
      <c r="E166" s="440"/>
      <c r="F166" s="440"/>
      <c r="G166" s="440"/>
      <c r="H166" s="440"/>
      <c r="I166" s="440"/>
      <c r="J166" s="440"/>
      <c r="K166" s="440"/>
      <c r="L166" s="440"/>
      <c r="M166" s="440"/>
      <c r="N166" s="440"/>
      <c r="O166" s="379"/>
      <c r="P166" s="379"/>
      <c r="Q166" s="379"/>
      <c r="R166" s="547">
        <f>SUM(R162:R165)</f>
        <v>550</v>
      </c>
      <c r="S166" s="546">
        <f>SUM(S162:S165)</f>
        <v>8198</v>
      </c>
      <c r="T166" s="441"/>
      <c r="U166" s="466"/>
      <c r="V166" s="467"/>
      <c r="W166" s="6"/>
    </row>
    <row r="167" spans="1:23" ht="15.6">
      <c r="A167" s="465"/>
      <c r="B167" s="379"/>
      <c r="C167" s="440"/>
      <c r="D167" s="440"/>
      <c r="E167" s="440"/>
      <c r="F167" s="440"/>
      <c r="G167" s="440"/>
      <c r="H167" s="440"/>
      <c r="I167" s="440"/>
      <c r="J167" s="440"/>
      <c r="K167" s="440"/>
      <c r="L167" s="440"/>
      <c r="M167" s="440"/>
      <c r="N167" s="440"/>
      <c r="O167" s="379"/>
      <c r="P167" s="379"/>
      <c r="Q167" s="379"/>
      <c r="R167" s="545"/>
      <c r="S167" s="546"/>
      <c r="T167" s="441"/>
      <c r="U167" s="466"/>
      <c r="V167" s="467"/>
      <c r="W167" s="6"/>
    </row>
    <row r="168" spans="1:23" ht="15.6">
      <c r="A168" s="465"/>
      <c r="B168" s="379" t="s">
        <v>220</v>
      </c>
      <c r="C168" s="440"/>
      <c r="D168" s="440"/>
      <c r="E168" s="440"/>
      <c r="F168" s="440"/>
      <c r="G168" s="440"/>
      <c r="H168" s="440"/>
      <c r="I168" s="440"/>
      <c r="J168" s="440"/>
      <c r="K168" s="440"/>
      <c r="L168" s="440"/>
      <c r="M168" s="440"/>
      <c r="N168" s="440"/>
      <c r="O168" s="379"/>
      <c r="P168" s="379"/>
      <c r="Q168" s="379"/>
      <c r="R168" s="545">
        <v>0</v>
      </c>
      <c r="S168" s="546">
        <v>0</v>
      </c>
      <c r="T168" s="441"/>
      <c r="U168" s="466"/>
      <c r="V168" s="467"/>
      <c r="W168" s="6"/>
    </row>
    <row r="169" spans="1:23" ht="15.6">
      <c r="A169" s="465"/>
      <c r="B169" s="379" t="s">
        <v>224</v>
      </c>
      <c r="C169" s="440"/>
      <c r="D169" s="440"/>
      <c r="E169" s="440"/>
      <c r="F169" s="440"/>
      <c r="G169" s="440"/>
      <c r="H169" s="440"/>
      <c r="I169" s="440"/>
      <c r="J169" s="440"/>
      <c r="K169" s="440"/>
      <c r="L169" s="440"/>
      <c r="M169" s="440"/>
      <c r="N169" s="440"/>
      <c r="O169" s="379"/>
      <c r="P169" s="379"/>
      <c r="Q169" s="379"/>
      <c r="R169" s="545">
        <v>3</v>
      </c>
      <c r="S169" s="546">
        <v>133</v>
      </c>
      <c r="T169" s="441"/>
      <c r="U169" s="466"/>
      <c r="V169" s="467"/>
      <c r="W169" s="6"/>
    </row>
    <row r="170" spans="1:23" ht="15.6">
      <c r="A170" s="465"/>
      <c r="B170" s="468" t="s">
        <v>69</v>
      </c>
      <c r="C170" s="469"/>
      <c r="D170" s="469"/>
      <c r="E170" s="469"/>
      <c r="F170" s="469"/>
      <c r="G170" s="469"/>
      <c r="H170" s="469"/>
      <c r="I170" s="469"/>
      <c r="J170" s="469"/>
      <c r="K170" s="469"/>
      <c r="L170" s="469"/>
      <c r="M170" s="469"/>
      <c r="N170" s="469"/>
      <c r="O170" s="454"/>
      <c r="P170" s="454"/>
      <c r="Q170" s="454"/>
      <c r="R170" s="539"/>
      <c r="S170" s="540">
        <v>0</v>
      </c>
      <c r="T170" s="454"/>
      <c r="U170" s="470"/>
      <c r="V170" s="471"/>
      <c r="W170" s="6"/>
    </row>
    <row r="171" spans="1:23" ht="15.6">
      <c r="A171" s="465"/>
      <c r="B171" s="468" t="s">
        <v>70</v>
      </c>
      <c r="C171" s="469"/>
      <c r="D171" s="469"/>
      <c r="E171" s="469"/>
      <c r="F171" s="469"/>
      <c r="G171" s="469"/>
      <c r="H171" s="469"/>
      <c r="I171" s="469"/>
      <c r="J171" s="469"/>
      <c r="K171" s="469"/>
      <c r="L171" s="469"/>
      <c r="M171" s="469"/>
      <c r="N171" s="469"/>
      <c r="O171" s="454"/>
      <c r="P171" s="454"/>
      <c r="Q171" s="454"/>
      <c r="R171" s="539"/>
      <c r="S171" s="540">
        <f>Q75</f>
        <v>0</v>
      </c>
      <c r="T171" s="454"/>
      <c r="U171" s="470"/>
      <c r="V171" s="471"/>
      <c r="W171" s="6"/>
    </row>
    <row r="172" spans="1:23" ht="15.6">
      <c r="A172" s="472"/>
      <c r="B172" s="468" t="s">
        <v>71</v>
      </c>
      <c r="C172" s="469"/>
      <c r="D172" s="469"/>
      <c r="E172" s="469"/>
      <c r="F172" s="469"/>
      <c r="G172" s="469"/>
      <c r="H172" s="469"/>
      <c r="I172" s="469"/>
      <c r="J172" s="469"/>
      <c r="K172" s="469"/>
      <c r="L172" s="469"/>
      <c r="M172" s="473"/>
      <c r="N172" s="473"/>
      <c r="O172" s="473"/>
      <c r="P172" s="454"/>
      <c r="Q172" s="454"/>
      <c r="R172" s="379"/>
      <c r="S172" s="500"/>
      <c r="T172" s="454"/>
      <c r="U172" s="470"/>
      <c r="V172" s="474"/>
      <c r="W172" s="6"/>
    </row>
    <row r="173" spans="1:23" ht="15.6">
      <c r="A173" s="465"/>
      <c r="B173" s="379" t="s">
        <v>72</v>
      </c>
      <c r="C173" s="469"/>
      <c r="D173" s="469"/>
      <c r="E173" s="469"/>
      <c r="F173" s="469"/>
      <c r="G173" s="469"/>
      <c r="H173" s="469"/>
      <c r="I173" s="469"/>
      <c r="J173" s="469"/>
      <c r="K173" s="469"/>
      <c r="L173" s="469"/>
      <c r="M173" s="469"/>
      <c r="N173" s="469"/>
      <c r="O173" s="469"/>
      <c r="P173" s="454"/>
      <c r="Q173" s="454"/>
      <c r="R173" s="379"/>
      <c r="S173" s="546">
        <f>U128</f>
        <v>42</v>
      </c>
      <c r="T173" s="454"/>
      <c r="U173" s="470"/>
      <c r="V173" s="474"/>
      <c r="W173" s="6"/>
    </row>
    <row r="174" spans="1:23" ht="15.6">
      <c r="A174" s="465"/>
      <c r="B174" s="379" t="s">
        <v>73</v>
      </c>
      <c r="C174" s="469"/>
      <c r="D174" s="469"/>
      <c r="E174" s="469"/>
      <c r="F174" s="469"/>
      <c r="G174" s="469"/>
      <c r="H174" s="469"/>
      <c r="I174" s="469"/>
      <c r="J174" s="469"/>
      <c r="K174" s="469"/>
      <c r="L174" s="469"/>
      <c r="M174" s="469"/>
      <c r="N174" s="469"/>
      <c r="O174" s="469"/>
      <c r="P174" s="454"/>
      <c r="Q174" s="454"/>
      <c r="R174" s="379"/>
      <c r="S174" s="546">
        <f>'June 16'!S174+S173</f>
        <v>89474</v>
      </c>
      <c r="T174" s="454"/>
      <c r="U174" s="470"/>
      <c r="V174" s="474"/>
      <c r="W174" s="6"/>
    </row>
    <row r="175" spans="1:23" ht="15.6">
      <c r="A175" s="465"/>
      <c r="B175" s="379" t="s">
        <v>74</v>
      </c>
      <c r="C175" s="469"/>
      <c r="D175" s="469"/>
      <c r="E175" s="469"/>
      <c r="F175" s="469"/>
      <c r="G175" s="469"/>
      <c r="H175" s="469"/>
      <c r="I175" s="469"/>
      <c r="J175" s="469"/>
      <c r="K175" s="469"/>
      <c r="L175" s="469"/>
      <c r="M175" s="469"/>
      <c r="N175" s="469"/>
      <c r="O175" s="469"/>
      <c r="P175" s="454"/>
      <c r="Q175" s="454"/>
      <c r="R175" s="379"/>
      <c r="S175" s="546">
        <f>'June 16'!S175+610</f>
        <v>30474</v>
      </c>
      <c r="T175" s="454"/>
      <c r="U175" s="470"/>
      <c r="V175" s="474"/>
      <c r="W175" s="6"/>
    </row>
    <row r="176" spans="1:23" ht="15.6">
      <c r="A176" s="465"/>
      <c r="B176" s="473"/>
      <c r="C176" s="469"/>
      <c r="D176" s="469"/>
      <c r="E176" s="469"/>
      <c r="F176" s="469"/>
      <c r="G176" s="469"/>
      <c r="H176" s="469"/>
      <c r="I176" s="469"/>
      <c r="J176" s="469"/>
      <c r="K176" s="469"/>
      <c r="L176" s="469"/>
      <c r="M176" s="469"/>
      <c r="N176" s="469"/>
      <c r="O176" s="469"/>
      <c r="P176" s="454"/>
      <c r="Q176" s="454"/>
      <c r="R176" s="379"/>
      <c r="S176" s="546"/>
      <c r="T176" s="454"/>
      <c r="U176" s="470"/>
      <c r="V176" s="474"/>
      <c r="W176" s="6"/>
    </row>
    <row r="177" spans="1:23" ht="15.6">
      <c r="A177" s="472"/>
      <c r="B177" s="468" t="s">
        <v>259</v>
      </c>
      <c r="C177" s="469"/>
      <c r="D177" s="469"/>
      <c r="E177" s="469"/>
      <c r="F177" s="469"/>
      <c r="G177" s="469"/>
      <c r="H177" s="469"/>
      <c r="I177" s="469"/>
      <c r="J177" s="469"/>
      <c r="K177" s="469"/>
      <c r="L177" s="469"/>
      <c r="M177" s="473"/>
      <c r="N177" s="473"/>
      <c r="O177" s="473"/>
      <c r="P177" s="454"/>
      <c r="Q177" s="454"/>
      <c r="R177" s="379"/>
      <c r="S177" s="548"/>
      <c r="T177" s="454"/>
      <c r="U177" s="470"/>
      <c r="V177" s="474"/>
      <c r="W177" s="6"/>
    </row>
    <row r="178" spans="1:23" ht="15.6">
      <c r="A178" s="472"/>
      <c r="B178" s="379" t="s">
        <v>254</v>
      </c>
      <c r="C178" s="469"/>
      <c r="D178" s="469"/>
      <c r="E178" s="469"/>
      <c r="F178" s="469"/>
      <c r="G178" s="469"/>
      <c r="H178" s="469"/>
      <c r="I178" s="469"/>
      <c r="J178" s="469"/>
      <c r="K178" s="469"/>
      <c r="L178" s="469"/>
      <c r="M178" s="473"/>
      <c r="N178" s="473"/>
      <c r="O178" s="473"/>
      <c r="P178" s="454"/>
      <c r="Q178" s="454"/>
      <c r="R178" s="379"/>
      <c r="S178" s="548">
        <v>3</v>
      </c>
      <c r="T178" s="454"/>
      <c r="U178" s="470"/>
      <c r="V178" s="474"/>
      <c r="W178" s="6"/>
    </row>
    <row r="179" spans="1:23" ht="15.6">
      <c r="A179" s="465"/>
      <c r="B179" s="379" t="s">
        <v>75</v>
      </c>
      <c r="C179" s="469"/>
      <c r="D179" s="469"/>
      <c r="E179" s="469"/>
      <c r="F179" s="469"/>
      <c r="G179" s="469"/>
      <c r="H179" s="469"/>
      <c r="I179" s="469"/>
      <c r="J179" s="469"/>
      <c r="K179" s="469"/>
      <c r="L179" s="469"/>
      <c r="M179" s="475"/>
      <c r="N179" s="475"/>
      <c r="O179" s="476"/>
      <c r="P179" s="454"/>
      <c r="Q179" s="454"/>
      <c r="R179" s="379"/>
      <c r="S179" s="549">
        <v>46</v>
      </c>
      <c r="T179" s="454"/>
      <c r="U179" s="470"/>
      <c r="V179" s="474"/>
      <c r="W179" s="6"/>
    </row>
    <row r="180" spans="1:23" ht="15.6">
      <c r="A180" s="465"/>
      <c r="B180" s="379" t="s">
        <v>76</v>
      </c>
      <c r="C180" s="469"/>
      <c r="D180" s="469"/>
      <c r="E180" s="469"/>
      <c r="F180" s="469"/>
      <c r="G180" s="469"/>
      <c r="H180" s="469"/>
      <c r="I180" s="469"/>
      <c r="J180" s="469"/>
      <c r="K180" s="469"/>
      <c r="L180" s="469"/>
      <c r="M180" s="475"/>
      <c r="N180" s="475"/>
      <c r="O180" s="476"/>
      <c r="P180" s="454"/>
      <c r="Q180" s="454"/>
      <c r="R180" s="379"/>
      <c r="S180" s="548">
        <v>1362</v>
      </c>
      <c r="T180" s="454"/>
      <c r="U180" s="470"/>
      <c r="V180" s="474"/>
      <c r="W180" s="6"/>
    </row>
    <row r="181" spans="1:23" ht="15.6">
      <c r="A181" s="465"/>
      <c r="B181" s="473"/>
      <c r="C181" s="469"/>
      <c r="D181" s="469"/>
      <c r="E181" s="469"/>
      <c r="F181" s="469"/>
      <c r="G181" s="469"/>
      <c r="H181" s="469"/>
      <c r="I181" s="469"/>
      <c r="J181" s="469"/>
      <c r="K181" s="469"/>
      <c r="L181" s="469"/>
      <c r="M181" s="477"/>
      <c r="N181" s="475"/>
      <c r="O181" s="476"/>
      <c r="P181" s="454"/>
      <c r="Q181" s="454"/>
      <c r="R181" s="379"/>
      <c r="S181" s="537"/>
      <c r="T181" s="454"/>
      <c r="U181" s="470"/>
      <c r="V181" s="474"/>
      <c r="W181" s="6"/>
    </row>
    <row r="182" spans="1:23" ht="15.6">
      <c r="A182" s="465"/>
      <c r="B182" s="468" t="s">
        <v>77</v>
      </c>
      <c r="C182" s="469"/>
      <c r="D182" s="469"/>
      <c r="E182" s="469"/>
      <c r="F182" s="469"/>
      <c r="G182" s="469"/>
      <c r="H182" s="469"/>
      <c r="I182" s="469"/>
      <c r="J182" s="469"/>
      <c r="K182" s="469"/>
      <c r="L182" s="469"/>
      <c r="M182" s="469"/>
      <c r="N182" s="477"/>
      <c r="O182" s="475"/>
      <c r="P182" s="476"/>
      <c r="Q182" s="454"/>
      <c r="R182" s="380"/>
      <c r="S182" s="538"/>
      <c r="T182" s="478"/>
      <c r="U182" s="390"/>
      <c r="V182" s="479"/>
      <c r="W182" s="6"/>
    </row>
    <row r="183" spans="1:23" ht="15.6">
      <c r="A183" s="465"/>
      <c r="B183" s="379" t="s">
        <v>78</v>
      </c>
      <c r="C183" s="469"/>
      <c r="D183" s="469"/>
      <c r="E183" s="469"/>
      <c r="F183" s="469"/>
      <c r="G183" s="469"/>
      <c r="H183" s="469"/>
      <c r="I183" s="469"/>
      <c r="J183" s="469"/>
      <c r="K183" s="469"/>
      <c r="L183" s="469"/>
      <c r="M183" s="469"/>
      <c r="N183" s="477"/>
      <c r="O183" s="475"/>
      <c r="P183" s="476"/>
      <c r="Q183" s="454"/>
      <c r="R183" s="380"/>
      <c r="S183" s="550">
        <v>0</v>
      </c>
      <c r="T183" s="480"/>
      <c r="U183" s="390"/>
      <c r="V183" s="479"/>
      <c r="W183" s="6"/>
    </row>
    <row r="184" spans="1:23" ht="15.6">
      <c r="A184" s="465"/>
      <c r="B184" s="379" t="s">
        <v>75</v>
      </c>
      <c r="C184" s="469"/>
      <c r="D184" s="469"/>
      <c r="E184" s="469"/>
      <c r="F184" s="469"/>
      <c r="G184" s="469"/>
      <c r="H184" s="469"/>
      <c r="I184" s="469"/>
      <c r="J184" s="469"/>
      <c r="K184" s="469"/>
      <c r="L184" s="469"/>
      <c r="M184" s="469"/>
      <c r="N184" s="477"/>
      <c r="O184" s="475"/>
      <c r="P184" s="476"/>
      <c r="Q184" s="454"/>
      <c r="R184" s="380"/>
      <c r="S184" s="550">
        <v>0</v>
      </c>
      <c r="T184" s="480"/>
      <c r="U184" s="390"/>
      <c r="V184" s="479"/>
      <c r="W184" s="6"/>
    </row>
    <row r="185" spans="1:23" ht="15.6">
      <c r="A185" s="465"/>
      <c r="B185" s="379" t="s">
        <v>79</v>
      </c>
      <c r="C185" s="469"/>
      <c r="D185" s="469"/>
      <c r="E185" s="469"/>
      <c r="F185" s="469"/>
      <c r="G185" s="469"/>
      <c r="H185" s="469"/>
      <c r="I185" s="469"/>
      <c r="J185" s="469"/>
      <c r="K185" s="469"/>
      <c r="L185" s="469"/>
      <c r="M185" s="469"/>
      <c r="N185" s="477"/>
      <c r="O185" s="475"/>
      <c r="P185" s="476"/>
      <c r="Q185" s="454"/>
      <c r="R185" s="380"/>
      <c r="S185" s="550">
        <v>0</v>
      </c>
      <c r="T185" s="480"/>
      <c r="U185" s="390"/>
      <c r="V185" s="479"/>
      <c r="W185" s="6"/>
    </row>
    <row r="186" spans="1:23" ht="15.6">
      <c r="A186" s="465"/>
      <c r="B186" s="473"/>
      <c r="C186" s="469"/>
      <c r="D186" s="469"/>
      <c r="E186" s="469"/>
      <c r="F186" s="469"/>
      <c r="G186" s="469"/>
      <c r="H186" s="469"/>
      <c r="I186" s="469"/>
      <c r="J186" s="469"/>
      <c r="K186" s="469"/>
      <c r="L186" s="469"/>
      <c r="M186" s="477"/>
      <c r="N186" s="475"/>
      <c r="O186" s="476"/>
      <c r="P186" s="454"/>
      <c r="Q186" s="454"/>
      <c r="R186" s="454"/>
      <c r="S186" s="537"/>
      <c r="T186" s="454"/>
      <c r="U186" s="470"/>
      <c r="V186" s="474"/>
      <c r="W186" s="6"/>
    </row>
    <row r="187" spans="1:23" ht="17.399999999999999">
      <c r="A187" s="465"/>
      <c r="B187" s="482" t="s">
        <v>196</v>
      </c>
      <c r="C187" s="469"/>
      <c r="D187" s="469"/>
      <c r="E187" s="469"/>
      <c r="F187" s="469"/>
      <c r="G187" s="469"/>
      <c r="H187" s="469"/>
      <c r="I187" s="469"/>
      <c r="J187" s="469"/>
      <c r="K187" s="483" t="s">
        <v>195</v>
      </c>
      <c r="L187" s="469"/>
      <c r="M187" s="477"/>
      <c r="N187" s="475"/>
      <c r="O187" s="476"/>
      <c r="P187" s="454"/>
      <c r="Q187" s="454"/>
      <c r="R187" s="454"/>
      <c r="S187" s="481"/>
      <c r="T187" s="454"/>
      <c r="U187" s="470"/>
      <c r="V187" s="474"/>
      <c r="W187" s="6"/>
    </row>
    <row r="188" spans="1:23" ht="15.6">
      <c r="A188" s="242"/>
      <c r="B188" s="460"/>
      <c r="C188" s="461"/>
      <c r="D188" s="461"/>
      <c r="E188" s="461"/>
      <c r="F188" s="461"/>
      <c r="G188" s="461"/>
      <c r="H188" s="461"/>
      <c r="I188" s="461"/>
      <c r="J188" s="461"/>
      <c r="K188" s="461"/>
      <c r="L188" s="461"/>
      <c r="M188" s="462"/>
      <c r="N188" s="461"/>
      <c r="O188" s="462"/>
      <c r="P188" s="461"/>
      <c r="Q188" s="462"/>
      <c r="R188" s="461"/>
      <c r="S188" s="462"/>
      <c r="T188" s="461"/>
      <c r="U188" s="463"/>
      <c r="V188" s="464"/>
      <c r="W188" s="6"/>
    </row>
    <row r="189" spans="1:23" ht="15.6">
      <c r="A189" s="348"/>
      <c r="B189" s="525" t="s">
        <v>80</v>
      </c>
      <c r="C189" s="343"/>
      <c r="D189" s="343"/>
      <c r="E189" s="343"/>
      <c r="F189" s="343"/>
      <c r="G189" s="343"/>
      <c r="H189" s="343"/>
      <c r="I189" s="343"/>
      <c r="J189" s="343"/>
      <c r="K189" s="343"/>
      <c r="L189" s="343"/>
      <c r="M189" s="525" t="s">
        <v>100</v>
      </c>
      <c r="N189" s="526"/>
      <c r="O189" s="527"/>
      <c r="P189" s="526"/>
      <c r="Q189" s="525"/>
      <c r="R189" s="525" t="s">
        <v>26</v>
      </c>
      <c r="S189" s="527"/>
      <c r="T189" s="526"/>
      <c r="U189" s="346"/>
      <c r="V189" s="528"/>
      <c r="W189" s="6"/>
    </row>
    <row r="190" spans="1:23" ht="15.6">
      <c r="A190" s="365"/>
      <c r="B190" s="366"/>
      <c r="C190" s="529"/>
      <c r="D190" s="529"/>
      <c r="E190" s="529"/>
      <c r="F190" s="529"/>
      <c r="G190" s="529"/>
      <c r="H190" s="529"/>
      <c r="I190" s="529"/>
      <c r="J190" s="529"/>
      <c r="K190" s="529"/>
      <c r="L190" s="529" t="s">
        <v>94</v>
      </c>
      <c r="M190" s="530" t="s">
        <v>101</v>
      </c>
      <c r="N190" s="529" t="s">
        <v>103</v>
      </c>
      <c r="O190" s="530" t="s">
        <v>101</v>
      </c>
      <c r="P190" s="530"/>
      <c r="Q190" s="529" t="s">
        <v>94</v>
      </c>
      <c r="R190" s="530" t="s">
        <v>101</v>
      </c>
      <c r="S190" s="529" t="s">
        <v>103</v>
      </c>
      <c r="T190" s="530" t="s">
        <v>101</v>
      </c>
      <c r="U190" s="369"/>
      <c r="V190" s="531"/>
      <c r="W190" s="6"/>
    </row>
    <row r="191" spans="1:23" ht="15.6">
      <c r="A191" s="316"/>
      <c r="B191" s="360" t="s">
        <v>81</v>
      </c>
      <c r="C191" s="361"/>
      <c r="D191" s="361"/>
      <c r="E191" s="361"/>
      <c r="F191" s="361"/>
      <c r="G191" s="361"/>
      <c r="H191" s="361"/>
      <c r="I191" s="361"/>
      <c r="J191" s="361"/>
      <c r="K191" s="361"/>
      <c r="L191" s="361">
        <v>170</v>
      </c>
      <c r="M191" s="362">
        <f t="shared" ref="M191:M197" si="0">+L191/$L$198</f>
        <v>0.6071428571428571</v>
      </c>
      <c r="N191" s="361">
        <v>630</v>
      </c>
      <c r="O191" s="362">
        <f t="shared" ref="O191:O197" si="1">N191/$N$198</f>
        <v>0.81081081081081086</v>
      </c>
      <c r="P191" s="363"/>
      <c r="Q191" s="361">
        <v>10</v>
      </c>
      <c r="R191" s="362">
        <f t="shared" ref="R191:R197" si="2">+Q191/$Q$198</f>
        <v>6.4516129032258063E-2</v>
      </c>
      <c r="S191" s="552">
        <v>12</v>
      </c>
      <c r="T191" s="362">
        <f>+S191/$S$198</f>
        <v>0.10169491525423729</v>
      </c>
      <c r="U191" s="364"/>
      <c r="V191" s="312"/>
      <c r="W191" s="6"/>
    </row>
    <row r="192" spans="1:23" ht="15.6">
      <c r="A192" s="444"/>
      <c r="B192" s="440" t="s">
        <v>82</v>
      </c>
      <c r="C192" s="489"/>
      <c r="D192" s="489"/>
      <c r="E192" s="489"/>
      <c r="F192" s="489"/>
      <c r="G192" s="489"/>
      <c r="H192" s="489"/>
      <c r="I192" s="489"/>
      <c r="J192" s="489"/>
      <c r="K192" s="489"/>
      <c r="L192" s="489">
        <v>6</v>
      </c>
      <c r="M192" s="427">
        <f t="shared" si="0"/>
        <v>2.1428571428571429E-2</v>
      </c>
      <c r="N192" s="553">
        <v>10</v>
      </c>
      <c r="O192" s="427">
        <f>N192/$N$198</f>
        <v>1.2870012870012869E-2</v>
      </c>
      <c r="P192" s="381"/>
      <c r="Q192" s="489">
        <v>5</v>
      </c>
      <c r="R192" s="427">
        <f t="shared" si="2"/>
        <v>3.2258064516129031E-2</v>
      </c>
      <c r="S192" s="553">
        <v>2</v>
      </c>
      <c r="T192" s="427">
        <f>+S192/$S$198</f>
        <v>1.6949152542372881E-2</v>
      </c>
      <c r="U192" s="379"/>
      <c r="V192" s="435"/>
      <c r="W192" s="6"/>
    </row>
    <row r="193" spans="1:24" ht="15.6">
      <c r="A193" s="444"/>
      <c r="B193" s="440" t="s">
        <v>83</v>
      </c>
      <c r="C193" s="489"/>
      <c r="D193" s="489"/>
      <c r="E193" s="489"/>
      <c r="F193" s="489"/>
      <c r="G193" s="489"/>
      <c r="H193" s="489"/>
      <c r="I193" s="489"/>
      <c r="J193" s="489"/>
      <c r="K193" s="489"/>
      <c r="L193" s="489">
        <v>14</v>
      </c>
      <c r="M193" s="427">
        <f t="shared" si="0"/>
        <v>0.05</v>
      </c>
      <c r="N193" s="489">
        <v>25</v>
      </c>
      <c r="O193" s="427">
        <f>N193/$N$198</f>
        <v>3.2175032175032175E-2</v>
      </c>
      <c r="P193" s="381"/>
      <c r="Q193" s="489">
        <v>10</v>
      </c>
      <c r="R193" s="427">
        <f t="shared" si="2"/>
        <v>6.4516129032258063E-2</v>
      </c>
      <c r="S193" s="553">
        <v>3</v>
      </c>
      <c r="T193" s="427">
        <f>+S193/$S$198</f>
        <v>2.5423728813559324E-2</v>
      </c>
      <c r="U193" s="379"/>
      <c r="V193" s="435"/>
      <c r="W193" s="6"/>
    </row>
    <row r="194" spans="1:24" ht="15.6">
      <c r="A194" s="444"/>
      <c r="B194" s="440" t="s">
        <v>186</v>
      </c>
      <c r="C194" s="489"/>
      <c r="D194" s="489"/>
      <c r="E194" s="489"/>
      <c r="F194" s="489"/>
      <c r="G194" s="489"/>
      <c r="H194" s="489"/>
      <c r="I194" s="489"/>
      <c r="J194" s="489"/>
      <c r="K194" s="489"/>
      <c r="L194" s="489">
        <v>10</v>
      </c>
      <c r="M194" s="427">
        <f t="shared" si="0"/>
        <v>3.5714285714285712E-2</v>
      </c>
      <c r="N194" s="489">
        <v>5</v>
      </c>
      <c r="O194" s="427">
        <f t="shared" si="1"/>
        <v>6.4350064350064346E-3</v>
      </c>
      <c r="P194" s="381"/>
      <c r="Q194" s="489">
        <v>10</v>
      </c>
      <c r="R194" s="551">
        <f t="shared" si="2"/>
        <v>6.4516129032258063E-2</v>
      </c>
      <c r="S194" s="489">
        <v>7</v>
      </c>
      <c r="T194" s="427">
        <f>+S194/$S$198</f>
        <v>5.9322033898305086E-2</v>
      </c>
      <c r="U194" s="379"/>
      <c r="V194" s="435"/>
      <c r="W194" s="6"/>
    </row>
    <row r="195" spans="1:24" ht="15.6">
      <c r="A195" s="444"/>
      <c r="B195" s="440" t="s">
        <v>187</v>
      </c>
      <c r="C195" s="489"/>
      <c r="D195" s="489"/>
      <c r="E195" s="489"/>
      <c r="F195" s="489"/>
      <c r="G195" s="489"/>
      <c r="H195" s="489"/>
      <c r="I195" s="489"/>
      <c r="J195" s="489"/>
      <c r="K195" s="489"/>
      <c r="L195" s="489">
        <v>9</v>
      </c>
      <c r="M195" s="427">
        <f t="shared" si="0"/>
        <v>3.214285714285714E-2</v>
      </c>
      <c r="N195" s="489">
        <v>21</v>
      </c>
      <c r="O195" s="427">
        <f t="shared" si="1"/>
        <v>2.7027027027027029E-2</v>
      </c>
      <c r="P195" s="381"/>
      <c r="Q195" s="489">
        <v>13</v>
      </c>
      <c r="R195" s="427">
        <f t="shared" si="2"/>
        <v>8.387096774193549E-2</v>
      </c>
      <c r="S195" s="489">
        <v>10</v>
      </c>
      <c r="T195" s="427">
        <f>+S195/$S$198</f>
        <v>8.4745762711864403E-2</v>
      </c>
      <c r="U195" s="379"/>
      <c r="V195" s="435"/>
      <c r="W195" s="6"/>
    </row>
    <row r="196" spans="1:24" ht="15.6">
      <c r="A196" s="444"/>
      <c r="B196" s="440" t="s">
        <v>188</v>
      </c>
      <c r="C196" s="489"/>
      <c r="D196" s="489"/>
      <c r="E196" s="489"/>
      <c r="F196" s="489"/>
      <c r="G196" s="489"/>
      <c r="H196" s="489"/>
      <c r="I196" s="489"/>
      <c r="J196" s="489"/>
      <c r="K196" s="489"/>
      <c r="L196" s="489">
        <v>7</v>
      </c>
      <c r="M196" s="427">
        <f t="shared" si="0"/>
        <v>2.5000000000000001E-2</v>
      </c>
      <c r="N196" s="489">
        <v>4</v>
      </c>
      <c r="O196" s="427">
        <f t="shared" si="1"/>
        <v>5.1480051480051478E-3</v>
      </c>
      <c r="P196" s="381"/>
      <c r="Q196" s="489">
        <v>18</v>
      </c>
      <c r="R196" s="427">
        <f t="shared" si="2"/>
        <v>0.11612903225806452</v>
      </c>
      <c r="S196" s="489">
        <v>9</v>
      </c>
      <c r="T196" s="427">
        <f t="shared" ref="T196:T197" si="3">+S196/$S$198</f>
        <v>7.6271186440677971E-2</v>
      </c>
      <c r="U196" s="379"/>
      <c r="V196" s="435"/>
      <c r="W196" s="6"/>
    </row>
    <row r="197" spans="1:24" ht="15.6">
      <c r="A197" s="444"/>
      <c r="B197" s="440" t="s">
        <v>189</v>
      </c>
      <c r="C197" s="489"/>
      <c r="D197" s="489"/>
      <c r="E197" s="489"/>
      <c r="F197" s="489"/>
      <c r="G197" s="489"/>
      <c r="H197" s="489"/>
      <c r="I197" s="489"/>
      <c r="J197" s="489"/>
      <c r="K197" s="489"/>
      <c r="L197" s="489">
        <v>64</v>
      </c>
      <c r="M197" s="427">
        <f t="shared" si="0"/>
        <v>0.22857142857142856</v>
      </c>
      <c r="N197" s="489">
        <v>82</v>
      </c>
      <c r="O197" s="427">
        <f t="shared" si="1"/>
        <v>0.10553410553410554</v>
      </c>
      <c r="P197" s="381"/>
      <c r="Q197" s="489">
        <v>89</v>
      </c>
      <c r="R197" s="427">
        <f t="shared" si="2"/>
        <v>0.5741935483870968</v>
      </c>
      <c r="S197" s="489">
        <v>75</v>
      </c>
      <c r="T197" s="427">
        <f t="shared" si="3"/>
        <v>0.63559322033898302</v>
      </c>
      <c r="U197" s="379"/>
      <c r="V197" s="435"/>
      <c r="W197" s="6"/>
    </row>
    <row r="198" spans="1:24" ht="15.6">
      <c r="A198" s="444"/>
      <c r="B198" s="440" t="s">
        <v>84</v>
      </c>
      <c r="C198" s="489"/>
      <c r="D198" s="489"/>
      <c r="E198" s="489"/>
      <c r="F198" s="489"/>
      <c r="G198" s="489"/>
      <c r="H198" s="489"/>
      <c r="I198" s="489"/>
      <c r="J198" s="489"/>
      <c r="K198" s="489"/>
      <c r="L198" s="489">
        <f>SUM(L191:L197)</f>
        <v>280</v>
      </c>
      <c r="M198" s="427">
        <f>SUM(M191:M197)</f>
        <v>1</v>
      </c>
      <c r="N198" s="489">
        <f>SUM(N191:N197)</f>
        <v>777</v>
      </c>
      <c r="O198" s="427">
        <f>SUM(O191:O197)</f>
        <v>1</v>
      </c>
      <c r="P198" s="381"/>
      <c r="Q198" s="489">
        <f>SUM(Q191:Q197)</f>
        <v>155</v>
      </c>
      <c r="R198" s="427">
        <f>SUM(R191:R197)</f>
        <v>1</v>
      </c>
      <c r="S198" s="489">
        <f>SUM(S191:S197)</f>
        <v>118</v>
      </c>
      <c r="T198" s="427">
        <f>SUM(T191:T197)</f>
        <v>1</v>
      </c>
      <c r="U198" s="379"/>
      <c r="V198" s="435"/>
      <c r="W198" s="6"/>
      <c r="X198" s="64"/>
    </row>
    <row r="199" spans="1:24" ht="15.6">
      <c r="A199" s="444"/>
      <c r="B199" s="440" t="s">
        <v>85</v>
      </c>
      <c r="C199" s="489"/>
      <c r="D199" s="489"/>
      <c r="E199" s="489"/>
      <c r="F199" s="489"/>
      <c r="G199" s="489"/>
      <c r="H199" s="489"/>
      <c r="I199" s="489"/>
      <c r="J199" s="489"/>
      <c r="K199" s="489"/>
      <c r="L199" s="489">
        <v>763</v>
      </c>
      <c r="M199" s="380"/>
      <c r="N199" s="489">
        <v>4404</v>
      </c>
      <c r="O199" s="380"/>
      <c r="P199" s="381"/>
      <c r="Q199" s="489">
        <v>441</v>
      </c>
      <c r="R199" s="380"/>
      <c r="S199" s="489">
        <v>957</v>
      </c>
      <c r="T199" s="380"/>
      <c r="U199" s="379"/>
      <c r="V199" s="435"/>
      <c r="W199" s="6"/>
      <c r="X199" s="64"/>
    </row>
    <row r="200" spans="1:24" ht="15.6">
      <c r="A200" s="444"/>
      <c r="B200" s="440" t="s">
        <v>86</v>
      </c>
      <c r="C200" s="489"/>
      <c r="D200" s="489"/>
      <c r="E200" s="489"/>
      <c r="F200" s="489"/>
      <c r="G200" s="489"/>
      <c r="H200" s="489"/>
      <c r="I200" s="489"/>
      <c r="J200" s="489"/>
      <c r="K200" s="489"/>
      <c r="L200" s="489">
        <f>SUM(L198:L199)</f>
        <v>1043</v>
      </c>
      <c r="M200" s="450"/>
      <c r="N200" s="489">
        <f>SUM(N198:N199)</f>
        <v>5181</v>
      </c>
      <c r="O200" s="490"/>
      <c r="P200" s="450"/>
      <c r="Q200" s="489">
        <f>SUM(Q198:Q199)</f>
        <v>596</v>
      </c>
      <c r="R200" s="450"/>
      <c r="S200" s="489">
        <f>SUM(S198:S199)</f>
        <v>1075</v>
      </c>
      <c r="T200" s="450"/>
      <c r="U200" s="450"/>
      <c r="V200" s="435"/>
      <c r="W200" s="6"/>
      <c r="X200" s="64"/>
    </row>
    <row r="201" spans="1:24" ht="15.6">
      <c r="A201" s="242"/>
      <c r="B201" s="484"/>
      <c r="C201" s="485"/>
      <c r="D201" s="485"/>
      <c r="E201" s="485"/>
      <c r="F201" s="485"/>
      <c r="G201" s="485"/>
      <c r="H201" s="485"/>
      <c r="I201" s="485"/>
      <c r="J201" s="485"/>
      <c r="K201" s="485"/>
      <c r="L201" s="532"/>
      <c r="M201" s="533"/>
      <c r="N201" s="532"/>
      <c r="O201" s="533"/>
      <c r="P201" s="488"/>
      <c r="Q201" s="532"/>
      <c r="R201" s="533"/>
      <c r="S201" s="532"/>
      <c r="T201" s="533"/>
      <c r="U201" s="463"/>
      <c r="V201" s="464"/>
      <c r="W201" s="6"/>
    </row>
    <row r="202" spans="1:24" ht="15.6">
      <c r="A202" s="349"/>
      <c r="B202" s="525" t="s">
        <v>80</v>
      </c>
      <c r="C202" s="526"/>
      <c r="D202" s="526"/>
      <c r="E202" s="526"/>
      <c r="F202" s="526"/>
      <c r="G202" s="526"/>
      <c r="H202" s="526"/>
      <c r="I202" s="526"/>
      <c r="J202" s="526"/>
      <c r="K202" s="526"/>
      <c r="L202" s="526"/>
      <c r="M202" s="525" t="s">
        <v>27</v>
      </c>
      <c r="N202" s="526"/>
      <c r="O202" s="527"/>
      <c r="P202" s="526"/>
      <c r="Q202" s="525"/>
      <c r="R202" s="525" t="s">
        <v>28</v>
      </c>
      <c r="S202" s="527"/>
      <c r="T202" s="526"/>
      <c r="U202" s="346"/>
      <c r="V202" s="528"/>
      <c r="W202" s="6"/>
    </row>
    <row r="203" spans="1:24" ht="15.6">
      <c r="A203" s="371"/>
      <c r="B203" s="372"/>
      <c r="C203" s="534"/>
      <c r="D203" s="534"/>
      <c r="E203" s="534"/>
      <c r="F203" s="534"/>
      <c r="G203" s="534"/>
      <c r="H203" s="534"/>
      <c r="I203" s="534"/>
      <c r="J203" s="534"/>
      <c r="K203" s="534"/>
      <c r="L203" s="534" t="s">
        <v>94</v>
      </c>
      <c r="M203" s="535" t="s">
        <v>101</v>
      </c>
      <c r="N203" s="534" t="s">
        <v>103</v>
      </c>
      <c r="O203" s="535" t="s">
        <v>101</v>
      </c>
      <c r="P203" s="535"/>
      <c r="Q203" s="534" t="s">
        <v>94</v>
      </c>
      <c r="R203" s="535" t="s">
        <v>101</v>
      </c>
      <c r="S203" s="534" t="s">
        <v>103</v>
      </c>
      <c r="T203" s="535" t="s">
        <v>101</v>
      </c>
      <c r="U203" s="375"/>
      <c r="V203" s="536"/>
      <c r="W203" s="6"/>
    </row>
    <row r="204" spans="1:24" ht="15.6">
      <c r="A204" s="315"/>
      <c r="B204" s="310" t="s">
        <v>81</v>
      </c>
      <c r="C204" s="351"/>
      <c r="D204" s="351"/>
      <c r="E204" s="351"/>
      <c r="F204" s="351"/>
      <c r="G204" s="351"/>
      <c r="H204" s="351"/>
      <c r="I204" s="351"/>
      <c r="J204" s="351"/>
      <c r="K204" s="351"/>
      <c r="L204" s="351">
        <v>3239</v>
      </c>
      <c r="M204" s="299">
        <f t="shared" ref="M204:M210" si="4">+L204/$L$211</f>
        <v>0.89648491558261834</v>
      </c>
      <c r="N204" s="351">
        <v>64976</v>
      </c>
      <c r="O204" s="299">
        <f t="shared" ref="O204:O210" si="5">+N204/$N$211</f>
        <v>0.8900334228261465</v>
      </c>
      <c r="P204" s="296"/>
      <c r="Q204" s="351">
        <v>21</v>
      </c>
      <c r="R204" s="299">
        <f t="shared" ref="R204:R210" si="6">Q204/$Q$211</f>
        <v>0.80769230769230771</v>
      </c>
      <c r="S204" s="351">
        <v>75</v>
      </c>
      <c r="T204" s="299">
        <f t="shared" ref="T204:T210" si="7">+S204/$S$211</f>
        <v>0.58139534883720934</v>
      </c>
      <c r="U204" s="294"/>
      <c r="V204" s="301"/>
      <c r="W204" s="6"/>
    </row>
    <row r="205" spans="1:24" ht="15.6">
      <c r="A205" s="444"/>
      <c r="B205" s="440" t="s">
        <v>82</v>
      </c>
      <c r="C205" s="489"/>
      <c r="D205" s="489"/>
      <c r="E205" s="489"/>
      <c r="F205" s="489"/>
      <c r="G205" s="489"/>
      <c r="H205" s="489"/>
      <c r="I205" s="489"/>
      <c r="J205" s="489"/>
      <c r="K205" s="489"/>
      <c r="L205" s="489">
        <v>74</v>
      </c>
      <c r="M205" s="427">
        <f t="shared" si="4"/>
        <v>2.0481594243011349E-2</v>
      </c>
      <c r="N205" s="489">
        <v>1479</v>
      </c>
      <c r="O205" s="427">
        <f t="shared" si="5"/>
        <v>2.0259163881431154E-2</v>
      </c>
      <c r="P205" s="381"/>
      <c r="Q205" s="489">
        <v>4</v>
      </c>
      <c r="R205" s="427">
        <f t="shared" si="6"/>
        <v>0.15384615384615385</v>
      </c>
      <c r="S205" s="489">
        <v>53</v>
      </c>
      <c r="T205" s="427">
        <f t="shared" si="7"/>
        <v>0.41085271317829458</v>
      </c>
      <c r="U205" s="379"/>
      <c r="V205" s="435"/>
      <c r="W205" s="6"/>
    </row>
    <row r="206" spans="1:24" ht="15.6">
      <c r="A206" s="444"/>
      <c r="B206" s="440" t="s">
        <v>83</v>
      </c>
      <c r="C206" s="489"/>
      <c r="D206" s="489"/>
      <c r="E206" s="489"/>
      <c r="F206" s="489"/>
      <c r="G206" s="489"/>
      <c r="H206" s="489"/>
      <c r="I206" s="489"/>
      <c r="J206" s="489"/>
      <c r="K206" s="489"/>
      <c r="L206" s="489">
        <v>45</v>
      </c>
      <c r="M206" s="427">
        <f t="shared" si="4"/>
        <v>1.2455023526155549E-2</v>
      </c>
      <c r="N206" s="489">
        <v>932</v>
      </c>
      <c r="O206" s="427">
        <f t="shared" si="5"/>
        <v>1.2766423757602324E-2</v>
      </c>
      <c r="P206" s="381"/>
      <c r="Q206" s="489">
        <v>0</v>
      </c>
      <c r="R206" s="427">
        <f t="shared" si="6"/>
        <v>0</v>
      </c>
      <c r="S206" s="489">
        <v>0</v>
      </c>
      <c r="T206" s="427">
        <f t="shared" si="7"/>
        <v>0</v>
      </c>
      <c r="U206" s="379"/>
      <c r="V206" s="435"/>
      <c r="W206" s="6"/>
      <c r="X206" s="182"/>
    </row>
    <row r="207" spans="1:24" ht="15.6">
      <c r="A207" s="444"/>
      <c r="B207" s="440" t="s">
        <v>186</v>
      </c>
      <c r="C207" s="489"/>
      <c r="D207" s="489"/>
      <c r="E207" s="489"/>
      <c r="F207" s="489"/>
      <c r="G207" s="489"/>
      <c r="H207" s="489"/>
      <c r="I207" s="489"/>
      <c r="J207" s="489"/>
      <c r="K207" s="489"/>
      <c r="L207" s="489">
        <v>49</v>
      </c>
      <c r="M207" s="427">
        <f t="shared" si="4"/>
        <v>1.3562136728480487E-2</v>
      </c>
      <c r="N207" s="489">
        <v>1237</v>
      </c>
      <c r="O207" s="427">
        <f t="shared" si="5"/>
        <v>1.6944277025916388E-2</v>
      </c>
      <c r="P207" s="381"/>
      <c r="Q207" s="489">
        <v>1</v>
      </c>
      <c r="R207" s="427">
        <f t="shared" si="6"/>
        <v>3.8461538461538464E-2</v>
      </c>
      <c r="S207" s="489">
        <v>1</v>
      </c>
      <c r="T207" s="427">
        <f t="shared" si="7"/>
        <v>7.7519379844961239E-3</v>
      </c>
      <c r="U207" s="379"/>
      <c r="V207" s="435"/>
      <c r="W207" s="6"/>
    </row>
    <row r="208" spans="1:24" ht="15.6">
      <c r="A208" s="444"/>
      <c r="B208" s="440" t="s">
        <v>187</v>
      </c>
      <c r="C208" s="489"/>
      <c r="D208" s="489"/>
      <c r="E208" s="489"/>
      <c r="F208" s="489"/>
      <c r="G208" s="489"/>
      <c r="H208" s="489"/>
      <c r="I208" s="489"/>
      <c r="J208" s="489"/>
      <c r="K208" s="489"/>
      <c r="L208" s="489">
        <v>30</v>
      </c>
      <c r="M208" s="427">
        <f t="shared" si="4"/>
        <v>8.3033490174370325E-3</v>
      </c>
      <c r="N208" s="489">
        <v>568</v>
      </c>
      <c r="O208" s="427">
        <f t="shared" si="5"/>
        <v>7.7803955947619305E-3</v>
      </c>
      <c r="P208" s="381"/>
      <c r="Q208" s="489">
        <v>0</v>
      </c>
      <c r="R208" s="427">
        <f t="shared" si="6"/>
        <v>0</v>
      </c>
      <c r="S208" s="489">
        <v>0</v>
      </c>
      <c r="T208" s="427">
        <f t="shared" si="7"/>
        <v>0</v>
      </c>
      <c r="U208" s="379"/>
      <c r="V208" s="435"/>
      <c r="W208" s="6"/>
    </row>
    <row r="209" spans="1:24" ht="15.6">
      <c r="A209" s="444"/>
      <c r="B209" s="440" t="s">
        <v>188</v>
      </c>
      <c r="C209" s="489"/>
      <c r="D209" s="489"/>
      <c r="E209" s="489"/>
      <c r="F209" s="489"/>
      <c r="G209" s="489"/>
      <c r="H209" s="489"/>
      <c r="I209" s="489"/>
      <c r="J209" s="489"/>
      <c r="K209" s="489"/>
      <c r="L209" s="489">
        <v>36</v>
      </c>
      <c r="M209" s="427">
        <f t="shared" si="4"/>
        <v>9.9640188209244394E-3</v>
      </c>
      <c r="N209" s="489">
        <v>694</v>
      </c>
      <c r="O209" s="427">
        <f t="shared" si="5"/>
        <v>9.506328420360529E-3</v>
      </c>
      <c r="P209" s="381"/>
      <c r="Q209" s="489">
        <v>0</v>
      </c>
      <c r="R209" s="427">
        <f t="shared" si="6"/>
        <v>0</v>
      </c>
      <c r="S209" s="489">
        <v>0</v>
      </c>
      <c r="T209" s="427">
        <f t="shared" si="7"/>
        <v>0</v>
      </c>
      <c r="U209" s="379"/>
      <c r="V209" s="435"/>
      <c r="W209" s="6"/>
    </row>
    <row r="210" spans="1:24" ht="15.6">
      <c r="A210" s="444"/>
      <c r="B210" s="440" t="s">
        <v>189</v>
      </c>
      <c r="C210" s="489"/>
      <c r="D210" s="489"/>
      <c r="E210" s="489"/>
      <c r="F210" s="489"/>
      <c r="G210" s="489"/>
      <c r="H210" s="489"/>
      <c r="I210" s="489"/>
      <c r="J210" s="489"/>
      <c r="K210" s="489"/>
      <c r="L210" s="489">
        <v>140</v>
      </c>
      <c r="M210" s="427">
        <f t="shared" si="4"/>
        <v>3.8748962081372823E-2</v>
      </c>
      <c r="N210" s="489">
        <v>3118</v>
      </c>
      <c r="O210" s="427">
        <f t="shared" si="5"/>
        <v>4.2709988493781166E-2</v>
      </c>
      <c r="P210" s="381"/>
      <c r="Q210" s="489">
        <v>0</v>
      </c>
      <c r="R210" s="427">
        <f t="shared" si="6"/>
        <v>0</v>
      </c>
      <c r="S210" s="489">
        <v>0</v>
      </c>
      <c r="T210" s="427">
        <f t="shared" si="7"/>
        <v>0</v>
      </c>
      <c r="U210" s="379"/>
      <c r="V210" s="435"/>
      <c r="W210" s="6"/>
    </row>
    <row r="211" spans="1:24" ht="15.6">
      <c r="A211" s="444"/>
      <c r="B211" s="440" t="str">
        <f>B198</f>
        <v>Total Performing  Assets</v>
      </c>
      <c r="C211" s="489"/>
      <c r="D211" s="489"/>
      <c r="E211" s="489"/>
      <c r="F211" s="489"/>
      <c r="G211" s="489"/>
      <c r="H211" s="489"/>
      <c r="I211" s="489"/>
      <c r="J211" s="489"/>
      <c r="K211" s="489"/>
      <c r="L211" s="489">
        <f>SUM(L204:L210)</f>
        <v>3613</v>
      </c>
      <c r="M211" s="427">
        <f>SUM(M204:M210)</f>
        <v>1</v>
      </c>
      <c r="N211" s="489">
        <f>SUM(N204:N210)</f>
        <v>73004</v>
      </c>
      <c r="O211" s="427">
        <f>SUM(O204:O210)</f>
        <v>0.99999999999999989</v>
      </c>
      <c r="P211" s="381"/>
      <c r="Q211" s="489">
        <f>SUM(Q204:Q210)</f>
        <v>26</v>
      </c>
      <c r="R211" s="427">
        <f>SUM(R204:R210)</f>
        <v>1</v>
      </c>
      <c r="S211" s="489">
        <f>SUM(S204:S210)</f>
        <v>129</v>
      </c>
      <c r="T211" s="427">
        <f>SUM(T204:T210)</f>
        <v>1</v>
      </c>
      <c r="U211" s="379"/>
      <c r="V211" s="435"/>
      <c r="W211" s="6"/>
    </row>
    <row r="212" spans="1:24" ht="15.6">
      <c r="A212" s="444"/>
      <c r="B212" s="440" t="s">
        <v>85</v>
      </c>
      <c r="C212" s="489"/>
      <c r="D212" s="489"/>
      <c r="E212" s="489"/>
      <c r="F212" s="489"/>
      <c r="G212" s="489"/>
      <c r="H212" s="489"/>
      <c r="I212" s="489"/>
      <c r="J212" s="489"/>
      <c r="K212" s="489"/>
      <c r="L212" s="489">
        <v>271</v>
      </c>
      <c r="M212" s="381"/>
      <c r="N212" s="489">
        <v>7457</v>
      </c>
      <c r="O212" s="380"/>
      <c r="P212" s="381"/>
      <c r="Q212" s="489">
        <v>10</v>
      </c>
      <c r="R212" s="381"/>
      <c r="S212" s="489">
        <v>133</v>
      </c>
      <c r="T212" s="381"/>
      <c r="U212" s="379"/>
      <c r="V212" s="435"/>
      <c r="W212" s="6"/>
    </row>
    <row r="213" spans="1:24" ht="15.6">
      <c r="A213" s="444"/>
      <c r="B213" s="440" t="s">
        <v>86</v>
      </c>
      <c r="C213" s="489"/>
      <c r="D213" s="489"/>
      <c r="E213" s="489"/>
      <c r="F213" s="489"/>
      <c r="G213" s="489"/>
      <c r="H213" s="489"/>
      <c r="I213" s="489"/>
      <c r="J213" s="489"/>
      <c r="K213" s="489"/>
      <c r="L213" s="489">
        <f>SUM(L211:L212)</f>
        <v>3884</v>
      </c>
      <c r="M213" s="450"/>
      <c r="N213" s="489">
        <f>SUM(N211:N212)</f>
        <v>80461</v>
      </c>
      <c r="O213" s="427"/>
      <c r="P213" s="450"/>
      <c r="Q213" s="489">
        <f>SUM(Q211:Q212)</f>
        <v>36</v>
      </c>
      <c r="R213" s="450"/>
      <c r="S213" s="489">
        <f>SUM(S211:S212)</f>
        <v>262</v>
      </c>
      <c r="T213" s="450"/>
      <c r="U213" s="450"/>
      <c r="V213" s="492"/>
    </row>
    <row r="214" spans="1:24" ht="15.6">
      <c r="A214" s="444"/>
      <c r="B214" s="440"/>
      <c r="C214" s="381"/>
      <c r="D214" s="381"/>
      <c r="E214" s="381"/>
      <c r="F214" s="381"/>
      <c r="G214" s="381"/>
      <c r="H214" s="381"/>
      <c r="I214" s="381"/>
      <c r="J214" s="381"/>
      <c r="K214" s="381"/>
      <c r="L214" s="381"/>
      <c r="M214" s="493"/>
      <c r="N214" s="381"/>
      <c r="O214" s="493"/>
      <c r="P214" s="381"/>
      <c r="Q214" s="493"/>
      <c r="R214" s="381"/>
      <c r="S214" s="489"/>
      <c r="T214" s="381"/>
      <c r="U214" s="379"/>
      <c r="V214" s="435"/>
      <c r="W214" s="6"/>
    </row>
    <row r="215" spans="1:24" ht="15.6">
      <c r="A215" s="444"/>
      <c r="B215" s="440" t="s">
        <v>86</v>
      </c>
      <c r="C215" s="381"/>
      <c r="D215" s="381"/>
      <c r="E215" s="381"/>
      <c r="F215" s="381"/>
      <c r="G215" s="381"/>
      <c r="H215" s="381"/>
      <c r="I215" s="381"/>
      <c r="J215" s="381"/>
      <c r="K215" s="381"/>
      <c r="L215" s="493"/>
      <c r="M215" s="493"/>
      <c r="N215" s="493"/>
      <c r="O215" s="493"/>
      <c r="P215" s="381"/>
      <c r="Q215" s="493"/>
      <c r="R215" s="381"/>
      <c r="S215" s="489">
        <f>+N200+S200+N213+S213</f>
        <v>86979</v>
      </c>
      <c r="T215" s="490"/>
      <c r="U215" s="379"/>
      <c r="V215" s="435"/>
      <c r="W215" s="6"/>
      <c r="X215" s="182"/>
    </row>
    <row r="216" spans="1:24" ht="15.6">
      <c r="A216" s="316"/>
      <c r="B216" s="360"/>
      <c r="C216" s="363"/>
      <c r="D216" s="363"/>
      <c r="E216" s="363"/>
      <c r="F216" s="363"/>
      <c r="G216" s="363"/>
      <c r="H216" s="363"/>
      <c r="I216" s="363"/>
      <c r="J216" s="363"/>
      <c r="K216" s="363"/>
      <c r="L216" s="491"/>
      <c r="M216" s="491"/>
      <c r="N216" s="491"/>
      <c r="O216" s="491"/>
      <c r="P216" s="363"/>
      <c r="Q216" s="491"/>
      <c r="R216" s="363"/>
      <c r="S216" s="361"/>
      <c r="T216" s="363"/>
      <c r="U216" s="364"/>
      <c r="V216" s="312"/>
      <c r="W216" s="6"/>
    </row>
    <row r="217" spans="1:24" ht="15.6">
      <c r="A217" s="349"/>
      <c r="B217" s="357" t="s">
        <v>87</v>
      </c>
      <c r="C217" s="526"/>
      <c r="D217" s="526"/>
      <c r="E217" s="526"/>
      <c r="F217" s="526"/>
      <c r="G217" s="526"/>
      <c r="H217" s="526"/>
      <c r="I217" s="526"/>
      <c r="J217" s="526"/>
      <c r="K217" s="526"/>
      <c r="L217" s="526"/>
      <c r="M217" s="527"/>
      <c r="N217" s="526"/>
      <c r="O217" s="527"/>
      <c r="P217" s="526"/>
      <c r="Q217" s="527"/>
      <c r="R217" s="526"/>
      <c r="S217" s="358"/>
      <c r="T217" s="526"/>
      <c r="U217" s="350"/>
      <c r="V217" s="528"/>
      <c r="W217" s="6"/>
    </row>
    <row r="218" spans="1:24" ht="15.6">
      <c r="A218" s="315"/>
      <c r="B218" s="310"/>
      <c r="C218" s="296"/>
      <c r="D218" s="296"/>
      <c r="E218" s="296"/>
      <c r="F218" s="296"/>
      <c r="G218" s="296"/>
      <c r="H218" s="296"/>
      <c r="I218" s="296"/>
      <c r="J218" s="296"/>
      <c r="K218" s="296"/>
      <c r="L218" s="296"/>
      <c r="M218" s="352"/>
      <c r="N218" s="296"/>
      <c r="O218" s="352"/>
      <c r="P218" s="296"/>
      <c r="Q218" s="352"/>
      <c r="R218" s="296"/>
      <c r="S218" s="351"/>
      <c r="T218" s="296"/>
      <c r="U218" s="294"/>
      <c r="V218" s="301"/>
      <c r="W218" s="6"/>
    </row>
    <row r="219" spans="1:24" ht="15.6">
      <c r="A219" s="444"/>
      <c r="B219" s="440" t="s">
        <v>88</v>
      </c>
      <c r="C219" s="381"/>
      <c r="D219" s="381"/>
      <c r="E219" s="381"/>
      <c r="F219" s="381"/>
      <c r="G219" s="381"/>
      <c r="H219" s="381"/>
      <c r="I219" s="381"/>
      <c r="J219" s="381"/>
      <c r="K219" s="381"/>
      <c r="L219" s="381"/>
      <c r="M219" s="493"/>
      <c r="N219" s="381"/>
      <c r="O219" s="493"/>
      <c r="P219" s="381"/>
      <c r="Q219" s="493"/>
      <c r="R219" s="381"/>
      <c r="S219" s="489">
        <f>+N198+S198+N211+S211</f>
        <v>74028</v>
      </c>
      <c r="T219" s="381"/>
      <c r="U219" s="379"/>
      <c r="V219" s="435"/>
      <c r="W219" s="6"/>
      <c r="X219" s="182"/>
    </row>
    <row r="220" spans="1:24" ht="15.6">
      <c r="A220" s="444"/>
      <c r="B220" s="440" t="s">
        <v>89</v>
      </c>
      <c r="C220" s="381"/>
      <c r="D220" s="381"/>
      <c r="E220" s="381"/>
      <c r="F220" s="381"/>
      <c r="G220" s="381"/>
      <c r="H220" s="381"/>
      <c r="I220" s="381"/>
      <c r="J220" s="381"/>
      <c r="K220" s="381"/>
      <c r="L220" s="493"/>
      <c r="M220" s="493"/>
      <c r="N220" s="493"/>
      <c r="O220" s="493"/>
      <c r="P220" s="381"/>
      <c r="Q220" s="493"/>
      <c r="R220" s="381"/>
      <c r="S220" s="489">
        <f>+U78</f>
        <v>0</v>
      </c>
      <c r="T220" s="381"/>
      <c r="U220" s="379"/>
      <c r="V220" s="435"/>
      <c r="W220" s="119"/>
    </row>
    <row r="221" spans="1:24" ht="15.6">
      <c r="A221" s="444"/>
      <c r="B221" s="440" t="s">
        <v>90</v>
      </c>
      <c r="C221" s="381"/>
      <c r="D221" s="381"/>
      <c r="E221" s="381"/>
      <c r="F221" s="381"/>
      <c r="G221" s="381"/>
      <c r="H221" s="381"/>
      <c r="I221" s="381"/>
      <c r="J221" s="381"/>
      <c r="K221" s="381"/>
      <c r="L221" s="381"/>
      <c r="M221" s="493"/>
      <c r="N221" s="493"/>
      <c r="O221" s="493"/>
      <c r="P221" s="381"/>
      <c r="Q221" s="493"/>
      <c r="R221" s="381"/>
      <c r="S221" s="489">
        <f>SUM(S219:S220)</f>
        <v>74028</v>
      </c>
      <c r="T221" s="381"/>
      <c r="U221" s="379"/>
      <c r="V221" s="435"/>
      <c r="W221" s="6"/>
    </row>
    <row r="222" spans="1:24" ht="15.6">
      <c r="A222" s="444"/>
      <c r="B222" s="440"/>
      <c r="C222" s="381"/>
      <c r="D222" s="381"/>
      <c r="E222" s="381"/>
      <c r="F222" s="381"/>
      <c r="G222" s="381"/>
      <c r="H222" s="381"/>
      <c r="I222" s="381"/>
      <c r="J222" s="381"/>
      <c r="K222" s="381"/>
      <c r="L222" s="381"/>
      <c r="M222" s="493"/>
      <c r="N222" s="493"/>
      <c r="O222" s="493"/>
      <c r="P222" s="381"/>
      <c r="Q222" s="493"/>
      <c r="R222" s="381"/>
      <c r="S222" s="489"/>
      <c r="T222" s="381"/>
      <c r="U222" s="379"/>
      <c r="V222" s="435"/>
      <c r="W222" s="6"/>
    </row>
    <row r="223" spans="1:24" ht="15.6">
      <c r="A223" s="444"/>
      <c r="B223" s="440" t="s">
        <v>91</v>
      </c>
      <c r="C223" s="381"/>
      <c r="D223" s="381"/>
      <c r="E223" s="381"/>
      <c r="F223" s="381"/>
      <c r="G223" s="381"/>
      <c r="H223" s="381"/>
      <c r="I223" s="381"/>
      <c r="J223" s="381"/>
      <c r="K223" s="381"/>
      <c r="L223" s="381"/>
      <c r="M223" s="493"/>
      <c r="N223" s="381"/>
      <c r="O223" s="493"/>
      <c r="P223" s="381"/>
      <c r="Q223" s="493"/>
      <c r="R223" s="381"/>
      <c r="S223" s="489">
        <f>U33</f>
        <v>74028.337199999994</v>
      </c>
      <c r="T223" s="381"/>
      <c r="U223" s="379"/>
      <c r="V223" s="435"/>
      <c r="W223" s="6"/>
    </row>
    <row r="224" spans="1:24" ht="15.6">
      <c r="A224" s="444"/>
      <c r="B224" s="440"/>
      <c r="C224" s="381"/>
      <c r="D224" s="381"/>
      <c r="E224" s="381"/>
      <c r="F224" s="381"/>
      <c r="G224" s="381"/>
      <c r="H224" s="381"/>
      <c r="I224" s="381"/>
      <c r="J224" s="381"/>
      <c r="K224" s="381"/>
      <c r="L224" s="381"/>
      <c r="M224" s="493"/>
      <c r="N224" s="381"/>
      <c r="O224" s="493"/>
      <c r="P224" s="381"/>
      <c r="Q224" s="493"/>
      <c r="R224" s="381"/>
      <c r="S224" s="489"/>
      <c r="T224" s="381"/>
      <c r="U224" s="379"/>
      <c r="V224" s="435"/>
      <c r="W224" s="6"/>
    </row>
    <row r="225" spans="1:23" ht="15.6">
      <c r="A225" s="444"/>
      <c r="B225" s="440" t="s">
        <v>92</v>
      </c>
      <c r="C225" s="381"/>
      <c r="D225" s="381"/>
      <c r="E225" s="381"/>
      <c r="F225" s="381"/>
      <c r="G225" s="381"/>
      <c r="H225" s="381"/>
      <c r="I225" s="381"/>
      <c r="J225" s="381"/>
      <c r="K225" s="381"/>
      <c r="L225" s="381"/>
      <c r="M225" s="493"/>
      <c r="N225" s="381"/>
      <c r="O225" s="493"/>
      <c r="P225" s="381"/>
      <c r="Q225" s="493"/>
      <c r="R225" s="381"/>
      <c r="S225" s="489">
        <f>S221/S223</f>
        <v>0.99999544498751769</v>
      </c>
      <c r="T225" s="381"/>
      <c r="U225" s="379"/>
      <c r="V225" s="435"/>
      <c r="W225" s="6"/>
    </row>
    <row r="226" spans="1:23" ht="15.6">
      <c r="A226" s="444"/>
      <c r="B226" s="379"/>
      <c r="C226" s="379"/>
      <c r="D226" s="379"/>
      <c r="E226" s="379"/>
      <c r="F226" s="379"/>
      <c r="G226" s="379"/>
      <c r="H226" s="379"/>
      <c r="I226" s="379"/>
      <c r="J226" s="379"/>
      <c r="K226" s="379"/>
      <c r="L226" s="379"/>
      <c r="M226" s="380"/>
      <c r="N226" s="379"/>
      <c r="O226" s="379"/>
      <c r="P226" s="379"/>
      <c r="Q226" s="440"/>
      <c r="R226" s="497"/>
      <c r="S226" s="441"/>
      <c r="T226" s="497"/>
      <c r="U226" s="466"/>
      <c r="V226" s="410"/>
      <c r="W226" s="6"/>
    </row>
    <row r="227" spans="1:23" ht="15.6">
      <c r="A227" s="353"/>
      <c r="B227" s="494" t="s">
        <v>127</v>
      </c>
      <c r="C227" s="495"/>
      <c r="D227" s="495"/>
      <c r="E227" s="495"/>
      <c r="F227" s="495"/>
      <c r="G227" s="495"/>
      <c r="H227" s="495"/>
      <c r="I227" s="495"/>
      <c r="J227" s="495"/>
      <c r="K227" s="495"/>
      <c r="L227" s="495"/>
      <c r="M227" s="363"/>
      <c r="N227" s="364"/>
      <c r="O227" s="494"/>
      <c r="P227" s="443"/>
      <c r="Q227" s="443"/>
      <c r="R227" s="443"/>
      <c r="S227" s="496"/>
      <c r="T227" s="443"/>
      <c r="U227" s="443"/>
      <c r="V227" s="355"/>
      <c r="W227" s="6"/>
    </row>
    <row r="228" spans="1:23" ht="15.6">
      <c r="A228" s="353"/>
      <c r="B228" s="287" t="s">
        <v>128</v>
      </c>
      <c r="C228" s="354"/>
      <c r="D228" s="354"/>
      <c r="E228" s="354"/>
      <c r="F228" s="354"/>
      <c r="G228" s="354"/>
      <c r="H228" s="354"/>
      <c r="I228" s="354"/>
      <c r="J228" s="354"/>
      <c r="K228" s="354"/>
      <c r="L228" s="354"/>
      <c r="M228" s="290"/>
      <c r="N228" s="287"/>
      <c r="O228" s="287"/>
      <c r="P228" s="354"/>
      <c r="Q228" s="354"/>
      <c r="R228" s="317"/>
      <c r="S228" s="317"/>
      <c r="T228" s="317"/>
      <c r="U228" s="317"/>
      <c r="V228" s="355"/>
      <c r="W228" s="6"/>
    </row>
    <row r="229" spans="1:23" ht="15.6">
      <c r="A229" s="353"/>
      <c r="B229" s="287" t="s">
        <v>246</v>
      </c>
      <c r="C229" s="287"/>
      <c r="D229" s="287"/>
      <c r="E229" s="287"/>
      <c r="F229" s="287"/>
      <c r="G229" s="287"/>
      <c r="H229" s="287"/>
      <c r="I229" s="287"/>
      <c r="J229" s="287"/>
      <c r="K229" s="287"/>
      <c r="L229" s="287"/>
      <c r="M229" s="287"/>
      <c r="N229" s="287"/>
      <c r="O229" s="287"/>
      <c r="P229" s="287"/>
      <c r="Q229" s="287"/>
      <c r="R229" s="287"/>
      <c r="S229" s="287"/>
      <c r="T229" s="287"/>
      <c r="U229" s="287"/>
      <c r="V229" s="355"/>
      <c r="W229" s="6"/>
    </row>
    <row r="230" spans="1:23" ht="15.6">
      <c r="A230" s="353"/>
      <c r="B230" s="287" t="s">
        <v>129</v>
      </c>
      <c r="C230" s="354"/>
      <c r="D230" s="354"/>
      <c r="E230" s="354"/>
      <c r="F230" s="354"/>
      <c r="G230" s="354"/>
      <c r="H230" s="354"/>
      <c r="I230" s="354"/>
      <c r="J230" s="354"/>
      <c r="K230" s="354"/>
      <c r="L230" s="354"/>
      <c r="M230" s="290"/>
      <c r="N230" s="287"/>
      <c r="O230" s="287"/>
      <c r="P230" s="354"/>
      <c r="Q230" s="354"/>
      <c r="R230" s="317"/>
      <c r="S230" s="317"/>
      <c r="T230" s="317"/>
      <c r="U230" s="317"/>
      <c r="V230" s="355"/>
      <c r="W230" s="6"/>
    </row>
    <row r="231" spans="1:23" ht="15.6">
      <c r="A231" s="353"/>
      <c r="B231" s="287"/>
      <c r="C231" s="354"/>
      <c r="D231" s="354"/>
      <c r="E231" s="354"/>
      <c r="F231" s="354"/>
      <c r="G231" s="354"/>
      <c r="H231" s="354"/>
      <c r="I231" s="354"/>
      <c r="J231" s="354"/>
      <c r="K231" s="354"/>
      <c r="L231" s="354"/>
      <c r="M231" s="290"/>
      <c r="N231" s="287"/>
      <c r="O231" s="287"/>
      <c r="P231" s="354"/>
      <c r="Q231" s="354"/>
      <c r="R231" s="317"/>
      <c r="S231" s="317"/>
      <c r="T231" s="317"/>
      <c r="U231" s="317"/>
      <c r="V231" s="355"/>
      <c r="W231" s="6"/>
    </row>
    <row r="232" spans="1:23" ht="15.6">
      <c r="A232" s="353"/>
      <c r="B232" s="287"/>
      <c r="C232" s="354"/>
      <c r="D232" s="354"/>
      <c r="E232" s="354"/>
      <c r="F232" s="354"/>
      <c r="G232" s="354"/>
      <c r="H232" s="354"/>
      <c r="I232" s="354"/>
      <c r="J232" s="354"/>
      <c r="K232" s="354"/>
      <c r="L232" s="354"/>
      <c r="M232" s="290"/>
      <c r="N232" s="287"/>
      <c r="O232" s="287"/>
      <c r="P232" s="354"/>
      <c r="Q232" s="354"/>
      <c r="R232" s="317"/>
      <c r="S232" s="317"/>
      <c r="T232" s="317"/>
      <c r="U232" s="317"/>
      <c r="V232" s="355"/>
      <c r="W232" s="6"/>
    </row>
    <row r="233" spans="1:23" ht="16.2" thickBot="1">
      <c r="A233" s="353"/>
      <c r="B233" s="287" t="str">
        <f>+B160</f>
        <v>PPAF3 INVESTOR REPORT QUARTER ENDING SEPTEMBER 2016</v>
      </c>
      <c r="C233" s="354"/>
      <c r="D233" s="354"/>
      <c r="E233" s="354"/>
      <c r="F233" s="354"/>
      <c r="G233" s="354"/>
      <c r="H233" s="354"/>
      <c r="I233" s="354"/>
      <c r="J233" s="354"/>
      <c r="K233" s="354"/>
      <c r="L233" s="354"/>
      <c r="M233" s="290"/>
      <c r="N233" s="287"/>
      <c r="O233" s="287"/>
      <c r="P233" s="354"/>
      <c r="Q233" s="354"/>
      <c r="R233" s="317"/>
      <c r="S233" s="317"/>
      <c r="T233" s="317"/>
      <c r="U233" s="317"/>
      <c r="V233" s="356"/>
      <c r="W233" s="6"/>
    </row>
    <row r="234" spans="1:2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row>
  </sheetData>
  <hyperlinks>
    <hyperlink ref="I9" r:id="rId1"/>
    <hyperlink ref="K187"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21" man="1"/>
    <brk id="109" max="16383" man="1"/>
    <brk id="160" max="21" man="1"/>
    <brk id="239" man="1"/>
  </rowBreaks>
  <colBreaks count="1" manualBreakCount="1">
    <brk id="23" max="1048575" man="1"/>
  </colBreaks>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99"/>
  </sheetPr>
  <dimension ref="A1:Y236"/>
  <sheetViews>
    <sheetView tabSelected="1"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38" t="s">
        <v>223</v>
      </c>
      <c r="B1" s="285" t="s">
        <v>123</v>
      </c>
      <c r="C1" s="239"/>
      <c r="D1" s="239"/>
      <c r="E1" s="239"/>
      <c r="F1" s="239"/>
      <c r="G1" s="239"/>
      <c r="H1" s="239"/>
      <c r="I1" s="239"/>
      <c r="J1" s="239"/>
      <c r="K1" s="239"/>
      <c r="L1" s="239"/>
      <c r="M1" s="240"/>
      <c r="N1" s="240"/>
      <c r="O1" s="240"/>
      <c r="P1" s="240"/>
      <c r="Q1" s="240"/>
      <c r="R1" s="240"/>
      <c r="S1" s="240"/>
      <c r="T1" s="240"/>
      <c r="U1" s="240"/>
      <c r="V1" s="241"/>
      <c r="W1" s="6"/>
    </row>
    <row r="2" spans="1:23" ht="15.6">
      <c r="A2" s="242"/>
      <c r="B2" s="243"/>
      <c r="C2" s="243"/>
      <c r="D2" s="243"/>
      <c r="E2" s="243"/>
      <c r="F2" s="243"/>
      <c r="G2" s="243"/>
      <c r="H2" s="243"/>
      <c r="I2" s="243"/>
      <c r="J2" s="243"/>
      <c r="K2" s="243"/>
      <c r="L2" s="243"/>
      <c r="M2" s="244"/>
      <c r="N2" s="244"/>
      <c r="O2" s="244"/>
      <c r="P2" s="244"/>
      <c r="Q2" s="244"/>
      <c r="R2" s="244"/>
      <c r="S2" s="244"/>
      <c r="T2" s="244"/>
      <c r="U2" s="244"/>
      <c r="V2" s="245"/>
      <c r="W2" s="6"/>
    </row>
    <row r="3" spans="1:23" ht="15.6">
      <c r="A3" s="246"/>
      <c r="B3" s="247" t="s">
        <v>125</v>
      </c>
      <c r="C3" s="244"/>
      <c r="D3" s="244"/>
      <c r="E3" s="244"/>
      <c r="F3" s="244"/>
      <c r="G3" s="244"/>
      <c r="H3" s="244"/>
      <c r="I3" s="244"/>
      <c r="J3" s="244"/>
      <c r="K3" s="244"/>
      <c r="L3" s="244"/>
      <c r="M3" s="244"/>
      <c r="N3" s="244"/>
      <c r="O3" s="244"/>
      <c r="P3" s="244"/>
      <c r="Q3" s="244"/>
      <c r="R3" s="244"/>
      <c r="S3" s="244"/>
      <c r="T3" s="244"/>
      <c r="U3" s="244"/>
      <c r="V3" s="245"/>
      <c r="W3" s="6"/>
    </row>
    <row r="4" spans="1:23" ht="15.6">
      <c r="A4" s="242"/>
      <c r="B4" s="243"/>
      <c r="C4" s="243"/>
      <c r="D4" s="243"/>
      <c r="E4" s="243"/>
      <c r="F4" s="243"/>
      <c r="G4" s="243"/>
      <c r="H4" s="243"/>
      <c r="I4" s="243"/>
      <c r="J4" s="243"/>
      <c r="K4" s="243"/>
      <c r="L4" s="243"/>
      <c r="M4" s="244"/>
      <c r="N4" s="244"/>
      <c r="O4" s="244"/>
      <c r="P4" s="244"/>
      <c r="Q4" s="244"/>
      <c r="R4" s="244"/>
      <c r="S4" s="244"/>
      <c r="T4" s="244"/>
      <c r="U4" s="244"/>
      <c r="V4" s="245"/>
      <c r="W4" s="6"/>
    </row>
    <row r="5" spans="1:23" ht="16.2">
      <c r="A5" s="242"/>
      <c r="B5" s="286" t="s">
        <v>0</v>
      </c>
      <c r="C5" s="248"/>
      <c r="D5" s="248"/>
      <c r="E5" s="248"/>
      <c r="F5" s="248"/>
      <c r="G5" s="248"/>
      <c r="H5" s="248"/>
      <c r="I5" s="248"/>
      <c r="J5" s="248"/>
      <c r="K5" s="248"/>
      <c r="L5" s="248"/>
      <c r="M5" s="244"/>
      <c r="N5" s="244"/>
      <c r="O5" s="244"/>
      <c r="P5" s="244"/>
      <c r="Q5" s="244"/>
      <c r="R5" s="244"/>
      <c r="S5" s="244"/>
      <c r="T5" s="244"/>
      <c r="U5" s="244"/>
      <c r="V5" s="245"/>
      <c r="W5" s="6"/>
    </row>
    <row r="6" spans="1:23" ht="16.2">
      <c r="A6" s="242"/>
      <c r="B6" s="286" t="s">
        <v>1</v>
      </c>
      <c r="C6" s="248"/>
      <c r="D6" s="248"/>
      <c r="E6" s="248"/>
      <c r="F6" s="248"/>
      <c r="G6" s="248"/>
      <c r="H6" s="248"/>
      <c r="I6" s="248"/>
      <c r="J6" s="248"/>
      <c r="K6" s="248"/>
      <c r="L6" s="248"/>
      <c r="M6" s="244"/>
      <c r="N6" s="244"/>
      <c r="O6" s="244"/>
      <c r="P6" s="244"/>
      <c r="Q6" s="244"/>
      <c r="R6" s="244"/>
      <c r="S6" s="244"/>
      <c r="T6" s="244"/>
      <c r="U6" s="244"/>
      <c r="V6" s="245"/>
      <c r="W6" s="6"/>
    </row>
    <row r="7" spans="1:23" ht="16.2">
      <c r="A7" s="242"/>
      <c r="B7" s="286" t="s">
        <v>2</v>
      </c>
      <c r="C7" s="248"/>
      <c r="D7" s="248"/>
      <c r="E7" s="248"/>
      <c r="F7" s="248"/>
      <c r="G7" s="248"/>
      <c r="H7" s="248"/>
      <c r="I7" s="248"/>
      <c r="J7" s="248"/>
      <c r="K7" s="248"/>
      <c r="L7" s="248"/>
      <c r="M7" s="244"/>
      <c r="N7" s="244"/>
      <c r="O7" s="244"/>
      <c r="P7" s="244"/>
      <c r="Q7" s="244"/>
      <c r="R7" s="244"/>
      <c r="S7" s="244"/>
      <c r="T7" s="244"/>
      <c r="U7" s="244"/>
      <c r="V7" s="245"/>
      <c r="W7" s="6"/>
    </row>
    <row r="8" spans="1:23" ht="16.2">
      <c r="A8" s="242"/>
      <c r="B8" s="249"/>
      <c r="C8" s="248"/>
      <c r="D8" s="248"/>
      <c r="E8" s="248"/>
      <c r="F8" s="248"/>
      <c r="G8" s="248"/>
      <c r="H8" s="248"/>
      <c r="I8" s="248"/>
      <c r="J8" s="248"/>
      <c r="K8" s="248"/>
      <c r="L8" s="248"/>
      <c r="M8" s="244"/>
      <c r="N8" s="244"/>
      <c r="O8" s="244"/>
      <c r="P8" s="244"/>
      <c r="Q8" s="244"/>
      <c r="R8" s="244"/>
      <c r="S8" s="244"/>
      <c r="T8" s="244"/>
      <c r="U8" s="244"/>
      <c r="V8" s="245"/>
      <c r="W8" s="6"/>
    </row>
    <row r="9" spans="1:23" ht="18">
      <c r="A9" s="242"/>
      <c r="B9" s="250" t="s">
        <v>194</v>
      </c>
      <c r="C9" s="248"/>
      <c r="D9" s="248"/>
      <c r="E9" s="248"/>
      <c r="F9" s="248"/>
      <c r="G9" s="248"/>
      <c r="H9" s="248"/>
      <c r="I9" s="251" t="s">
        <v>195</v>
      </c>
      <c r="J9" s="248"/>
      <c r="K9" s="248"/>
      <c r="L9" s="248"/>
      <c r="M9" s="244"/>
      <c r="N9" s="244"/>
      <c r="O9" s="244"/>
      <c r="P9" s="244"/>
      <c r="Q9" s="244"/>
      <c r="R9" s="244"/>
      <c r="S9" s="244"/>
      <c r="T9" s="244"/>
      <c r="U9" s="244"/>
      <c r="V9" s="245"/>
      <c r="W9" s="6"/>
    </row>
    <row r="10" spans="1:23" ht="16.2">
      <c r="A10" s="242"/>
      <c r="B10" s="248"/>
      <c r="C10" s="248"/>
      <c r="D10" s="248"/>
      <c r="E10" s="248"/>
      <c r="F10" s="248"/>
      <c r="G10" s="248"/>
      <c r="H10" s="248"/>
      <c r="I10" s="248"/>
      <c r="J10" s="248"/>
      <c r="K10" s="248"/>
      <c r="L10" s="248"/>
      <c r="M10" s="252"/>
      <c r="N10" s="252"/>
      <c r="O10" s="244"/>
      <c r="P10" s="244"/>
      <c r="Q10" s="244"/>
      <c r="R10" s="244"/>
      <c r="S10" s="244"/>
      <c r="T10" s="244"/>
      <c r="U10" s="244"/>
      <c r="V10" s="245"/>
      <c r="W10" s="6"/>
    </row>
    <row r="11" spans="1:23" ht="15.6">
      <c r="A11" s="242"/>
      <c r="B11" s="287" t="s">
        <v>3</v>
      </c>
      <c r="C11" s="252"/>
      <c r="D11" s="252"/>
      <c r="E11" s="252"/>
      <c r="F11" s="252"/>
      <c r="G11" s="252"/>
      <c r="H11" s="252"/>
      <c r="I11" s="252"/>
      <c r="J11" s="252"/>
      <c r="K11" s="252"/>
      <c r="L11" s="252"/>
      <c r="M11" s="244"/>
      <c r="N11" s="244"/>
      <c r="O11" s="244"/>
      <c r="P11" s="244"/>
      <c r="Q11" s="244"/>
      <c r="R11" s="244"/>
      <c r="S11" s="244"/>
      <c r="T11" s="244"/>
      <c r="U11" s="244"/>
      <c r="V11" s="245"/>
      <c r="W11" s="6"/>
    </row>
    <row r="12" spans="1:23" ht="16.2" thickBot="1">
      <c r="A12" s="242"/>
      <c r="B12" s="252"/>
      <c r="C12" s="252"/>
      <c r="D12" s="252"/>
      <c r="E12" s="252"/>
      <c r="F12" s="252"/>
      <c r="G12" s="252"/>
      <c r="H12" s="252"/>
      <c r="I12" s="252"/>
      <c r="J12" s="252"/>
      <c r="K12" s="252"/>
      <c r="L12" s="252"/>
      <c r="M12" s="244"/>
      <c r="N12" s="244"/>
      <c r="O12" s="244"/>
      <c r="P12" s="244"/>
      <c r="Q12" s="244"/>
      <c r="R12" s="244"/>
      <c r="S12" s="244"/>
      <c r="T12" s="244"/>
      <c r="U12" s="244"/>
      <c r="V12" s="245"/>
      <c r="W12" s="6"/>
    </row>
    <row r="13" spans="1:23" ht="15.6">
      <c r="A13" s="238"/>
      <c r="B13" s="240"/>
      <c r="C13" s="240"/>
      <c r="D13" s="240"/>
      <c r="E13" s="240"/>
      <c r="F13" s="240"/>
      <c r="G13" s="240"/>
      <c r="H13" s="240"/>
      <c r="I13" s="240"/>
      <c r="J13" s="240"/>
      <c r="K13" s="240"/>
      <c r="L13" s="240"/>
      <c r="M13" s="240"/>
      <c r="N13" s="240"/>
      <c r="O13" s="240"/>
      <c r="P13" s="240"/>
      <c r="Q13" s="240"/>
      <c r="R13" s="240"/>
      <c r="S13" s="240"/>
      <c r="T13" s="240"/>
      <c r="U13" s="240"/>
      <c r="V13" s="241"/>
      <c r="W13" s="6"/>
    </row>
    <row r="14" spans="1:23" ht="15.6">
      <c r="A14" s="242"/>
      <c r="B14" s="287" t="s">
        <v>4</v>
      </c>
      <c r="C14" s="253"/>
      <c r="D14" s="253"/>
      <c r="E14" s="253"/>
      <c r="F14" s="253"/>
      <c r="G14" s="253"/>
      <c r="H14" s="253"/>
      <c r="I14" s="253"/>
      <c r="J14" s="253"/>
      <c r="K14" s="253"/>
      <c r="L14" s="253"/>
      <c r="M14" s="288"/>
      <c r="N14" s="288"/>
      <c r="O14" s="288"/>
      <c r="P14" s="288"/>
      <c r="Q14" s="288"/>
      <c r="R14" s="288"/>
      <c r="S14" s="288"/>
      <c r="T14" s="288"/>
      <c r="U14" s="289" t="s">
        <v>126</v>
      </c>
      <c r="V14" s="245"/>
      <c r="W14" s="6"/>
    </row>
    <row r="15" spans="1:23" ht="15.6">
      <c r="A15" s="242"/>
      <c r="B15" s="287" t="s">
        <v>5</v>
      </c>
      <c r="C15" s="253"/>
      <c r="D15" s="253"/>
      <c r="E15" s="253"/>
      <c r="F15" s="253"/>
      <c r="G15" s="253"/>
      <c r="H15" s="253"/>
      <c r="I15" s="253"/>
      <c r="J15" s="253"/>
      <c r="K15" s="253"/>
      <c r="L15" s="253"/>
      <c r="M15" s="290" t="s">
        <v>93</v>
      </c>
      <c r="N15" s="291">
        <v>0.1492</v>
      </c>
      <c r="O15" s="290" t="s">
        <v>99</v>
      </c>
      <c r="P15" s="291">
        <v>5.4399999999999997E-2</v>
      </c>
      <c r="Q15" s="290" t="s">
        <v>102</v>
      </c>
      <c r="R15" s="291">
        <v>0.48899999999999999</v>
      </c>
      <c r="S15" s="290" t="s">
        <v>108</v>
      </c>
      <c r="T15" s="291">
        <v>0.30740000000000001</v>
      </c>
      <c r="U15" s="289"/>
      <c r="V15" s="254"/>
      <c r="W15" s="6"/>
    </row>
    <row r="16" spans="1:23" ht="15.6">
      <c r="A16" s="242"/>
      <c r="B16" s="287" t="s">
        <v>6</v>
      </c>
      <c r="C16" s="253"/>
      <c r="D16" s="253"/>
      <c r="E16" s="253"/>
      <c r="F16" s="253"/>
      <c r="G16" s="253"/>
      <c r="H16" s="253"/>
      <c r="I16" s="253"/>
      <c r="J16" s="253"/>
      <c r="K16" s="253"/>
      <c r="L16" s="253"/>
      <c r="M16" s="290" t="s">
        <v>93</v>
      </c>
      <c r="N16" s="291">
        <v>0</v>
      </c>
      <c r="O16" s="290" t="s">
        <v>99</v>
      </c>
      <c r="P16" s="291">
        <v>0</v>
      </c>
      <c r="Q16" s="290" t="s">
        <v>102</v>
      </c>
      <c r="R16" s="291">
        <v>0</v>
      </c>
      <c r="S16" s="290" t="s">
        <v>108</v>
      </c>
      <c r="T16" s="291">
        <v>0</v>
      </c>
      <c r="U16" s="289"/>
      <c r="V16" s="254"/>
      <c r="W16" s="6"/>
    </row>
    <row r="17" spans="1:23" ht="15.6">
      <c r="A17" s="242"/>
      <c r="B17" s="287" t="s">
        <v>7</v>
      </c>
      <c r="C17" s="253"/>
      <c r="D17" s="253"/>
      <c r="E17" s="253"/>
      <c r="F17" s="253"/>
      <c r="G17" s="253"/>
      <c r="H17" s="253"/>
      <c r="I17" s="253"/>
      <c r="J17" s="253"/>
      <c r="K17" s="253"/>
      <c r="L17" s="253"/>
      <c r="M17" s="288"/>
      <c r="N17" s="288"/>
      <c r="O17" s="288"/>
      <c r="P17" s="288"/>
      <c r="Q17" s="288"/>
      <c r="R17" s="288"/>
      <c r="S17" s="288"/>
      <c r="T17" s="288"/>
      <c r="U17" s="292">
        <v>38491</v>
      </c>
      <c r="V17" s="245"/>
      <c r="W17" s="6"/>
    </row>
    <row r="18" spans="1:23" ht="15.6">
      <c r="A18" s="242"/>
      <c r="B18" s="287" t="s">
        <v>8</v>
      </c>
      <c r="C18" s="253"/>
      <c r="D18" s="253"/>
      <c r="E18" s="253"/>
      <c r="F18" s="253"/>
      <c r="G18" s="253"/>
      <c r="H18" s="253"/>
      <c r="I18" s="253"/>
      <c r="J18" s="253"/>
      <c r="K18" s="253"/>
      <c r="L18" s="253"/>
      <c r="M18" s="288"/>
      <c r="N18" s="288"/>
      <c r="O18" s="288"/>
      <c r="P18" s="288"/>
      <c r="Q18" s="288"/>
      <c r="R18" s="288"/>
      <c r="S18" s="288"/>
      <c r="T18" s="288"/>
      <c r="U18" s="292">
        <v>42758</v>
      </c>
      <c r="V18" s="245"/>
      <c r="W18" s="6"/>
    </row>
    <row r="19" spans="1:23" ht="15.6">
      <c r="A19" s="242"/>
      <c r="B19" s="288"/>
      <c r="C19" s="244"/>
      <c r="D19" s="244"/>
      <c r="E19" s="244"/>
      <c r="F19" s="244"/>
      <c r="G19" s="244"/>
      <c r="H19" s="244"/>
      <c r="I19" s="244"/>
      <c r="J19" s="244"/>
      <c r="K19" s="244"/>
      <c r="L19" s="244"/>
      <c r="M19" s="244"/>
      <c r="N19" s="244"/>
      <c r="O19" s="244"/>
      <c r="P19" s="244"/>
      <c r="Q19" s="244"/>
      <c r="R19" s="244"/>
      <c r="S19" s="244"/>
      <c r="T19" s="244"/>
      <c r="U19" s="255"/>
      <c r="V19" s="245"/>
      <c r="W19" s="6"/>
    </row>
    <row r="20" spans="1:23" ht="15.6">
      <c r="A20" s="242"/>
      <c r="B20" s="293" t="s">
        <v>9</v>
      </c>
      <c r="C20" s="244"/>
      <c r="D20" s="244"/>
      <c r="E20" s="244"/>
      <c r="F20" s="244"/>
      <c r="G20" s="244"/>
      <c r="H20" s="244"/>
      <c r="I20" s="244"/>
      <c r="J20" s="244"/>
      <c r="K20" s="244"/>
      <c r="L20" s="244"/>
      <c r="M20" s="244"/>
      <c r="N20" s="244"/>
      <c r="O20" s="244"/>
      <c r="P20" s="244"/>
      <c r="Q20" s="244"/>
      <c r="R20" s="244"/>
      <c r="S20" s="255"/>
      <c r="T20" s="244"/>
      <c r="U20" s="249"/>
      <c r="V20" s="245"/>
      <c r="W20" s="6"/>
    </row>
    <row r="21" spans="1:23" ht="15.6">
      <c r="A21" s="242"/>
      <c r="B21" s="244"/>
      <c r="C21" s="244"/>
      <c r="D21" s="244"/>
      <c r="E21" s="244"/>
      <c r="F21" s="244"/>
      <c r="G21" s="244"/>
      <c r="H21" s="244"/>
      <c r="I21" s="244"/>
      <c r="J21" s="244"/>
      <c r="K21" s="244"/>
      <c r="L21" s="244"/>
      <c r="M21" s="244"/>
      <c r="N21" s="244"/>
      <c r="O21" s="244"/>
      <c r="P21" s="244"/>
      <c r="Q21" s="244"/>
      <c r="R21" s="244"/>
      <c r="S21" s="244"/>
      <c r="T21" s="244"/>
      <c r="U21" s="256"/>
      <c r="V21" s="245"/>
      <c r="W21" s="6"/>
    </row>
    <row r="22" spans="1:23" ht="15.6">
      <c r="A22" s="230"/>
      <c r="B22" s="231"/>
      <c r="C22" s="232" t="s">
        <v>130</v>
      </c>
      <c r="D22" s="232"/>
      <c r="E22" s="232" t="s">
        <v>131</v>
      </c>
      <c r="F22" s="232"/>
      <c r="G22" s="232" t="s">
        <v>132</v>
      </c>
      <c r="H22" s="232"/>
      <c r="I22" s="232" t="s">
        <v>133</v>
      </c>
      <c r="J22" s="232"/>
      <c r="K22" s="232" t="s">
        <v>134</v>
      </c>
      <c r="L22" s="232"/>
      <c r="M22" s="233" t="s">
        <v>135</v>
      </c>
      <c r="N22" s="233"/>
      <c r="O22" s="233" t="s">
        <v>136</v>
      </c>
      <c r="P22" s="233"/>
      <c r="Q22" s="233" t="s">
        <v>137</v>
      </c>
      <c r="R22" s="233"/>
      <c r="S22" s="235"/>
      <c r="T22" s="236"/>
      <c r="U22" s="236"/>
      <c r="V22" s="237"/>
      <c r="W22" s="6"/>
    </row>
    <row r="23" spans="1:23" ht="15.6">
      <c r="A23" s="257"/>
      <c r="B23" s="294" t="s">
        <v>10</v>
      </c>
      <c r="C23" s="295" t="s">
        <v>96</v>
      </c>
      <c r="D23" s="295"/>
      <c r="E23" s="295" t="s">
        <v>96</v>
      </c>
      <c r="F23" s="295"/>
      <c r="G23" s="295" t="s">
        <v>138</v>
      </c>
      <c r="H23" s="295"/>
      <c r="I23" s="295" t="s">
        <v>138</v>
      </c>
      <c r="J23" s="295"/>
      <c r="K23" s="295" t="s">
        <v>104</v>
      </c>
      <c r="L23" s="296"/>
      <c r="M23" s="297" t="s">
        <v>104</v>
      </c>
      <c r="N23" s="297"/>
      <c r="O23" s="297" t="s">
        <v>109</v>
      </c>
      <c r="P23" s="297"/>
      <c r="Q23" s="297" t="s">
        <v>109</v>
      </c>
      <c r="R23" s="258"/>
      <c r="S23" s="258"/>
      <c r="T23" s="259"/>
      <c r="U23" s="259"/>
      <c r="V23" s="260"/>
      <c r="W23" s="6"/>
    </row>
    <row r="24" spans="1:23" ht="15.6">
      <c r="A24" s="378"/>
      <c r="B24" s="379" t="s">
        <v>11</v>
      </c>
      <c r="C24" s="380" t="s">
        <v>97</v>
      </c>
      <c r="D24" s="380"/>
      <c r="E24" s="380" t="s">
        <v>97</v>
      </c>
      <c r="F24" s="380"/>
      <c r="G24" s="380" t="s">
        <v>139</v>
      </c>
      <c r="H24" s="380"/>
      <c r="I24" s="380" t="s">
        <v>139</v>
      </c>
      <c r="J24" s="380"/>
      <c r="K24" s="380" t="s">
        <v>105</v>
      </c>
      <c r="L24" s="381"/>
      <c r="M24" s="382" t="s">
        <v>105</v>
      </c>
      <c r="N24" s="382"/>
      <c r="O24" s="382" t="s">
        <v>110</v>
      </c>
      <c r="P24" s="382"/>
      <c r="Q24" s="382" t="s">
        <v>110</v>
      </c>
      <c r="R24" s="383"/>
      <c r="S24" s="383"/>
      <c r="T24" s="384"/>
      <c r="U24" s="384"/>
      <c r="V24" s="385"/>
      <c r="W24" s="6"/>
    </row>
    <row r="25" spans="1:23" ht="15.6">
      <c r="A25" s="378"/>
      <c r="B25" s="386" t="s">
        <v>12</v>
      </c>
      <c r="C25" s="381" t="s">
        <v>284</v>
      </c>
      <c r="D25" s="381"/>
      <c r="E25" s="381" t="s">
        <v>284</v>
      </c>
      <c r="F25" s="381"/>
      <c r="G25" s="381" t="s">
        <v>284</v>
      </c>
      <c r="H25" s="381"/>
      <c r="I25" s="381" t="s">
        <v>284</v>
      </c>
      <c r="J25" s="386"/>
      <c r="K25" s="381" t="s">
        <v>284</v>
      </c>
      <c r="L25" s="386"/>
      <c r="M25" s="387" t="s">
        <v>284</v>
      </c>
      <c r="N25" s="382"/>
      <c r="O25" s="387" t="s">
        <v>284</v>
      </c>
      <c r="P25" s="382"/>
      <c r="Q25" s="387" t="s">
        <v>284</v>
      </c>
      <c r="R25" s="388"/>
      <c r="S25" s="388"/>
      <c r="T25" s="389"/>
      <c r="U25" s="384"/>
      <c r="V25" s="385"/>
      <c r="W25" s="6"/>
    </row>
    <row r="26" spans="1:23" ht="15.6">
      <c r="A26" s="378"/>
      <c r="B26" s="386" t="s">
        <v>13</v>
      </c>
      <c r="C26" s="381" t="s">
        <v>139</v>
      </c>
      <c r="D26" s="381"/>
      <c r="E26" s="381" t="s">
        <v>139</v>
      </c>
      <c r="F26" s="381"/>
      <c r="G26" s="381" t="s">
        <v>139</v>
      </c>
      <c r="H26" s="381"/>
      <c r="I26" s="381" t="s">
        <v>139</v>
      </c>
      <c r="J26" s="386"/>
      <c r="K26" s="381" t="s">
        <v>139</v>
      </c>
      <c r="L26" s="386"/>
      <c r="M26" s="387" t="s">
        <v>139</v>
      </c>
      <c r="N26" s="382"/>
      <c r="O26" s="387" t="s">
        <v>105</v>
      </c>
      <c r="P26" s="382"/>
      <c r="Q26" s="387" t="s">
        <v>105</v>
      </c>
      <c r="R26" s="388"/>
      <c r="S26" s="388"/>
      <c r="T26" s="389"/>
      <c r="U26" s="384"/>
      <c r="V26" s="385"/>
      <c r="W26" s="6"/>
    </row>
    <row r="27" spans="1:23" ht="15.6">
      <c r="A27" s="378"/>
      <c r="B27" s="379" t="s">
        <v>14</v>
      </c>
      <c r="C27" s="380" t="s">
        <v>140</v>
      </c>
      <c r="D27" s="379"/>
      <c r="E27" s="380" t="s">
        <v>141</v>
      </c>
      <c r="F27" s="379"/>
      <c r="G27" s="380" t="s">
        <v>142</v>
      </c>
      <c r="H27" s="379"/>
      <c r="I27" s="380" t="s">
        <v>258</v>
      </c>
      <c r="J27" s="379"/>
      <c r="K27" s="380" t="s">
        <v>143</v>
      </c>
      <c r="L27" s="379"/>
      <c r="M27" s="379" t="s">
        <v>144</v>
      </c>
      <c r="N27" s="382"/>
      <c r="O27" s="379" t="s">
        <v>145</v>
      </c>
      <c r="P27" s="382"/>
      <c r="Q27" s="379" t="s">
        <v>146</v>
      </c>
      <c r="R27" s="383"/>
      <c r="S27" s="390"/>
      <c r="T27" s="384"/>
      <c r="U27" s="384"/>
      <c r="V27" s="385"/>
      <c r="W27" s="6"/>
    </row>
    <row r="28" spans="1:23" ht="15.6">
      <c r="A28" s="378"/>
      <c r="B28" s="379" t="s">
        <v>147</v>
      </c>
      <c r="C28" s="391">
        <v>146000</v>
      </c>
      <c r="D28" s="380"/>
      <c r="E28" s="392">
        <v>259500</v>
      </c>
      <c r="F28" s="380"/>
      <c r="G28" s="391">
        <v>16000</v>
      </c>
      <c r="H28" s="380"/>
      <c r="I28" s="392">
        <v>35500</v>
      </c>
      <c r="J28" s="379"/>
      <c r="K28" s="391">
        <v>18000</v>
      </c>
      <c r="L28" s="379"/>
      <c r="M28" s="392">
        <v>33000</v>
      </c>
      <c r="N28" s="393"/>
      <c r="O28" s="394">
        <v>24500</v>
      </c>
      <c r="P28" s="394"/>
      <c r="Q28" s="392">
        <v>30000</v>
      </c>
      <c r="R28" s="395"/>
      <c r="S28" s="395"/>
      <c r="T28" s="396"/>
      <c r="U28" s="395"/>
      <c r="V28" s="397"/>
      <c r="W28" s="6"/>
    </row>
    <row r="29" spans="1:23" ht="15.6">
      <c r="A29" s="378"/>
      <c r="B29" s="379" t="s">
        <v>15</v>
      </c>
      <c r="C29" s="391">
        <f>C28*C35</f>
        <v>14668.736800000001</v>
      </c>
      <c r="D29" s="398"/>
      <c r="E29" s="392">
        <f>E28*E35</f>
        <v>26072.172599999998</v>
      </c>
      <c r="F29" s="398"/>
      <c r="G29" s="391">
        <f>G28*G35</f>
        <v>5266.768</v>
      </c>
      <c r="H29" s="398"/>
      <c r="I29" s="392">
        <f>I28*I35</f>
        <v>11685.6415</v>
      </c>
      <c r="J29" s="399"/>
      <c r="K29" s="391">
        <f>K28*K35</f>
        <v>5925.1139999999996</v>
      </c>
      <c r="L29" s="399"/>
      <c r="M29" s="392">
        <f>M28*M35</f>
        <v>10862.708999999999</v>
      </c>
      <c r="N29" s="393"/>
      <c r="O29" s="391">
        <f>O28*O35</f>
        <v>8064.7384999999995</v>
      </c>
      <c r="P29" s="394"/>
      <c r="Q29" s="392">
        <f>Q28*Q35</f>
        <v>9875.19</v>
      </c>
      <c r="R29" s="400"/>
      <c r="S29" s="395"/>
      <c r="T29" s="396"/>
      <c r="U29" s="395"/>
      <c r="V29" s="397"/>
      <c r="W29" s="6"/>
    </row>
    <row r="30" spans="1:23" ht="15.6">
      <c r="A30" s="401"/>
      <c r="B30" s="386" t="s">
        <v>148</v>
      </c>
      <c r="C30" s="415">
        <f>C34*C28</f>
        <v>0</v>
      </c>
      <c r="D30" s="505"/>
      <c r="E30" s="406">
        <f>E34*E28</f>
        <v>0</v>
      </c>
      <c r="F30" s="505"/>
      <c r="G30" s="415">
        <f>G34*G28</f>
        <v>0</v>
      </c>
      <c r="H30" s="505"/>
      <c r="I30" s="406">
        <f>I34*I28</f>
        <v>0</v>
      </c>
      <c r="J30" s="506"/>
      <c r="K30" s="415">
        <f>K34*K28</f>
        <v>0</v>
      </c>
      <c r="L30" s="399"/>
      <c r="M30" s="406">
        <f>M34*M28</f>
        <v>0</v>
      </c>
      <c r="N30" s="407"/>
      <c r="O30" s="415">
        <f>O34*O28</f>
        <v>0</v>
      </c>
      <c r="P30" s="408"/>
      <c r="Q30" s="406">
        <f>Q34*Q28</f>
        <v>0</v>
      </c>
      <c r="R30" s="408"/>
      <c r="S30" s="408"/>
      <c r="T30" s="409"/>
      <c r="U30" s="408"/>
      <c r="V30" s="410"/>
      <c r="W30" s="6"/>
    </row>
    <row r="31" spans="1:23" ht="15.6">
      <c r="A31" s="401"/>
      <c r="B31" s="379" t="s">
        <v>260</v>
      </c>
      <c r="C31" s="391">
        <v>146000</v>
      </c>
      <c r="D31" s="398"/>
      <c r="E31" s="391">
        <v>178000</v>
      </c>
      <c r="F31" s="391"/>
      <c r="G31" s="391">
        <v>16000</v>
      </c>
      <c r="H31" s="391"/>
      <c r="I31" s="391">
        <v>24500</v>
      </c>
      <c r="J31" s="412"/>
      <c r="K31" s="391">
        <v>18000</v>
      </c>
      <c r="L31" s="412"/>
      <c r="M31" s="391">
        <v>22500</v>
      </c>
      <c r="N31" s="414"/>
      <c r="O31" s="391">
        <v>24500</v>
      </c>
      <c r="P31" s="415"/>
      <c r="Q31" s="391">
        <v>20500</v>
      </c>
      <c r="R31" s="408"/>
      <c r="S31" s="408"/>
      <c r="T31" s="409"/>
      <c r="U31" s="394">
        <f>+Q31+O31+M31+K31+I31+G31+E31+C31</f>
        <v>450000</v>
      </c>
      <c r="V31" s="410"/>
      <c r="W31" s="6"/>
    </row>
    <row r="32" spans="1:23" ht="15.6">
      <c r="A32" s="401"/>
      <c r="B32" s="379" t="s">
        <v>261</v>
      </c>
      <c r="C32" s="391">
        <f>C28*C35</f>
        <v>14668.736800000001</v>
      </c>
      <c r="D32" s="398"/>
      <c r="E32" s="391">
        <f>E31*E35</f>
        <v>17883.8024</v>
      </c>
      <c r="F32" s="391"/>
      <c r="G32" s="391">
        <f>G28*G35</f>
        <v>5266.768</v>
      </c>
      <c r="H32" s="391"/>
      <c r="I32" s="391">
        <f>I31*I35</f>
        <v>8064.7384999999995</v>
      </c>
      <c r="J32" s="412"/>
      <c r="K32" s="391">
        <f>K28*K35</f>
        <v>5925.1139999999996</v>
      </c>
      <c r="L32" s="412"/>
      <c r="M32" s="391">
        <f>M31*M35</f>
        <v>7406.3924999999999</v>
      </c>
      <c r="N32" s="414"/>
      <c r="O32" s="391">
        <f>O28*O35</f>
        <v>8064.7384999999995</v>
      </c>
      <c r="P32" s="415"/>
      <c r="Q32" s="391">
        <f>Q31*Q35</f>
        <v>6748.0464999999995</v>
      </c>
      <c r="R32" s="391"/>
      <c r="S32" s="408"/>
      <c r="T32" s="409"/>
      <c r="U32" s="394">
        <f>+Q32+O32+M32+K32+I32+G32+E32+C32</f>
        <v>74028.337199999994</v>
      </c>
      <c r="V32" s="410"/>
      <c r="W32" s="6"/>
    </row>
    <row r="33" spans="1:23" ht="15.6">
      <c r="A33" s="401"/>
      <c r="B33" s="386" t="s">
        <v>262</v>
      </c>
      <c r="C33" s="415">
        <f>C34*C28</f>
        <v>0</v>
      </c>
      <c r="D33" s="415"/>
      <c r="E33" s="415">
        <f>E34*E31</f>
        <v>0</v>
      </c>
      <c r="F33" s="415"/>
      <c r="G33" s="415">
        <f>G34*G28</f>
        <v>0</v>
      </c>
      <c r="H33" s="415"/>
      <c r="I33" s="415">
        <f>I34*I31</f>
        <v>0</v>
      </c>
      <c r="J33" s="414"/>
      <c r="K33" s="415">
        <f>K34*K28</f>
        <v>0</v>
      </c>
      <c r="L33" s="414"/>
      <c r="M33" s="415">
        <f>M34*M31</f>
        <v>0</v>
      </c>
      <c r="N33" s="414"/>
      <c r="O33" s="415">
        <f>O34*O28</f>
        <v>0</v>
      </c>
      <c r="P33" s="415"/>
      <c r="Q33" s="415">
        <f>Q34*Q31</f>
        <v>0</v>
      </c>
      <c r="R33" s="408"/>
      <c r="S33" s="408"/>
      <c r="T33" s="409"/>
      <c r="U33" s="408">
        <f>+Q33+O33+M33+K33+I33+G33+E33+C33</f>
        <v>0</v>
      </c>
      <c r="V33" s="410"/>
      <c r="W33" s="6"/>
    </row>
    <row r="34" spans="1:23" ht="15.6">
      <c r="A34" s="401"/>
      <c r="B34" s="468" t="s">
        <v>149</v>
      </c>
      <c r="C34" s="507">
        <v>0</v>
      </c>
      <c r="D34" s="507"/>
      <c r="E34" s="507">
        <v>0</v>
      </c>
      <c r="F34" s="507"/>
      <c r="G34" s="507">
        <v>0</v>
      </c>
      <c r="H34" s="507"/>
      <c r="I34" s="507">
        <v>0</v>
      </c>
      <c r="J34" s="507"/>
      <c r="K34" s="507">
        <v>0</v>
      </c>
      <c r="L34" s="507"/>
      <c r="M34" s="507">
        <v>0</v>
      </c>
      <c r="N34" s="507"/>
      <c r="O34" s="507">
        <v>0</v>
      </c>
      <c r="P34" s="507"/>
      <c r="Q34" s="507">
        <v>0</v>
      </c>
      <c r="R34" s="508"/>
      <c r="S34" s="420"/>
      <c r="T34" s="421"/>
      <c r="U34" s="420"/>
      <c r="V34" s="385"/>
      <c r="W34" s="6"/>
    </row>
    <row r="35" spans="1:23" ht="15.6">
      <c r="A35" s="401"/>
      <c r="B35" s="468" t="s">
        <v>150</v>
      </c>
      <c r="C35" s="507">
        <v>0.1004708</v>
      </c>
      <c r="D35" s="507"/>
      <c r="E35" s="507">
        <v>0.1004708</v>
      </c>
      <c r="F35" s="507"/>
      <c r="G35" s="507">
        <v>0.32917299999999999</v>
      </c>
      <c r="H35" s="507"/>
      <c r="I35" s="507">
        <v>0.32917299999999999</v>
      </c>
      <c r="J35" s="507"/>
      <c r="K35" s="507">
        <v>0.32917299999999999</v>
      </c>
      <c r="L35" s="507"/>
      <c r="M35" s="507">
        <v>0.32917299999999999</v>
      </c>
      <c r="N35" s="507"/>
      <c r="O35" s="507">
        <v>0.32917299999999999</v>
      </c>
      <c r="P35" s="507"/>
      <c r="Q35" s="507">
        <v>0.32917299999999999</v>
      </c>
      <c r="R35" s="508"/>
      <c r="S35" s="420"/>
      <c r="T35" s="421"/>
      <c r="U35" s="420"/>
      <c r="V35" s="385"/>
      <c r="W35" s="6"/>
    </row>
    <row r="36" spans="1:23" ht="15.6">
      <c r="A36" s="378"/>
      <c r="B36" s="379" t="s">
        <v>153</v>
      </c>
      <c r="C36" s="380" t="s">
        <v>163</v>
      </c>
      <c r="D36" s="380"/>
      <c r="E36" s="380" t="s">
        <v>163</v>
      </c>
      <c r="F36" s="380"/>
      <c r="G36" s="380" t="s">
        <v>164</v>
      </c>
      <c r="H36" s="380"/>
      <c r="I36" s="380" t="s">
        <v>164</v>
      </c>
      <c r="J36" s="380"/>
      <c r="K36" s="380" t="s">
        <v>106</v>
      </c>
      <c r="L36" s="380"/>
      <c r="M36" s="380" t="s">
        <v>165</v>
      </c>
      <c r="N36" s="380"/>
      <c r="O36" s="380" t="s">
        <v>166</v>
      </c>
      <c r="P36" s="380"/>
      <c r="Q36" s="380" t="s">
        <v>167</v>
      </c>
      <c r="R36" s="380"/>
      <c r="S36" s="380"/>
      <c r="T36" s="379"/>
      <c r="U36" s="424"/>
      <c r="V36" s="410"/>
      <c r="W36" s="6"/>
    </row>
    <row r="37" spans="1:23" ht="15.6">
      <c r="A37" s="378"/>
      <c r="B37" s="379" t="s">
        <v>151</v>
      </c>
      <c r="C37" s="509">
        <v>8.4100000000000008E-3</v>
      </c>
      <c r="D37" s="509"/>
      <c r="E37" s="509">
        <v>1.2899999999999999E-3</v>
      </c>
      <c r="F37" s="509"/>
      <c r="G37" s="509">
        <v>1.061E-2</v>
      </c>
      <c r="H37" s="509"/>
      <c r="I37" s="509">
        <v>3.49E-3</v>
      </c>
      <c r="J37" s="509"/>
      <c r="K37" s="509">
        <v>1.601E-2</v>
      </c>
      <c r="L37" s="509"/>
      <c r="M37" s="509">
        <v>8.2900000000000005E-3</v>
      </c>
      <c r="N37" s="509"/>
      <c r="O37" s="509">
        <v>2.3009999999999999E-2</v>
      </c>
      <c r="P37" s="509"/>
      <c r="Q37" s="509">
        <v>1.489E-2</v>
      </c>
      <c r="R37" s="427"/>
      <c r="S37" s="509"/>
      <c r="T37" s="379"/>
      <c r="U37" s="380"/>
      <c r="V37" s="410"/>
      <c r="W37" s="6"/>
    </row>
    <row r="38" spans="1:23" ht="15.6">
      <c r="A38" s="378"/>
      <c r="B38" s="379" t="s">
        <v>152</v>
      </c>
      <c r="C38" s="509">
        <v>9.6749999999999996E-3</v>
      </c>
      <c r="D38" s="509"/>
      <c r="E38" s="509">
        <v>1.4499999999999999E-3</v>
      </c>
      <c r="F38" s="509"/>
      <c r="G38" s="509">
        <v>1.1875E-2</v>
      </c>
      <c r="H38" s="509"/>
      <c r="I38" s="509">
        <v>3.65E-3</v>
      </c>
      <c r="J38" s="509"/>
      <c r="K38" s="509">
        <v>1.7274999999999999E-2</v>
      </c>
      <c r="L38" s="509"/>
      <c r="M38" s="509">
        <v>8.4499999999999992E-3</v>
      </c>
      <c r="N38" s="509"/>
      <c r="O38" s="509">
        <v>2.4275000000000001E-2</v>
      </c>
      <c r="P38" s="509"/>
      <c r="Q38" s="509">
        <v>1.5049999999999999E-2</v>
      </c>
      <c r="R38" s="427"/>
      <c r="S38" s="509"/>
      <c r="T38" s="379"/>
      <c r="U38" s="424"/>
      <c r="V38" s="410"/>
      <c r="W38" s="6"/>
    </row>
    <row r="39" spans="1:23" ht="15.6">
      <c r="A39" s="378"/>
      <c r="B39" s="379" t="s">
        <v>263</v>
      </c>
      <c r="C39" s="380" t="s">
        <v>163</v>
      </c>
      <c r="D39" s="379"/>
      <c r="E39" s="380" t="s">
        <v>228</v>
      </c>
      <c r="F39" s="379"/>
      <c r="G39" s="380" t="s">
        <v>164</v>
      </c>
      <c r="H39" s="379"/>
      <c r="I39" s="380" t="s">
        <v>226</v>
      </c>
      <c r="J39" s="379"/>
      <c r="K39" s="380" t="s">
        <v>106</v>
      </c>
      <c r="L39" s="379"/>
      <c r="M39" s="380" t="s">
        <v>227</v>
      </c>
      <c r="N39" s="379"/>
      <c r="O39" s="380" t="s">
        <v>166</v>
      </c>
      <c r="P39" s="380"/>
      <c r="Q39" s="380" t="s">
        <v>229</v>
      </c>
      <c r="R39" s="427"/>
      <c r="S39" s="509"/>
      <c r="T39" s="379"/>
      <c r="U39" s="424"/>
      <c r="V39" s="410"/>
      <c r="W39" s="6"/>
    </row>
    <row r="40" spans="1:23" ht="15.6">
      <c r="A40" s="378"/>
      <c r="B40" s="379" t="s">
        <v>264</v>
      </c>
      <c r="C40" s="509">
        <f>+C37</f>
        <v>8.4100000000000008E-3</v>
      </c>
      <c r="D40" s="509"/>
      <c r="E40" s="509">
        <v>1.0251E-2</v>
      </c>
      <c r="F40" s="509"/>
      <c r="G40" s="509">
        <f>+G37</f>
        <v>1.061E-2</v>
      </c>
      <c r="H40" s="509"/>
      <c r="I40" s="509">
        <v>1.2607999999999999E-2</v>
      </c>
      <c r="J40" s="509"/>
      <c r="K40" s="509">
        <f>+K37</f>
        <v>1.601E-2</v>
      </c>
      <c r="L40" s="510"/>
      <c r="M40" s="509">
        <v>1.7835400000000001E-2</v>
      </c>
      <c r="N40" s="510"/>
      <c r="O40" s="509">
        <f>+O37</f>
        <v>2.3009999999999999E-2</v>
      </c>
      <c r="P40" s="509"/>
      <c r="Q40" s="509">
        <v>2.5101399999999999E-2</v>
      </c>
      <c r="R40" s="427"/>
      <c r="S40" s="509"/>
      <c r="T40" s="379"/>
      <c r="U40" s="427">
        <f>SUMPRODUCT(C40:Q40,C32:Q32)/U32</f>
        <v>1.4131935164052289E-2</v>
      </c>
      <c r="V40" s="410"/>
      <c r="W40" s="6"/>
    </row>
    <row r="41" spans="1:23" ht="15.6">
      <c r="A41" s="378"/>
      <c r="B41" s="379" t="s">
        <v>265</v>
      </c>
      <c r="C41" s="509">
        <f>+C38</f>
        <v>9.6749999999999996E-3</v>
      </c>
      <c r="D41" s="509"/>
      <c r="E41" s="509">
        <v>1.08541E-2</v>
      </c>
      <c r="F41" s="509"/>
      <c r="G41" s="509">
        <f>+G38</f>
        <v>1.1875E-2</v>
      </c>
      <c r="H41" s="509"/>
      <c r="I41" s="509">
        <v>1.32111E-2</v>
      </c>
      <c r="J41" s="509"/>
      <c r="K41" s="509">
        <f>+K38</f>
        <v>1.7274999999999999E-2</v>
      </c>
      <c r="L41" s="510"/>
      <c r="M41" s="509">
        <v>1.84385E-2</v>
      </c>
      <c r="N41" s="510"/>
      <c r="O41" s="509">
        <f>+O38</f>
        <v>2.4275000000000001E-2</v>
      </c>
      <c r="P41" s="509"/>
      <c r="Q41" s="509">
        <v>2.5704500000000002E-2</v>
      </c>
      <c r="R41" s="427"/>
      <c r="S41" s="509"/>
      <c r="T41" s="379"/>
      <c r="U41" s="424"/>
      <c r="V41" s="410"/>
      <c r="W41" s="6"/>
    </row>
    <row r="42" spans="1:23" ht="15.6">
      <c r="A42" s="378"/>
      <c r="B42" s="379" t="s">
        <v>17</v>
      </c>
      <c r="C42" s="429">
        <v>39918</v>
      </c>
      <c r="D42" s="429"/>
      <c r="E42" s="429">
        <v>39918</v>
      </c>
      <c r="F42" s="429"/>
      <c r="G42" s="429">
        <v>39918</v>
      </c>
      <c r="H42" s="429"/>
      <c r="I42" s="429">
        <v>39918</v>
      </c>
      <c r="J42" s="429"/>
      <c r="K42" s="429">
        <v>39918</v>
      </c>
      <c r="L42" s="429"/>
      <c r="M42" s="429">
        <v>39918</v>
      </c>
      <c r="N42" s="429"/>
      <c r="O42" s="429">
        <v>39918</v>
      </c>
      <c r="P42" s="429"/>
      <c r="Q42" s="429">
        <v>39918</v>
      </c>
      <c r="R42" s="380"/>
      <c r="S42" s="380"/>
      <c r="T42" s="379"/>
      <c r="U42" s="424"/>
      <c r="V42" s="410"/>
      <c r="W42" s="6"/>
    </row>
    <row r="43" spans="1:23" ht="15.6">
      <c r="A43" s="378"/>
      <c r="B43" s="379" t="s">
        <v>18</v>
      </c>
      <c r="C43" s="429">
        <v>40283</v>
      </c>
      <c r="D43" s="430"/>
      <c r="E43" s="429">
        <v>40283</v>
      </c>
      <c r="F43" s="430"/>
      <c r="G43" s="429">
        <v>40283</v>
      </c>
      <c r="H43" s="430"/>
      <c r="I43" s="429">
        <v>40283</v>
      </c>
      <c r="J43" s="430"/>
      <c r="K43" s="429">
        <v>40283</v>
      </c>
      <c r="L43" s="430"/>
      <c r="M43" s="429">
        <v>40283</v>
      </c>
      <c r="N43" s="430"/>
      <c r="O43" s="429">
        <v>40283</v>
      </c>
      <c r="P43" s="429"/>
      <c r="Q43" s="429">
        <v>40283</v>
      </c>
      <c r="R43" s="380"/>
      <c r="S43" s="380"/>
      <c r="T43" s="424"/>
      <c r="U43" s="424"/>
      <c r="V43" s="410"/>
      <c r="W43" s="6"/>
    </row>
    <row r="44" spans="1:23" ht="15.6">
      <c r="A44" s="378"/>
      <c r="B44" s="379" t="s">
        <v>154</v>
      </c>
      <c r="C44" s="380" t="s">
        <v>163</v>
      </c>
      <c r="D44" s="380"/>
      <c r="E44" s="380" t="s">
        <v>163</v>
      </c>
      <c r="F44" s="380"/>
      <c r="G44" s="380" t="s">
        <v>164</v>
      </c>
      <c r="H44" s="380"/>
      <c r="I44" s="380" t="s">
        <v>164</v>
      </c>
      <c r="J44" s="380"/>
      <c r="K44" s="380" t="s">
        <v>106</v>
      </c>
      <c r="L44" s="380"/>
      <c r="M44" s="380" t="s">
        <v>165</v>
      </c>
      <c r="N44" s="380"/>
      <c r="O44" s="380" t="s">
        <v>166</v>
      </c>
      <c r="P44" s="380"/>
      <c r="Q44" s="380" t="s">
        <v>167</v>
      </c>
      <c r="R44" s="380"/>
      <c r="S44" s="380"/>
      <c r="T44" s="424"/>
      <c r="U44" s="424"/>
      <c r="V44" s="410"/>
      <c r="W44" s="6"/>
    </row>
    <row r="45" spans="1:23" ht="15.6">
      <c r="A45" s="378"/>
      <c r="B45" s="379" t="s">
        <v>266</v>
      </c>
      <c r="C45" s="380" t="s">
        <v>163</v>
      </c>
      <c r="D45" s="379"/>
      <c r="E45" s="380" t="s">
        <v>228</v>
      </c>
      <c r="F45" s="379"/>
      <c r="G45" s="380" t="s">
        <v>164</v>
      </c>
      <c r="H45" s="379"/>
      <c r="I45" s="380" t="s">
        <v>226</v>
      </c>
      <c r="J45" s="379"/>
      <c r="K45" s="380" t="s">
        <v>106</v>
      </c>
      <c r="L45" s="379"/>
      <c r="M45" s="380" t="s">
        <v>227</v>
      </c>
      <c r="N45" s="379"/>
      <c r="O45" s="380" t="s">
        <v>166</v>
      </c>
      <c r="P45" s="380"/>
      <c r="Q45" s="380" t="s">
        <v>229</v>
      </c>
      <c r="R45" s="380"/>
      <c r="S45" s="380"/>
      <c r="T45" s="424"/>
      <c r="U45" s="424"/>
      <c r="V45" s="410"/>
      <c r="W45" s="6"/>
    </row>
    <row r="46" spans="1:23" ht="15.6">
      <c r="A46" s="378"/>
      <c r="B46" s="379"/>
      <c r="C46" s="379"/>
      <c r="D46" s="379"/>
      <c r="E46" s="379"/>
      <c r="F46" s="379"/>
      <c r="G46" s="379"/>
      <c r="H46" s="379"/>
      <c r="I46" s="379"/>
      <c r="J46" s="379"/>
      <c r="K46" s="379"/>
      <c r="L46" s="379"/>
      <c r="M46" s="431"/>
      <c r="N46" s="431"/>
      <c r="O46" s="379"/>
      <c r="P46" s="431"/>
      <c r="Q46" s="431"/>
      <c r="R46" s="431"/>
      <c r="S46" s="431"/>
      <c r="T46" s="431"/>
      <c r="U46" s="431"/>
      <c r="V46" s="410"/>
      <c r="W46" s="6"/>
    </row>
    <row r="47" spans="1:23" ht="15.6">
      <c r="A47" s="378"/>
      <c r="B47" s="379" t="s">
        <v>201</v>
      </c>
      <c r="C47" s="379"/>
      <c r="D47" s="379"/>
      <c r="E47" s="379"/>
      <c r="F47" s="379"/>
      <c r="G47" s="379"/>
      <c r="H47" s="379"/>
      <c r="I47" s="379"/>
      <c r="J47" s="379"/>
      <c r="K47" s="379"/>
      <c r="L47" s="379"/>
      <c r="M47" s="379"/>
      <c r="N47" s="379"/>
      <c r="O47" s="379"/>
      <c r="P47" s="379"/>
      <c r="Q47" s="379"/>
      <c r="R47" s="379"/>
      <c r="S47" s="379"/>
      <c r="T47" s="379"/>
      <c r="U47" s="427">
        <f>SUM(G31:Q31)/(C31+E31)</f>
        <v>0.3888888888888889</v>
      </c>
      <c r="V47" s="410"/>
      <c r="W47" s="6"/>
    </row>
    <row r="48" spans="1:23" ht="15.6">
      <c r="A48" s="378"/>
      <c r="B48" s="379" t="s">
        <v>202</v>
      </c>
      <c r="C48" s="379"/>
      <c r="D48" s="379"/>
      <c r="E48" s="379"/>
      <c r="F48" s="379"/>
      <c r="G48" s="379"/>
      <c r="H48" s="379"/>
      <c r="I48" s="379"/>
      <c r="J48" s="379"/>
      <c r="K48" s="379"/>
      <c r="L48" s="379"/>
      <c r="M48" s="379"/>
      <c r="N48" s="379"/>
      <c r="O48" s="379"/>
      <c r="P48" s="379"/>
      <c r="Q48" s="379"/>
      <c r="R48" s="379"/>
      <c r="S48" s="379"/>
      <c r="T48" s="379"/>
      <c r="U48" s="427" t="s">
        <v>302</v>
      </c>
      <c r="V48" s="410"/>
      <c r="W48" s="6"/>
    </row>
    <row r="49" spans="1:25" ht="15.6">
      <c r="A49" s="378"/>
      <c r="B49" s="379" t="s">
        <v>203</v>
      </c>
      <c r="C49" s="379"/>
      <c r="D49" s="379"/>
      <c r="E49" s="379"/>
      <c r="F49" s="379"/>
      <c r="G49" s="379"/>
      <c r="H49" s="379"/>
      <c r="I49" s="379"/>
      <c r="J49" s="379"/>
      <c r="K49" s="379"/>
      <c r="L49" s="379"/>
      <c r="M49" s="379"/>
      <c r="N49" s="379"/>
      <c r="O49" s="379"/>
      <c r="P49" s="379"/>
      <c r="Q49" s="379"/>
      <c r="R49" s="379"/>
      <c r="S49" s="380" t="s">
        <v>95</v>
      </c>
      <c r="T49" s="380" t="s">
        <v>117</v>
      </c>
      <c r="U49" s="394">
        <v>99000</v>
      </c>
      <c r="V49" s="410"/>
      <c r="W49" s="6"/>
    </row>
    <row r="50" spans="1:25" ht="15.6">
      <c r="A50" s="378"/>
      <c r="B50" s="379"/>
      <c r="C50" s="379"/>
      <c r="D50" s="379"/>
      <c r="E50" s="379"/>
      <c r="F50" s="379"/>
      <c r="G50" s="379"/>
      <c r="H50" s="379"/>
      <c r="I50" s="379"/>
      <c r="J50" s="379"/>
      <c r="K50" s="379"/>
      <c r="L50" s="379"/>
      <c r="M50" s="379"/>
      <c r="N50" s="379"/>
      <c r="O50" s="379"/>
      <c r="P50" s="379"/>
      <c r="Q50" s="379"/>
      <c r="R50" s="379"/>
      <c r="S50" s="379" t="s">
        <v>213</v>
      </c>
      <c r="T50" s="379"/>
      <c r="U50" s="432"/>
      <c r="V50" s="410"/>
      <c r="W50" s="6"/>
    </row>
    <row r="51" spans="1:25" ht="15.6">
      <c r="A51" s="378"/>
      <c r="B51" s="379" t="s">
        <v>19</v>
      </c>
      <c r="C51" s="379"/>
      <c r="D51" s="379"/>
      <c r="E51" s="379"/>
      <c r="F51" s="379"/>
      <c r="G51" s="379"/>
      <c r="H51" s="379"/>
      <c r="I51" s="379"/>
      <c r="J51" s="379"/>
      <c r="K51" s="379"/>
      <c r="L51" s="379"/>
      <c r="M51" s="379"/>
      <c r="N51" s="379"/>
      <c r="O51" s="379"/>
      <c r="P51" s="379"/>
      <c r="Q51" s="379"/>
      <c r="R51" s="379"/>
      <c r="S51" s="380"/>
      <c r="T51" s="380"/>
      <c r="U51" s="380" t="s">
        <v>118</v>
      </c>
      <c r="V51" s="410"/>
      <c r="W51" s="6"/>
    </row>
    <row r="52" spans="1:25" ht="15.6">
      <c r="A52" s="401"/>
      <c r="B52" s="386" t="s">
        <v>20</v>
      </c>
      <c r="C52" s="386"/>
      <c r="D52" s="386"/>
      <c r="E52" s="386"/>
      <c r="F52" s="386"/>
      <c r="G52" s="386"/>
      <c r="H52" s="386"/>
      <c r="I52" s="386"/>
      <c r="J52" s="386"/>
      <c r="K52" s="386"/>
      <c r="L52" s="386"/>
      <c r="M52" s="386"/>
      <c r="N52" s="386"/>
      <c r="O52" s="386"/>
      <c r="P52" s="386"/>
      <c r="Q52" s="386"/>
      <c r="R52" s="386"/>
      <c r="S52" s="433"/>
      <c r="T52" s="433"/>
      <c r="U52" s="434">
        <v>42751</v>
      </c>
      <c r="V52" s="435"/>
      <c r="W52" s="6"/>
    </row>
    <row r="53" spans="1:25" ht="15.6">
      <c r="A53" s="378"/>
      <c r="B53" s="379" t="s">
        <v>155</v>
      </c>
      <c r="C53" s="379"/>
      <c r="D53" s="379"/>
      <c r="E53" s="379"/>
      <c r="F53" s="379"/>
      <c r="G53" s="379"/>
      <c r="H53" s="379"/>
      <c r="I53" s="379"/>
      <c r="J53" s="379"/>
      <c r="K53" s="379"/>
      <c r="L53" s="379"/>
      <c r="M53" s="379"/>
      <c r="N53" s="379"/>
      <c r="O53" s="379"/>
      <c r="P53" s="379"/>
      <c r="Q53" s="424"/>
      <c r="R53" s="379">
        <f>U53-S53+1</f>
        <v>94</v>
      </c>
      <c r="S53" s="436">
        <v>42566</v>
      </c>
      <c r="T53" s="429"/>
      <c r="U53" s="436">
        <v>42659</v>
      </c>
      <c r="V53" s="410"/>
      <c r="W53" s="6"/>
    </row>
    <row r="54" spans="1:25" ht="15.6">
      <c r="A54" s="378"/>
      <c r="B54" s="379" t="s">
        <v>156</v>
      </c>
      <c r="C54" s="379"/>
      <c r="D54" s="379"/>
      <c r="E54" s="379"/>
      <c r="F54" s="379"/>
      <c r="G54" s="379"/>
      <c r="H54" s="379"/>
      <c r="I54" s="379"/>
      <c r="J54" s="379"/>
      <c r="K54" s="379"/>
      <c r="L54" s="379"/>
      <c r="M54" s="379"/>
      <c r="N54" s="379"/>
      <c r="O54" s="379"/>
      <c r="P54" s="379"/>
      <c r="Q54" s="424"/>
      <c r="R54" s="379">
        <f>U54-S54+1</f>
        <v>91</v>
      </c>
      <c r="S54" s="436">
        <v>42660</v>
      </c>
      <c r="T54" s="429"/>
      <c r="U54" s="436">
        <v>42750</v>
      </c>
      <c r="V54" s="410"/>
      <c r="W54" s="6"/>
    </row>
    <row r="55" spans="1:25" ht="15.6">
      <c r="A55" s="378"/>
      <c r="B55" s="379" t="s">
        <v>21</v>
      </c>
      <c r="C55" s="379"/>
      <c r="D55" s="379"/>
      <c r="E55" s="379"/>
      <c r="F55" s="379"/>
      <c r="G55" s="379"/>
      <c r="H55" s="379"/>
      <c r="I55" s="379"/>
      <c r="J55" s="379"/>
      <c r="K55" s="379"/>
      <c r="L55" s="379"/>
      <c r="M55" s="379"/>
      <c r="N55" s="379"/>
      <c r="O55" s="379"/>
      <c r="P55" s="379"/>
      <c r="Q55" s="379"/>
      <c r="R55" s="379"/>
      <c r="S55" s="436"/>
      <c r="T55" s="429"/>
      <c r="U55" s="436" t="s">
        <v>119</v>
      </c>
      <c r="V55" s="410"/>
      <c r="W55" s="6"/>
    </row>
    <row r="56" spans="1:25" ht="15.6">
      <c r="A56" s="378"/>
      <c r="B56" s="379" t="s">
        <v>22</v>
      </c>
      <c r="C56" s="379"/>
      <c r="D56" s="379"/>
      <c r="E56" s="379"/>
      <c r="F56" s="379"/>
      <c r="G56" s="379"/>
      <c r="H56" s="379"/>
      <c r="I56" s="379"/>
      <c r="J56" s="379"/>
      <c r="K56" s="379"/>
      <c r="L56" s="379"/>
      <c r="M56" s="379"/>
      <c r="N56" s="379"/>
      <c r="O56" s="379"/>
      <c r="P56" s="379"/>
      <c r="Q56" s="379"/>
      <c r="R56" s="379"/>
      <c r="S56" s="436"/>
      <c r="T56" s="429"/>
      <c r="U56" s="436">
        <v>42738</v>
      </c>
      <c r="V56" s="410"/>
      <c r="W56" s="6"/>
    </row>
    <row r="57" spans="1:25" ht="15.6">
      <c r="A57" s="242"/>
      <c r="B57" s="364"/>
      <c r="C57" s="364"/>
      <c r="D57" s="364"/>
      <c r="E57" s="364"/>
      <c r="F57" s="364"/>
      <c r="G57" s="364"/>
      <c r="H57" s="364"/>
      <c r="I57" s="364"/>
      <c r="J57" s="364"/>
      <c r="K57" s="364"/>
      <c r="L57" s="364"/>
      <c r="M57" s="364"/>
      <c r="N57" s="364"/>
      <c r="O57" s="364"/>
      <c r="P57" s="364"/>
      <c r="Q57" s="364"/>
      <c r="R57" s="364"/>
      <c r="S57" s="364"/>
      <c r="T57" s="364"/>
      <c r="U57" s="377"/>
      <c r="V57" s="303"/>
      <c r="W57" s="6"/>
    </row>
    <row r="58" spans="1:25" ht="15.6">
      <c r="A58" s="242"/>
      <c r="B58" s="288"/>
      <c r="C58" s="288"/>
      <c r="D58" s="288"/>
      <c r="E58" s="288"/>
      <c r="F58" s="288"/>
      <c r="G58" s="288"/>
      <c r="H58" s="288"/>
      <c r="I58" s="288"/>
      <c r="J58" s="288"/>
      <c r="K58" s="288"/>
      <c r="L58" s="288"/>
      <c r="M58" s="288"/>
      <c r="N58" s="288"/>
      <c r="O58" s="288"/>
      <c r="P58" s="288"/>
      <c r="Q58" s="288"/>
      <c r="R58" s="288"/>
      <c r="S58" s="288"/>
      <c r="T58" s="288"/>
      <c r="U58" s="302"/>
      <c r="V58" s="303"/>
      <c r="W58" s="6"/>
    </row>
    <row r="59" spans="1:25" ht="16.2" thickBot="1">
      <c r="A59" s="261"/>
      <c r="B59" s="304" t="s">
        <v>300</v>
      </c>
      <c r="C59" s="305"/>
      <c r="D59" s="305"/>
      <c r="E59" s="305"/>
      <c r="F59" s="305"/>
      <c r="G59" s="305"/>
      <c r="H59" s="305"/>
      <c r="I59" s="305"/>
      <c r="J59" s="305"/>
      <c r="K59" s="305"/>
      <c r="L59" s="305"/>
      <c r="M59" s="305"/>
      <c r="N59" s="305"/>
      <c r="O59" s="305"/>
      <c r="P59" s="305"/>
      <c r="Q59" s="305"/>
      <c r="R59" s="305"/>
      <c r="S59" s="305"/>
      <c r="T59" s="305"/>
      <c r="U59" s="306"/>
      <c r="V59" s="307"/>
      <c r="W59" s="6"/>
    </row>
    <row r="60" spans="1:25" ht="15.6">
      <c r="A60" s="230"/>
      <c r="B60" s="511" t="s">
        <v>23</v>
      </c>
      <c r="C60" s="511"/>
      <c r="D60" s="511"/>
      <c r="E60" s="511"/>
      <c r="F60" s="511"/>
      <c r="G60" s="511"/>
      <c r="H60" s="511"/>
      <c r="I60" s="511"/>
      <c r="J60" s="511"/>
      <c r="K60" s="511"/>
      <c r="L60" s="511"/>
      <c r="M60" s="231"/>
      <c r="N60" s="231"/>
      <c r="O60" s="231"/>
      <c r="P60" s="231"/>
      <c r="Q60" s="231"/>
      <c r="R60" s="231"/>
      <c r="S60" s="231"/>
      <c r="T60" s="231"/>
      <c r="U60" s="309"/>
      <c r="V60" s="237"/>
      <c r="W60" s="6"/>
    </row>
    <row r="61" spans="1:25" ht="15.6">
      <c r="A61" s="242"/>
      <c r="B61" s="252"/>
      <c r="C61" s="252"/>
      <c r="D61" s="252"/>
      <c r="E61" s="252"/>
      <c r="F61" s="252"/>
      <c r="G61" s="252"/>
      <c r="H61" s="252"/>
      <c r="I61" s="252"/>
      <c r="J61" s="252"/>
      <c r="K61" s="252"/>
      <c r="L61" s="252"/>
      <c r="M61" s="244"/>
      <c r="N61" s="244"/>
      <c r="O61" s="244"/>
      <c r="P61" s="244"/>
      <c r="Q61" s="244"/>
      <c r="R61" s="244"/>
      <c r="S61" s="244"/>
      <c r="T61" s="244"/>
      <c r="U61" s="263"/>
      <c r="V61" s="245"/>
      <c r="W61" s="6"/>
    </row>
    <row r="62" spans="1:25" s="151" customFormat="1" ht="46.8">
      <c r="A62" s="264"/>
      <c r="B62" s="512"/>
      <c r="C62" s="513"/>
      <c r="D62" s="513"/>
      <c r="E62" s="513"/>
      <c r="F62" s="513"/>
      <c r="G62" s="513"/>
      <c r="H62" s="513"/>
      <c r="I62" s="513"/>
      <c r="J62" s="513"/>
      <c r="K62" s="513" t="s">
        <v>197</v>
      </c>
      <c r="L62" s="513"/>
      <c r="M62" s="513" t="s">
        <v>98</v>
      </c>
      <c r="N62" s="513"/>
      <c r="O62" s="513" t="s">
        <v>107</v>
      </c>
      <c r="P62" s="513"/>
      <c r="Q62" s="513" t="s">
        <v>111</v>
      </c>
      <c r="R62" s="513"/>
      <c r="S62" s="513" t="s">
        <v>113</v>
      </c>
      <c r="T62" s="513"/>
      <c r="U62" s="514" t="s">
        <v>120</v>
      </c>
      <c r="V62" s="515"/>
      <c r="W62" s="150"/>
    </row>
    <row r="63" spans="1:25" ht="15.6">
      <c r="A63" s="378"/>
      <c r="B63" s="379" t="s">
        <v>24</v>
      </c>
      <c r="C63" s="440"/>
      <c r="D63" s="440"/>
      <c r="E63" s="440"/>
      <c r="F63" s="440"/>
      <c r="G63" s="440"/>
      <c r="H63" s="440"/>
      <c r="I63" s="440"/>
      <c r="J63" s="440"/>
      <c r="K63" s="440">
        <f>265+63566+3306</f>
        <v>67137</v>
      </c>
      <c r="L63" s="440"/>
      <c r="M63" s="440">
        <v>5181</v>
      </c>
      <c r="N63" s="440"/>
      <c r="O63" s="440">
        <v>5181</v>
      </c>
      <c r="P63" s="440"/>
      <c r="Q63" s="440">
        <v>0</v>
      </c>
      <c r="R63" s="440"/>
      <c r="S63" s="440">
        <v>0</v>
      </c>
      <c r="T63" s="440"/>
      <c r="U63" s="441">
        <f>+M63-O63+Q63-S63</f>
        <v>0</v>
      </c>
      <c r="V63" s="410"/>
      <c r="W63" s="6"/>
      <c r="Y63" s="182"/>
    </row>
    <row r="64" spans="1:25" ht="15.6">
      <c r="A64" s="378"/>
      <c r="B64" s="379" t="s">
        <v>25</v>
      </c>
      <c r="C64" s="440"/>
      <c r="D64" s="440"/>
      <c r="E64" s="440"/>
      <c r="F64" s="440"/>
      <c r="G64" s="440"/>
      <c r="H64" s="440"/>
      <c r="I64" s="440"/>
      <c r="J64" s="440"/>
      <c r="K64" s="440"/>
      <c r="L64" s="440"/>
      <c r="M64" s="440"/>
      <c r="N64" s="440"/>
      <c r="O64" s="440"/>
      <c r="P64" s="440"/>
      <c r="Q64" s="440">
        <v>0</v>
      </c>
      <c r="R64" s="440"/>
      <c r="S64" s="440">
        <v>0</v>
      </c>
      <c r="T64" s="440"/>
      <c r="U64" s="441">
        <f>M64-O64</f>
        <v>0</v>
      </c>
      <c r="V64" s="410"/>
      <c r="W64" s="6"/>
    </row>
    <row r="65" spans="1:25" ht="15.6">
      <c r="A65" s="378"/>
      <c r="B65" s="379"/>
      <c r="C65" s="440"/>
      <c r="D65" s="440"/>
      <c r="E65" s="440"/>
      <c r="F65" s="440"/>
      <c r="G65" s="440"/>
      <c r="H65" s="440"/>
      <c r="I65" s="440"/>
      <c r="J65" s="440"/>
      <c r="K65" s="440"/>
      <c r="L65" s="440"/>
      <c r="M65" s="440"/>
      <c r="N65" s="440"/>
      <c r="O65" s="440"/>
      <c r="P65" s="440"/>
      <c r="Q65" s="440"/>
      <c r="R65" s="440"/>
      <c r="S65" s="440"/>
      <c r="T65" s="440"/>
      <c r="U65" s="441"/>
      <c r="V65" s="410"/>
      <c r="W65" s="6"/>
    </row>
    <row r="66" spans="1:25" ht="15.6">
      <c r="A66" s="378"/>
      <c r="B66" s="379" t="s">
        <v>26</v>
      </c>
      <c r="C66" s="440"/>
      <c r="D66" s="440"/>
      <c r="E66" s="440"/>
      <c r="F66" s="440"/>
      <c r="G66" s="440"/>
      <c r="H66" s="440"/>
      <c r="I66" s="440"/>
      <c r="J66" s="440"/>
      <c r="K66" s="440">
        <v>24470</v>
      </c>
      <c r="L66" s="440"/>
      <c r="M66" s="440">
        <v>1075</v>
      </c>
      <c r="N66" s="440"/>
      <c r="O66" s="440">
        <v>1075</v>
      </c>
      <c r="P66" s="440"/>
      <c r="Q66" s="440">
        <v>0</v>
      </c>
      <c r="R66" s="440"/>
      <c r="S66" s="440">
        <f>SUM(S63:S65)</f>
        <v>0</v>
      </c>
      <c r="T66" s="440"/>
      <c r="U66" s="441">
        <f>+M66-O66+Q66-S66</f>
        <v>0</v>
      </c>
      <c r="V66" s="410"/>
      <c r="W66" s="6"/>
      <c r="Y66" s="182"/>
    </row>
    <row r="67" spans="1:25" ht="15.6">
      <c r="A67" s="378"/>
      <c r="B67" s="379" t="s">
        <v>25</v>
      </c>
      <c r="C67" s="440"/>
      <c r="D67" s="440"/>
      <c r="E67" s="440"/>
      <c r="F67" s="440"/>
      <c r="G67" s="440"/>
      <c r="H67" s="440"/>
      <c r="I67" s="440"/>
      <c r="J67" s="440"/>
      <c r="K67" s="440"/>
      <c r="L67" s="440"/>
      <c r="M67" s="440"/>
      <c r="N67" s="440"/>
      <c r="O67" s="440"/>
      <c r="P67" s="440"/>
      <c r="Q67" s="440">
        <v>0</v>
      </c>
      <c r="R67" s="440"/>
      <c r="S67" s="440">
        <v>0</v>
      </c>
      <c r="T67" s="440"/>
      <c r="U67" s="440"/>
      <c r="V67" s="410"/>
      <c r="W67" s="6"/>
    </row>
    <row r="68" spans="1:25" ht="15.6">
      <c r="A68" s="378"/>
      <c r="B68" s="386"/>
      <c r="C68" s="440"/>
      <c r="D68" s="440"/>
      <c r="E68" s="440"/>
      <c r="F68" s="440"/>
      <c r="G68" s="440"/>
      <c r="H68" s="440"/>
      <c r="I68" s="440"/>
      <c r="J68" s="440"/>
      <c r="K68" s="440"/>
      <c r="L68" s="440"/>
      <c r="M68" s="440"/>
      <c r="N68" s="440"/>
      <c r="O68" s="442"/>
      <c r="P68" s="440"/>
      <c r="Q68" s="440"/>
      <c r="R68" s="440"/>
      <c r="S68" s="440"/>
      <c r="T68" s="440"/>
      <c r="U68" s="440"/>
      <c r="V68" s="410"/>
      <c r="W68" s="6"/>
    </row>
    <row r="69" spans="1:25" ht="15.6">
      <c r="A69" s="378"/>
      <c r="B69" s="379" t="s">
        <v>27</v>
      </c>
      <c r="C69" s="440"/>
      <c r="D69" s="440"/>
      <c r="E69" s="440"/>
      <c r="F69" s="440"/>
      <c r="G69" s="440"/>
      <c r="H69" s="440"/>
      <c r="I69" s="440"/>
      <c r="J69" s="440"/>
      <c r="K69" s="440">
        <v>220072</v>
      </c>
      <c r="L69" s="440"/>
      <c r="M69" s="440">
        <v>80461</v>
      </c>
      <c r="N69" s="440"/>
      <c r="O69" s="440">
        <v>80461</v>
      </c>
      <c r="P69" s="440"/>
      <c r="Q69" s="440">
        <v>0</v>
      </c>
      <c r="R69" s="440"/>
      <c r="S69" s="440">
        <v>0</v>
      </c>
      <c r="T69" s="440"/>
      <c r="U69" s="441">
        <f>+M69-O69+Q69-S69</f>
        <v>0</v>
      </c>
      <c r="V69" s="410"/>
      <c r="W69" s="6"/>
      <c r="Y69" s="182"/>
    </row>
    <row r="70" spans="1:25" ht="15.6">
      <c r="A70" s="378"/>
      <c r="B70" s="379" t="s">
        <v>25</v>
      </c>
      <c r="C70" s="440"/>
      <c r="D70" s="440"/>
      <c r="E70" s="440"/>
      <c r="F70" s="440"/>
      <c r="G70" s="440"/>
      <c r="H70" s="440"/>
      <c r="I70" s="440"/>
      <c r="J70" s="440"/>
      <c r="K70" s="440"/>
      <c r="L70" s="440"/>
      <c r="M70" s="440"/>
      <c r="N70" s="440"/>
      <c r="O70" s="440"/>
      <c r="P70" s="440"/>
      <c r="Q70" s="440">
        <v>0</v>
      </c>
      <c r="R70" s="440"/>
      <c r="S70" s="440">
        <v>0</v>
      </c>
      <c r="T70" s="440"/>
      <c r="U70" s="441">
        <f>M70-O70+Q70-S70</f>
        <v>0</v>
      </c>
      <c r="V70" s="410"/>
      <c r="W70" s="6"/>
    </row>
    <row r="71" spans="1:25" ht="15.6">
      <c r="A71" s="378"/>
      <c r="B71" s="379"/>
      <c r="C71" s="440"/>
      <c r="D71" s="440"/>
      <c r="E71" s="440"/>
      <c r="F71" s="440"/>
      <c r="G71" s="440"/>
      <c r="H71" s="440"/>
      <c r="I71" s="440"/>
      <c r="J71" s="440"/>
      <c r="K71" s="440"/>
      <c r="L71" s="440"/>
      <c r="M71" s="440"/>
      <c r="N71" s="440"/>
      <c r="O71" s="440"/>
      <c r="P71" s="440"/>
      <c r="Q71" s="440"/>
      <c r="R71" s="440"/>
      <c r="S71" s="440"/>
      <c r="T71" s="440"/>
      <c r="U71" s="441"/>
      <c r="V71" s="410"/>
      <c r="W71" s="6"/>
    </row>
    <row r="72" spans="1:25" ht="15.6">
      <c r="A72" s="378"/>
      <c r="B72" s="379" t="s">
        <v>28</v>
      </c>
      <c r="C72" s="440"/>
      <c r="D72" s="440"/>
      <c r="E72" s="440"/>
      <c r="F72" s="440"/>
      <c r="G72" s="440"/>
      <c r="H72" s="440"/>
      <c r="I72" s="440"/>
      <c r="J72" s="440"/>
      <c r="K72" s="440">
        <v>138321</v>
      </c>
      <c r="L72" s="440"/>
      <c r="M72" s="440">
        <v>262</v>
      </c>
      <c r="N72" s="440"/>
      <c r="O72" s="440">
        <v>262</v>
      </c>
      <c r="P72" s="440"/>
      <c r="Q72" s="440">
        <v>0</v>
      </c>
      <c r="R72" s="440"/>
      <c r="S72" s="440">
        <v>0</v>
      </c>
      <c r="T72" s="440"/>
      <c r="U72" s="441">
        <f>+M72-O72+Q72-S72</f>
        <v>0</v>
      </c>
      <c r="V72" s="410"/>
      <c r="W72" s="6"/>
      <c r="X72" s="182"/>
      <c r="Y72" s="182"/>
    </row>
    <row r="73" spans="1:25" ht="15.6">
      <c r="A73" s="378"/>
      <c r="B73" s="379" t="s">
        <v>25</v>
      </c>
      <c r="C73" s="440"/>
      <c r="D73" s="440"/>
      <c r="E73" s="440"/>
      <c r="F73" s="440"/>
      <c r="G73" s="440"/>
      <c r="H73" s="440"/>
      <c r="I73" s="440"/>
      <c r="J73" s="440"/>
      <c r="K73" s="440"/>
      <c r="L73" s="440"/>
      <c r="M73" s="440"/>
      <c r="N73" s="440"/>
      <c r="O73" s="440"/>
      <c r="P73" s="440"/>
      <c r="Q73" s="440">
        <v>0</v>
      </c>
      <c r="R73" s="440"/>
      <c r="S73" s="440">
        <v>0</v>
      </c>
      <c r="T73" s="440"/>
      <c r="U73" s="441"/>
      <c r="V73" s="410"/>
      <c r="W73" s="6"/>
    </row>
    <row r="74" spans="1:25" ht="15.6">
      <c r="A74" s="378"/>
      <c r="B74" s="440"/>
      <c r="C74" s="440"/>
      <c r="D74" s="440"/>
      <c r="E74" s="440"/>
      <c r="F74" s="440"/>
      <c r="G74" s="440"/>
      <c r="H74" s="440"/>
      <c r="I74" s="440"/>
      <c r="J74" s="440"/>
      <c r="K74" s="440"/>
      <c r="L74" s="440"/>
      <c r="M74" s="440"/>
      <c r="N74" s="440"/>
      <c r="O74" s="440"/>
      <c r="P74" s="440"/>
      <c r="Q74" s="440"/>
      <c r="R74" s="440"/>
      <c r="S74" s="440"/>
      <c r="T74" s="440"/>
      <c r="U74" s="441"/>
      <c r="V74" s="410"/>
      <c r="W74" s="6"/>
    </row>
    <row r="75" spans="1:25" ht="15.6">
      <c r="A75" s="378"/>
      <c r="B75" s="379" t="s">
        <v>29</v>
      </c>
      <c r="C75" s="440"/>
      <c r="D75" s="440"/>
      <c r="E75" s="440"/>
      <c r="F75" s="440"/>
      <c r="G75" s="440"/>
      <c r="H75" s="440"/>
      <c r="I75" s="440"/>
      <c r="J75" s="440"/>
      <c r="K75" s="440">
        <f>SUM(K63:K72)</f>
        <v>450000</v>
      </c>
      <c r="L75" s="440"/>
      <c r="M75" s="440">
        <f>SUM(M63:M72)</f>
        <v>86979</v>
      </c>
      <c r="N75" s="440"/>
      <c r="O75" s="440">
        <f>SUM(O63:O73)</f>
        <v>86979</v>
      </c>
      <c r="P75" s="440"/>
      <c r="Q75" s="440">
        <f>SUM(Q63:Q73)</f>
        <v>0</v>
      </c>
      <c r="R75" s="440"/>
      <c r="S75" s="440">
        <f>SUM(S70:S74)</f>
        <v>0</v>
      </c>
      <c r="T75" s="440"/>
      <c r="U75" s="440">
        <f>SUM(U63:U73)</f>
        <v>0</v>
      </c>
      <c r="V75" s="410"/>
      <c r="W75" s="6"/>
      <c r="X75" s="182"/>
      <c r="Y75" s="182"/>
    </row>
    <row r="76" spans="1:25" ht="15.6">
      <c r="A76" s="378"/>
      <c r="B76" s="379"/>
      <c r="C76" s="440"/>
      <c r="D76" s="440"/>
      <c r="E76" s="440"/>
      <c r="F76" s="440"/>
      <c r="G76" s="440"/>
      <c r="H76" s="440"/>
      <c r="I76" s="440"/>
      <c r="J76" s="440"/>
      <c r="K76" s="440"/>
      <c r="L76" s="440"/>
      <c r="M76" s="440"/>
      <c r="N76" s="440"/>
      <c r="O76" s="440"/>
      <c r="P76" s="440"/>
      <c r="Q76" s="440"/>
      <c r="R76" s="440"/>
      <c r="S76" s="440"/>
      <c r="T76" s="440"/>
      <c r="U76" s="440"/>
      <c r="V76" s="410"/>
      <c r="W76" s="6"/>
    </row>
    <row r="77" spans="1:25" ht="15.6">
      <c r="A77" s="378"/>
      <c r="B77" s="379" t="s">
        <v>214</v>
      </c>
      <c r="C77" s="440"/>
      <c r="D77" s="440"/>
      <c r="E77" s="440"/>
      <c r="F77" s="440"/>
      <c r="G77" s="440"/>
      <c r="H77" s="440"/>
      <c r="I77" s="440"/>
      <c r="J77" s="440"/>
      <c r="K77" s="440">
        <v>0</v>
      </c>
      <c r="L77" s="440"/>
      <c r="M77" s="440">
        <v>-12951</v>
      </c>
      <c r="N77" s="440"/>
      <c r="O77" s="440">
        <v>-12951</v>
      </c>
      <c r="P77" s="440"/>
      <c r="Q77" s="440"/>
      <c r="R77" s="440"/>
      <c r="S77" s="440"/>
      <c r="T77" s="440"/>
      <c r="U77" s="441">
        <f>+M77-O77</f>
        <v>0</v>
      </c>
      <c r="V77" s="410"/>
      <c r="W77" s="6"/>
      <c r="Y77" s="182"/>
    </row>
    <row r="78" spans="1:25" ht="15.6">
      <c r="A78" s="378"/>
      <c r="B78" s="379" t="s">
        <v>30</v>
      </c>
      <c r="C78" s="440"/>
      <c r="D78" s="440"/>
      <c r="E78" s="440"/>
      <c r="F78" s="440"/>
      <c r="G78" s="440"/>
      <c r="H78" s="440"/>
      <c r="I78" s="440"/>
      <c r="J78" s="440"/>
      <c r="K78" s="440">
        <v>0</v>
      </c>
      <c r="L78" s="440"/>
      <c r="M78" s="440">
        <v>0</v>
      </c>
      <c r="N78" s="440"/>
      <c r="O78" s="440">
        <v>0</v>
      </c>
      <c r="P78" s="440"/>
      <c r="Q78" s="440">
        <v>0</v>
      </c>
      <c r="R78" s="440"/>
      <c r="S78" s="440"/>
      <c r="T78" s="440"/>
      <c r="U78" s="440">
        <v>0</v>
      </c>
      <c r="V78" s="410"/>
      <c r="W78" s="6"/>
      <c r="X78" s="182"/>
    </row>
    <row r="79" spans="1:25" ht="15.6">
      <c r="A79" s="378"/>
      <c r="B79" s="379" t="s">
        <v>31</v>
      </c>
      <c r="C79" s="440"/>
      <c r="D79" s="440"/>
      <c r="E79" s="440"/>
      <c r="F79" s="440"/>
      <c r="G79" s="440"/>
      <c r="H79" s="440"/>
      <c r="I79" s="440"/>
      <c r="J79" s="440"/>
      <c r="K79" s="440">
        <v>0</v>
      </c>
      <c r="L79" s="440"/>
      <c r="M79" s="440">
        <v>0</v>
      </c>
      <c r="N79" s="440"/>
      <c r="O79" s="440"/>
      <c r="P79" s="440"/>
      <c r="Q79" s="440">
        <v>0</v>
      </c>
      <c r="R79" s="440"/>
      <c r="S79" s="440"/>
      <c r="T79" s="440"/>
      <c r="U79" s="440">
        <f>Q79+M79</f>
        <v>0</v>
      </c>
      <c r="V79" s="410"/>
      <c r="W79" s="6"/>
    </row>
    <row r="80" spans="1:25" ht="15.6">
      <c r="A80" s="378"/>
      <c r="B80" s="379" t="s">
        <v>16</v>
      </c>
      <c r="C80" s="440"/>
      <c r="D80" s="440"/>
      <c r="E80" s="440"/>
      <c r="F80" s="440"/>
      <c r="G80" s="440"/>
      <c r="H80" s="440"/>
      <c r="I80" s="440"/>
      <c r="J80" s="440"/>
      <c r="K80" s="440">
        <f>SUM(K75:K79)</f>
        <v>450000</v>
      </c>
      <c r="L80" s="440"/>
      <c r="M80" s="440">
        <f>SUM(M75:M79)</f>
        <v>74028</v>
      </c>
      <c r="N80" s="440"/>
      <c r="O80" s="440">
        <f>O78-O79</f>
        <v>0</v>
      </c>
      <c r="P80" s="440"/>
      <c r="Q80" s="440"/>
      <c r="R80" s="440"/>
      <c r="S80" s="440"/>
      <c r="T80" s="440"/>
      <c r="U80" s="440">
        <f>SUM(U75:U79)</f>
        <v>0</v>
      </c>
      <c r="V80" s="410"/>
      <c r="W80" s="6"/>
      <c r="X80" s="182"/>
      <c r="Y80" s="182"/>
    </row>
    <row r="81" spans="1:24" ht="15.6">
      <c r="A81" s="242"/>
      <c r="B81" s="437"/>
      <c r="C81" s="438"/>
      <c r="D81" s="438"/>
      <c r="E81" s="438"/>
      <c r="F81" s="438"/>
      <c r="G81" s="438"/>
      <c r="H81" s="438"/>
      <c r="I81" s="438"/>
      <c r="J81" s="438"/>
      <c r="K81" s="438"/>
      <c r="L81" s="438"/>
      <c r="M81" s="438"/>
      <c r="N81" s="438"/>
      <c r="O81" s="438"/>
      <c r="P81" s="438"/>
      <c r="Q81" s="438"/>
      <c r="R81" s="438"/>
      <c r="S81" s="439"/>
      <c r="T81" s="438"/>
      <c r="U81" s="439"/>
      <c r="V81" s="245"/>
      <c r="W81" s="6"/>
    </row>
    <row r="82" spans="1:24" ht="15.6">
      <c r="A82" s="230"/>
      <c r="B82" s="511" t="s">
        <v>32</v>
      </c>
      <c r="C82" s="511"/>
      <c r="D82" s="511"/>
      <c r="E82" s="511"/>
      <c r="F82" s="511"/>
      <c r="G82" s="511"/>
      <c r="H82" s="511"/>
      <c r="I82" s="511"/>
      <c r="J82" s="511"/>
      <c r="K82" s="511"/>
      <c r="L82" s="511"/>
      <c r="M82" s="511"/>
      <c r="N82" s="511"/>
      <c r="O82" s="511"/>
      <c r="P82" s="511"/>
      <c r="Q82" s="511"/>
      <c r="R82" s="232"/>
      <c r="S82" s="232"/>
      <c r="T82" s="232"/>
      <c r="U82" s="232" t="s">
        <v>121</v>
      </c>
      <c r="V82" s="516"/>
      <c r="W82" s="6"/>
    </row>
    <row r="83" spans="1:24" ht="15.6">
      <c r="A83" s="315"/>
      <c r="B83" s="294" t="s">
        <v>303</v>
      </c>
      <c r="C83" s="294"/>
      <c r="D83" s="294"/>
      <c r="E83" s="294"/>
      <c r="F83" s="294"/>
      <c r="G83" s="294"/>
      <c r="H83" s="294"/>
      <c r="I83" s="294"/>
      <c r="J83" s="294"/>
      <c r="K83" s="294"/>
      <c r="L83" s="294"/>
      <c r="M83" s="294"/>
      <c r="N83" s="294"/>
      <c r="O83" s="310"/>
      <c r="P83" s="294"/>
      <c r="Q83" s="294"/>
      <c r="R83" s="294"/>
      <c r="S83" s="310"/>
      <c r="T83" s="294"/>
      <c r="U83" s="311">
        <v>46248</v>
      </c>
      <c r="V83" s="298"/>
      <c r="W83" s="6"/>
    </row>
    <row r="84" spans="1:24" ht="15.6">
      <c r="A84" s="444"/>
      <c r="B84" s="379" t="s">
        <v>34</v>
      </c>
      <c r="C84" s="431"/>
      <c r="D84" s="431"/>
      <c r="E84" s="431"/>
      <c r="F84" s="431"/>
      <c r="G84" s="431"/>
      <c r="H84" s="431"/>
      <c r="I84" s="431"/>
      <c r="J84" s="431"/>
      <c r="K84" s="431"/>
      <c r="L84" s="431"/>
      <c r="M84" s="430"/>
      <c r="N84" s="379"/>
      <c r="O84" s="379"/>
      <c r="P84" s="379"/>
      <c r="Q84" s="379"/>
      <c r="R84" s="379"/>
      <c r="S84" s="440"/>
      <c r="T84" s="379"/>
      <c r="U84" s="441">
        <f>115+33-48</f>
        <v>100</v>
      </c>
      <c r="V84" s="410"/>
      <c r="W84" s="6"/>
    </row>
    <row r="85" spans="1:24" ht="15.6">
      <c r="A85" s="444"/>
      <c r="B85" s="379" t="s">
        <v>230</v>
      </c>
      <c r="C85" s="379"/>
      <c r="D85" s="379"/>
      <c r="E85" s="379"/>
      <c r="F85" s="379"/>
      <c r="G85" s="379"/>
      <c r="H85" s="379"/>
      <c r="I85" s="379"/>
      <c r="J85" s="379"/>
      <c r="K85" s="379"/>
      <c r="L85" s="379"/>
      <c r="M85" s="379"/>
      <c r="N85" s="379"/>
      <c r="O85" s="379"/>
      <c r="P85" s="379"/>
      <c r="Q85" s="379"/>
      <c r="R85" s="379"/>
      <c r="S85" s="440"/>
      <c r="T85" s="379"/>
      <c r="U85" s="441">
        <v>0</v>
      </c>
      <c r="V85" s="410"/>
      <c r="W85" s="6"/>
      <c r="X85" s="64"/>
    </row>
    <row r="86" spans="1:24" ht="15.6">
      <c r="A86" s="444"/>
      <c r="B86" s="379" t="s">
        <v>231</v>
      </c>
      <c r="C86" s="379"/>
      <c r="D86" s="379"/>
      <c r="E86" s="379"/>
      <c r="F86" s="379"/>
      <c r="G86" s="379"/>
      <c r="H86" s="379"/>
      <c r="I86" s="379"/>
      <c r="J86" s="379"/>
      <c r="K86" s="379"/>
      <c r="L86" s="379"/>
      <c r="M86" s="379"/>
      <c r="N86" s="379"/>
      <c r="O86" s="379"/>
      <c r="P86" s="379"/>
      <c r="Q86" s="379"/>
      <c r="R86" s="379"/>
      <c r="S86" s="440"/>
      <c r="T86" s="379"/>
      <c r="U86" s="441">
        <v>0</v>
      </c>
      <c r="V86" s="410"/>
      <c r="W86" s="6"/>
      <c r="X86" s="64"/>
    </row>
    <row r="87" spans="1:24" ht="15.6">
      <c r="A87" s="444"/>
      <c r="B87" s="379" t="s">
        <v>304</v>
      </c>
      <c r="C87" s="379"/>
      <c r="D87" s="379"/>
      <c r="E87" s="379"/>
      <c r="F87" s="379"/>
      <c r="G87" s="379"/>
      <c r="H87" s="379"/>
      <c r="I87" s="379"/>
      <c r="J87" s="379"/>
      <c r="K87" s="379"/>
      <c r="L87" s="379"/>
      <c r="M87" s="379"/>
      <c r="N87" s="379"/>
      <c r="O87" s="379"/>
      <c r="P87" s="379"/>
      <c r="Q87" s="379"/>
      <c r="R87" s="379"/>
      <c r="S87" s="440"/>
      <c r="T87" s="379"/>
      <c r="U87" s="441">
        <v>70181</v>
      </c>
      <c r="V87" s="410"/>
      <c r="W87" s="6"/>
      <c r="X87" s="64"/>
    </row>
    <row r="88" spans="1:24" ht="15.6">
      <c r="A88" s="444"/>
      <c r="B88" s="379" t="s">
        <v>35</v>
      </c>
      <c r="C88" s="379"/>
      <c r="D88" s="379"/>
      <c r="E88" s="379"/>
      <c r="F88" s="379"/>
      <c r="G88" s="379"/>
      <c r="H88" s="379"/>
      <c r="I88" s="379"/>
      <c r="J88" s="379"/>
      <c r="K88" s="379"/>
      <c r="L88" s="379"/>
      <c r="M88" s="379"/>
      <c r="N88" s="379"/>
      <c r="O88" s="379"/>
      <c r="P88" s="379"/>
      <c r="Q88" s="379"/>
      <c r="R88" s="379"/>
      <c r="S88" s="440"/>
      <c r="T88" s="379"/>
      <c r="U88" s="441">
        <f>SUM(U83:U87)</f>
        <v>116529</v>
      </c>
      <c r="V88" s="410"/>
      <c r="W88" s="6"/>
      <c r="X88" s="64"/>
    </row>
    <row r="89" spans="1:24" ht="15.6">
      <c r="A89" s="444"/>
      <c r="B89" s="379"/>
      <c r="C89" s="379"/>
      <c r="D89" s="379"/>
      <c r="E89" s="379"/>
      <c r="F89" s="379"/>
      <c r="G89" s="379"/>
      <c r="H89" s="379"/>
      <c r="I89" s="379"/>
      <c r="J89" s="379"/>
      <c r="K89" s="379"/>
      <c r="L89" s="379"/>
      <c r="M89" s="379"/>
      <c r="N89" s="379"/>
      <c r="O89" s="379"/>
      <c r="P89" s="379"/>
      <c r="Q89" s="379"/>
      <c r="R89" s="379"/>
      <c r="S89" s="440"/>
      <c r="T89" s="379"/>
      <c r="U89" s="440"/>
      <c r="V89" s="410"/>
      <c r="W89" s="6"/>
    </row>
    <row r="90" spans="1:24" ht="15.6">
      <c r="A90" s="444"/>
      <c r="B90" s="446" t="s">
        <v>36</v>
      </c>
      <c r="C90" s="446"/>
      <c r="D90" s="446"/>
      <c r="E90" s="446"/>
      <c r="F90" s="446"/>
      <c r="G90" s="446"/>
      <c r="H90" s="446"/>
      <c r="I90" s="446"/>
      <c r="J90" s="446"/>
      <c r="K90" s="446"/>
      <c r="L90" s="446"/>
      <c r="M90" s="379"/>
      <c r="N90" s="379"/>
      <c r="O90" s="379"/>
      <c r="P90" s="379"/>
      <c r="Q90" s="379"/>
      <c r="R90" s="379"/>
      <c r="S90" s="440"/>
      <c r="T90" s="379"/>
      <c r="U90" s="441"/>
      <c r="V90" s="410"/>
      <c r="W90" s="6"/>
      <c r="X90" s="64"/>
    </row>
    <row r="91" spans="1:24" ht="15.6">
      <c r="A91" s="444">
        <v>1</v>
      </c>
      <c r="B91" s="379" t="s">
        <v>37</v>
      </c>
      <c r="C91" s="379"/>
      <c r="D91" s="379"/>
      <c r="E91" s="379"/>
      <c r="F91" s="379"/>
      <c r="G91" s="379"/>
      <c r="H91" s="379"/>
      <c r="I91" s="379"/>
      <c r="J91" s="379"/>
      <c r="K91" s="379"/>
      <c r="L91" s="379"/>
      <c r="M91" s="379"/>
      <c r="N91" s="379"/>
      <c r="O91" s="379"/>
      <c r="P91" s="379"/>
      <c r="Q91" s="379"/>
      <c r="R91" s="379"/>
      <c r="S91" s="379"/>
      <c r="T91" s="379"/>
      <c r="U91" s="441">
        <v>-2</v>
      </c>
      <c r="V91" s="410"/>
      <c r="W91" s="6"/>
    </row>
    <row r="92" spans="1:24" ht="15.6">
      <c r="A92" s="444">
        <f>A91+1</f>
        <v>2</v>
      </c>
      <c r="B92" s="379" t="s">
        <v>168</v>
      </c>
      <c r="C92" s="379"/>
      <c r="D92" s="379"/>
      <c r="E92" s="379"/>
      <c r="F92" s="379"/>
      <c r="G92" s="379"/>
      <c r="H92" s="379"/>
      <c r="I92" s="379"/>
      <c r="J92" s="379"/>
      <c r="K92" s="379"/>
      <c r="L92" s="379"/>
      <c r="M92" s="379"/>
      <c r="N92" s="379"/>
      <c r="O92" s="379"/>
      <c r="P92" s="379"/>
      <c r="Q92" s="379"/>
      <c r="R92" s="379"/>
      <c r="S92" s="379"/>
      <c r="T92" s="379"/>
      <c r="U92" s="441">
        <f>-75-15-1</f>
        <v>-91</v>
      </c>
      <c r="V92" s="410"/>
      <c r="W92" s="6"/>
      <c r="X92" s="64"/>
    </row>
    <row r="93" spans="1:24" ht="15.6">
      <c r="A93" s="444">
        <v>3</v>
      </c>
      <c r="B93" s="379" t="s">
        <v>38</v>
      </c>
      <c r="C93" s="379"/>
      <c r="D93" s="379"/>
      <c r="E93" s="379"/>
      <c r="F93" s="379"/>
      <c r="G93" s="379"/>
      <c r="H93" s="379"/>
      <c r="I93" s="379"/>
      <c r="J93" s="379"/>
      <c r="K93" s="379"/>
      <c r="L93" s="379"/>
      <c r="M93" s="379"/>
      <c r="N93" s="379"/>
      <c r="O93" s="379"/>
      <c r="P93" s="379"/>
      <c r="Q93" s="379"/>
      <c r="R93" s="379"/>
      <c r="S93" s="379"/>
      <c r="T93" s="379"/>
      <c r="U93" s="441">
        <v>-4</v>
      </c>
      <c r="V93" s="410"/>
      <c r="W93" s="6"/>
      <c r="X93" s="64"/>
    </row>
    <row r="94" spans="1:24" ht="15.6">
      <c r="A94" s="447" t="s">
        <v>190</v>
      </c>
      <c r="B94" s="379" t="s">
        <v>169</v>
      </c>
      <c r="C94" s="379"/>
      <c r="D94" s="379"/>
      <c r="E94" s="379"/>
      <c r="F94" s="379"/>
      <c r="G94" s="379"/>
      <c r="H94" s="379"/>
      <c r="I94" s="379"/>
      <c r="J94" s="379"/>
      <c r="K94" s="379"/>
      <c r="L94" s="379"/>
      <c r="M94" s="379"/>
      <c r="N94" s="379"/>
      <c r="O94" s="379"/>
      <c r="P94" s="379"/>
      <c r="Q94" s="379"/>
      <c r="R94" s="379"/>
      <c r="S94" s="379"/>
      <c r="T94" s="379"/>
      <c r="U94" s="441">
        <v>-31</v>
      </c>
      <c r="V94" s="410"/>
      <c r="W94" s="6"/>
      <c r="X94" s="64"/>
    </row>
    <row r="95" spans="1:24" ht="15.6">
      <c r="A95" s="447" t="s">
        <v>191</v>
      </c>
      <c r="B95" s="379" t="s">
        <v>170</v>
      </c>
      <c r="C95" s="379"/>
      <c r="D95" s="379"/>
      <c r="E95" s="379"/>
      <c r="F95" s="379"/>
      <c r="G95" s="379"/>
      <c r="H95" s="379"/>
      <c r="I95" s="379"/>
      <c r="J95" s="379"/>
      <c r="K95" s="379"/>
      <c r="L95" s="379"/>
      <c r="M95" s="379"/>
      <c r="N95" s="379"/>
      <c r="O95" s="379"/>
      <c r="P95" s="379"/>
      <c r="Q95" s="379"/>
      <c r="R95" s="379"/>
      <c r="S95" s="379"/>
      <c r="T95" s="379"/>
      <c r="U95" s="441">
        <v>-40</v>
      </c>
      <c r="V95" s="410"/>
      <c r="W95" s="6"/>
      <c r="X95" s="182"/>
    </row>
    <row r="96" spans="1:24" ht="15.6">
      <c r="A96" s="444">
        <v>5</v>
      </c>
      <c r="B96" s="379" t="s">
        <v>171</v>
      </c>
      <c r="C96" s="379"/>
      <c r="D96" s="379"/>
      <c r="E96" s="379"/>
      <c r="F96" s="379"/>
      <c r="G96" s="379"/>
      <c r="H96" s="379"/>
      <c r="I96" s="379"/>
      <c r="J96" s="379"/>
      <c r="K96" s="379"/>
      <c r="L96" s="379"/>
      <c r="M96" s="379"/>
      <c r="N96" s="379"/>
      <c r="O96" s="379"/>
      <c r="P96" s="379"/>
      <c r="Q96" s="379"/>
      <c r="R96" s="379"/>
      <c r="S96" s="379"/>
      <c r="T96" s="379"/>
      <c r="U96" s="441">
        <v>-9</v>
      </c>
      <c r="V96" s="410"/>
      <c r="W96" s="6"/>
    </row>
    <row r="97" spans="1:24" ht="15.6">
      <c r="A97" s="447" t="s">
        <v>174</v>
      </c>
      <c r="B97" s="379" t="s">
        <v>172</v>
      </c>
      <c r="C97" s="379"/>
      <c r="D97" s="379"/>
      <c r="E97" s="379"/>
      <c r="F97" s="379"/>
      <c r="G97" s="379"/>
      <c r="H97" s="379"/>
      <c r="I97" s="379"/>
      <c r="J97" s="379"/>
      <c r="K97" s="379"/>
      <c r="L97" s="379"/>
      <c r="M97" s="379"/>
      <c r="N97" s="379"/>
      <c r="O97" s="379"/>
      <c r="P97" s="379"/>
      <c r="Q97" s="379"/>
      <c r="R97" s="379"/>
      <c r="S97" s="379"/>
      <c r="T97" s="379"/>
      <c r="U97" s="441">
        <v>-14</v>
      </c>
      <c r="V97" s="410"/>
      <c r="W97" s="6"/>
      <c r="X97" s="182"/>
    </row>
    <row r="98" spans="1:24" ht="15.6">
      <c r="A98" s="447" t="s">
        <v>176</v>
      </c>
      <c r="B98" s="379" t="s">
        <v>173</v>
      </c>
      <c r="C98" s="379"/>
      <c r="D98" s="379"/>
      <c r="E98" s="379"/>
      <c r="F98" s="379"/>
      <c r="G98" s="379"/>
      <c r="H98" s="379"/>
      <c r="I98" s="379"/>
      <c r="J98" s="379"/>
      <c r="K98" s="379"/>
      <c r="L98" s="379"/>
      <c r="M98" s="379"/>
      <c r="N98" s="379"/>
      <c r="O98" s="379"/>
      <c r="P98" s="379"/>
      <c r="Q98" s="379"/>
      <c r="R98" s="379"/>
      <c r="S98" s="379"/>
      <c r="T98" s="379"/>
      <c r="U98" s="441">
        <v>-23</v>
      </c>
      <c r="V98" s="410"/>
      <c r="W98" s="119"/>
      <c r="X98" s="182"/>
    </row>
    <row r="99" spans="1:24" ht="15.6">
      <c r="A99" s="447" t="s">
        <v>178</v>
      </c>
      <c r="B99" s="379" t="s">
        <v>175</v>
      </c>
      <c r="C99" s="379"/>
      <c r="D99" s="379"/>
      <c r="E99" s="379"/>
      <c r="F99" s="379"/>
      <c r="G99" s="379"/>
      <c r="H99" s="379"/>
      <c r="I99" s="379"/>
      <c r="J99" s="379"/>
      <c r="K99" s="379"/>
      <c r="L99" s="379"/>
      <c r="M99" s="379"/>
      <c r="N99" s="379"/>
      <c r="O99" s="379"/>
      <c r="P99" s="379"/>
      <c r="Q99" s="379"/>
      <c r="R99" s="379"/>
      <c r="S99" s="379"/>
      <c r="T99" s="379"/>
      <c r="U99" s="441">
        <v>-24</v>
      </c>
      <c r="V99" s="410"/>
      <c r="W99" s="6"/>
      <c r="X99" s="182"/>
    </row>
    <row r="100" spans="1:24" ht="15.6">
      <c r="A100" s="447" t="s">
        <v>180</v>
      </c>
      <c r="B100" s="379" t="s">
        <v>177</v>
      </c>
      <c r="C100" s="379"/>
      <c r="D100" s="379"/>
      <c r="E100" s="379"/>
      <c r="F100" s="379"/>
      <c r="G100" s="379"/>
      <c r="H100" s="379"/>
      <c r="I100" s="379"/>
      <c r="J100" s="379"/>
      <c r="K100" s="379"/>
      <c r="L100" s="379"/>
      <c r="M100" s="379"/>
      <c r="N100" s="379"/>
      <c r="O100" s="379"/>
      <c r="P100" s="379"/>
      <c r="Q100" s="379"/>
      <c r="R100" s="379"/>
      <c r="S100" s="379"/>
      <c r="T100" s="379"/>
      <c r="U100" s="441">
        <v>-30</v>
      </c>
      <c r="V100" s="410"/>
      <c r="W100" s="119"/>
      <c r="X100" s="182"/>
    </row>
    <row r="101" spans="1:24" ht="15.6">
      <c r="A101" s="447" t="s">
        <v>192</v>
      </c>
      <c r="B101" s="379" t="s">
        <v>179</v>
      </c>
      <c r="C101" s="379"/>
      <c r="D101" s="379"/>
      <c r="E101" s="379"/>
      <c r="F101" s="379"/>
      <c r="G101" s="379"/>
      <c r="H101" s="379"/>
      <c r="I101" s="379"/>
      <c r="J101" s="379"/>
      <c r="K101" s="379"/>
      <c r="L101" s="379"/>
      <c r="M101" s="379"/>
      <c r="N101" s="379"/>
      <c r="O101" s="379"/>
      <c r="P101" s="379"/>
      <c r="Q101" s="379"/>
      <c r="R101" s="379"/>
      <c r="S101" s="379"/>
      <c r="T101" s="379"/>
      <c r="U101" s="441">
        <v>-46</v>
      </c>
      <c r="V101" s="410"/>
      <c r="W101" s="6"/>
      <c r="X101" s="182"/>
    </row>
    <row r="102" spans="1:24" ht="15.6">
      <c r="A102" s="447" t="s">
        <v>193</v>
      </c>
      <c r="B102" s="379" t="s">
        <v>181</v>
      </c>
      <c r="C102" s="379"/>
      <c r="D102" s="379"/>
      <c r="E102" s="379"/>
      <c r="F102" s="379"/>
      <c r="G102" s="379"/>
      <c r="H102" s="379"/>
      <c r="I102" s="379"/>
      <c r="J102" s="379"/>
      <c r="K102" s="379"/>
      <c r="L102" s="379"/>
      <c r="M102" s="379"/>
      <c r="N102" s="379"/>
      <c r="O102" s="379"/>
      <c r="P102" s="379"/>
      <c r="Q102" s="379"/>
      <c r="R102" s="379"/>
      <c r="S102" s="379"/>
      <c r="T102" s="379"/>
      <c r="U102" s="441">
        <v>-40</v>
      </c>
      <c r="V102" s="410"/>
      <c r="W102" s="119"/>
      <c r="X102" s="182"/>
    </row>
    <row r="103" spans="1:24" ht="15.6">
      <c r="A103" s="444">
        <v>9</v>
      </c>
      <c r="B103" s="379" t="s">
        <v>257</v>
      </c>
      <c r="C103" s="379"/>
      <c r="D103" s="379"/>
      <c r="E103" s="379"/>
      <c r="F103" s="379"/>
      <c r="G103" s="379"/>
      <c r="H103" s="379"/>
      <c r="I103" s="379"/>
      <c r="J103" s="379"/>
      <c r="K103" s="379"/>
      <c r="L103" s="379"/>
      <c r="M103" s="379"/>
      <c r="N103" s="379"/>
      <c r="O103" s="379"/>
      <c r="P103" s="379"/>
      <c r="Q103" s="379"/>
      <c r="R103" s="379"/>
      <c r="S103" s="379"/>
      <c r="T103" s="379"/>
      <c r="U103" s="441">
        <f>+S221-U32</f>
        <v>-74028.337199999994</v>
      </c>
      <c r="V103" s="410"/>
      <c r="W103" s="6"/>
      <c r="X103" s="182"/>
    </row>
    <row r="104" spans="1:24" ht="15.6">
      <c r="A104" s="444">
        <v>10</v>
      </c>
      <c r="B104" s="379" t="s">
        <v>305</v>
      </c>
      <c r="C104" s="379"/>
      <c r="D104" s="379"/>
      <c r="E104" s="379"/>
      <c r="F104" s="379"/>
      <c r="G104" s="379"/>
      <c r="H104" s="379"/>
      <c r="I104" s="379"/>
      <c r="J104" s="379"/>
      <c r="K104" s="379"/>
      <c r="L104" s="379"/>
      <c r="M104" s="379"/>
      <c r="N104" s="379"/>
      <c r="O104" s="379"/>
      <c r="P104" s="379"/>
      <c r="Q104" s="379"/>
      <c r="R104" s="379"/>
      <c r="S104" s="379"/>
      <c r="T104" s="379"/>
      <c r="U104" s="441">
        <v>-40500</v>
      </c>
      <c r="V104" s="410"/>
      <c r="W104" s="6"/>
      <c r="X104" s="64"/>
    </row>
    <row r="105" spans="1:24" ht="15.6">
      <c r="A105" s="444">
        <v>11</v>
      </c>
      <c r="B105" s="379" t="s">
        <v>183</v>
      </c>
      <c r="C105" s="379"/>
      <c r="D105" s="379"/>
      <c r="E105" s="379"/>
      <c r="F105" s="379"/>
      <c r="G105" s="379"/>
      <c r="H105" s="379"/>
      <c r="I105" s="379"/>
      <c r="J105" s="379"/>
      <c r="K105" s="379"/>
      <c r="L105" s="379"/>
      <c r="M105" s="379"/>
      <c r="N105" s="379"/>
      <c r="O105" s="379"/>
      <c r="P105" s="379"/>
      <c r="Q105" s="379"/>
      <c r="R105" s="379"/>
      <c r="S105" s="379"/>
      <c r="T105" s="379"/>
      <c r="U105" s="441">
        <v>0</v>
      </c>
      <c r="V105" s="410"/>
      <c r="W105" s="6"/>
      <c r="X105" s="64"/>
    </row>
    <row r="106" spans="1:24" ht="15.6">
      <c r="A106" s="444">
        <v>12</v>
      </c>
      <c r="B106" s="379" t="s">
        <v>184</v>
      </c>
      <c r="C106" s="379"/>
      <c r="D106" s="379"/>
      <c r="E106" s="379"/>
      <c r="F106" s="379"/>
      <c r="G106" s="379"/>
      <c r="H106" s="379"/>
      <c r="I106" s="379"/>
      <c r="J106" s="379"/>
      <c r="K106" s="379"/>
      <c r="L106" s="379"/>
      <c r="M106" s="379"/>
      <c r="N106" s="379"/>
      <c r="O106" s="379"/>
      <c r="P106" s="379"/>
      <c r="Q106" s="379"/>
      <c r="R106" s="379"/>
      <c r="S106" s="379"/>
      <c r="T106" s="379"/>
      <c r="U106" s="441">
        <v>-84</v>
      </c>
      <c r="V106" s="410"/>
      <c r="W106" s="6"/>
      <c r="X106" s="182"/>
    </row>
    <row r="107" spans="1:24" ht="15.6">
      <c r="A107" s="444">
        <v>13</v>
      </c>
      <c r="B107" s="379" t="s">
        <v>40</v>
      </c>
      <c r="C107" s="379"/>
      <c r="D107" s="379"/>
      <c r="E107" s="379"/>
      <c r="F107" s="379"/>
      <c r="G107" s="379"/>
      <c r="H107" s="379"/>
      <c r="I107" s="379"/>
      <c r="J107" s="379"/>
      <c r="K107" s="379"/>
      <c r="L107" s="379"/>
      <c r="M107" s="379"/>
      <c r="N107" s="379"/>
      <c r="O107" s="379"/>
      <c r="P107" s="379"/>
      <c r="Q107" s="379"/>
      <c r="R107" s="379"/>
      <c r="S107" s="379"/>
      <c r="T107" s="379"/>
      <c r="U107" s="441">
        <f>-SUM(U88:V106)</f>
        <v>-1562.6628000000055</v>
      </c>
      <c r="V107" s="410"/>
      <c r="W107" s="6"/>
      <c r="X107" s="182"/>
    </row>
    <row r="108" spans="1:24" ht="15.6">
      <c r="A108" s="316"/>
      <c r="B108" s="443"/>
      <c r="C108" s="364"/>
      <c r="D108" s="364"/>
      <c r="E108" s="364"/>
      <c r="F108" s="364"/>
      <c r="G108" s="364"/>
      <c r="H108" s="364"/>
      <c r="I108" s="364"/>
      <c r="J108" s="364"/>
      <c r="K108" s="364"/>
      <c r="L108" s="364"/>
      <c r="M108" s="364"/>
      <c r="N108" s="364"/>
      <c r="O108" s="364"/>
      <c r="P108" s="364"/>
      <c r="Q108" s="364"/>
      <c r="R108" s="364"/>
      <c r="S108" s="360"/>
      <c r="T108" s="360"/>
      <c r="U108" s="360"/>
      <c r="V108" s="303"/>
      <c r="W108" s="6"/>
      <c r="X108" s="182"/>
    </row>
    <row r="109" spans="1:24" ht="15.6">
      <c r="A109" s="316"/>
      <c r="B109" s="317"/>
      <c r="C109" s="288"/>
      <c r="D109" s="288"/>
      <c r="E109" s="288"/>
      <c r="F109" s="288"/>
      <c r="G109" s="288"/>
      <c r="H109" s="288"/>
      <c r="I109" s="288"/>
      <c r="J109" s="288"/>
      <c r="K109" s="288"/>
      <c r="L109" s="288"/>
      <c r="M109" s="288"/>
      <c r="N109" s="288"/>
      <c r="O109" s="288"/>
      <c r="P109" s="288"/>
      <c r="Q109" s="288"/>
      <c r="R109" s="288"/>
      <c r="S109" s="318"/>
      <c r="T109" s="318"/>
      <c r="U109" s="318"/>
      <c r="V109" s="303"/>
      <c r="W109" s="6"/>
    </row>
    <row r="110" spans="1:24" ht="16.2" thickBot="1">
      <c r="A110" s="319"/>
      <c r="B110" s="304" t="str">
        <f>+B59</f>
        <v>PPAF3 INVESTOR REPORT QUARTER ENDING DECEMBER 2016</v>
      </c>
      <c r="C110" s="305"/>
      <c r="D110" s="305"/>
      <c r="E110" s="305"/>
      <c r="F110" s="305"/>
      <c r="G110" s="305"/>
      <c r="H110" s="305"/>
      <c r="I110" s="305"/>
      <c r="J110" s="305"/>
      <c r="K110" s="305"/>
      <c r="L110" s="305"/>
      <c r="M110" s="305"/>
      <c r="N110" s="305"/>
      <c r="O110" s="305"/>
      <c r="P110" s="305"/>
      <c r="Q110" s="305"/>
      <c r="R110" s="305"/>
      <c r="S110" s="320"/>
      <c r="T110" s="320"/>
      <c r="U110" s="320"/>
      <c r="V110" s="307"/>
      <c r="W110" s="6"/>
    </row>
    <row r="111" spans="1:24" ht="15.6">
      <c r="A111" s="238"/>
      <c r="B111" s="240"/>
      <c r="C111" s="240"/>
      <c r="D111" s="240"/>
      <c r="E111" s="240"/>
      <c r="F111" s="240"/>
      <c r="G111" s="240"/>
      <c r="H111" s="240"/>
      <c r="I111" s="240"/>
      <c r="J111" s="240"/>
      <c r="K111" s="240"/>
      <c r="L111" s="240"/>
      <c r="M111" s="240"/>
      <c r="N111" s="240"/>
      <c r="O111" s="240"/>
      <c r="P111" s="240"/>
      <c r="Q111" s="240"/>
      <c r="R111" s="240"/>
      <c r="S111" s="269"/>
      <c r="T111" s="269"/>
      <c r="U111" s="269"/>
      <c r="V111" s="241"/>
      <c r="W111" s="6"/>
    </row>
    <row r="112" spans="1:24" ht="15.6">
      <c r="A112" s="321"/>
      <c r="B112" s="517" t="s">
        <v>41</v>
      </c>
      <c r="C112" s="322"/>
      <c r="D112" s="322"/>
      <c r="E112" s="322"/>
      <c r="F112" s="322"/>
      <c r="G112" s="322"/>
      <c r="H112" s="322"/>
      <c r="I112" s="322"/>
      <c r="J112" s="322"/>
      <c r="K112" s="322"/>
      <c r="L112" s="322"/>
      <c r="M112" s="322"/>
      <c r="N112" s="322"/>
      <c r="O112" s="322"/>
      <c r="P112" s="322"/>
      <c r="Q112" s="322"/>
      <c r="R112" s="322"/>
      <c r="S112" s="322"/>
      <c r="T112" s="322"/>
      <c r="U112" s="323"/>
      <c r="V112" s="324"/>
      <c r="W112" s="6"/>
    </row>
    <row r="113" spans="1:24" ht="15.6">
      <c r="A113" s="270"/>
      <c r="B113" s="271"/>
      <c r="C113" s="271"/>
      <c r="D113" s="271"/>
      <c r="E113" s="271"/>
      <c r="F113" s="271"/>
      <c r="G113" s="271"/>
      <c r="H113" s="271"/>
      <c r="I113" s="271"/>
      <c r="J113" s="271"/>
      <c r="K113" s="271"/>
      <c r="L113" s="271"/>
      <c r="M113" s="271"/>
      <c r="N113" s="271"/>
      <c r="O113" s="271"/>
      <c r="P113" s="271"/>
      <c r="Q113" s="271"/>
      <c r="R113" s="271"/>
      <c r="S113" s="271"/>
      <c r="T113" s="271"/>
      <c r="U113" s="272"/>
      <c r="V113" s="273"/>
      <c r="W113" s="6"/>
    </row>
    <row r="114" spans="1:24" ht="15.6">
      <c r="A114" s="242"/>
      <c r="B114" s="274" t="s">
        <v>42</v>
      </c>
      <c r="C114" s="252"/>
      <c r="D114" s="252"/>
      <c r="E114" s="252"/>
      <c r="F114" s="252"/>
      <c r="G114" s="252"/>
      <c r="H114" s="252"/>
      <c r="I114" s="252"/>
      <c r="J114" s="252"/>
      <c r="K114" s="252"/>
      <c r="L114" s="252"/>
      <c r="M114" s="244"/>
      <c r="N114" s="244"/>
      <c r="O114" s="244"/>
      <c r="P114" s="244"/>
      <c r="Q114" s="244"/>
      <c r="R114" s="244"/>
      <c r="S114" s="244"/>
      <c r="T114" s="244"/>
      <c r="U114" s="263"/>
      <c r="V114" s="245"/>
      <c r="W114" s="6"/>
    </row>
    <row r="115" spans="1:24" ht="15.6">
      <c r="A115" s="378"/>
      <c r="B115" s="379" t="s">
        <v>43</v>
      </c>
      <c r="C115" s="379"/>
      <c r="D115" s="379"/>
      <c r="E115" s="379"/>
      <c r="F115" s="379"/>
      <c r="G115" s="379"/>
      <c r="H115" s="379"/>
      <c r="I115" s="379"/>
      <c r="J115" s="379"/>
      <c r="K115" s="379"/>
      <c r="L115" s="379"/>
      <c r="M115" s="379"/>
      <c r="N115" s="379"/>
      <c r="O115" s="379"/>
      <c r="P115" s="379"/>
      <c r="Q115" s="379"/>
      <c r="R115" s="379"/>
      <c r="S115" s="379"/>
      <c r="T115" s="379"/>
      <c r="U115" s="441">
        <v>40500</v>
      </c>
      <c r="V115" s="410"/>
      <c r="W115" s="6"/>
    </row>
    <row r="116" spans="1:24" ht="15.6">
      <c r="A116" s="378"/>
      <c r="B116" s="379" t="s">
        <v>240</v>
      </c>
      <c r="C116" s="379"/>
      <c r="D116" s="379"/>
      <c r="E116" s="379"/>
      <c r="F116" s="379"/>
      <c r="G116" s="379"/>
      <c r="H116" s="379"/>
      <c r="I116" s="379"/>
      <c r="J116" s="379"/>
      <c r="K116" s="379"/>
      <c r="L116" s="379"/>
      <c r="M116" s="379"/>
      <c r="N116" s="379"/>
      <c r="O116" s="379"/>
      <c r="P116" s="379"/>
      <c r="Q116" s="379"/>
      <c r="R116" s="379"/>
      <c r="S116" s="379"/>
      <c r="T116" s="379"/>
      <c r="U116" s="441">
        <v>40500</v>
      </c>
      <c r="V116" s="410"/>
      <c r="W116" s="6"/>
    </row>
    <row r="117" spans="1:24" ht="15.6">
      <c r="A117" s="378"/>
      <c r="B117" s="379" t="s">
        <v>301</v>
      </c>
      <c r="C117" s="379"/>
      <c r="D117" s="379"/>
      <c r="E117" s="379"/>
      <c r="F117" s="379"/>
      <c r="G117" s="379"/>
      <c r="H117" s="379"/>
      <c r="I117" s="379"/>
      <c r="J117" s="379"/>
      <c r="K117" s="379"/>
      <c r="L117" s="379"/>
      <c r="M117" s="379"/>
      <c r="N117" s="379"/>
      <c r="O117" s="379"/>
      <c r="P117" s="379"/>
      <c r="Q117" s="379"/>
      <c r="R117" s="379"/>
      <c r="S117" s="379"/>
      <c r="T117" s="379"/>
      <c r="U117" s="441">
        <v>-40500</v>
      </c>
      <c r="V117" s="410"/>
      <c r="W117" s="6"/>
    </row>
    <row r="118" spans="1:24" ht="15.6">
      <c r="A118" s="378"/>
      <c r="B118" s="379" t="s">
        <v>241</v>
      </c>
      <c r="C118" s="379"/>
      <c r="D118" s="379"/>
      <c r="E118" s="379"/>
      <c r="F118" s="379"/>
      <c r="G118" s="379"/>
      <c r="H118" s="379"/>
      <c r="I118" s="379"/>
      <c r="J118" s="379"/>
      <c r="K118" s="379"/>
      <c r="L118" s="379"/>
      <c r="M118" s="379"/>
      <c r="N118" s="379"/>
      <c r="O118" s="379"/>
      <c r="P118" s="379"/>
      <c r="Q118" s="379"/>
      <c r="R118" s="379"/>
      <c r="S118" s="379"/>
      <c r="T118" s="379"/>
      <c r="U118" s="441">
        <v>0</v>
      </c>
      <c r="V118" s="410"/>
      <c r="W118" s="6"/>
    </row>
    <row r="119" spans="1:24" ht="15.6">
      <c r="A119" s="378"/>
      <c r="B119" s="379" t="s">
        <v>209</v>
      </c>
      <c r="C119" s="379"/>
      <c r="D119" s="379"/>
      <c r="E119" s="379"/>
      <c r="F119" s="379"/>
      <c r="G119" s="379"/>
      <c r="H119" s="379"/>
      <c r="I119" s="379"/>
      <c r="J119" s="379"/>
      <c r="K119" s="379"/>
      <c r="L119" s="379"/>
      <c r="M119" s="379"/>
      <c r="N119" s="379"/>
      <c r="O119" s="379"/>
      <c r="P119" s="379"/>
      <c r="Q119" s="379"/>
      <c r="R119" s="379"/>
      <c r="S119" s="379"/>
      <c r="T119" s="379"/>
      <c r="U119" s="441">
        <v>0</v>
      </c>
      <c r="V119" s="410"/>
      <c r="W119" s="6"/>
    </row>
    <row r="120" spans="1:24" ht="15.6">
      <c r="A120" s="378"/>
      <c r="B120" s="379" t="s">
        <v>210</v>
      </c>
      <c r="C120" s="379"/>
      <c r="D120" s="379"/>
      <c r="E120" s="379"/>
      <c r="F120" s="379"/>
      <c r="G120" s="379"/>
      <c r="H120" s="379"/>
      <c r="I120" s="379"/>
      <c r="J120" s="379"/>
      <c r="K120" s="379"/>
      <c r="L120" s="379"/>
      <c r="M120" s="379"/>
      <c r="N120" s="379"/>
      <c r="O120" s="379"/>
      <c r="P120" s="379"/>
      <c r="Q120" s="379"/>
      <c r="R120" s="379"/>
      <c r="S120" s="379"/>
      <c r="T120" s="379"/>
      <c r="U120" s="441">
        <v>0</v>
      </c>
      <c r="V120" s="410"/>
      <c r="W120" s="6"/>
    </row>
    <row r="121" spans="1:24" ht="15.6">
      <c r="A121" s="378"/>
      <c r="B121" s="379" t="s">
        <v>211</v>
      </c>
      <c r="C121" s="379"/>
      <c r="D121" s="379"/>
      <c r="E121" s="379"/>
      <c r="F121" s="379"/>
      <c r="G121" s="379"/>
      <c r="H121" s="379"/>
      <c r="I121" s="379"/>
      <c r="J121" s="379"/>
      <c r="K121" s="379"/>
      <c r="L121" s="379"/>
      <c r="M121" s="379"/>
      <c r="N121" s="379"/>
      <c r="O121" s="379"/>
      <c r="P121" s="379"/>
      <c r="Q121" s="379"/>
      <c r="R121" s="379"/>
      <c r="S121" s="379"/>
      <c r="T121" s="379"/>
      <c r="U121" s="441">
        <v>0</v>
      </c>
      <c r="V121" s="410"/>
      <c r="W121" s="6"/>
    </row>
    <row r="122" spans="1:24" ht="15.6">
      <c r="A122" s="378"/>
      <c r="B122" s="379" t="s">
        <v>212</v>
      </c>
      <c r="C122" s="379"/>
      <c r="D122" s="379"/>
      <c r="E122" s="379"/>
      <c r="F122" s="379"/>
      <c r="G122" s="379"/>
      <c r="H122" s="379"/>
      <c r="I122" s="379"/>
      <c r="J122" s="379"/>
      <c r="K122" s="379"/>
      <c r="L122" s="379"/>
      <c r="M122" s="379"/>
      <c r="N122" s="379"/>
      <c r="O122" s="379"/>
      <c r="P122" s="379"/>
      <c r="Q122" s="379"/>
      <c r="R122" s="379"/>
      <c r="S122" s="379"/>
      <c r="T122" s="379"/>
      <c r="U122" s="441">
        <v>0</v>
      </c>
      <c r="V122" s="410"/>
      <c r="W122" s="6"/>
    </row>
    <row r="123" spans="1:24" ht="15.6">
      <c r="A123" s="378"/>
      <c r="B123" s="379" t="s">
        <v>242</v>
      </c>
      <c r="C123" s="379"/>
      <c r="D123" s="379"/>
      <c r="E123" s="379"/>
      <c r="F123" s="379"/>
      <c r="G123" s="379"/>
      <c r="H123" s="379"/>
      <c r="I123" s="379"/>
      <c r="J123" s="379"/>
      <c r="K123" s="379"/>
      <c r="L123" s="379"/>
      <c r="M123" s="379"/>
      <c r="N123" s="379"/>
      <c r="O123" s="379"/>
      <c r="P123" s="379"/>
      <c r="Q123" s="379"/>
      <c r="R123" s="379"/>
      <c r="S123" s="379"/>
      <c r="T123" s="379"/>
      <c r="U123" s="441">
        <v>0</v>
      </c>
      <c r="V123" s="410"/>
      <c r="W123" s="6"/>
    </row>
    <row r="124" spans="1:24" ht="15.6">
      <c r="A124" s="378"/>
      <c r="B124" s="379" t="s">
        <v>45</v>
      </c>
      <c r="C124" s="379"/>
      <c r="D124" s="379"/>
      <c r="E124" s="379"/>
      <c r="F124" s="379"/>
      <c r="G124" s="379"/>
      <c r="H124" s="379"/>
      <c r="I124" s="379"/>
      <c r="J124" s="379"/>
      <c r="K124" s="379"/>
      <c r="L124" s="379"/>
      <c r="M124" s="379"/>
      <c r="N124" s="379"/>
      <c r="O124" s="379"/>
      <c r="P124" s="379"/>
      <c r="Q124" s="379"/>
      <c r="R124" s="379"/>
      <c r="S124" s="379"/>
      <c r="T124" s="379"/>
      <c r="U124" s="441">
        <f>SUM(U116:U123)</f>
        <v>0</v>
      </c>
      <c r="V124" s="410"/>
      <c r="W124" s="6"/>
    </row>
    <row r="125" spans="1:24" ht="15.6">
      <c r="A125" s="242"/>
      <c r="B125" s="438"/>
      <c r="C125" s="438"/>
      <c r="D125" s="438"/>
      <c r="E125" s="438"/>
      <c r="F125" s="438"/>
      <c r="G125" s="438"/>
      <c r="H125" s="438"/>
      <c r="I125" s="438"/>
      <c r="J125" s="438"/>
      <c r="K125" s="438"/>
      <c r="L125" s="438"/>
      <c r="M125" s="438"/>
      <c r="N125" s="438"/>
      <c r="O125" s="438"/>
      <c r="P125" s="438"/>
      <c r="Q125" s="438"/>
      <c r="R125" s="438"/>
      <c r="S125" s="438"/>
      <c r="T125" s="438"/>
      <c r="U125" s="448"/>
      <c r="V125" s="245"/>
      <c r="W125" s="6"/>
    </row>
    <row r="126" spans="1:24" ht="15.6">
      <c r="A126" s="242"/>
      <c r="B126" s="274" t="s">
        <v>46</v>
      </c>
      <c r="C126" s="252"/>
      <c r="D126" s="252"/>
      <c r="E126" s="252"/>
      <c r="F126" s="252"/>
      <c r="G126" s="252"/>
      <c r="H126" s="252"/>
      <c r="I126" s="252"/>
      <c r="J126" s="252"/>
      <c r="K126" s="252"/>
      <c r="L126" s="252"/>
      <c r="M126" s="244"/>
      <c r="N126" s="244"/>
      <c r="O126" s="244"/>
      <c r="P126" s="275"/>
      <c r="Q126" s="244"/>
      <c r="R126" s="244"/>
      <c r="S126" s="244"/>
      <c r="T126" s="244"/>
      <c r="U126" s="276"/>
      <c r="V126" s="245"/>
      <c r="W126" s="6"/>
    </row>
    <row r="127" spans="1:24" ht="15.6">
      <c r="A127" s="230"/>
      <c r="B127" s="511"/>
      <c r="C127" s="232" t="s">
        <v>185</v>
      </c>
      <c r="D127" s="232"/>
      <c r="E127" s="232" t="s">
        <v>99</v>
      </c>
      <c r="F127" s="232"/>
      <c r="G127" s="232" t="s">
        <v>102</v>
      </c>
      <c r="H127" s="232"/>
      <c r="I127" s="232" t="s">
        <v>108</v>
      </c>
      <c r="J127" s="232"/>
      <c r="K127" s="232"/>
      <c r="L127" s="232"/>
      <c r="M127" s="232"/>
      <c r="N127" s="232"/>
      <c r="O127" s="232"/>
      <c r="P127" s="326"/>
      <c r="Q127" s="326"/>
      <c r="R127" s="231"/>
      <c r="S127" s="231"/>
      <c r="T127" s="231"/>
      <c r="U127" s="309"/>
      <c r="V127" s="237"/>
      <c r="W127" s="6"/>
    </row>
    <row r="128" spans="1:24" ht="15.6">
      <c r="A128" s="257"/>
      <c r="B128" s="294" t="s">
        <v>122</v>
      </c>
      <c r="C128" s="310">
        <f>-93-1</f>
        <v>-94</v>
      </c>
      <c r="D128" s="294"/>
      <c r="E128" s="310">
        <v>-29</v>
      </c>
      <c r="F128" s="294"/>
      <c r="G128" s="310">
        <v>-298</v>
      </c>
      <c r="H128" s="294"/>
      <c r="I128" s="310">
        <v>0</v>
      </c>
      <c r="J128" s="294"/>
      <c r="K128" s="294"/>
      <c r="L128" s="294"/>
      <c r="M128" s="294"/>
      <c r="N128" s="294"/>
      <c r="O128" s="294"/>
      <c r="P128" s="325"/>
      <c r="Q128" s="325"/>
      <c r="R128" s="294"/>
      <c r="S128" s="294"/>
      <c r="T128" s="294"/>
      <c r="U128" s="311">
        <f>SUM(C128:I128)</f>
        <v>-421</v>
      </c>
      <c r="V128" s="298"/>
      <c r="W128" s="6"/>
      <c r="X128" s="182"/>
    </row>
    <row r="129" spans="1:25" ht="15.6">
      <c r="A129" s="378"/>
      <c r="B129" s="379" t="s">
        <v>47</v>
      </c>
      <c r="C129" s="379">
        <v>29</v>
      </c>
      <c r="D129" s="379"/>
      <c r="E129" s="379">
        <v>0</v>
      </c>
      <c r="F129" s="379"/>
      <c r="G129" s="379">
        <v>238</v>
      </c>
      <c r="H129" s="379"/>
      <c r="I129" s="440">
        <v>0</v>
      </c>
      <c r="J129" s="379"/>
      <c r="K129" s="379"/>
      <c r="L129" s="379"/>
      <c r="M129" s="379"/>
      <c r="N129" s="379"/>
      <c r="O129" s="379"/>
      <c r="P129" s="450"/>
      <c r="Q129" s="450"/>
      <c r="R129" s="379"/>
      <c r="S129" s="379"/>
      <c r="T129" s="379"/>
      <c r="U129" s="441">
        <f>SUM(C129:I129)</f>
        <v>267</v>
      </c>
      <c r="V129" s="410"/>
      <c r="W129" s="6"/>
    </row>
    <row r="130" spans="1:25" ht="15.6">
      <c r="A130" s="242"/>
      <c r="B130" s="364" t="s">
        <v>48</v>
      </c>
      <c r="C130" s="364"/>
      <c r="D130" s="364"/>
      <c r="E130" s="364"/>
      <c r="F130" s="364"/>
      <c r="G130" s="364"/>
      <c r="H130" s="364"/>
      <c r="I130" s="364"/>
      <c r="J130" s="364"/>
      <c r="K130" s="364"/>
      <c r="L130" s="364"/>
      <c r="M130" s="364"/>
      <c r="N130" s="364"/>
      <c r="O130" s="364"/>
      <c r="P130" s="364"/>
      <c r="Q130" s="364"/>
      <c r="R130" s="364"/>
      <c r="S130" s="364"/>
      <c r="T130" s="364"/>
      <c r="U130" s="449">
        <f>SUM(U128:U129)</f>
        <v>-154</v>
      </c>
      <c r="V130" s="303"/>
      <c r="W130" s="6"/>
      <c r="X130" s="182"/>
    </row>
    <row r="131" spans="1:25" ht="15.6">
      <c r="A131" s="242"/>
      <c r="B131" s="274" t="s">
        <v>49</v>
      </c>
      <c r="C131" s="252"/>
      <c r="D131" s="252"/>
      <c r="E131" s="252"/>
      <c r="F131" s="252"/>
      <c r="G131" s="252"/>
      <c r="H131" s="252"/>
      <c r="I131" s="252"/>
      <c r="J131" s="252"/>
      <c r="K131" s="252"/>
      <c r="L131" s="252"/>
      <c r="M131" s="244"/>
      <c r="N131" s="244"/>
      <c r="O131" s="244"/>
      <c r="P131" s="244"/>
      <c r="Q131" s="244"/>
      <c r="R131" s="244"/>
      <c r="S131" s="244"/>
      <c r="T131" s="244"/>
      <c r="U131" s="263"/>
      <c r="V131" s="245"/>
      <c r="W131" s="6"/>
    </row>
    <row r="132" spans="1:25" ht="15.6">
      <c r="A132" s="444"/>
      <c r="B132" s="379" t="s">
        <v>50</v>
      </c>
      <c r="C132" s="386"/>
      <c r="D132" s="386"/>
      <c r="E132" s="386"/>
      <c r="F132" s="386"/>
      <c r="G132" s="386"/>
      <c r="H132" s="386"/>
      <c r="I132" s="386"/>
      <c r="J132" s="386"/>
      <c r="K132" s="386"/>
      <c r="L132" s="386"/>
      <c r="M132" s="379"/>
      <c r="N132" s="379"/>
      <c r="O132" s="379"/>
      <c r="P132" s="379"/>
      <c r="Q132" s="379"/>
      <c r="R132" s="379"/>
      <c r="S132" s="379"/>
      <c r="T132" s="379"/>
      <c r="U132" s="441">
        <f>U75+U77</f>
        <v>0</v>
      </c>
      <c r="V132" s="410"/>
      <c r="W132" s="6"/>
      <c r="X132" s="182"/>
    </row>
    <row r="133" spans="1:25" ht="15.6">
      <c r="A133" s="444"/>
      <c r="B133" s="379" t="s">
        <v>51</v>
      </c>
      <c r="C133" s="386"/>
      <c r="D133" s="386"/>
      <c r="E133" s="386"/>
      <c r="F133" s="386"/>
      <c r="G133" s="386"/>
      <c r="H133" s="386"/>
      <c r="I133" s="386"/>
      <c r="J133" s="386"/>
      <c r="K133" s="386"/>
      <c r="L133" s="386"/>
      <c r="M133" s="379"/>
      <c r="N133" s="379"/>
      <c r="O133" s="379"/>
      <c r="P133" s="379"/>
      <c r="Q133" s="379"/>
      <c r="R133" s="379"/>
      <c r="S133" s="379"/>
      <c r="T133" s="379"/>
      <c r="U133" s="441">
        <v>0</v>
      </c>
      <c r="V133" s="410"/>
      <c r="W133" s="6"/>
      <c r="Y133" s="182"/>
    </row>
    <row r="134" spans="1:25" ht="15.6">
      <c r="A134" s="444"/>
      <c r="B134" s="379" t="s">
        <v>52</v>
      </c>
      <c r="C134" s="386"/>
      <c r="D134" s="386"/>
      <c r="E134" s="386"/>
      <c r="F134" s="386"/>
      <c r="G134" s="386"/>
      <c r="H134" s="386"/>
      <c r="I134" s="386"/>
      <c r="J134" s="386"/>
      <c r="K134" s="386"/>
      <c r="L134" s="386"/>
      <c r="M134" s="379"/>
      <c r="N134" s="379"/>
      <c r="O134" s="379"/>
      <c r="P134" s="379"/>
      <c r="Q134" s="379"/>
      <c r="R134" s="379"/>
      <c r="S134" s="379"/>
      <c r="T134" s="379"/>
      <c r="U134" s="441">
        <f>+U132+U133</f>
        <v>0</v>
      </c>
      <c r="V134" s="410"/>
      <c r="W134" s="6"/>
    </row>
    <row r="135" spans="1:25" ht="15.6">
      <c r="A135" s="444"/>
      <c r="B135" s="379" t="s">
        <v>53</v>
      </c>
      <c r="C135" s="386"/>
      <c r="D135" s="386"/>
      <c r="E135" s="386"/>
      <c r="F135" s="386"/>
      <c r="G135" s="386"/>
      <c r="H135" s="386"/>
      <c r="I135" s="386"/>
      <c r="J135" s="386"/>
      <c r="K135" s="386"/>
      <c r="L135" s="386"/>
      <c r="M135" s="379"/>
      <c r="N135" s="379"/>
      <c r="O135" s="379"/>
      <c r="P135" s="379"/>
      <c r="Q135" s="379"/>
      <c r="R135" s="379"/>
      <c r="S135" s="379"/>
      <c r="T135" s="379"/>
      <c r="U135" s="441">
        <f>U80</f>
        <v>0</v>
      </c>
      <c r="V135" s="410"/>
      <c r="W135" s="6"/>
      <c r="X135" s="64"/>
    </row>
    <row r="136" spans="1:25" ht="15.6">
      <c r="A136" s="242"/>
      <c r="B136" s="438"/>
      <c r="C136" s="438"/>
      <c r="D136" s="438"/>
      <c r="E136" s="438"/>
      <c r="F136" s="438"/>
      <c r="G136" s="438"/>
      <c r="H136" s="438"/>
      <c r="I136" s="438"/>
      <c r="J136" s="438"/>
      <c r="K136" s="438"/>
      <c r="L136" s="438"/>
      <c r="M136" s="438"/>
      <c r="N136" s="438"/>
      <c r="O136" s="438"/>
      <c r="P136" s="438"/>
      <c r="Q136" s="438"/>
      <c r="R136" s="438"/>
      <c r="S136" s="438"/>
      <c r="T136" s="438"/>
      <c r="U136" s="451"/>
      <c r="V136" s="245"/>
      <c r="W136" s="6"/>
    </row>
    <row r="137" spans="1:25" ht="15.6">
      <c r="A137" s="242"/>
      <c r="B137" s="274" t="s">
        <v>54</v>
      </c>
      <c r="C137" s="247"/>
      <c r="D137" s="247"/>
      <c r="E137" s="247"/>
      <c r="F137" s="247"/>
      <c r="G137" s="247"/>
      <c r="H137" s="247"/>
      <c r="I137" s="247"/>
      <c r="J137" s="247"/>
      <c r="K137" s="247"/>
      <c r="L137" s="247"/>
      <c r="M137" s="247"/>
      <c r="N137" s="247"/>
      <c r="O137" s="247"/>
      <c r="P137" s="247"/>
      <c r="Q137" s="277" t="s">
        <v>112</v>
      </c>
      <c r="R137" s="278"/>
      <c r="S137" s="277" t="s">
        <v>114</v>
      </c>
      <c r="T137" s="247"/>
      <c r="U137" s="279" t="s">
        <v>90</v>
      </c>
      <c r="V137" s="245"/>
      <c r="W137" s="6"/>
    </row>
    <row r="138" spans="1:25" ht="15.6">
      <c r="A138" s="378"/>
      <c r="B138" s="379" t="s">
        <v>55</v>
      </c>
      <c r="C138" s="379"/>
      <c r="D138" s="379"/>
      <c r="E138" s="379"/>
      <c r="F138" s="379"/>
      <c r="G138" s="379"/>
      <c r="H138" s="379"/>
      <c r="I138" s="379"/>
      <c r="J138" s="379"/>
      <c r="K138" s="379"/>
      <c r="L138" s="379"/>
      <c r="M138" s="379"/>
      <c r="N138" s="379"/>
      <c r="O138" s="379"/>
      <c r="P138" s="379"/>
      <c r="Q138" s="441">
        <v>0</v>
      </c>
      <c r="R138" s="379"/>
      <c r="S138" s="453" t="s">
        <v>115</v>
      </c>
      <c r="T138" s="379"/>
      <c r="U138" s="441">
        <f>Q138</f>
        <v>0</v>
      </c>
      <c r="V138" s="385"/>
      <c r="W138" s="6"/>
    </row>
    <row r="139" spans="1:25" ht="15.6">
      <c r="A139" s="378"/>
      <c r="B139" s="379" t="s">
        <v>56</v>
      </c>
      <c r="C139" s="379"/>
      <c r="D139" s="379"/>
      <c r="E139" s="379"/>
      <c r="F139" s="379"/>
      <c r="G139" s="379"/>
      <c r="H139" s="379"/>
      <c r="I139" s="379"/>
      <c r="J139" s="379"/>
      <c r="K139" s="379"/>
      <c r="L139" s="379"/>
      <c r="M139" s="379"/>
      <c r="N139" s="379"/>
      <c r="O139" s="379"/>
      <c r="P139" s="379"/>
      <c r="Q139" s="441">
        <f>+'Sept 16'!Q139</f>
        <v>4229</v>
      </c>
      <c r="R139" s="379"/>
      <c r="S139" s="453" t="s">
        <v>115</v>
      </c>
      <c r="T139" s="379"/>
      <c r="U139" s="441">
        <f>Q139</f>
        <v>4229</v>
      </c>
      <c r="V139" s="385"/>
      <c r="W139" s="6"/>
    </row>
    <row r="140" spans="1:25" ht="15.6">
      <c r="A140" s="378"/>
      <c r="B140" s="379" t="s">
        <v>57</v>
      </c>
      <c r="C140" s="379"/>
      <c r="D140" s="379"/>
      <c r="E140" s="379"/>
      <c r="F140" s="379"/>
      <c r="G140" s="379"/>
      <c r="H140" s="379"/>
      <c r="I140" s="379"/>
      <c r="J140" s="379"/>
      <c r="K140" s="379"/>
      <c r="L140" s="379"/>
      <c r="M140" s="379"/>
      <c r="N140" s="379"/>
      <c r="O140" s="379"/>
      <c r="P140" s="379"/>
      <c r="Q140" s="441">
        <v>0</v>
      </c>
      <c r="R140" s="379"/>
      <c r="S140" s="453" t="s">
        <v>115</v>
      </c>
      <c r="T140" s="379"/>
      <c r="U140" s="441">
        <f>Q140</f>
        <v>0</v>
      </c>
      <c r="V140" s="385"/>
      <c r="W140" s="6"/>
    </row>
    <row r="141" spans="1:25" ht="15.6">
      <c r="A141" s="378"/>
      <c r="B141" s="379" t="s">
        <v>58</v>
      </c>
      <c r="C141" s="379"/>
      <c r="D141" s="379"/>
      <c r="E141" s="379"/>
      <c r="F141" s="379"/>
      <c r="G141" s="379"/>
      <c r="H141" s="379"/>
      <c r="I141" s="379"/>
      <c r="J141" s="379"/>
      <c r="K141" s="379"/>
      <c r="L141" s="379"/>
      <c r="M141" s="379"/>
      <c r="N141" s="379"/>
      <c r="O141" s="379"/>
      <c r="P141" s="379"/>
      <c r="Q141" s="441">
        <f>SUM(Q139:Q140)</f>
        <v>4229</v>
      </c>
      <c r="R141" s="379"/>
      <c r="S141" s="453" t="s">
        <v>115</v>
      </c>
      <c r="T141" s="379"/>
      <c r="U141" s="441">
        <f>Q141</f>
        <v>4229</v>
      </c>
      <c r="V141" s="385"/>
      <c r="W141" s="6"/>
    </row>
    <row r="142" spans="1:25" ht="15.6">
      <c r="A142" s="378"/>
      <c r="B142" s="379" t="s">
        <v>215</v>
      </c>
      <c r="C142" s="379"/>
      <c r="D142" s="379"/>
      <c r="E142" s="379"/>
      <c r="F142" s="379"/>
      <c r="G142" s="379"/>
      <c r="H142" s="379"/>
      <c r="I142" s="379"/>
      <c r="J142" s="379"/>
      <c r="K142" s="379"/>
      <c r="L142" s="379"/>
      <c r="M142" s="379"/>
      <c r="N142" s="379"/>
      <c r="O142" s="379"/>
      <c r="P142" s="379"/>
      <c r="Q142" s="441"/>
      <c r="R142" s="379"/>
      <c r="S142" s="453"/>
      <c r="T142" s="379"/>
      <c r="U142" s="441"/>
      <c r="V142" s="385"/>
      <c r="W142" s="6"/>
    </row>
    <row r="143" spans="1:25" ht="15.6">
      <c r="A143" s="378"/>
      <c r="B143" s="454"/>
      <c r="C143" s="454"/>
      <c r="D143" s="454"/>
      <c r="E143" s="454"/>
      <c r="F143" s="454"/>
      <c r="G143" s="454"/>
      <c r="H143" s="454"/>
      <c r="I143" s="454"/>
      <c r="J143" s="454"/>
      <c r="K143" s="454"/>
      <c r="L143" s="454"/>
      <c r="M143" s="454"/>
      <c r="N143" s="454"/>
      <c r="O143" s="454"/>
      <c r="P143" s="454"/>
      <c r="Q143" s="454"/>
      <c r="R143" s="454"/>
      <c r="S143" s="454"/>
      <c r="T143" s="454"/>
      <c r="U143" s="454"/>
      <c r="V143" s="385"/>
      <c r="W143" s="6"/>
    </row>
    <row r="144" spans="1:25" ht="15.6">
      <c r="A144" s="242"/>
      <c r="B144" s="452"/>
      <c r="C144" s="452"/>
      <c r="D144" s="452"/>
      <c r="E144" s="452"/>
      <c r="F144" s="452"/>
      <c r="G144" s="452"/>
      <c r="H144" s="452"/>
      <c r="I144" s="452"/>
      <c r="J144" s="452"/>
      <c r="K144" s="452"/>
      <c r="L144" s="452"/>
      <c r="M144" s="452"/>
      <c r="N144" s="452"/>
      <c r="O144" s="452"/>
      <c r="P144" s="452"/>
      <c r="Q144" s="452"/>
      <c r="R144" s="452"/>
      <c r="S144" s="452"/>
      <c r="T144" s="452"/>
      <c r="U144" s="452"/>
      <c r="V144" s="284"/>
      <c r="W144" s="6"/>
    </row>
    <row r="145" spans="1:23" ht="15.6">
      <c r="A145" s="230"/>
      <c r="B145" s="511" t="s">
        <v>59</v>
      </c>
      <c r="C145" s="518"/>
      <c r="D145" s="518"/>
      <c r="E145" s="518"/>
      <c r="F145" s="518"/>
      <c r="G145" s="518"/>
      <c r="H145" s="518"/>
      <c r="I145" s="518"/>
      <c r="J145" s="518"/>
      <c r="K145" s="518"/>
      <c r="L145" s="518"/>
      <c r="M145" s="518"/>
      <c r="N145" s="518"/>
      <c r="O145" s="518"/>
      <c r="P145" s="519"/>
      <c r="Q145" s="519"/>
      <c r="R145" s="519"/>
      <c r="S145" s="519">
        <v>42734</v>
      </c>
      <c r="T145" s="231"/>
      <c r="U145" s="231"/>
      <c r="V145" s="237"/>
      <c r="W145" s="6"/>
    </row>
    <row r="146" spans="1:23" ht="15.6">
      <c r="A146" s="281"/>
      <c r="B146" s="294" t="s">
        <v>60</v>
      </c>
      <c r="C146" s="329"/>
      <c r="D146" s="329"/>
      <c r="E146" s="329"/>
      <c r="F146" s="329"/>
      <c r="G146" s="329"/>
      <c r="H146" s="329"/>
      <c r="I146" s="329"/>
      <c r="J146" s="329"/>
      <c r="K146" s="329"/>
      <c r="L146" s="329"/>
      <c r="M146" s="329"/>
      <c r="N146" s="329"/>
      <c r="O146" s="329"/>
      <c r="P146" s="300"/>
      <c r="Q146" s="300"/>
      <c r="R146" s="300"/>
      <c r="S146" s="299">
        <v>0.10630000000000001</v>
      </c>
      <c r="T146" s="294"/>
      <c r="U146" s="294"/>
      <c r="V146" s="260"/>
      <c r="W146" s="6"/>
    </row>
    <row r="147" spans="1:23" ht="15.6">
      <c r="A147" s="458"/>
      <c r="B147" s="379" t="s">
        <v>61</v>
      </c>
      <c r="C147" s="459"/>
      <c r="D147" s="459"/>
      <c r="E147" s="459"/>
      <c r="F147" s="459"/>
      <c r="G147" s="459"/>
      <c r="H147" s="459"/>
      <c r="I147" s="459"/>
      <c r="J147" s="459"/>
      <c r="K147" s="459"/>
      <c r="L147" s="459"/>
      <c r="M147" s="459"/>
      <c r="N147" s="459"/>
      <c r="O147" s="459"/>
      <c r="P147" s="433"/>
      <c r="Q147" s="433"/>
      <c r="R147" s="433"/>
      <c r="S147" s="427">
        <v>5.2200000000000003E-2</v>
      </c>
      <c r="T147" s="427"/>
      <c r="U147" s="379"/>
      <c r="V147" s="385"/>
      <c r="W147" s="6"/>
    </row>
    <row r="148" spans="1:23" ht="15.6">
      <c r="A148" s="458"/>
      <c r="B148" s="379" t="s">
        <v>62</v>
      </c>
      <c r="C148" s="459"/>
      <c r="D148" s="459"/>
      <c r="E148" s="459"/>
      <c r="F148" s="459"/>
      <c r="G148" s="459"/>
      <c r="H148" s="459"/>
      <c r="I148" s="459"/>
      <c r="J148" s="459"/>
      <c r="K148" s="459"/>
      <c r="L148" s="459"/>
      <c r="M148" s="459"/>
      <c r="N148" s="459"/>
      <c r="O148" s="459"/>
      <c r="P148" s="433"/>
      <c r="Q148" s="433"/>
      <c r="R148" s="433"/>
      <c r="S148" s="427">
        <f>S146-S147</f>
        <v>5.4100000000000002E-2</v>
      </c>
      <c r="T148" s="379"/>
      <c r="U148" s="379"/>
      <c r="V148" s="385"/>
      <c r="W148" s="6"/>
    </row>
    <row r="149" spans="1:23" ht="15.6">
      <c r="A149" s="458"/>
      <c r="B149" s="379" t="s">
        <v>63</v>
      </c>
      <c r="C149" s="459"/>
      <c r="D149" s="459"/>
      <c r="E149" s="459"/>
      <c r="F149" s="459"/>
      <c r="G149" s="459"/>
      <c r="H149" s="459"/>
      <c r="I149" s="459"/>
      <c r="J149" s="459"/>
      <c r="K149" s="459"/>
      <c r="L149" s="459"/>
      <c r="M149" s="459"/>
      <c r="N149" s="459"/>
      <c r="O149" s="459"/>
      <c r="P149" s="433"/>
      <c r="Q149" s="433"/>
      <c r="R149" s="433"/>
      <c r="S149" s="554">
        <v>0</v>
      </c>
      <c r="T149" s="379"/>
      <c r="U149" s="379"/>
      <c r="V149" s="385"/>
      <c r="W149" s="6"/>
    </row>
    <row r="150" spans="1:23" ht="15.6">
      <c r="A150" s="458"/>
      <c r="B150" s="379" t="s">
        <v>64</v>
      </c>
      <c r="C150" s="459"/>
      <c r="D150" s="459"/>
      <c r="E150" s="459"/>
      <c r="F150" s="459"/>
      <c r="G150" s="459"/>
      <c r="H150" s="459"/>
      <c r="I150" s="459"/>
      <c r="J150" s="459"/>
      <c r="K150" s="459"/>
      <c r="L150" s="459"/>
      <c r="M150" s="459"/>
      <c r="N150" s="459"/>
      <c r="O150" s="459"/>
      <c r="P150" s="433"/>
      <c r="Q150" s="433"/>
      <c r="R150" s="433"/>
      <c r="S150" s="427">
        <v>0</v>
      </c>
      <c r="T150" s="379"/>
      <c r="U150" s="379"/>
      <c r="V150" s="385"/>
      <c r="W150" s="6"/>
    </row>
    <row r="151" spans="1:23" ht="15.6">
      <c r="A151" s="458"/>
      <c r="B151" s="379" t="s">
        <v>65</v>
      </c>
      <c r="C151" s="459"/>
      <c r="D151" s="459"/>
      <c r="E151" s="459"/>
      <c r="F151" s="459"/>
      <c r="G151" s="459"/>
      <c r="H151" s="459"/>
      <c r="I151" s="459"/>
      <c r="J151" s="459"/>
      <c r="K151" s="459"/>
      <c r="L151" s="459"/>
      <c r="M151" s="459"/>
      <c r="N151" s="459"/>
      <c r="O151" s="459"/>
      <c r="P151" s="433"/>
      <c r="Q151" s="433"/>
      <c r="R151" s="433"/>
      <c r="S151" s="427">
        <f>S149-S150</f>
        <v>0</v>
      </c>
      <c r="T151" s="379"/>
      <c r="U151" s="379"/>
      <c r="V151" s="385"/>
      <c r="W151" s="6"/>
    </row>
    <row r="152" spans="1:23" ht="15.6">
      <c r="A152" s="458"/>
      <c r="B152" s="379" t="s">
        <v>204</v>
      </c>
      <c r="C152" s="459"/>
      <c r="D152" s="459"/>
      <c r="E152" s="459"/>
      <c r="F152" s="459"/>
      <c r="G152" s="459"/>
      <c r="H152" s="459"/>
      <c r="I152" s="459"/>
      <c r="J152" s="459"/>
      <c r="K152" s="459"/>
      <c r="L152" s="459"/>
      <c r="M152" s="459"/>
      <c r="N152" s="459"/>
      <c r="O152" s="459"/>
      <c r="P152" s="433"/>
      <c r="Q152" s="433"/>
      <c r="R152" s="433"/>
      <c r="S152" s="429">
        <v>49780</v>
      </c>
      <c r="T152" s="379"/>
      <c r="U152" s="379"/>
      <c r="V152" s="385"/>
      <c r="W152" s="6"/>
    </row>
    <row r="153" spans="1:23" ht="15.6">
      <c r="A153" s="458"/>
      <c r="B153" s="379" t="s">
        <v>205</v>
      </c>
      <c r="C153" s="459"/>
      <c r="D153" s="459"/>
      <c r="E153" s="459"/>
      <c r="F153" s="459"/>
      <c r="G153" s="459"/>
      <c r="H153" s="459"/>
      <c r="I153" s="459"/>
      <c r="J153" s="459"/>
      <c r="K153" s="459"/>
      <c r="L153" s="459"/>
      <c r="M153" s="459"/>
      <c r="N153" s="459"/>
      <c r="O153" s="459"/>
      <c r="P153" s="433"/>
      <c r="Q153" s="433"/>
      <c r="R153" s="433"/>
      <c r="S153" s="429">
        <v>49780</v>
      </c>
      <c r="T153" s="379"/>
      <c r="U153" s="379"/>
      <c r="V153" s="385"/>
      <c r="W153" s="6"/>
    </row>
    <row r="154" spans="1:23" ht="15.6">
      <c r="A154" s="458"/>
      <c r="B154" s="379" t="s">
        <v>206</v>
      </c>
      <c r="C154" s="459"/>
      <c r="D154" s="459"/>
      <c r="E154" s="459"/>
      <c r="F154" s="459"/>
      <c r="G154" s="459"/>
      <c r="H154" s="459"/>
      <c r="I154" s="459"/>
      <c r="J154" s="459"/>
      <c r="K154" s="459"/>
      <c r="L154" s="459"/>
      <c r="M154" s="459"/>
      <c r="N154" s="459"/>
      <c r="O154" s="459"/>
      <c r="P154" s="433"/>
      <c r="Q154" s="433"/>
      <c r="R154" s="433"/>
      <c r="S154" s="429">
        <v>49780</v>
      </c>
      <c r="T154" s="379"/>
      <c r="U154" s="379"/>
      <c r="V154" s="385"/>
      <c r="W154" s="6"/>
    </row>
    <row r="155" spans="1:23" ht="15.6">
      <c r="A155" s="458"/>
      <c r="B155" s="379" t="s">
        <v>207</v>
      </c>
      <c r="C155" s="459"/>
      <c r="D155" s="459"/>
      <c r="E155" s="459"/>
      <c r="F155" s="459"/>
      <c r="G155" s="459"/>
      <c r="H155" s="459"/>
      <c r="I155" s="459"/>
      <c r="J155" s="459"/>
      <c r="K155" s="459"/>
      <c r="L155" s="459"/>
      <c r="M155" s="459"/>
      <c r="N155" s="459"/>
      <c r="O155" s="459"/>
      <c r="P155" s="433"/>
      <c r="Q155" s="433"/>
      <c r="R155" s="433"/>
      <c r="S155" s="429">
        <v>49780</v>
      </c>
      <c r="T155" s="379"/>
      <c r="U155" s="379"/>
      <c r="V155" s="385"/>
      <c r="W155" s="6"/>
    </row>
    <row r="156" spans="1:23" ht="15.6">
      <c r="A156" s="458"/>
      <c r="B156" s="379" t="s">
        <v>221</v>
      </c>
      <c r="C156" s="459"/>
      <c r="D156" s="459"/>
      <c r="E156" s="459"/>
      <c r="F156" s="459"/>
      <c r="G156" s="459"/>
      <c r="H156" s="459"/>
      <c r="I156" s="459"/>
      <c r="J156" s="459"/>
      <c r="K156" s="459"/>
      <c r="L156" s="459"/>
      <c r="M156" s="459"/>
      <c r="N156" s="459"/>
      <c r="O156" s="459"/>
      <c r="P156" s="433"/>
      <c r="Q156" s="433"/>
      <c r="R156" s="433"/>
      <c r="S156" s="432">
        <v>111.34</v>
      </c>
      <c r="T156" s="379"/>
      <c r="U156" s="379"/>
      <c r="V156" s="385"/>
      <c r="W156" s="6"/>
    </row>
    <row r="157" spans="1:23" ht="15.6">
      <c r="A157" s="458"/>
      <c r="B157" s="379" t="s">
        <v>222</v>
      </c>
      <c r="C157" s="459"/>
      <c r="D157" s="459"/>
      <c r="E157" s="459"/>
      <c r="F157" s="459"/>
      <c r="G157" s="459"/>
      <c r="H157" s="459"/>
      <c r="I157" s="459"/>
      <c r="J157" s="459"/>
      <c r="K157" s="459"/>
      <c r="L157" s="459"/>
      <c r="M157" s="459"/>
      <c r="N157" s="459"/>
      <c r="O157" s="459"/>
      <c r="P157" s="433"/>
      <c r="Q157" s="433"/>
      <c r="R157" s="433"/>
      <c r="S157" s="555">
        <v>0</v>
      </c>
      <c r="T157" s="379"/>
      <c r="U157" s="379"/>
      <c r="V157" s="385"/>
      <c r="W157" s="6"/>
    </row>
    <row r="158" spans="1:23" ht="15.6">
      <c r="A158" s="458" t="s">
        <v>223</v>
      </c>
      <c r="B158" s="379" t="s">
        <v>66</v>
      </c>
      <c r="C158" s="459"/>
      <c r="D158" s="459"/>
      <c r="E158" s="459"/>
      <c r="F158" s="459"/>
      <c r="G158" s="459"/>
      <c r="H158" s="459"/>
      <c r="I158" s="459"/>
      <c r="J158" s="459"/>
      <c r="K158" s="459"/>
      <c r="L158" s="459"/>
      <c r="M158" s="459"/>
      <c r="N158" s="459"/>
      <c r="O158" s="459"/>
      <c r="P158" s="433"/>
      <c r="Q158" s="433"/>
      <c r="R158" s="433"/>
      <c r="S158" s="427">
        <v>1</v>
      </c>
      <c r="T158" s="379"/>
      <c r="U158" s="379"/>
      <c r="V158" s="385"/>
      <c r="W158" s="6"/>
    </row>
    <row r="159" spans="1:23" ht="15.6">
      <c r="A159" s="458"/>
      <c r="B159" s="379" t="s">
        <v>67</v>
      </c>
      <c r="C159" s="459"/>
      <c r="D159" s="459"/>
      <c r="E159" s="459"/>
      <c r="F159" s="459"/>
      <c r="G159" s="459"/>
      <c r="H159" s="459"/>
      <c r="I159" s="459"/>
      <c r="J159" s="459"/>
      <c r="K159" s="459"/>
      <c r="L159" s="459"/>
      <c r="M159" s="459"/>
      <c r="N159" s="459"/>
      <c r="O159" s="459"/>
      <c r="P159" s="433"/>
      <c r="Q159" s="433"/>
      <c r="R159" s="433"/>
      <c r="S159" s="427">
        <v>1</v>
      </c>
      <c r="T159" s="379"/>
      <c r="U159" s="379"/>
      <c r="V159" s="385"/>
      <c r="W159" s="6"/>
    </row>
    <row r="160" spans="1:23" ht="15.6">
      <c r="A160" s="280"/>
      <c r="B160" s="364"/>
      <c r="C160" s="364"/>
      <c r="D160" s="364"/>
      <c r="E160" s="364"/>
      <c r="F160" s="364"/>
      <c r="G160" s="364"/>
      <c r="H160" s="364"/>
      <c r="I160" s="364"/>
      <c r="J160" s="364"/>
      <c r="K160" s="364"/>
      <c r="L160" s="364"/>
      <c r="M160" s="364"/>
      <c r="N160" s="364"/>
      <c r="O160" s="364"/>
      <c r="P160" s="364"/>
      <c r="Q160" s="364"/>
      <c r="R160" s="455"/>
      <c r="S160" s="456"/>
      <c r="T160" s="364"/>
      <c r="U160" s="457"/>
      <c r="V160" s="245"/>
      <c r="W160" s="6"/>
    </row>
    <row r="161" spans="1:23" ht="15.6">
      <c r="A161" s="280"/>
      <c r="B161" s="288"/>
      <c r="C161" s="288"/>
      <c r="D161" s="288"/>
      <c r="E161" s="288"/>
      <c r="F161" s="288"/>
      <c r="G161" s="288"/>
      <c r="H161" s="288"/>
      <c r="I161" s="288"/>
      <c r="J161" s="288"/>
      <c r="K161" s="288"/>
      <c r="L161" s="288"/>
      <c r="M161" s="288"/>
      <c r="N161" s="288"/>
      <c r="O161" s="288"/>
      <c r="P161" s="288"/>
      <c r="Q161" s="288"/>
      <c r="R161" s="331"/>
      <c r="S161" s="332"/>
      <c r="T161" s="288"/>
      <c r="U161" s="333"/>
      <c r="V161" s="245"/>
      <c r="W161" s="6"/>
    </row>
    <row r="162" spans="1:23" ht="16.2" thickBot="1">
      <c r="A162" s="282"/>
      <c r="B162" s="304" t="str">
        <f>+B110</f>
        <v>PPAF3 INVESTOR REPORT QUARTER ENDING DECEMBER 2016</v>
      </c>
      <c r="C162" s="305"/>
      <c r="D162" s="305"/>
      <c r="E162" s="305"/>
      <c r="F162" s="305"/>
      <c r="G162" s="305"/>
      <c r="H162" s="305"/>
      <c r="I162" s="305"/>
      <c r="J162" s="305"/>
      <c r="K162" s="305"/>
      <c r="L162" s="305"/>
      <c r="M162" s="305"/>
      <c r="N162" s="305"/>
      <c r="O162" s="305"/>
      <c r="P162" s="305"/>
      <c r="Q162" s="305"/>
      <c r="R162" s="334"/>
      <c r="S162" s="335"/>
      <c r="T162" s="305"/>
      <c r="U162" s="336"/>
      <c r="V162" s="262"/>
      <c r="W162" s="6"/>
    </row>
    <row r="163" spans="1:23" ht="15.6">
      <c r="A163" s="337"/>
      <c r="B163" s="520" t="s">
        <v>68</v>
      </c>
      <c r="C163" s="521"/>
      <c r="D163" s="521"/>
      <c r="E163" s="521"/>
      <c r="F163" s="521"/>
      <c r="G163" s="521"/>
      <c r="H163" s="521"/>
      <c r="I163" s="521"/>
      <c r="J163" s="521"/>
      <c r="K163" s="521"/>
      <c r="L163" s="521"/>
      <c r="M163" s="522"/>
      <c r="N163" s="521"/>
      <c r="O163" s="522"/>
      <c r="P163" s="521"/>
      <c r="Q163" s="522"/>
      <c r="R163" s="521" t="s">
        <v>94</v>
      </c>
      <c r="S163" s="522" t="s">
        <v>116</v>
      </c>
      <c r="T163" s="340"/>
      <c r="U163" s="340"/>
      <c r="V163" s="341"/>
      <c r="W163" s="6"/>
    </row>
    <row r="164" spans="1:23" ht="15.6">
      <c r="A164" s="283"/>
      <c r="B164" s="294" t="s">
        <v>216</v>
      </c>
      <c r="C164" s="310"/>
      <c r="D164" s="310"/>
      <c r="E164" s="310"/>
      <c r="F164" s="310"/>
      <c r="G164" s="310"/>
      <c r="H164" s="310"/>
      <c r="I164" s="310"/>
      <c r="J164" s="310"/>
      <c r="K164" s="310"/>
      <c r="L164" s="310"/>
      <c r="M164" s="310"/>
      <c r="N164" s="310"/>
      <c r="O164" s="294"/>
      <c r="P164" s="294"/>
      <c r="Q164" s="294"/>
      <c r="R164" s="310">
        <v>0</v>
      </c>
      <c r="S164" s="311">
        <v>0</v>
      </c>
      <c r="T164" s="311"/>
      <c r="U164" s="330"/>
      <c r="V164" s="342"/>
      <c r="W164" s="6"/>
    </row>
    <row r="165" spans="1:23" ht="15.6">
      <c r="A165" s="465"/>
      <c r="B165" s="379" t="s">
        <v>217</v>
      </c>
      <c r="C165" s="440"/>
      <c r="D165" s="440"/>
      <c r="E165" s="440"/>
      <c r="F165" s="440"/>
      <c r="G165" s="440"/>
      <c r="H165" s="440"/>
      <c r="I165" s="440"/>
      <c r="J165" s="440"/>
      <c r="K165" s="440"/>
      <c r="L165" s="440"/>
      <c r="M165" s="440"/>
      <c r="N165" s="440"/>
      <c r="O165" s="379"/>
      <c r="P165" s="379"/>
      <c r="Q165" s="379"/>
      <c r="R165" s="545">
        <v>0</v>
      </c>
      <c r="S165" s="546">
        <v>0</v>
      </c>
      <c r="T165" s="441"/>
      <c r="U165" s="466"/>
      <c r="V165" s="467"/>
      <c r="W165" s="6"/>
    </row>
    <row r="166" spans="1:23" ht="15.6">
      <c r="A166" s="465"/>
      <c r="B166" s="379" t="s">
        <v>218</v>
      </c>
      <c r="C166" s="440"/>
      <c r="D166" s="440"/>
      <c r="E166" s="440"/>
      <c r="F166" s="440"/>
      <c r="G166" s="440"/>
      <c r="H166" s="440"/>
      <c r="I166" s="440"/>
      <c r="J166" s="440"/>
      <c r="K166" s="440"/>
      <c r="L166" s="440"/>
      <c r="M166" s="440"/>
      <c r="N166" s="440"/>
      <c r="O166" s="379"/>
      <c r="P166" s="379"/>
      <c r="Q166" s="379"/>
      <c r="R166" s="545">
        <v>0</v>
      </c>
      <c r="S166" s="546">
        <v>0</v>
      </c>
      <c r="T166" s="441"/>
      <c r="U166" s="466"/>
      <c r="V166" s="467"/>
      <c r="W166" s="6"/>
    </row>
    <row r="167" spans="1:23" ht="15.6">
      <c r="A167" s="465"/>
      <c r="B167" s="379" t="s">
        <v>219</v>
      </c>
      <c r="C167" s="440"/>
      <c r="D167" s="440"/>
      <c r="E167" s="440"/>
      <c r="F167" s="440"/>
      <c r="G167" s="440"/>
      <c r="H167" s="440"/>
      <c r="I167" s="440"/>
      <c r="J167" s="440"/>
      <c r="K167" s="440"/>
      <c r="L167" s="440"/>
      <c r="M167" s="440"/>
      <c r="N167" s="440"/>
      <c r="O167" s="379"/>
      <c r="P167" s="379"/>
      <c r="Q167" s="379"/>
      <c r="R167" s="545">
        <v>0</v>
      </c>
      <c r="S167" s="546">
        <v>0</v>
      </c>
      <c r="T167" s="441"/>
      <c r="U167" s="466"/>
      <c r="V167" s="467"/>
      <c r="W167" s="6"/>
    </row>
    <row r="168" spans="1:23" ht="15.6">
      <c r="A168" s="465"/>
      <c r="B168" s="379" t="s">
        <v>90</v>
      </c>
      <c r="C168" s="440"/>
      <c r="D168" s="440"/>
      <c r="E168" s="440"/>
      <c r="F168" s="440"/>
      <c r="G168" s="440"/>
      <c r="H168" s="440"/>
      <c r="I168" s="440"/>
      <c r="J168" s="440"/>
      <c r="K168" s="440"/>
      <c r="L168" s="440"/>
      <c r="M168" s="440"/>
      <c r="N168" s="440"/>
      <c r="O168" s="379"/>
      <c r="P168" s="379"/>
      <c r="Q168" s="379"/>
      <c r="R168" s="547">
        <f>SUM(R164:R167)</f>
        <v>0</v>
      </c>
      <c r="S168" s="546">
        <f>SUM(S164:S167)</f>
        <v>0</v>
      </c>
      <c r="T168" s="441"/>
      <c r="U168" s="466"/>
      <c r="V168" s="467"/>
      <c r="W168" s="6"/>
    </row>
    <row r="169" spans="1:23" ht="15.6">
      <c r="A169" s="465"/>
      <c r="B169" s="379"/>
      <c r="C169" s="440"/>
      <c r="D169" s="440"/>
      <c r="E169" s="440"/>
      <c r="F169" s="440"/>
      <c r="G169" s="440"/>
      <c r="H169" s="440"/>
      <c r="I169" s="440"/>
      <c r="J169" s="440"/>
      <c r="K169" s="440"/>
      <c r="L169" s="440"/>
      <c r="M169" s="440"/>
      <c r="N169" s="440"/>
      <c r="O169" s="379"/>
      <c r="P169" s="379"/>
      <c r="Q169" s="379"/>
      <c r="R169" s="545"/>
      <c r="S169" s="546"/>
      <c r="T169" s="441"/>
      <c r="U169" s="466"/>
      <c r="V169" s="467"/>
      <c r="W169" s="6"/>
    </row>
    <row r="170" spans="1:23" ht="15.6">
      <c r="A170" s="465"/>
      <c r="B170" s="379" t="s">
        <v>220</v>
      </c>
      <c r="C170" s="440"/>
      <c r="D170" s="440"/>
      <c r="E170" s="440"/>
      <c r="F170" s="440"/>
      <c r="G170" s="440"/>
      <c r="H170" s="440"/>
      <c r="I170" s="440"/>
      <c r="J170" s="440"/>
      <c r="K170" s="440"/>
      <c r="L170" s="440"/>
      <c r="M170" s="440"/>
      <c r="N170" s="440"/>
      <c r="O170" s="379"/>
      <c r="P170" s="379"/>
      <c r="Q170" s="379"/>
      <c r="R170" s="545">
        <v>0</v>
      </c>
      <c r="S170" s="546">
        <v>0</v>
      </c>
      <c r="T170" s="441"/>
      <c r="U170" s="466"/>
      <c r="V170" s="467"/>
      <c r="W170" s="6"/>
    </row>
    <row r="171" spans="1:23" ht="15.6">
      <c r="A171" s="465"/>
      <c r="B171" s="379" t="s">
        <v>224</v>
      </c>
      <c r="C171" s="440"/>
      <c r="D171" s="440"/>
      <c r="E171" s="440"/>
      <c r="F171" s="440"/>
      <c r="G171" s="440"/>
      <c r="H171" s="440"/>
      <c r="I171" s="440"/>
      <c r="J171" s="440"/>
      <c r="K171" s="440"/>
      <c r="L171" s="440"/>
      <c r="M171" s="440"/>
      <c r="N171" s="440"/>
      <c r="O171" s="379"/>
      <c r="P171" s="379"/>
      <c r="Q171" s="379"/>
      <c r="R171" s="545">
        <v>0</v>
      </c>
      <c r="S171" s="546">
        <v>0</v>
      </c>
      <c r="T171" s="441"/>
      <c r="U171" s="466"/>
      <c r="V171" s="467"/>
      <c r="W171" s="6"/>
    </row>
    <row r="172" spans="1:23" ht="15.6">
      <c r="A172" s="465"/>
      <c r="B172" s="468" t="s">
        <v>69</v>
      </c>
      <c r="C172" s="469"/>
      <c r="D172" s="469"/>
      <c r="E172" s="469"/>
      <c r="F172" s="469"/>
      <c r="G172" s="469"/>
      <c r="H172" s="469"/>
      <c r="I172" s="469"/>
      <c r="J172" s="469"/>
      <c r="K172" s="469"/>
      <c r="L172" s="469"/>
      <c r="M172" s="469"/>
      <c r="N172" s="469"/>
      <c r="O172" s="454"/>
      <c r="P172" s="454"/>
      <c r="Q172" s="454"/>
      <c r="R172" s="539"/>
      <c r="S172" s="540">
        <v>0</v>
      </c>
      <c r="T172" s="454"/>
      <c r="U172" s="470"/>
      <c r="V172" s="471"/>
      <c r="W172" s="6"/>
    </row>
    <row r="173" spans="1:23" ht="15.6">
      <c r="A173" s="465"/>
      <c r="B173" s="468" t="s">
        <v>70</v>
      </c>
      <c r="C173" s="469"/>
      <c r="D173" s="469"/>
      <c r="E173" s="469"/>
      <c r="F173" s="469"/>
      <c r="G173" s="469"/>
      <c r="H173" s="469"/>
      <c r="I173" s="469"/>
      <c r="J173" s="469"/>
      <c r="K173" s="469"/>
      <c r="L173" s="469"/>
      <c r="M173" s="469"/>
      <c r="N173" s="469"/>
      <c r="O173" s="454"/>
      <c r="P173" s="454"/>
      <c r="Q173" s="454"/>
      <c r="R173" s="539"/>
      <c r="S173" s="540">
        <f>Q75</f>
        <v>0</v>
      </c>
      <c r="T173" s="454"/>
      <c r="U173" s="470"/>
      <c r="V173" s="471"/>
      <c r="W173" s="6"/>
    </row>
    <row r="174" spans="1:23" ht="15.6">
      <c r="A174" s="472"/>
      <c r="B174" s="468" t="s">
        <v>71</v>
      </c>
      <c r="C174" s="469"/>
      <c r="D174" s="469"/>
      <c r="E174" s="469"/>
      <c r="F174" s="469"/>
      <c r="G174" s="469"/>
      <c r="H174" s="469"/>
      <c r="I174" s="469"/>
      <c r="J174" s="469"/>
      <c r="K174" s="469"/>
      <c r="L174" s="469"/>
      <c r="M174" s="473"/>
      <c r="N174" s="473"/>
      <c r="O174" s="473"/>
      <c r="P174" s="454"/>
      <c r="Q174" s="454"/>
      <c r="R174" s="379"/>
      <c r="S174" s="500"/>
      <c r="T174" s="454"/>
      <c r="U174" s="470"/>
      <c r="V174" s="474"/>
      <c r="W174" s="6"/>
    </row>
    <row r="175" spans="1:23" ht="15.6">
      <c r="A175" s="465"/>
      <c r="B175" s="379" t="s">
        <v>72</v>
      </c>
      <c r="C175" s="469"/>
      <c r="D175" s="469"/>
      <c r="E175" s="469"/>
      <c r="F175" s="469"/>
      <c r="G175" s="469"/>
      <c r="H175" s="469"/>
      <c r="I175" s="469"/>
      <c r="J175" s="469"/>
      <c r="K175" s="469"/>
      <c r="L175" s="469"/>
      <c r="M175" s="469"/>
      <c r="N175" s="469"/>
      <c r="O175" s="469"/>
      <c r="P175" s="454"/>
      <c r="Q175" s="454"/>
      <c r="R175" s="379"/>
      <c r="S175" s="546">
        <f>U130</f>
        <v>-154</v>
      </c>
      <c r="T175" s="454"/>
      <c r="U175" s="470"/>
      <c r="V175" s="474"/>
      <c r="W175" s="6"/>
    </row>
    <row r="176" spans="1:23" ht="15.6">
      <c r="A176" s="465"/>
      <c r="B176" s="379" t="s">
        <v>73</v>
      </c>
      <c r="C176" s="469"/>
      <c r="D176" s="469"/>
      <c r="E176" s="469"/>
      <c r="F176" s="469"/>
      <c r="G176" s="469"/>
      <c r="H176" s="469"/>
      <c r="I176" s="469"/>
      <c r="J176" s="469"/>
      <c r="K176" s="469"/>
      <c r="L176" s="469"/>
      <c r="M176" s="469"/>
      <c r="N176" s="469"/>
      <c r="O176" s="469"/>
      <c r="P176" s="454"/>
      <c r="Q176" s="454"/>
      <c r="R176" s="379"/>
      <c r="S176" s="546">
        <f>'Sept 16'!S174+S175</f>
        <v>89320</v>
      </c>
      <c r="T176" s="454"/>
      <c r="U176" s="470"/>
      <c r="V176" s="474"/>
      <c r="W176" s="6"/>
    </row>
    <row r="177" spans="1:23" ht="15.6">
      <c r="A177" s="465"/>
      <c r="B177" s="379" t="s">
        <v>74</v>
      </c>
      <c r="C177" s="469"/>
      <c r="D177" s="469"/>
      <c r="E177" s="469"/>
      <c r="F177" s="469"/>
      <c r="G177" s="469"/>
      <c r="H177" s="469"/>
      <c r="I177" s="469"/>
      <c r="J177" s="469"/>
      <c r="K177" s="469"/>
      <c r="L177" s="469"/>
      <c r="M177" s="469"/>
      <c r="N177" s="469"/>
      <c r="O177" s="469"/>
      <c r="P177" s="454"/>
      <c r="Q177" s="454"/>
      <c r="R177" s="379"/>
      <c r="S177" s="546">
        <f>'Sept 16'!S175+467</f>
        <v>30941</v>
      </c>
      <c r="T177" s="454"/>
      <c r="U177" s="470"/>
      <c r="V177" s="474"/>
      <c r="W177" s="6"/>
    </row>
    <row r="178" spans="1:23" ht="15.6">
      <c r="A178" s="465"/>
      <c r="B178" s="473"/>
      <c r="C178" s="469"/>
      <c r="D178" s="469"/>
      <c r="E178" s="469"/>
      <c r="F178" s="469"/>
      <c r="G178" s="469"/>
      <c r="H178" s="469"/>
      <c r="I178" s="469"/>
      <c r="J178" s="469"/>
      <c r="K178" s="469"/>
      <c r="L178" s="469"/>
      <c r="M178" s="469"/>
      <c r="N178" s="469"/>
      <c r="O178" s="469"/>
      <c r="P178" s="454"/>
      <c r="Q178" s="454"/>
      <c r="R178" s="379"/>
      <c r="S178" s="546"/>
      <c r="T178" s="454"/>
      <c r="U178" s="470"/>
      <c r="V178" s="474"/>
      <c r="W178" s="6"/>
    </row>
    <row r="179" spans="1:23" ht="15.6">
      <c r="A179" s="472"/>
      <c r="B179" s="468" t="s">
        <v>259</v>
      </c>
      <c r="C179" s="469"/>
      <c r="D179" s="469"/>
      <c r="E179" s="469"/>
      <c r="F179" s="469"/>
      <c r="G179" s="469"/>
      <c r="H179" s="469"/>
      <c r="I179" s="469"/>
      <c r="J179" s="469"/>
      <c r="K179" s="469"/>
      <c r="L179" s="469"/>
      <c r="M179" s="473"/>
      <c r="N179" s="473"/>
      <c r="O179" s="473"/>
      <c r="P179" s="454"/>
      <c r="Q179" s="454"/>
      <c r="R179" s="379"/>
      <c r="S179" s="548"/>
      <c r="T179" s="454"/>
      <c r="U179" s="470"/>
      <c r="V179" s="474"/>
      <c r="W179" s="6"/>
    </row>
    <row r="180" spans="1:23" ht="15.6">
      <c r="A180" s="472"/>
      <c r="B180" s="379" t="s">
        <v>254</v>
      </c>
      <c r="C180" s="469"/>
      <c r="D180" s="469"/>
      <c r="E180" s="469"/>
      <c r="F180" s="469"/>
      <c r="G180" s="469"/>
      <c r="H180" s="469"/>
      <c r="I180" s="469"/>
      <c r="J180" s="469"/>
      <c r="K180" s="469"/>
      <c r="L180" s="469"/>
      <c r="M180" s="473"/>
      <c r="N180" s="473"/>
      <c r="O180" s="473"/>
      <c r="P180" s="454"/>
      <c r="Q180" s="454"/>
      <c r="R180" s="379"/>
      <c r="S180" s="557">
        <v>2</v>
      </c>
      <c r="T180" s="454"/>
      <c r="U180" s="470"/>
      <c r="V180" s="474"/>
      <c r="W180" s="6"/>
    </row>
    <row r="181" spans="1:23" ht="15.6">
      <c r="A181" s="465"/>
      <c r="B181" s="379" t="s">
        <v>75</v>
      </c>
      <c r="C181" s="469"/>
      <c r="D181" s="469"/>
      <c r="E181" s="469"/>
      <c r="F181" s="469"/>
      <c r="G181" s="469"/>
      <c r="H181" s="469"/>
      <c r="I181" s="469"/>
      <c r="J181" s="469"/>
      <c r="K181" s="469"/>
      <c r="L181" s="469"/>
      <c r="M181" s="475"/>
      <c r="N181" s="475"/>
      <c r="O181" s="476"/>
      <c r="P181" s="454"/>
      <c r="Q181" s="454"/>
      <c r="R181" s="379"/>
      <c r="S181" s="558">
        <v>0</v>
      </c>
      <c r="T181" s="454"/>
      <c r="U181" s="470"/>
      <c r="V181" s="474"/>
      <c r="W181" s="6"/>
    </row>
    <row r="182" spans="1:23" ht="15.6">
      <c r="A182" s="465"/>
      <c r="B182" s="379" t="s">
        <v>76</v>
      </c>
      <c r="C182" s="469"/>
      <c r="D182" s="469"/>
      <c r="E182" s="469"/>
      <c r="F182" s="469"/>
      <c r="G182" s="469"/>
      <c r="H182" s="469"/>
      <c r="I182" s="469"/>
      <c r="J182" s="469"/>
      <c r="K182" s="469"/>
      <c r="L182" s="469"/>
      <c r="M182" s="475"/>
      <c r="N182" s="475"/>
      <c r="O182" s="476"/>
      <c r="P182" s="454"/>
      <c r="Q182" s="454"/>
      <c r="R182" s="379"/>
      <c r="S182" s="557">
        <v>2038</v>
      </c>
      <c r="T182" s="454"/>
      <c r="U182" s="470"/>
      <c r="V182" s="474"/>
      <c r="W182" s="6"/>
    </row>
    <row r="183" spans="1:23" ht="15.6">
      <c r="A183" s="465"/>
      <c r="B183" s="473"/>
      <c r="C183" s="469"/>
      <c r="D183" s="469"/>
      <c r="E183" s="469"/>
      <c r="F183" s="469"/>
      <c r="G183" s="469"/>
      <c r="H183" s="469"/>
      <c r="I183" s="469"/>
      <c r="J183" s="469"/>
      <c r="K183" s="469"/>
      <c r="L183" s="469"/>
      <c r="M183" s="477"/>
      <c r="N183" s="475"/>
      <c r="O183" s="476"/>
      <c r="P183" s="454"/>
      <c r="Q183" s="454"/>
      <c r="R183" s="379"/>
      <c r="S183" s="537"/>
      <c r="T183" s="454"/>
      <c r="U183" s="470"/>
      <c r="V183" s="474"/>
      <c r="W183" s="6"/>
    </row>
    <row r="184" spans="1:23" ht="15.6">
      <c r="A184" s="465"/>
      <c r="B184" s="468" t="s">
        <v>77</v>
      </c>
      <c r="C184" s="469"/>
      <c r="D184" s="469"/>
      <c r="E184" s="469"/>
      <c r="F184" s="469"/>
      <c r="G184" s="469"/>
      <c r="H184" s="469"/>
      <c r="I184" s="469"/>
      <c r="J184" s="469"/>
      <c r="K184" s="469"/>
      <c r="L184" s="469"/>
      <c r="M184" s="469"/>
      <c r="N184" s="477"/>
      <c r="O184" s="475"/>
      <c r="P184" s="476"/>
      <c r="Q184" s="454"/>
      <c r="R184" s="380"/>
      <c r="S184" s="538"/>
      <c r="T184" s="478"/>
      <c r="U184" s="390"/>
      <c r="V184" s="479"/>
      <c r="W184" s="6"/>
    </row>
    <row r="185" spans="1:23" ht="15.6">
      <c r="A185" s="465"/>
      <c r="B185" s="379" t="s">
        <v>78</v>
      </c>
      <c r="C185" s="469"/>
      <c r="D185" s="469"/>
      <c r="E185" s="469"/>
      <c r="F185" s="469"/>
      <c r="G185" s="469"/>
      <c r="H185" s="469"/>
      <c r="I185" s="469"/>
      <c r="J185" s="469"/>
      <c r="K185" s="469"/>
      <c r="L185" s="469"/>
      <c r="M185" s="469"/>
      <c r="N185" s="477"/>
      <c r="O185" s="475"/>
      <c r="P185" s="476"/>
      <c r="Q185" s="454"/>
      <c r="R185" s="380"/>
      <c r="S185" s="556">
        <v>0</v>
      </c>
      <c r="T185" s="480"/>
      <c r="U185" s="390"/>
      <c r="V185" s="479"/>
      <c r="W185" s="6"/>
    </row>
    <row r="186" spans="1:23" ht="15.6">
      <c r="A186" s="465"/>
      <c r="B186" s="379" t="s">
        <v>75</v>
      </c>
      <c r="C186" s="469"/>
      <c r="D186" s="469"/>
      <c r="E186" s="469"/>
      <c r="F186" s="469"/>
      <c r="G186" s="469"/>
      <c r="H186" s="469"/>
      <c r="I186" s="469"/>
      <c r="J186" s="469"/>
      <c r="K186" s="469"/>
      <c r="L186" s="469"/>
      <c r="M186" s="469"/>
      <c r="N186" s="477"/>
      <c r="O186" s="475"/>
      <c r="P186" s="476"/>
      <c r="Q186" s="454"/>
      <c r="R186" s="380"/>
      <c r="S186" s="556">
        <v>0</v>
      </c>
      <c r="T186" s="480"/>
      <c r="U186" s="390"/>
      <c r="V186" s="479"/>
      <c r="W186" s="6"/>
    </row>
    <row r="187" spans="1:23" ht="15.6">
      <c r="A187" s="465"/>
      <c r="B187" s="379" t="s">
        <v>79</v>
      </c>
      <c r="C187" s="469"/>
      <c r="D187" s="469"/>
      <c r="E187" s="469"/>
      <c r="F187" s="469"/>
      <c r="G187" s="469"/>
      <c r="H187" s="469"/>
      <c r="I187" s="469"/>
      <c r="J187" s="469"/>
      <c r="K187" s="469"/>
      <c r="L187" s="469"/>
      <c r="M187" s="469"/>
      <c r="N187" s="477"/>
      <c r="O187" s="475"/>
      <c r="P187" s="476"/>
      <c r="Q187" s="454"/>
      <c r="R187" s="380"/>
      <c r="S187" s="556">
        <v>0</v>
      </c>
      <c r="T187" s="480"/>
      <c r="U187" s="390"/>
      <c r="V187" s="479"/>
      <c r="W187" s="6"/>
    </row>
    <row r="188" spans="1:23" ht="15.6">
      <c r="A188" s="465"/>
      <c r="B188" s="473"/>
      <c r="C188" s="469"/>
      <c r="D188" s="469"/>
      <c r="E188" s="469"/>
      <c r="F188" s="469"/>
      <c r="G188" s="469"/>
      <c r="H188" s="469"/>
      <c r="I188" s="469"/>
      <c r="J188" s="469"/>
      <c r="K188" s="469"/>
      <c r="L188" s="469"/>
      <c r="M188" s="477"/>
      <c r="N188" s="475"/>
      <c r="O188" s="476"/>
      <c r="P188" s="454"/>
      <c r="Q188" s="454"/>
      <c r="R188" s="454"/>
      <c r="S188" s="537"/>
      <c r="T188" s="454"/>
      <c r="U188" s="470"/>
      <c r="V188" s="474"/>
      <c r="W188" s="6"/>
    </row>
    <row r="189" spans="1:23" ht="17.399999999999999">
      <c r="A189" s="465"/>
      <c r="B189" s="482" t="s">
        <v>196</v>
      </c>
      <c r="C189" s="469"/>
      <c r="D189" s="469"/>
      <c r="E189" s="469"/>
      <c r="F189" s="469"/>
      <c r="G189" s="469"/>
      <c r="H189" s="469"/>
      <c r="I189" s="469"/>
      <c r="J189" s="469"/>
      <c r="K189" s="483" t="s">
        <v>195</v>
      </c>
      <c r="L189" s="469"/>
      <c r="M189" s="477"/>
      <c r="N189" s="475"/>
      <c r="O189" s="476"/>
      <c r="P189" s="454"/>
      <c r="Q189" s="454"/>
      <c r="R189" s="454"/>
      <c r="S189" s="481"/>
      <c r="T189" s="454"/>
      <c r="U189" s="470"/>
      <c r="V189" s="474"/>
      <c r="W189" s="6"/>
    </row>
    <row r="190" spans="1:23" ht="15.6">
      <c r="A190" s="242"/>
      <c r="B190" s="460"/>
      <c r="C190" s="461"/>
      <c r="D190" s="461"/>
      <c r="E190" s="461"/>
      <c r="F190" s="461"/>
      <c r="G190" s="461"/>
      <c r="H190" s="461"/>
      <c r="I190" s="461"/>
      <c r="J190" s="461"/>
      <c r="K190" s="461"/>
      <c r="L190" s="461"/>
      <c r="M190" s="462"/>
      <c r="N190" s="461"/>
      <c r="O190" s="462"/>
      <c r="P190" s="461"/>
      <c r="Q190" s="462"/>
      <c r="R190" s="461"/>
      <c r="S190" s="462"/>
      <c r="T190" s="461"/>
      <c r="U190" s="463"/>
      <c r="V190" s="464"/>
      <c r="W190" s="6"/>
    </row>
    <row r="191" spans="1:23" ht="15.6">
      <c r="A191" s="348"/>
      <c r="B191" s="525" t="s">
        <v>80</v>
      </c>
      <c r="C191" s="343"/>
      <c r="D191" s="343"/>
      <c r="E191" s="343"/>
      <c r="F191" s="343"/>
      <c r="G191" s="343"/>
      <c r="H191" s="343"/>
      <c r="I191" s="343"/>
      <c r="J191" s="343"/>
      <c r="K191" s="343"/>
      <c r="L191" s="343"/>
      <c r="M191" s="525" t="s">
        <v>100</v>
      </c>
      <c r="N191" s="526"/>
      <c r="O191" s="527"/>
      <c r="P191" s="526"/>
      <c r="Q191" s="525"/>
      <c r="R191" s="525" t="s">
        <v>26</v>
      </c>
      <c r="S191" s="527"/>
      <c r="T191" s="526"/>
      <c r="U191" s="346"/>
      <c r="V191" s="528"/>
      <c r="W191" s="6"/>
    </row>
    <row r="192" spans="1:23" ht="15.6">
      <c r="A192" s="365"/>
      <c r="B192" s="366"/>
      <c r="C192" s="529"/>
      <c r="D192" s="529"/>
      <c r="E192" s="529"/>
      <c r="F192" s="529"/>
      <c r="G192" s="529"/>
      <c r="H192" s="529"/>
      <c r="I192" s="529"/>
      <c r="J192" s="529"/>
      <c r="K192" s="529"/>
      <c r="L192" s="529" t="s">
        <v>94</v>
      </c>
      <c r="M192" s="530" t="s">
        <v>101</v>
      </c>
      <c r="N192" s="529" t="s">
        <v>103</v>
      </c>
      <c r="O192" s="530" t="s">
        <v>101</v>
      </c>
      <c r="P192" s="530"/>
      <c r="Q192" s="529" t="s">
        <v>94</v>
      </c>
      <c r="R192" s="530" t="s">
        <v>101</v>
      </c>
      <c r="S192" s="529" t="s">
        <v>103</v>
      </c>
      <c r="T192" s="530" t="s">
        <v>101</v>
      </c>
      <c r="U192" s="369"/>
      <c r="V192" s="531"/>
      <c r="W192" s="6"/>
    </row>
    <row r="193" spans="1:24" ht="15.6">
      <c r="A193" s="316"/>
      <c r="B193" s="360" t="s">
        <v>81</v>
      </c>
      <c r="C193" s="361"/>
      <c r="D193" s="361"/>
      <c r="E193" s="361"/>
      <c r="F193" s="361"/>
      <c r="G193" s="361"/>
      <c r="H193" s="361"/>
      <c r="I193" s="361"/>
      <c r="J193" s="361"/>
      <c r="K193" s="361"/>
      <c r="L193" s="361">
        <v>0</v>
      </c>
      <c r="M193" s="362">
        <v>0</v>
      </c>
      <c r="N193" s="361">
        <v>0</v>
      </c>
      <c r="O193" s="362">
        <v>0</v>
      </c>
      <c r="P193" s="363"/>
      <c r="Q193" s="361">
        <v>0</v>
      </c>
      <c r="R193" s="362">
        <v>0</v>
      </c>
      <c r="S193" s="552">
        <v>0</v>
      </c>
      <c r="T193" s="362">
        <v>0</v>
      </c>
      <c r="U193" s="364"/>
      <c r="V193" s="312"/>
      <c r="W193" s="6"/>
    </row>
    <row r="194" spans="1:24" ht="15.6">
      <c r="A194" s="444"/>
      <c r="B194" s="440" t="s">
        <v>82</v>
      </c>
      <c r="C194" s="489"/>
      <c r="D194" s="489"/>
      <c r="E194" s="489"/>
      <c r="F194" s="489"/>
      <c r="G194" s="489"/>
      <c r="H194" s="489"/>
      <c r="I194" s="489"/>
      <c r="J194" s="489"/>
      <c r="K194" s="489"/>
      <c r="L194" s="489">
        <v>0</v>
      </c>
      <c r="M194" s="427">
        <v>0</v>
      </c>
      <c r="N194" s="553">
        <v>0</v>
      </c>
      <c r="O194" s="427">
        <v>0</v>
      </c>
      <c r="P194" s="381"/>
      <c r="Q194" s="489">
        <v>0</v>
      </c>
      <c r="R194" s="427">
        <v>0</v>
      </c>
      <c r="S194" s="553">
        <v>0</v>
      </c>
      <c r="T194" s="427">
        <v>0</v>
      </c>
      <c r="U194" s="379"/>
      <c r="V194" s="435"/>
      <c r="W194" s="6"/>
    </row>
    <row r="195" spans="1:24" ht="15.6">
      <c r="A195" s="444"/>
      <c r="B195" s="440" t="s">
        <v>83</v>
      </c>
      <c r="C195" s="489"/>
      <c r="D195" s="489"/>
      <c r="E195" s="489"/>
      <c r="F195" s="489"/>
      <c r="G195" s="489"/>
      <c r="H195" s="489"/>
      <c r="I195" s="489"/>
      <c r="J195" s="489"/>
      <c r="K195" s="489"/>
      <c r="L195" s="489">
        <v>0</v>
      </c>
      <c r="M195" s="427">
        <v>0</v>
      </c>
      <c r="N195" s="489">
        <v>0</v>
      </c>
      <c r="O195" s="427">
        <v>0</v>
      </c>
      <c r="P195" s="381"/>
      <c r="Q195" s="489">
        <v>0</v>
      </c>
      <c r="R195" s="427">
        <v>0</v>
      </c>
      <c r="S195" s="553">
        <v>0</v>
      </c>
      <c r="T195" s="427">
        <v>0</v>
      </c>
      <c r="U195" s="379"/>
      <c r="V195" s="435"/>
      <c r="W195" s="6"/>
    </row>
    <row r="196" spans="1:24" ht="15.6">
      <c r="A196" s="444"/>
      <c r="B196" s="440" t="s">
        <v>186</v>
      </c>
      <c r="C196" s="489"/>
      <c r="D196" s="489"/>
      <c r="E196" s="489"/>
      <c r="F196" s="489"/>
      <c r="G196" s="489"/>
      <c r="H196" s="489"/>
      <c r="I196" s="489"/>
      <c r="J196" s="489"/>
      <c r="K196" s="489"/>
      <c r="L196" s="489">
        <v>0</v>
      </c>
      <c r="M196" s="427">
        <v>0</v>
      </c>
      <c r="N196" s="489">
        <v>0</v>
      </c>
      <c r="O196" s="427">
        <v>0</v>
      </c>
      <c r="P196" s="381"/>
      <c r="Q196" s="489">
        <v>0</v>
      </c>
      <c r="R196" s="551">
        <v>0</v>
      </c>
      <c r="S196" s="489">
        <v>0</v>
      </c>
      <c r="T196" s="427">
        <v>0</v>
      </c>
      <c r="U196" s="379"/>
      <c r="V196" s="435"/>
      <c r="W196" s="6"/>
    </row>
    <row r="197" spans="1:24" ht="15.6">
      <c r="A197" s="444"/>
      <c r="B197" s="440" t="s">
        <v>187</v>
      </c>
      <c r="C197" s="489"/>
      <c r="D197" s="489"/>
      <c r="E197" s="489"/>
      <c r="F197" s="489"/>
      <c r="G197" s="489"/>
      <c r="H197" s="489"/>
      <c r="I197" s="489"/>
      <c r="J197" s="489"/>
      <c r="K197" s="489"/>
      <c r="L197" s="489">
        <v>0</v>
      </c>
      <c r="M197" s="427">
        <v>0</v>
      </c>
      <c r="N197" s="489">
        <v>0</v>
      </c>
      <c r="O197" s="427">
        <v>0</v>
      </c>
      <c r="P197" s="381"/>
      <c r="Q197" s="489">
        <v>0</v>
      </c>
      <c r="R197" s="427">
        <v>0</v>
      </c>
      <c r="S197" s="489">
        <v>0</v>
      </c>
      <c r="T197" s="427">
        <v>0</v>
      </c>
      <c r="U197" s="379"/>
      <c r="V197" s="435"/>
      <c r="W197" s="6"/>
    </row>
    <row r="198" spans="1:24" ht="15.6">
      <c r="A198" s="444"/>
      <c r="B198" s="440" t="s">
        <v>188</v>
      </c>
      <c r="C198" s="489"/>
      <c r="D198" s="489"/>
      <c r="E198" s="489"/>
      <c r="F198" s="489"/>
      <c r="G198" s="489"/>
      <c r="H198" s="489"/>
      <c r="I198" s="489"/>
      <c r="J198" s="489"/>
      <c r="K198" s="489"/>
      <c r="L198" s="489">
        <v>0</v>
      </c>
      <c r="M198" s="427">
        <v>0</v>
      </c>
      <c r="N198" s="489">
        <v>0</v>
      </c>
      <c r="O198" s="427">
        <v>0</v>
      </c>
      <c r="P198" s="381"/>
      <c r="Q198" s="489">
        <v>0</v>
      </c>
      <c r="R198" s="427">
        <v>0</v>
      </c>
      <c r="S198" s="489">
        <v>0</v>
      </c>
      <c r="T198" s="427">
        <v>0</v>
      </c>
      <c r="U198" s="379"/>
      <c r="V198" s="435"/>
      <c r="W198" s="6"/>
    </row>
    <row r="199" spans="1:24" ht="15.6">
      <c r="A199" s="444"/>
      <c r="B199" s="440" t="s">
        <v>189</v>
      </c>
      <c r="C199" s="489"/>
      <c r="D199" s="489"/>
      <c r="E199" s="489"/>
      <c r="F199" s="489"/>
      <c r="G199" s="489"/>
      <c r="H199" s="489"/>
      <c r="I199" s="489"/>
      <c r="J199" s="489"/>
      <c r="K199" s="489"/>
      <c r="L199" s="489">
        <v>0</v>
      </c>
      <c r="M199" s="427">
        <v>0</v>
      </c>
      <c r="N199" s="489">
        <v>0</v>
      </c>
      <c r="O199" s="427">
        <v>0</v>
      </c>
      <c r="P199" s="381"/>
      <c r="Q199" s="489">
        <v>0</v>
      </c>
      <c r="R199" s="427">
        <v>0</v>
      </c>
      <c r="S199" s="489">
        <v>0</v>
      </c>
      <c r="T199" s="427">
        <v>0</v>
      </c>
      <c r="U199" s="379"/>
      <c r="V199" s="435"/>
      <c r="W199" s="6"/>
    </row>
    <row r="200" spans="1:24" ht="15.6">
      <c r="A200" s="444"/>
      <c r="B200" s="440" t="s">
        <v>84</v>
      </c>
      <c r="C200" s="489"/>
      <c r="D200" s="489"/>
      <c r="E200" s="489"/>
      <c r="F200" s="489"/>
      <c r="G200" s="489"/>
      <c r="H200" s="489"/>
      <c r="I200" s="489"/>
      <c r="J200" s="489"/>
      <c r="K200" s="489"/>
      <c r="L200" s="489">
        <f>SUM(L193:L199)</f>
        <v>0</v>
      </c>
      <c r="M200" s="427">
        <f>SUM(M193:M199)</f>
        <v>0</v>
      </c>
      <c r="N200" s="489">
        <f>SUM(N193:N199)</f>
        <v>0</v>
      </c>
      <c r="O200" s="427">
        <f>SUM(O193:O199)</f>
        <v>0</v>
      </c>
      <c r="P200" s="381"/>
      <c r="Q200" s="489">
        <f>SUM(Q193:Q199)</f>
        <v>0</v>
      </c>
      <c r="R200" s="427">
        <f>SUM(R193:R199)</f>
        <v>0</v>
      </c>
      <c r="S200" s="489">
        <f>SUM(S193:S199)</f>
        <v>0</v>
      </c>
      <c r="T200" s="427">
        <f>SUM(T193:T199)</f>
        <v>0</v>
      </c>
      <c r="U200" s="379"/>
      <c r="V200" s="435"/>
      <c r="W200" s="6"/>
      <c r="X200" s="64"/>
    </row>
    <row r="201" spans="1:24" ht="15.6">
      <c r="A201" s="444"/>
      <c r="B201" s="440" t="s">
        <v>85</v>
      </c>
      <c r="C201" s="489"/>
      <c r="D201" s="489"/>
      <c r="E201" s="489"/>
      <c r="F201" s="489"/>
      <c r="G201" s="489"/>
      <c r="H201" s="489"/>
      <c r="I201" s="489"/>
      <c r="J201" s="489"/>
      <c r="K201" s="489"/>
      <c r="L201" s="489">
        <v>0</v>
      </c>
      <c r="M201" s="380"/>
      <c r="N201" s="489">
        <v>0</v>
      </c>
      <c r="O201" s="380"/>
      <c r="P201" s="381"/>
      <c r="Q201" s="489">
        <v>0</v>
      </c>
      <c r="R201" s="380"/>
      <c r="S201" s="489">
        <v>0</v>
      </c>
      <c r="T201" s="380"/>
      <c r="U201" s="379"/>
      <c r="V201" s="435"/>
      <c r="W201" s="6"/>
      <c r="X201" s="64"/>
    </row>
    <row r="202" spans="1:24" ht="15.6">
      <c r="A202" s="444"/>
      <c r="B202" s="440" t="s">
        <v>86</v>
      </c>
      <c r="C202" s="489"/>
      <c r="D202" s="489"/>
      <c r="E202" s="489"/>
      <c r="F202" s="489"/>
      <c r="G202" s="489"/>
      <c r="H202" s="489"/>
      <c r="I202" s="489"/>
      <c r="J202" s="489"/>
      <c r="K202" s="489"/>
      <c r="L202" s="489">
        <f>SUM(L200:L201)</f>
        <v>0</v>
      </c>
      <c r="M202" s="450"/>
      <c r="N202" s="489">
        <f>SUM(N200:N201)</f>
        <v>0</v>
      </c>
      <c r="O202" s="490"/>
      <c r="P202" s="450"/>
      <c r="Q202" s="489">
        <f>SUM(Q200:Q201)</f>
        <v>0</v>
      </c>
      <c r="R202" s="450"/>
      <c r="S202" s="489">
        <f>SUM(S200:S201)</f>
        <v>0</v>
      </c>
      <c r="T202" s="450"/>
      <c r="U202" s="450"/>
      <c r="V202" s="435"/>
      <c r="W202" s="6"/>
      <c r="X202" s="64"/>
    </row>
    <row r="203" spans="1:24" ht="15.6">
      <c r="A203" s="242"/>
      <c r="B203" s="484"/>
      <c r="C203" s="485"/>
      <c r="D203" s="485"/>
      <c r="E203" s="485"/>
      <c r="F203" s="485"/>
      <c r="G203" s="485"/>
      <c r="H203" s="485"/>
      <c r="I203" s="485"/>
      <c r="J203" s="485"/>
      <c r="K203" s="485"/>
      <c r="L203" s="532"/>
      <c r="M203" s="533"/>
      <c r="N203" s="532"/>
      <c r="O203" s="533"/>
      <c r="P203" s="488"/>
      <c r="Q203" s="532"/>
      <c r="R203" s="533"/>
      <c r="S203" s="532"/>
      <c r="T203" s="533"/>
      <c r="U203" s="463"/>
      <c r="V203" s="464"/>
      <c r="W203" s="6"/>
    </row>
    <row r="204" spans="1:24" ht="15.6">
      <c r="A204" s="349"/>
      <c r="B204" s="525" t="s">
        <v>80</v>
      </c>
      <c r="C204" s="526"/>
      <c r="D204" s="526"/>
      <c r="E204" s="526"/>
      <c r="F204" s="526"/>
      <c r="G204" s="526"/>
      <c r="H204" s="526"/>
      <c r="I204" s="526"/>
      <c r="J204" s="526"/>
      <c r="K204" s="526"/>
      <c r="L204" s="526"/>
      <c r="M204" s="525" t="s">
        <v>27</v>
      </c>
      <c r="N204" s="526"/>
      <c r="O204" s="527"/>
      <c r="P204" s="526"/>
      <c r="Q204" s="525"/>
      <c r="R204" s="525" t="s">
        <v>28</v>
      </c>
      <c r="S204" s="527"/>
      <c r="T204" s="526"/>
      <c r="U204" s="346"/>
      <c r="V204" s="528"/>
      <c r="W204" s="6"/>
    </row>
    <row r="205" spans="1:24" ht="15.6">
      <c r="A205" s="371"/>
      <c r="B205" s="372"/>
      <c r="C205" s="534"/>
      <c r="D205" s="534"/>
      <c r="E205" s="534"/>
      <c r="F205" s="534"/>
      <c r="G205" s="534"/>
      <c r="H205" s="534"/>
      <c r="I205" s="534"/>
      <c r="J205" s="534"/>
      <c r="K205" s="534"/>
      <c r="L205" s="534" t="s">
        <v>94</v>
      </c>
      <c r="M205" s="535" t="s">
        <v>101</v>
      </c>
      <c r="N205" s="534" t="s">
        <v>103</v>
      </c>
      <c r="O205" s="535" t="s">
        <v>101</v>
      </c>
      <c r="P205" s="535"/>
      <c r="Q205" s="534" t="s">
        <v>94</v>
      </c>
      <c r="R205" s="535" t="s">
        <v>101</v>
      </c>
      <c r="S205" s="534" t="s">
        <v>103</v>
      </c>
      <c r="T205" s="535" t="s">
        <v>101</v>
      </c>
      <c r="U205" s="375"/>
      <c r="V205" s="536"/>
      <c r="W205" s="6"/>
    </row>
    <row r="206" spans="1:24" ht="15.6">
      <c r="A206" s="315"/>
      <c r="B206" s="310" t="s">
        <v>81</v>
      </c>
      <c r="C206" s="351"/>
      <c r="D206" s="351"/>
      <c r="E206" s="351"/>
      <c r="F206" s="351"/>
      <c r="G206" s="351"/>
      <c r="H206" s="351"/>
      <c r="I206" s="351"/>
      <c r="J206" s="351"/>
      <c r="K206" s="351"/>
      <c r="L206" s="351">
        <v>0</v>
      </c>
      <c r="M206" s="299">
        <v>0</v>
      </c>
      <c r="N206" s="351">
        <v>0</v>
      </c>
      <c r="O206" s="299">
        <v>0</v>
      </c>
      <c r="P206" s="296"/>
      <c r="Q206" s="351">
        <v>0</v>
      </c>
      <c r="R206" s="299">
        <v>0</v>
      </c>
      <c r="S206" s="351">
        <v>0</v>
      </c>
      <c r="T206" s="299">
        <v>0</v>
      </c>
      <c r="U206" s="294"/>
      <c r="V206" s="301"/>
      <c r="W206" s="6"/>
    </row>
    <row r="207" spans="1:24" ht="15.6">
      <c r="A207" s="444"/>
      <c r="B207" s="440" t="s">
        <v>82</v>
      </c>
      <c r="C207" s="489"/>
      <c r="D207" s="489"/>
      <c r="E207" s="489"/>
      <c r="F207" s="489"/>
      <c r="G207" s="489"/>
      <c r="H207" s="489"/>
      <c r="I207" s="489"/>
      <c r="J207" s="489"/>
      <c r="K207" s="489"/>
      <c r="L207" s="489">
        <v>0</v>
      </c>
      <c r="M207" s="427">
        <v>0</v>
      </c>
      <c r="N207" s="489">
        <v>0</v>
      </c>
      <c r="O207" s="427">
        <v>0</v>
      </c>
      <c r="P207" s="381"/>
      <c r="Q207" s="489">
        <v>0</v>
      </c>
      <c r="R207" s="427">
        <v>0</v>
      </c>
      <c r="S207" s="489">
        <v>0</v>
      </c>
      <c r="T207" s="427">
        <v>0</v>
      </c>
      <c r="U207" s="379"/>
      <c r="V207" s="435"/>
      <c r="W207" s="6"/>
    </row>
    <row r="208" spans="1:24" ht="15.6">
      <c r="A208" s="444"/>
      <c r="B208" s="440" t="s">
        <v>83</v>
      </c>
      <c r="C208" s="489"/>
      <c r="D208" s="489"/>
      <c r="E208" s="489"/>
      <c r="F208" s="489"/>
      <c r="G208" s="489"/>
      <c r="H208" s="489"/>
      <c r="I208" s="489"/>
      <c r="J208" s="489"/>
      <c r="K208" s="489"/>
      <c r="L208" s="489">
        <v>0</v>
      </c>
      <c r="M208" s="427">
        <v>0</v>
      </c>
      <c r="N208" s="489">
        <v>0</v>
      </c>
      <c r="O208" s="427">
        <v>0</v>
      </c>
      <c r="P208" s="381"/>
      <c r="Q208" s="489">
        <v>0</v>
      </c>
      <c r="R208" s="427">
        <v>0</v>
      </c>
      <c r="S208" s="489">
        <v>0</v>
      </c>
      <c r="T208" s="427">
        <v>0</v>
      </c>
      <c r="U208" s="379"/>
      <c r="V208" s="435"/>
      <c r="W208" s="6"/>
      <c r="X208" s="182"/>
    </row>
    <row r="209" spans="1:24" ht="15.6">
      <c r="A209" s="444"/>
      <c r="B209" s="440" t="s">
        <v>186</v>
      </c>
      <c r="C209" s="489"/>
      <c r="D209" s="489"/>
      <c r="E209" s="489"/>
      <c r="F209" s="489"/>
      <c r="G209" s="489"/>
      <c r="H209" s="489"/>
      <c r="I209" s="489"/>
      <c r="J209" s="489"/>
      <c r="K209" s="489"/>
      <c r="L209" s="489">
        <v>0</v>
      </c>
      <c r="M209" s="427">
        <v>0</v>
      </c>
      <c r="N209" s="489">
        <v>0</v>
      </c>
      <c r="O209" s="427">
        <v>0</v>
      </c>
      <c r="P209" s="381"/>
      <c r="Q209" s="489">
        <v>0</v>
      </c>
      <c r="R209" s="427">
        <v>0</v>
      </c>
      <c r="S209" s="489">
        <v>0</v>
      </c>
      <c r="T209" s="427">
        <v>0</v>
      </c>
      <c r="U209" s="379"/>
      <c r="V209" s="435"/>
      <c r="W209" s="6"/>
    </row>
    <row r="210" spans="1:24" ht="15.6">
      <c r="A210" s="444"/>
      <c r="B210" s="440" t="s">
        <v>187</v>
      </c>
      <c r="C210" s="489"/>
      <c r="D210" s="489"/>
      <c r="E210" s="489"/>
      <c r="F210" s="489"/>
      <c r="G210" s="489"/>
      <c r="H210" s="489"/>
      <c r="I210" s="489"/>
      <c r="J210" s="489"/>
      <c r="K210" s="489"/>
      <c r="L210" s="489">
        <v>0</v>
      </c>
      <c r="M210" s="427">
        <v>0</v>
      </c>
      <c r="N210" s="489">
        <v>0</v>
      </c>
      <c r="O210" s="427">
        <v>0</v>
      </c>
      <c r="P210" s="381"/>
      <c r="Q210" s="489">
        <v>0</v>
      </c>
      <c r="R210" s="427">
        <v>0</v>
      </c>
      <c r="S210" s="489">
        <v>0</v>
      </c>
      <c r="T210" s="427">
        <v>0</v>
      </c>
      <c r="U210" s="379"/>
      <c r="V210" s="435"/>
      <c r="W210" s="6"/>
    </row>
    <row r="211" spans="1:24" ht="15.6">
      <c r="A211" s="444"/>
      <c r="B211" s="440" t="s">
        <v>188</v>
      </c>
      <c r="C211" s="489"/>
      <c r="D211" s="489"/>
      <c r="E211" s="489"/>
      <c r="F211" s="489"/>
      <c r="G211" s="489"/>
      <c r="H211" s="489"/>
      <c r="I211" s="489"/>
      <c r="J211" s="489"/>
      <c r="K211" s="489"/>
      <c r="L211" s="489">
        <v>0</v>
      </c>
      <c r="M211" s="427">
        <v>0</v>
      </c>
      <c r="N211" s="489">
        <v>0</v>
      </c>
      <c r="O211" s="427">
        <v>0</v>
      </c>
      <c r="P211" s="381"/>
      <c r="Q211" s="489">
        <v>0</v>
      </c>
      <c r="R211" s="427">
        <v>0</v>
      </c>
      <c r="S211" s="489">
        <v>0</v>
      </c>
      <c r="T211" s="427">
        <v>0</v>
      </c>
      <c r="U211" s="379"/>
      <c r="V211" s="435"/>
      <c r="W211" s="6"/>
    </row>
    <row r="212" spans="1:24" ht="15.6">
      <c r="A212" s="444"/>
      <c r="B212" s="440" t="s">
        <v>189</v>
      </c>
      <c r="C212" s="489"/>
      <c r="D212" s="489"/>
      <c r="E212" s="489"/>
      <c r="F212" s="489"/>
      <c r="G212" s="489"/>
      <c r="H212" s="489"/>
      <c r="I212" s="489"/>
      <c r="J212" s="489"/>
      <c r="K212" s="489"/>
      <c r="L212" s="489">
        <v>0</v>
      </c>
      <c r="M212" s="427">
        <v>0</v>
      </c>
      <c r="N212" s="489">
        <v>0</v>
      </c>
      <c r="O212" s="427">
        <v>0</v>
      </c>
      <c r="P212" s="381"/>
      <c r="Q212" s="489">
        <v>0</v>
      </c>
      <c r="R212" s="427">
        <v>0</v>
      </c>
      <c r="S212" s="489">
        <v>0</v>
      </c>
      <c r="T212" s="427">
        <v>0</v>
      </c>
      <c r="U212" s="379"/>
      <c r="V212" s="435"/>
      <c r="W212" s="6"/>
    </row>
    <row r="213" spans="1:24" ht="15.6">
      <c r="A213" s="444"/>
      <c r="B213" s="440" t="str">
        <f>B200</f>
        <v>Total Performing  Assets</v>
      </c>
      <c r="C213" s="489"/>
      <c r="D213" s="489"/>
      <c r="E213" s="489"/>
      <c r="F213" s="489"/>
      <c r="G213" s="489"/>
      <c r="H213" s="489"/>
      <c r="I213" s="489"/>
      <c r="J213" s="489"/>
      <c r="K213" s="489"/>
      <c r="L213" s="489">
        <f>SUM(L206:L212)</f>
        <v>0</v>
      </c>
      <c r="M213" s="427">
        <f>SUM(M206:M212)</f>
        <v>0</v>
      </c>
      <c r="N213" s="489">
        <f>SUM(N206:N212)</f>
        <v>0</v>
      </c>
      <c r="O213" s="427">
        <f>SUM(O206:O212)</f>
        <v>0</v>
      </c>
      <c r="P213" s="381"/>
      <c r="Q213" s="489">
        <f>SUM(Q206:Q212)</f>
        <v>0</v>
      </c>
      <c r="R213" s="427">
        <f>SUM(R206:R212)</f>
        <v>0</v>
      </c>
      <c r="S213" s="489">
        <f>SUM(S206:S212)</f>
        <v>0</v>
      </c>
      <c r="T213" s="427">
        <f>SUM(T206:T212)</f>
        <v>0</v>
      </c>
      <c r="U213" s="379"/>
      <c r="V213" s="435"/>
      <c r="W213" s="6"/>
    </row>
    <row r="214" spans="1:24" ht="15.6">
      <c r="A214" s="444"/>
      <c r="B214" s="440" t="s">
        <v>85</v>
      </c>
      <c r="C214" s="489"/>
      <c r="D214" s="489"/>
      <c r="E214" s="489"/>
      <c r="F214" s="489"/>
      <c r="G214" s="489"/>
      <c r="H214" s="489"/>
      <c r="I214" s="489"/>
      <c r="J214" s="489"/>
      <c r="K214" s="489"/>
      <c r="L214" s="489">
        <v>0</v>
      </c>
      <c r="M214" s="381"/>
      <c r="N214" s="489">
        <v>0</v>
      </c>
      <c r="O214" s="380"/>
      <c r="P214" s="381"/>
      <c r="Q214" s="489">
        <v>0</v>
      </c>
      <c r="R214" s="381"/>
      <c r="S214" s="489">
        <v>0</v>
      </c>
      <c r="T214" s="381"/>
      <c r="U214" s="379"/>
      <c r="V214" s="435"/>
      <c r="W214" s="6"/>
    </row>
    <row r="215" spans="1:24" ht="15.6">
      <c r="A215" s="444"/>
      <c r="B215" s="440" t="s">
        <v>86</v>
      </c>
      <c r="C215" s="489"/>
      <c r="D215" s="489"/>
      <c r="E215" s="489"/>
      <c r="F215" s="489"/>
      <c r="G215" s="489"/>
      <c r="H215" s="489"/>
      <c r="I215" s="489"/>
      <c r="J215" s="489"/>
      <c r="K215" s="489"/>
      <c r="L215" s="489">
        <f>SUM(L213:L214)</f>
        <v>0</v>
      </c>
      <c r="M215" s="450"/>
      <c r="N215" s="489">
        <f>SUM(N213:N214)</f>
        <v>0</v>
      </c>
      <c r="O215" s="427"/>
      <c r="P215" s="450"/>
      <c r="Q215" s="489">
        <f>SUM(Q213:Q214)</f>
        <v>0</v>
      </c>
      <c r="R215" s="450"/>
      <c r="S215" s="489">
        <f>SUM(S213:S214)</f>
        <v>0</v>
      </c>
      <c r="T215" s="450"/>
      <c r="U215" s="450"/>
      <c r="V215" s="492"/>
    </row>
    <row r="216" spans="1:24" ht="15.6">
      <c r="A216" s="444"/>
      <c r="B216" s="440"/>
      <c r="C216" s="381"/>
      <c r="D216" s="381"/>
      <c r="E216" s="381"/>
      <c r="F216" s="381"/>
      <c r="G216" s="381"/>
      <c r="H216" s="381"/>
      <c r="I216" s="381"/>
      <c r="J216" s="381"/>
      <c r="K216" s="381"/>
      <c r="L216" s="381"/>
      <c r="M216" s="493"/>
      <c r="N216" s="381"/>
      <c r="O216" s="493"/>
      <c r="P216" s="381"/>
      <c r="Q216" s="493"/>
      <c r="R216" s="381"/>
      <c r="S216" s="489"/>
      <c r="T216" s="381"/>
      <c r="U216" s="379"/>
      <c r="V216" s="435"/>
      <c r="W216" s="6"/>
    </row>
    <row r="217" spans="1:24" ht="15.6">
      <c r="A217" s="444"/>
      <c r="B217" s="440" t="s">
        <v>86</v>
      </c>
      <c r="C217" s="381"/>
      <c r="D217" s="381"/>
      <c r="E217" s="381"/>
      <c r="F217" s="381"/>
      <c r="G217" s="381"/>
      <c r="H217" s="381"/>
      <c r="I217" s="381"/>
      <c r="J217" s="381"/>
      <c r="K217" s="381"/>
      <c r="L217" s="493"/>
      <c r="M217" s="493"/>
      <c r="N217" s="493"/>
      <c r="O217" s="493"/>
      <c r="P217" s="381"/>
      <c r="Q217" s="493"/>
      <c r="R217" s="381"/>
      <c r="S217" s="489">
        <f>+N202+S202+N215+S215</f>
        <v>0</v>
      </c>
      <c r="T217" s="490"/>
      <c r="U217" s="379"/>
      <c r="V217" s="435"/>
      <c r="W217" s="6"/>
      <c r="X217" s="182"/>
    </row>
    <row r="218" spans="1:24" ht="15.6">
      <c r="A218" s="316"/>
      <c r="B218" s="360"/>
      <c r="C218" s="363"/>
      <c r="D218" s="363"/>
      <c r="E218" s="363"/>
      <c r="F218" s="363"/>
      <c r="G218" s="363"/>
      <c r="H218" s="363"/>
      <c r="I218" s="363"/>
      <c r="J218" s="363"/>
      <c r="K218" s="363"/>
      <c r="L218" s="491"/>
      <c r="M218" s="491"/>
      <c r="N218" s="491"/>
      <c r="O218" s="491"/>
      <c r="P218" s="363"/>
      <c r="Q218" s="491"/>
      <c r="R218" s="363"/>
      <c r="S218" s="361"/>
      <c r="T218" s="363"/>
      <c r="U218" s="364"/>
      <c r="V218" s="312"/>
      <c r="W218" s="6"/>
    </row>
    <row r="219" spans="1:24" ht="15.6">
      <c r="A219" s="349"/>
      <c r="B219" s="357" t="s">
        <v>87</v>
      </c>
      <c r="C219" s="526"/>
      <c r="D219" s="526"/>
      <c r="E219" s="526"/>
      <c r="F219" s="526"/>
      <c r="G219" s="526"/>
      <c r="H219" s="526"/>
      <c r="I219" s="526"/>
      <c r="J219" s="526"/>
      <c r="K219" s="526"/>
      <c r="L219" s="526"/>
      <c r="M219" s="527"/>
      <c r="N219" s="526"/>
      <c r="O219" s="527"/>
      <c r="P219" s="526"/>
      <c r="Q219" s="527"/>
      <c r="R219" s="526"/>
      <c r="S219" s="358"/>
      <c r="T219" s="526"/>
      <c r="U219" s="350"/>
      <c r="V219" s="528"/>
      <c r="W219" s="6"/>
    </row>
    <row r="220" spans="1:24" ht="15.6">
      <c r="A220" s="315"/>
      <c r="B220" s="310"/>
      <c r="C220" s="296"/>
      <c r="D220" s="296"/>
      <c r="E220" s="296"/>
      <c r="F220" s="296"/>
      <c r="G220" s="296"/>
      <c r="H220" s="296"/>
      <c r="I220" s="296"/>
      <c r="J220" s="296"/>
      <c r="K220" s="296"/>
      <c r="L220" s="296"/>
      <c r="M220" s="352"/>
      <c r="N220" s="296"/>
      <c r="O220" s="352"/>
      <c r="P220" s="296"/>
      <c r="Q220" s="352"/>
      <c r="R220" s="296"/>
      <c r="S220" s="351"/>
      <c r="T220" s="296"/>
      <c r="U220" s="294"/>
      <c r="V220" s="301"/>
      <c r="W220" s="6"/>
    </row>
    <row r="221" spans="1:24" ht="15.6">
      <c r="A221" s="444"/>
      <c r="B221" s="440" t="s">
        <v>88</v>
      </c>
      <c r="C221" s="381"/>
      <c r="D221" s="381"/>
      <c r="E221" s="381"/>
      <c r="F221" s="381"/>
      <c r="G221" s="381"/>
      <c r="H221" s="381"/>
      <c r="I221" s="381"/>
      <c r="J221" s="381"/>
      <c r="K221" s="381"/>
      <c r="L221" s="381"/>
      <c r="M221" s="493"/>
      <c r="N221" s="381"/>
      <c r="O221" s="493"/>
      <c r="P221" s="381"/>
      <c r="Q221" s="493"/>
      <c r="R221" s="381"/>
      <c r="S221" s="489">
        <f>+N200+S200+N213+S213</f>
        <v>0</v>
      </c>
      <c r="T221" s="381"/>
      <c r="U221" s="379"/>
      <c r="V221" s="435"/>
      <c r="W221" s="6"/>
      <c r="X221" s="182"/>
    </row>
    <row r="222" spans="1:24" ht="15.6">
      <c r="A222" s="444"/>
      <c r="B222" s="440" t="s">
        <v>89</v>
      </c>
      <c r="C222" s="381"/>
      <c r="D222" s="381"/>
      <c r="E222" s="381"/>
      <c r="F222" s="381"/>
      <c r="G222" s="381"/>
      <c r="H222" s="381"/>
      <c r="I222" s="381"/>
      <c r="J222" s="381"/>
      <c r="K222" s="381"/>
      <c r="L222" s="493"/>
      <c r="M222" s="493"/>
      <c r="N222" s="493"/>
      <c r="O222" s="493"/>
      <c r="P222" s="381"/>
      <c r="Q222" s="493"/>
      <c r="R222" s="381"/>
      <c r="S222" s="489">
        <f>+U78</f>
        <v>0</v>
      </c>
      <c r="T222" s="381"/>
      <c r="U222" s="379"/>
      <c r="V222" s="435"/>
      <c r="W222" s="119"/>
    </row>
    <row r="223" spans="1:24" ht="15.6">
      <c r="A223" s="444"/>
      <c r="B223" s="440" t="s">
        <v>90</v>
      </c>
      <c r="C223" s="381"/>
      <c r="D223" s="381"/>
      <c r="E223" s="381"/>
      <c r="F223" s="381"/>
      <c r="G223" s="381"/>
      <c r="H223" s="381"/>
      <c r="I223" s="381"/>
      <c r="J223" s="381"/>
      <c r="K223" s="381"/>
      <c r="L223" s="381"/>
      <c r="M223" s="493"/>
      <c r="N223" s="493"/>
      <c r="O223" s="493"/>
      <c r="P223" s="381"/>
      <c r="Q223" s="493"/>
      <c r="R223" s="381"/>
      <c r="S223" s="489">
        <f>SUM(S221:S222)</f>
        <v>0</v>
      </c>
      <c r="T223" s="381"/>
      <c r="U223" s="379"/>
      <c r="V223" s="435"/>
      <c r="W223" s="6"/>
    </row>
    <row r="224" spans="1:24" ht="15.6">
      <c r="A224" s="444"/>
      <c r="B224" s="440"/>
      <c r="C224" s="381"/>
      <c r="D224" s="381"/>
      <c r="E224" s="381"/>
      <c r="F224" s="381"/>
      <c r="G224" s="381"/>
      <c r="H224" s="381"/>
      <c r="I224" s="381"/>
      <c r="J224" s="381"/>
      <c r="K224" s="381"/>
      <c r="L224" s="381"/>
      <c r="M224" s="493"/>
      <c r="N224" s="493"/>
      <c r="O224" s="493"/>
      <c r="P224" s="381"/>
      <c r="Q224" s="493"/>
      <c r="R224" s="381"/>
      <c r="S224" s="489"/>
      <c r="T224" s="381"/>
      <c r="U224" s="379"/>
      <c r="V224" s="435"/>
      <c r="W224" s="6"/>
    </row>
    <row r="225" spans="1:23" ht="15.6">
      <c r="A225" s="444"/>
      <c r="B225" s="440" t="s">
        <v>91</v>
      </c>
      <c r="C225" s="381"/>
      <c r="D225" s="381"/>
      <c r="E225" s="381"/>
      <c r="F225" s="381"/>
      <c r="G225" s="381"/>
      <c r="H225" s="381"/>
      <c r="I225" s="381"/>
      <c r="J225" s="381"/>
      <c r="K225" s="381"/>
      <c r="L225" s="381"/>
      <c r="M225" s="493"/>
      <c r="N225" s="381"/>
      <c r="O225" s="493"/>
      <c r="P225" s="381"/>
      <c r="Q225" s="493"/>
      <c r="R225" s="381"/>
      <c r="S225" s="489">
        <f>U33</f>
        <v>0</v>
      </c>
      <c r="T225" s="381"/>
      <c r="U225" s="379"/>
      <c r="V225" s="435"/>
      <c r="W225" s="6"/>
    </row>
    <row r="226" spans="1:23" ht="15.6">
      <c r="A226" s="444"/>
      <c r="B226" s="440"/>
      <c r="C226" s="381"/>
      <c r="D226" s="381"/>
      <c r="E226" s="381"/>
      <c r="F226" s="381"/>
      <c r="G226" s="381"/>
      <c r="H226" s="381"/>
      <c r="I226" s="381"/>
      <c r="J226" s="381"/>
      <c r="K226" s="381"/>
      <c r="L226" s="381"/>
      <c r="M226" s="493"/>
      <c r="N226" s="381"/>
      <c r="O226" s="493"/>
      <c r="P226" s="381"/>
      <c r="Q226" s="493"/>
      <c r="R226" s="381"/>
      <c r="S226" s="489"/>
      <c r="T226" s="381"/>
      <c r="U226" s="379"/>
      <c r="V226" s="435"/>
      <c r="W226" s="6"/>
    </row>
    <row r="227" spans="1:23" ht="15.6">
      <c r="A227" s="444"/>
      <c r="B227" s="440" t="s">
        <v>92</v>
      </c>
      <c r="C227" s="381"/>
      <c r="D227" s="381"/>
      <c r="E227" s="381"/>
      <c r="F227" s="381"/>
      <c r="G227" s="381"/>
      <c r="H227" s="381"/>
      <c r="I227" s="381"/>
      <c r="J227" s="381"/>
      <c r="K227" s="381"/>
      <c r="L227" s="381"/>
      <c r="M227" s="493"/>
      <c r="N227" s="381"/>
      <c r="O227" s="493"/>
      <c r="P227" s="381"/>
      <c r="Q227" s="493"/>
      <c r="R227" s="381"/>
      <c r="S227" s="489" t="s">
        <v>302</v>
      </c>
      <c r="T227" s="381"/>
      <c r="U227" s="379"/>
      <c r="V227" s="435"/>
      <c r="W227" s="6"/>
    </row>
    <row r="228" spans="1:23" ht="15.6">
      <c r="A228" s="444"/>
      <c r="B228" s="379"/>
      <c r="C228" s="379"/>
      <c r="D228" s="379"/>
      <c r="E228" s="379"/>
      <c r="F228" s="379"/>
      <c r="G228" s="379"/>
      <c r="H228" s="379"/>
      <c r="I228" s="379"/>
      <c r="J228" s="379"/>
      <c r="K228" s="379"/>
      <c r="L228" s="379"/>
      <c r="M228" s="380"/>
      <c r="N228" s="379"/>
      <c r="O228" s="379"/>
      <c r="P228" s="379"/>
      <c r="Q228" s="440"/>
      <c r="R228" s="497"/>
      <c r="S228" s="441"/>
      <c r="T228" s="497"/>
      <c r="U228" s="466"/>
      <c r="V228" s="410"/>
      <c r="W228" s="6"/>
    </row>
    <row r="229" spans="1:23" ht="15.6">
      <c r="A229" s="353"/>
      <c r="B229" s="494" t="s">
        <v>127</v>
      </c>
      <c r="C229" s="495"/>
      <c r="D229" s="495"/>
      <c r="E229" s="495"/>
      <c r="F229" s="495"/>
      <c r="G229" s="495"/>
      <c r="H229" s="495"/>
      <c r="I229" s="495"/>
      <c r="J229" s="495"/>
      <c r="K229" s="495"/>
      <c r="L229" s="495"/>
      <c r="M229" s="363"/>
      <c r="N229" s="364"/>
      <c r="O229" s="494"/>
      <c r="P229" s="443"/>
      <c r="Q229" s="443"/>
      <c r="R229" s="443"/>
      <c r="S229" s="496"/>
      <c r="T229" s="443"/>
      <c r="U229" s="443"/>
      <c r="V229" s="355"/>
      <c r="W229" s="6"/>
    </row>
    <row r="230" spans="1:23" ht="15.6">
      <c r="A230" s="353"/>
      <c r="B230" s="287" t="s">
        <v>128</v>
      </c>
      <c r="C230" s="354"/>
      <c r="D230" s="354"/>
      <c r="E230" s="354"/>
      <c r="F230" s="354"/>
      <c r="G230" s="354"/>
      <c r="H230" s="354"/>
      <c r="I230" s="354"/>
      <c r="J230" s="354"/>
      <c r="K230" s="354"/>
      <c r="L230" s="354"/>
      <c r="M230" s="290"/>
      <c r="N230" s="287"/>
      <c r="O230" s="287"/>
      <c r="P230" s="354"/>
      <c r="Q230" s="354"/>
      <c r="R230" s="317"/>
      <c r="S230" s="317"/>
      <c r="T230" s="317"/>
      <c r="U230" s="317"/>
      <c r="V230" s="355"/>
      <c r="W230" s="6"/>
    </row>
    <row r="231" spans="1:23" ht="15.6">
      <c r="A231" s="353"/>
      <c r="B231" s="287" t="s">
        <v>246</v>
      </c>
      <c r="C231" s="287"/>
      <c r="D231" s="287"/>
      <c r="E231" s="287"/>
      <c r="F231" s="287"/>
      <c r="G231" s="287"/>
      <c r="H231" s="287"/>
      <c r="I231" s="287"/>
      <c r="J231" s="287"/>
      <c r="K231" s="287"/>
      <c r="L231" s="287"/>
      <c r="M231" s="287"/>
      <c r="N231" s="287"/>
      <c r="O231" s="287"/>
      <c r="P231" s="287"/>
      <c r="Q231" s="287"/>
      <c r="R231" s="287"/>
      <c r="S231" s="287"/>
      <c r="T231" s="287"/>
      <c r="U231" s="287"/>
      <c r="V231" s="355"/>
      <c r="W231" s="6"/>
    </row>
    <row r="232" spans="1:23" ht="15.6">
      <c r="A232" s="353"/>
      <c r="B232" s="287" t="s">
        <v>129</v>
      </c>
      <c r="C232" s="354"/>
      <c r="D232" s="354"/>
      <c r="E232" s="354"/>
      <c r="F232" s="354"/>
      <c r="G232" s="354"/>
      <c r="H232" s="354"/>
      <c r="I232" s="354"/>
      <c r="J232" s="354"/>
      <c r="K232" s="354"/>
      <c r="L232" s="354"/>
      <c r="M232" s="290"/>
      <c r="N232" s="287"/>
      <c r="O232" s="287"/>
      <c r="P232" s="354"/>
      <c r="Q232" s="354"/>
      <c r="R232" s="317"/>
      <c r="S232" s="317"/>
      <c r="T232" s="317"/>
      <c r="U232" s="317"/>
      <c r="V232" s="355"/>
      <c r="W232" s="6"/>
    </row>
    <row r="233" spans="1:23" ht="15.6">
      <c r="A233" s="353"/>
      <c r="B233" s="287"/>
      <c r="C233" s="354"/>
      <c r="D233" s="354"/>
      <c r="E233" s="354"/>
      <c r="F233" s="354"/>
      <c r="G233" s="354"/>
      <c r="H233" s="354"/>
      <c r="I233" s="354"/>
      <c r="J233" s="354"/>
      <c r="K233" s="354"/>
      <c r="L233" s="354"/>
      <c r="M233" s="290"/>
      <c r="N233" s="287"/>
      <c r="O233" s="287"/>
      <c r="P233" s="354"/>
      <c r="Q233" s="354"/>
      <c r="R233" s="317"/>
      <c r="S233" s="317"/>
      <c r="T233" s="317"/>
      <c r="U233" s="317"/>
      <c r="V233" s="355"/>
      <c r="W233" s="6"/>
    </row>
    <row r="234" spans="1:23" ht="15.6">
      <c r="A234" s="353"/>
      <c r="B234" s="287"/>
      <c r="C234" s="354"/>
      <c r="D234" s="354"/>
      <c r="E234" s="354"/>
      <c r="F234" s="354"/>
      <c r="G234" s="354"/>
      <c r="H234" s="354"/>
      <c r="I234" s="354"/>
      <c r="J234" s="354"/>
      <c r="K234" s="354"/>
      <c r="L234" s="354"/>
      <c r="M234" s="290"/>
      <c r="N234" s="287"/>
      <c r="O234" s="287"/>
      <c r="P234" s="354"/>
      <c r="Q234" s="354"/>
      <c r="R234" s="317"/>
      <c r="S234" s="317"/>
      <c r="T234" s="317"/>
      <c r="U234" s="317"/>
      <c r="V234" s="355"/>
      <c r="W234" s="6"/>
    </row>
    <row r="235" spans="1:23" ht="16.2" thickBot="1">
      <c r="A235" s="353"/>
      <c r="B235" s="287" t="str">
        <f>+B162</f>
        <v>PPAF3 INVESTOR REPORT QUARTER ENDING DECEMBER 2016</v>
      </c>
      <c r="C235" s="354"/>
      <c r="D235" s="354"/>
      <c r="E235" s="354"/>
      <c r="F235" s="354"/>
      <c r="G235" s="354"/>
      <c r="H235" s="354"/>
      <c r="I235" s="354"/>
      <c r="J235" s="354"/>
      <c r="K235" s="354"/>
      <c r="L235" s="354"/>
      <c r="M235" s="290"/>
      <c r="N235" s="287"/>
      <c r="O235" s="287"/>
      <c r="P235" s="354"/>
      <c r="Q235" s="354"/>
      <c r="R235" s="317"/>
      <c r="S235" s="317"/>
      <c r="T235" s="317"/>
      <c r="U235" s="317"/>
      <c r="V235" s="356"/>
      <c r="W235" s="6"/>
    </row>
    <row r="236" spans="1:23">
      <c r="A236" s="128"/>
      <c r="B236" s="128"/>
      <c r="C236" s="128"/>
      <c r="D236" s="128"/>
      <c r="E236" s="128"/>
      <c r="F236" s="128"/>
      <c r="G236" s="128"/>
      <c r="H236" s="128"/>
      <c r="I236" s="128"/>
      <c r="J236" s="128"/>
      <c r="K236" s="128"/>
      <c r="L236" s="128"/>
      <c r="M236" s="128"/>
      <c r="N236" s="128"/>
      <c r="O236" s="128"/>
      <c r="P236" s="128"/>
      <c r="Q236" s="128"/>
      <c r="R236" s="128"/>
      <c r="S236" s="128"/>
      <c r="T236" s="128"/>
      <c r="U236" s="128"/>
      <c r="V236" s="128"/>
    </row>
  </sheetData>
  <hyperlinks>
    <hyperlink ref="I9" r:id="rId1"/>
    <hyperlink ref="K189" r:id="rId2"/>
  </hyperlinks>
  <printOptions horizontalCentered="1" verticalCentered="1"/>
  <pageMargins left="0.23622047244094491" right="0.43307086614173229" top="0.23622047244094491" bottom="0.74803149606299213" header="0" footer="0"/>
  <pageSetup scale="36" orientation="landscape" r:id="rId3"/>
  <headerFooter alignWithMargins="0"/>
  <rowBreaks count="4" manualBreakCount="4">
    <brk id="59" max="21" man="1"/>
    <brk id="110" max="16383" man="1"/>
    <brk id="162" max="21" man="1"/>
    <brk id="241" man="1"/>
  </rowBreaks>
  <colBreaks count="1" manualBreakCount="1">
    <brk id="23" max="1048575" man="1"/>
  </col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23"/>
  </sheetPr>
  <dimension ref="A1:Y234"/>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 t="s">
        <v>223</v>
      </c>
      <c r="B1" s="3" t="s">
        <v>123</v>
      </c>
      <c r="C1" s="4"/>
      <c r="D1" s="4"/>
      <c r="E1" s="4"/>
      <c r="F1" s="4"/>
      <c r="G1" s="4"/>
      <c r="H1" s="4"/>
      <c r="I1" s="4"/>
      <c r="J1" s="4"/>
      <c r="K1" s="4"/>
      <c r="L1" s="4"/>
      <c r="M1" s="5"/>
      <c r="N1" s="5"/>
      <c r="O1" s="5"/>
      <c r="P1" s="5"/>
      <c r="Q1" s="5"/>
      <c r="R1" s="5"/>
      <c r="S1" s="5"/>
      <c r="T1" s="5"/>
      <c r="U1" s="5"/>
      <c r="V1" s="193"/>
      <c r="W1" s="6"/>
    </row>
    <row r="2" spans="1:23" ht="15.6">
      <c r="A2" s="7"/>
      <c r="B2" s="8"/>
      <c r="C2" s="8"/>
      <c r="D2" s="8"/>
      <c r="E2" s="8"/>
      <c r="F2" s="8"/>
      <c r="G2" s="8"/>
      <c r="H2" s="8"/>
      <c r="I2" s="8"/>
      <c r="J2" s="8"/>
      <c r="K2" s="8"/>
      <c r="L2" s="8"/>
      <c r="M2" s="9"/>
      <c r="N2" s="9"/>
      <c r="O2" s="9"/>
      <c r="P2" s="9"/>
      <c r="Q2" s="9"/>
      <c r="R2" s="9"/>
      <c r="S2" s="9"/>
      <c r="T2" s="9"/>
      <c r="U2" s="9"/>
      <c r="V2" s="194"/>
      <c r="W2" s="6"/>
    </row>
    <row r="3" spans="1:23" ht="15.6">
      <c r="A3" s="10"/>
      <c r="B3" s="141" t="s">
        <v>125</v>
      </c>
      <c r="C3" s="9"/>
      <c r="D3" s="9"/>
      <c r="E3" s="9"/>
      <c r="F3" s="9"/>
      <c r="G3" s="9"/>
      <c r="H3" s="9"/>
      <c r="I3" s="9"/>
      <c r="J3" s="9"/>
      <c r="K3" s="9"/>
      <c r="L3" s="9"/>
      <c r="M3" s="9"/>
      <c r="N3" s="9"/>
      <c r="O3" s="9"/>
      <c r="P3" s="9"/>
      <c r="Q3" s="9"/>
      <c r="R3" s="9"/>
      <c r="S3" s="9"/>
      <c r="T3" s="9"/>
      <c r="U3" s="9"/>
      <c r="V3" s="194"/>
      <c r="W3" s="6"/>
    </row>
    <row r="4" spans="1:23" ht="15.6">
      <c r="A4" s="7"/>
      <c r="B4" s="8"/>
      <c r="C4" s="8"/>
      <c r="D4" s="8"/>
      <c r="E4" s="8"/>
      <c r="F4" s="8"/>
      <c r="G4" s="8"/>
      <c r="H4" s="8"/>
      <c r="I4" s="8"/>
      <c r="J4" s="8"/>
      <c r="K4" s="8"/>
      <c r="L4" s="8"/>
      <c r="M4" s="9"/>
      <c r="N4" s="9"/>
      <c r="O4" s="9"/>
      <c r="P4" s="9"/>
      <c r="Q4" s="9"/>
      <c r="R4" s="9"/>
      <c r="S4" s="9"/>
      <c r="T4" s="9"/>
      <c r="U4" s="9"/>
      <c r="V4" s="194"/>
      <c r="W4" s="6"/>
    </row>
    <row r="5" spans="1:23" ht="16.2">
      <c r="A5" s="7"/>
      <c r="B5" s="192" t="s">
        <v>0</v>
      </c>
      <c r="C5" s="11"/>
      <c r="D5" s="11"/>
      <c r="E5" s="11"/>
      <c r="F5" s="11"/>
      <c r="G5" s="11"/>
      <c r="H5" s="11"/>
      <c r="I5" s="11"/>
      <c r="J5" s="11"/>
      <c r="K5" s="11"/>
      <c r="L5" s="11"/>
      <c r="M5" s="9"/>
      <c r="N5" s="9"/>
      <c r="O5" s="9"/>
      <c r="P5" s="9"/>
      <c r="Q5" s="9"/>
      <c r="R5" s="9"/>
      <c r="S5" s="9"/>
      <c r="T5" s="9"/>
      <c r="U5" s="9"/>
      <c r="V5" s="194"/>
      <c r="W5" s="6"/>
    </row>
    <row r="6" spans="1:23" ht="16.2">
      <c r="A6" s="7"/>
      <c r="B6" s="192" t="s">
        <v>1</v>
      </c>
      <c r="C6" s="11"/>
      <c r="D6" s="11"/>
      <c r="E6" s="11"/>
      <c r="F6" s="11"/>
      <c r="G6" s="11"/>
      <c r="H6" s="11"/>
      <c r="I6" s="11"/>
      <c r="J6" s="11"/>
      <c r="K6" s="11"/>
      <c r="L6" s="11"/>
      <c r="M6" s="9"/>
      <c r="N6" s="9"/>
      <c r="O6" s="9"/>
      <c r="P6" s="9"/>
      <c r="Q6" s="9"/>
      <c r="R6" s="9"/>
      <c r="S6" s="9"/>
      <c r="T6" s="9"/>
      <c r="U6" s="9"/>
      <c r="V6" s="194"/>
      <c r="W6" s="6"/>
    </row>
    <row r="7" spans="1:23" ht="16.2">
      <c r="A7" s="7"/>
      <c r="B7" s="192" t="s">
        <v>2</v>
      </c>
      <c r="C7" s="11"/>
      <c r="D7" s="11"/>
      <c r="E7" s="11"/>
      <c r="F7" s="11"/>
      <c r="G7" s="11"/>
      <c r="H7" s="11"/>
      <c r="I7" s="11"/>
      <c r="J7" s="11"/>
      <c r="K7" s="11"/>
      <c r="L7" s="11"/>
      <c r="M7" s="9"/>
      <c r="N7" s="9"/>
      <c r="O7" s="9"/>
      <c r="P7" s="9"/>
      <c r="Q7" s="9"/>
      <c r="R7" s="9"/>
      <c r="S7" s="9"/>
      <c r="T7" s="9"/>
      <c r="U7" s="9"/>
      <c r="V7" s="194"/>
      <c r="W7" s="6"/>
    </row>
    <row r="8" spans="1:23" ht="16.2">
      <c r="A8" s="7"/>
      <c r="B8" s="12"/>
      <c r="C8" s="11"/>
      <c r="D8" s="11"/>
      <c r="E8" s="11"/>
      <c r="F8" s="11"/>
      <c r="G8" s="11"/>
      <c r="H8" s="11"/>
      <c r="I8" s="11"/>
      <c r="J8" s="11"/>
      <c r="K8" s="11"/>
      <c r="L8" s="11"/>
      <c r="M8" s="9"/>
      <c r="N8" s="9"/>
      <c r="O8" s="9"/>
      <c r="P8" s="9"/>
      <c r="Q8" s="9"/>
      <c r="R8" s="9"/>
      <c r="S8" s="9"/>
      <c r="T8" s="9"/>
      <c r="U8" s="9"/>
      <c r="V8" s="194"/>
      <c r="W8" s="6"/>
    </row>
    <row r="9" spans="1:23" ht="18">
      <c r="A9" s="7"/>
      <c r="B9" s="178" t="s">
        <v>194</v>
      </c>
      <c r="C9" s="11"/>
      <c r="D9" s="11"/>
      <c r="E9" s="11"/>
      <c r="F9" s="11"/>
      <c r="G9" s="11"/>
      <c r="H9" s="11"/>
      <c r="I9" s="179" t="s">
        <v>195</v>
      </c>
      <c r="J9" s="11"/>
      <c r="K9" s="11"/>
      <c r="L9" s="11"/>
      <c r="M9" s="9"/>
      <c r="N9" s="9"/>
      <c r="O9" s="9"/>
      <c r="P9" s="9"/>
      <c r="Q9" s="9"/>
      <c r="R9" s="9"/>
      <c r="S9" s="9"/>
      <c r="T9" s="9"/>
      <c r="U9" s="9"/>
      <c r="V9" s="194"/>
      <c r="W9" s="6"/>
    </row>
    <row r="10" spans="1:23" ht="16.2">
      <c r="A10" s="7"/>
      <c r="B10" s="11"/>
      <c r="C10" s="11"/>
      <c r="D10" s="11"/>
      <c r="E10" s="11"/>
      <c r="F10" s="11"/>
      <c r="G10" s="11"/>
      <c r="H10" s="11"/>
      <c r="I10" s="11"/>
      <c r="J10" s="11"/>
      <c r="K10" s="11"/>
      <c r="L10" s="11"/>
      <c r="M10" s="13"/>
      <c r="N10" s="13"/>
      <c r="O10" s="9"/>
      <c r="P10" s="9"/>
      <c r="Q10" s="9"/>
      <c r="R10" s="9"/>
      <c r="S10" s="9"/>
      <c r="T10" s="9"/>
      <c r="U10" s="9"/>
      <c r="V10" s="194"/>
      <c r="W10" s="6"/>
    </row>
    <row r="11" spans="1:23" ht="15.6">
      <c r="A11" s="7"/>
      <c r="B11" s="13" t="s">
        <v>3</v>
      </c>
      <c r="C11" s="13"/>
      <c r="D11" s="13"/>
      <c r="E11" s="13"/>
      <c r="F11" s="13"/>
      <c r="G11" s="13"/>
      <c r="H11" s="13"/>
      <c r="I11" s="13"/>
      <c r="J11" s="13"/>
      <c r="K11" s="13"/>
      <c r="L11" s="13"/>
      <c r="M11" s="9"/>
      <c r="N11" s="9"/>
      <c r="O11" s="9"/>
      <c r="P11" s="9"/>
      <c r="Q11" s="9"/>
      <c r="R11" s="9"/>
      <c r="S11" s="9"/>
      <c r="T11" s="9"/>
      <c r="U11" s="9"/>
      <c r="V11" s="194"/>
      <c r="W11" s="6"/>
    </row>
    <row r="12" spans="1:23" ht="16.2" thickBot="1">
      <c r="A12" s="7"/>
      <c r="B12" s="13"/>
      <c r="C12" s="13"/>
      <c r="D12" s="13"/>
      <c r="E12" s="13"/>
      <c r="F12" s="13"/>
      <c r="G12" s="13"/>
      <c r="H12" s="13"/>
      <c r="I12" s="13"/>
      <c r="J12" s="13"/>
      <c r="K12" s="13"/>
      <c r="L12" s="13"/>
      <c r="M12" s="9"/>
      <c r="N12" s="9"/>
      <c r="O12" s="9"/>
      <c r="P12" s="9"/>
      <c r="Q12" s="9"/>
      <c r="R12" s="9"/>
      <c r="S12" s="9"/>
      <c r="T12" s="9"/>
      <c r="U12" s="9"/>
      <c r="V12" s="194"/>
      <c r="W12" s="6"/>
    </row>
    <row r="13" spans="1:23" ht="15.6">
      <c r="A13" s="2"/>
      <c r="B13" s="5"/>
      <c r="C13" s="5"/>
      <c r="D13" s="5"/>
      <c r="E13" s="5"/>
      <c r="F13" s="5"/>
      <c r="G13" s="5"/>
      <c r="H13" s="5"/>
      <c r="I13" s="5"/>
      <c r="J13" s="5"/>
      <c r="K13" s="5"/>
      <c r="L13" s="5"/>
      <c r="M13" s="5"/>
      <c r="N13" s="5"/>
      <c r="O13" s="5"/>
      <c r="P13" s="5"/>
      <c r="Q13" s="5"/>
      <c r="R13" s="5"/>
      <c r="S13" s="5"/>
      <c r="T13" s="5"/>
      <c r="U13" s="5"/>
      <c r="V13" s="193"/>
      <c r="W13" s="6"/>
    </row>
    <row r="14" spans="1:23" ht="15.6">
      <c r="A14" s="7"/>
      <c r="B14" s="14" t="s">
        <v>4</v>
      </c>
      <c r="C14" s="14"/>
      <c r="D14" s="14"/>
      <c r="E14" s="14"/>
      <c r="F14" s="14"/>
      <c r="G14" s="14"/>
      <c r="H14" s="14"/>
      <c r="I14" s="14"/>
      <c r="J14" s="14"/>
      <c r="K14" s="14"/>
      <c r="L14" s="14"/>
      <c r="M14" s="15"/>
      <c r="N14" s="15"/>
      <c r="O14" s="15"/>
      <c r="P14" s="15"/>
      <c r="Q14" s="15"/>
      <c r="R14" s="15"/>
      <c r="S14" s="15"/>
      <c r="T14" s="15"/>
      <c r="U14" s="16" t="s">
        <v>126</v>
      </c>
      <c r="V14" s="194"/>
      <c r="W14" s="6"/>
    </row>
    <row r="15" spans="1:23" ht="15.6">
      <c r="A15" s="7"/>
      <c r="B15" s="14" t="s">
        <v>5</v>
      </c>
      <c r="C15" s="14"/>
      <c r="D15" s="14"/>
      <c r="E15" s="14"/>
      <c r="F15" s="14"/>
      <c r="G15" s="14"/>
      <c r="H15" s="14"/>
      <c r="I15" s="14"/>
      <c r="J15" s="14"/>
      <c r="K15" s="14"/>
      <c r="L15" s="14"/>
      <c r="M15" s="17" t="s">
        <v>93</v>
      </c>
      <c r="N15" s="18">
        <v>0.1492</v>
      </c>
      <c r="O15" s="17" t="s">
        <v>99</v>
      </c>
      <c r="P15" s="18">
        <v>5.4399999999999997E-2</v>
      </c>
      <c r="Q15" s="17" t="s">
        <v>102</v>
      </c>
      <c r="R15" s="18">
        <v>0.48899999999999999</v>
      </c>
      <c r="S15" s="17" t="s">
        <v>108</v>
      </c>
      <c r="T15" s="18">
        <v>0.30740000000000001</v>
      </c>
      <c r="U15" s="16"/>
      <c r="V15" s="195"/>
      <c r="W15" s="6"/>
    </row>
    <row r="16" spans="1:23" ht="15.6">
      <c r="A16" s="7"/>
      <c r="B16" s="14" t="s">
        <v>6</v>
      </c>
      <c r="C16" s="14"/>
      <c r="D16" s="14"/>
      <c r="E16" s="14"/>
      <c r="F16" s="14"/>
      <c r="G16" s="14"/>
      <c r="H16" s="14"/>
      <c r="I16" s="14"/>
      <c r="J16" s="14"/>
      <c r="K16" s="14"/>
      <c r="L16" s="14"/>
      <c r="M16" s="17" t="s">
        <v>93</v>
      </c>
      <c r="N16" s="18">
        <f>+N198/S221</f>
        <v>8.8617777777777781E-2</v>
      </c>
      <c r="O16" s="17" t="s">
        <v>99</v>
      </c>
      <c r="P16" s="18">
        <f>+S198/S221</f>
        <v>7.3475555555555558E-2</v>
      </c>
      <c r="Q16" s="17" t="s">
        <v>102</v>
      </c>
      <c r="R16" s="18">
        <f>+N211/S221</f>
        <v>0.38748444444444446</v>
      </c>
      <c r="S16" s="17" t="s">
        <v>108</v>
      </c>
      <c r="T16" s="18">
        <f>+S211/S221</f>
        <v>0.27409777777777777</v>
      </c>
      <c r="U16" s="16"/>
      <c r="V16" s="195"/>
      <c r="W16" s="6"/>
    </row>
    <row r="17" spans="1:23" ht="15.6">
      <c r="A17" s="7"/>
      <c r="B17" s="14" t="s">
        <v>7</v>
      </c>
      <c r="C17" s="14"/>
      <c r="D17" s="14"/>
      <c r="E17" s="14"/>
      <c r="F17" s="14"/>
      <c r="G17" s="14"/>
      <c r="H17" s="14"/>
      <c r="I17" s="14"/>
      <c r="J17" s="14"/>
      <c r="K17" s="14"/>
      <c r="L17" s="14"/>
      <c r="M17" s="15"/>
      <c r="N17" s="15"/>
      <c r="O17" s="15"/>
      <c r="P17" s="15"/>
      <c r="Q17" s="15"/>
      <c r="R17" s="15"/>
      <c r="S17" s="15"/>
      <c r="T17" s="15"/>
      <c r="U17" s="19">
        <v>38491</v>
      </c>
      <c r="V17" s="194"/>
      <c r="W17" s="6"/>
    </row>
    <row r="18" spans="1:23" ht="15.6">
      <c r="A18" s="7"/>
      <c r="B18" s="14" t="s">
        <v>8</v>
      </c>
      <c r="C18" s="14"/>
      <c r="D18" s="14"/>
      <c r="E18" s="14"/>
      <c r="F18" s="14"/>
      <c r="G18" s="14"/>
      <c r="H18" s="14"/>
      <c r="I18" s="14"/>
      <c r="J18" s="14"/>
      <c r="K18" s="14"/>
      <c r="L18" s="14"/>
      <c r="M18" s="15"/>
      <c r="N18" s="15"/>
      <c r="O18" s="15"/>
      <c r="P18" s="15"/>
      <c r="Q18" s="15"/>
      <c r="R18" s="15"/>
      <c r="S18" s="15"/>
      <c r="T18" s="15"/>
      <c r="U18" s="19">
        <v>39017</v>
      </c>
      <c r="V18" s="194"/>
      <c r="W18" s="6"/>
    </row>
    <row r="19" spans="1:23" ht="15.6">
      <c r="A19" s="7"/>
      <c r="B19" s="9"/>
      <c r="C19" s="9"/>
      <c r="D19" s="9"/>
      <c r="E19" s="9"/>
      <c r="F19" s="9"/>
      <c r="G19" s="9"/>
      <c r="H19" s="9"/>
      <c r="I19" s="9"/>
      <c r="J19" s="9"/>
      <c r="K19" s="9"/>
      <c r="L19" s="9"/>
      <c r="M19" s="9"/>
      <c r="N19" s="9"/>
      <c r="O19" s="9"/>
      <c r="P19" s="9"/>
      <c r="Q19" s="9"/>
      <c r="R19" s="9"/>
      <c r="S19" s="9"/>
      <c r="T19" s="9"/>
      <c r="U19" s="20"/>
      <c r="V19" s="194"/>
      <c r="W19" s="6"/>
    </row>
    <row r="20" spans="1:23" ht="15.6">
      <c r="A20" s="7"/>
      <c r="B20" s="21" t="s">
        <v>9</v>
      </c>
      <c r="C20" s="9"/>
      <c r="D20" s="9"/>
      <c r="E20" s="9"/>
      <c r="F20" s="9"/>
      <c r="G20" s="9"/>
      <c r="H20" s="9"/>
      <c r="I20" s="9"/>
      <c r="J20" s="9"/>
      <c r="K20" s="9"/>
      <c r="L20" s="9"/>
      <c r="M20" s="9"/>
      <c r="N20" s="9"/>
      <c r="O20" s="9"/>
      <c r="P20" s="9"/>
      <c r="Q20" s="9"/>
      <c r="R20" s="9"/>
      <c r="S20" s="20"/>
      <c r="T20" s="9"/>
      <c r="U20" s="12"/>
      <c r="V20" s="194"/>
      <c r="W20" s="6"/>
    </row>
    <row r="21" spans="1:23" ht="15.6">
      <c r="A21" s="7"/>
      <c r="B21" s="9"/>
      <c r="C21" s="9"/>
      <c r="D21" s="9"/>
      <c r="E21" s="9"/>
      <c r="F21" s="9"/>
      <c r="G21" s="9"/>
      <c r="H21" s="9"/>
      <c r="I21" s="9"/>
      <c r="J21" s="9"/>
      <c r="K21" s="9"/>
      <c r="L21" s="9"/>
      <c r="M21" s="9"/>
      <c r="N21" s="9"/>
      <c r="O21" s="9"/>
      <c r="P21" s="9"/>
      <c r="Q21" s="9"/>
      <c r="R21" s="9"/>
      <c r="S21" s="9"/>
      <c r="T21" s="9"/>
      <c r="U21" s="22"/>
      <c r="V21" s="194"/>
      <c r="W21" s="6"/>
    </row>
    <row r="22" spans="1:23" ht="15.6">
      <c r="A22" s="7"/>
      <c r="B22" s="9"/>
      <c r="C22" s="142" t="s">
        <v>130</v>
      </c>
      <c r="D22" s="142"/>
      <c r="E22" s="142" t="s">
        <v>131</v>
      </c>
      <c r="F22" s="142"/>
      <c r="G22" s="142" t="s">
        <v>132</v>
      </c>
      <c r="H22" s="142"/>
      <c r="I22" s="142" t="s">
        <v>133</v>
      </c>
      <c r="J22" s="142"/>
      <c r="K22" s="142" t="s">
        <v>134</v>
      </c>
      <c r="L22" s="142"/>
      <c r="M22" s="144" t="s">
        <v>135</v>
      </c>
      <c r="N22" s="144"/>
      <c r="O22" s="144" t="s">
        <v>136</v>
      </c>
      <c r="P22" s="144"/>
      <c r="Q22" s="144" t="s">
        <v>137</v>
      </c>
      <c r="R22" s="23"/>
      <c r="S22" s="24"/>
      <c r="T22" s="12"/>
      <c r="U22" s="12"/>
      <c r="V22" s="194"/>
      <c r="W22" s="6"/>
    </row>
    <row r="23" spans="1:23" ht="15.6">
      <c r="A23" s="25"/>
      <c r="B23" s="26" t="s">
        <v>10</v>
      </c>
      <c r="C23" s="157" t="s">
        <v>96</v>
      </c>
      <c r="D23" s="157"/>
      <c r="E23" s="157" t="s">
        <v>96</v>
      </c>
      <c r="F23" s="157"/>
      <c r="G23" s="157" t="s">
        <v>138</v>
      </c>
      <c r="H23" s="157"/>
      <c r="I23" s="157" t="s">
        <v>138</v>
      </c>
      <c r="J23" s="157"/>
      <c r="K23" s="157" t="s">
        <v>104</v>
      </c>
      <c r="L23" s="143"/>
      <c r="M23" s="28" t="s">
        <v>104</v>
      </c>
      <c r="N23" s="28"/>
      <c r="O23" s="28" t="s">
        <v>109</v>
      </c>
      <c r="P23" s="28"/>
      <c r="Q23" s="28" t="s">
        <v>109</v>
      </c>
      <c r="R23" s="28"/>
      <c r="S23" s="28"/>
      <c r="T23" s="29"/>
      <c r="U23" s="29"/>
      <c r="V23" s="196"/>
      <c r="W23" s="6"/>
    </row>
    <row r="24" spans="1:23" ht="15.6">
      <c r="A24" s="25"/>
      <c r="B24" s="26" t="s">
        <v>11</v>
      </c>
      <c r="C24" s="157" t="s">
        <v>97</v>
      </c>
      <c r="D24" s="157"/>
      <c r="E24" s="157" t="s">
        <v>97</v>
      </c>
      <c r="F24" s="157"/>
      <c r="G24" s="157" t="s">
        <v>139</v>
      </c>
      <c r="H24" s="157"/>
      <c r="I24" s="157" t="s">
        <v>139</v>
      </c>
      <c r="J24" s="157"/>
      <c r="K24" s="157" t="s">
        <v>105</v>
      </c>
      <c r="L24" s="27"/>
      <c r="M24" s="28" t="s">
        <v>105</v>
      </c>
      <c r="N24" s="28"/>
      <c r="O24" s="28" t="s">
        <v>110</v>
      </c>
      <c r="P24" s="28"/>
      <c r="Q24" s="28" t="s">
        <v>110</v>
      </c>
      <c r="R24" s="28"/>
      <c r="S24" s="28"/>
      <c r="T24" s="29"/>
      <c r="U24" s="29"/>
      <c r="V24" s="196"/>
      <c r="W24" s="6"/>
    </row>
    <row r="25" spans="1:23" ht="15.6">
      <c r="A25" s="25"/>
      <c r="B25" s="30" t="s">
        <v>12</v>
      </c>
      <c r="C25" s="110" t="s">
        <v>96</v>
      </c>
      <c r="D25" s="110"/>
      <c r="E25" s="110" t="s">
        <v>96</v>
      </c>
      <c r="F25" s="110"/>
      <c r="G25" s="110" t="s">
        <v>138</v>
      </c>
      <c r="H25" s="110"/>
      <c r="I25" s="110" t="s">
        <v>138</v>
      </c>
      <c r="J25" s="30"/>
      <c r="K25" s="110" t="s">
        <v>104</v>
      </c>
      <c r="L25" s="30"/>
      <c r="M25" s="31" t="s">
        <v>104</v>
      </c>
      <c r="N25" s="28"/>
      <c r="O25" s="31" t="s">
        <v>109</v>
      </c>
      <c r="P25" s="28"/>
      <c r="Q25" s="31" t="s">
        <v>109</v>
      </c>
      <c r="R25" s="31"/>
      <c r="S25" s="31"/>
      <c r="T25" s="32"/>
      <c r="U25" s="29"/>
      <c r="V25" s="196"/>
      <c r="W25" s="6"/>
    </row>
    <row r="26" spans="1:23" ht="15.6">
      <c r="A26" s="25"/>
      <c r="B26" s="30" t="s">
        <v>13</v>
      </c>
      <c r="C26" s="110" t="s">
        <v>97</v>
      </c>
      <c r="D26" s="110"/>
      <c r="E26" s="110" t="s">
        <v>97</v>
      </c>
      <c r="F26" s="110"/>
      <c r="G26" s="110" t="s">
        <v>139</v>
      </c>
      <c r="H26" s="110"/>
      <c r="I26" s="110" t="s">
        <v>139</v>
      </c>
      <c r="J26" s="30"/>
      <c r="K26" s="110" t="s">
        <v>105</v>
      </c>
      <c r="L26" s="30"/>
      <c r="M26" s="31" t="s">
        <v>105</v>
      </c>
      <c r="N26" s="28"/>
      <c r="O26" s="31" t="s">
        <v>110</v>
      </c>
      <c r="P26" s="28"/>
      <c r="Q26" s="31" t="s">
        <v>110</v>
      </c>
      <c r="R26" s="31"/>
      <c r="S26" s="31"/>
      <c r="T26" s="32"/>
      <c r="U26" s="29"/>
      <c r="V26" s="196"/>
      <c r="W26" s="6"/>
    </row>
    <row r="27" spans="1:23" ht="15.6">
      <c r="A27" s="25"/>
      <c r="B27" s="26" t="s">
        <v>14</v>
      </c>
      <c r="C27" s="33" t="s">
        <v>140</v>
      </c>
      <c r="D27" s="26"/>
      <c r="E27" s="33" t="s">
        <v>141</v>
      </c>
      <c r="F27" s="26"/>
      <c r="G27" s="33" t="s">
        <v>142</v>
      </c>
      <c r="H27" s="26"/>
      <c r="I27" s="33" t="s">
        <v>258</v>
      </c>
      <c r="J27" s="26"/>
      <c r="K27" s="33" t="s">
        <v>143</v>
      </c>
      <c r="L27" s="26"/>
      <c r="M27" s="26" t="s">
        <v>144</v>
      </c>
      <c r="N27" s="28"/>
      <c r="O27" s="26" t="s">
        <v>145</v>
      </c>
      <c r="P27" s="28"/>
      <c r="Q27" s="26" t="s">
        <v>146</v>
      </c>
      <c r="R27" s="28"/>
      <c r="S27" s="33"/>
      <c r="T27" s="29"/>
      <c r="U27" s="29"/>
      <c r="V27" s="196"/>
      <c r="W27" s="6"/>
    </row>
    <row r="28" spans="1:23" ht="15.6">
      <c r="A28" s="25"/>
      <c r="B28" s="26" t="s">
        <v>147</v>
      </c>
      <c r="C28" s="168">
        <v>146000</v>
      </c>
      <c r="D28" s="33"/>
      <c r="E28" s="165">
        <v>259500</v>
      </c>
      <c r="F28" s="33"/>
      <c r="G28" s="168">
        <v>16000</v>
      </c>
      <c r="H28" s="33"/>
      <c r="I28" s="165">
        <v>35500</v>
      </c>
      <c r="J28" s="26"/>
      <c r="K28" s="168">
        <v>18000</v>
      </c>
      <c r="L28" s="26"/>
      <c r="M28" s="165">
        <v>33000</v>
      </c>
      <c r="N28" s="35"/>
      <c r="O28" s="34">
        <v>24500</v>
      </c>
      <c r="P28" s="34"/>
      <c r="Q28" s="165">
        <v>30000</v>
      </c>
      <c r="R28" s="34"/>
      <c r="S28" s="34"/>
      <c r="T28" s="36"/>
      <c r="U28" s="34"/>
      <c r="V28" s="197"/>
      <c r="W28" s="6"/>
    </row>
    <row r="29" spans="1:23" ht="15.6">
      <c r="A29" s="25"/>
      <c r="B29" s="26" t="s">
        <v>15</v>
      </c>
      <c r="C29" s="168">
        <v>146000</v>
      </c>
      <c r="D29" s="169"/>
      <c r="E29" s="165">
        <v>259500</v>
      </c>
      <c r="F29" s="169"/>
      <c r="G29" s="168">
        <v>16000</v>
      </c>
      <c r="H29" s="169"/>
      <c r="I29" s="165">
        <v>35500</v>
      </c>
      <c r="J29" s="38"/>
      <c r="K29" s="168">
        <v>18000</v>
      </c>
      <c r="L29" s="38"/>
      <c r="M29" s="165">
        <v>33000</v>
      </c>
      <c r="N29" s="35"/>
      <c r="O29" s="34">
        <v>24500</v>
      </c>
      <c r="P29" s="34"/>
      <c r="Q29" s="165">
        <v>30000</v>
      </c>
      <c r="R29" s="39"/>
      <c r="S29" s="34"/>
      <c r="T29" s="36"/>
      <c r="U29" s="34"/>
      <c r="V29" s="197"/>
      <c r="W29" s="6"/>
    </row>
    <row r="30" spans="1:23" ht="15.6">
      <c r="A30" s="40"/>
      <c r="B30" s="30" t="s">
        <v>148</v>
      </c>
      <c r="C30" s="162">
        <v>146000</v>
      </c>
      <c r="D30" s="170"/>
      <c r="E30" s="171">
        <v>259500</v>
      </c>
      <c r="F30" s="170"/>
      <c r="G30" s="162">
        <v>16000</v>
      </c>
      <c r="H30" s="170"/>
      <c r="I30" s="171">
        <v>35500</v>
      </c>
      <c r="J30" s="159"/>
      <c r="K30" s="162">
        <v>18000</v>
      </c>
      <c r="L30" s="41"/>
      <c r="M30" s="166">
        <v>33000</v>
      </c>
      <c r="N30" s="43"/>
      <c r="O30" s="42">
        <v>24500</v>
      </c>
      <c r="P30" s="42"/>
      <c r="Q30" s="166">
        <v>30000</v>
      </c>
      <c r="R30" s="42"/>
      <c r="S30" s="42"/>
      <c r="T30" s="44"/>
      <c r="U30" s="42"/>
      <c r="V30" s="196"/>
      <c r="W30" s="6"/>
    </row>
    <row r="31" spans="1:23" ht="15.6">
      <c r="A31" s="40"/>
      <c r="B31" s="158" t="s">
        <v>260</v>
      </c>
      <c r="C31" s="172">
        <v>146000</v>
      </c>
      <c r="D31" s="173"/>
      <c r="E31" s="172">
        <v>178000</v>
      </c>
      <c r="F31" s="172"/>
      <c r="G31" s="172">
        <v>16000</v>
      </c>
      <c r="H31" s="172"/>
      <c r="I31" s="172">
        <v>24500</v>
      </c>
      <c r="J31" s="161"/>
      <c r="K31" s="172">
        <v>18000</v>
      </c>
      <c r="L31" s="161"/>
      <c r="M31" s="167">
        <v>22500</v>
      </c>
      <c r="N31" s="164"/>
      <c r="O31" s="167">
        <v>24500</v>
      </c>
      <c r="P31" s="163"/>
      <c r="Q31" s="167">
        <v>20500</v>
      </c>
      <c r="R31" s="42"/>
      <c r="S31" s="42"/>
      <c r="T31" s="44"/>
      <c r="U31" s="34">
        <f>+Q31+O31+M31+K31+I31+G31+E31+C31</f>
        <v>450000</v>
      </c>
      <c r="V31" s="196"/>
      <c r="W31" s="6"/>
    </row>
    <row r="32" spans="1:23" ht="15.6">
      <c r="A32" s="40"/>
      <c r="B32" s="158" t="s">
        <v>261</v>
      </c>
      <c r="C32" s="172">
        <v>146000</v>
      </c>
      <c r="D32" s="173"/>
      <c r="E32" s="172">
        <v>178000</v>
      </c>
      <c r="F32" s="172"/>
      <c r="G32" s="172">
        <v>16000</v>
      </c>
      <c r="H32" s="172"/>
      <c r="I32" s="172">
        <v>24500</v>
      </c>
      <c r="J32" s="161"/>
      <c r="K32" s="172">
        <v>18000</v>
      </c>
      <c r="L32" s="161"/>
      <c r="M32" s="167">
        <v>22500</v>
      </c>
      <c r="N32" s="164"/>
      <c r="O32" s="167">
        <v>24500</v>
      </c>
      <c r="P32" s="163"/>
      <c r="Q32" s="167">
        <v>20500</v>
      </c>
      <c r="R32" s="42"/>
      <c r="S32" s="42"/>
      <c r="T32" s="44"/>
      <c r="U32" s="34">
        <f>+Q32+O32+M32+K32+I32+G32+E32+C32</f>
        <v>450000</v>
      </c>
      <c r="V32" s="196"/>
      <c r="W32" s="6"/>
    </row>
    <row r="33" spans="1:23" ht="15.6">
      <c r="A33" s="40"/>
      <c r="B33" s="30" t="s">
        <v>262</v>
      </c>
      <c r="C33" s="162">
        <v>146000</v>
      </c>
      <c r="D33" s="162"/>
      <c r="E33" s="162">
        <v>178000</v>
      </c>
      <c r="F33" s="162"/>
      <c r="G33" s="162">
        <v>16000</v>
      </c>
      <c r="H33" s="162"/>
      <c r="I33" s="162">
        <v>24500</v>
      </c>
      <c r="J33" s="160"/>
      <c r="K33" s="162">
        <v>18000</v>
      </c>
      <c r="L33" s="160"/>
      <c r="M33" s="162">
        <v>22500</v>
      </c>
      <c r="N33" s="160"/>
      <c r="O33" s="162">
        <v>24500</v>
      </c>
      <c r="P33" s="162"/>
      <c r="Q33" s="162">
        <v>20500</v>
      </c>
      <c r="R33" s="42"/>
      <c r="S33" s="42"/>
      <c r="T33" s="44"/>
      <c r="U33" s="42">
        <f>+Q33+O33+M33+K33+I33+G33+E33+C33</f>
        <v>450000</v>
      </c>
      <c r="V33" s="196"/>
      <c r="W33" s="6"/>
    </row>
    <row r="34" spans="1:23" ht="15.6">
      <c r="A34" s="40"/>
      <c r="B34" s="174" t="s">
        <v>149</v>
      </c>
      <c r="C34" s="175">
        <v>1</v>
      </c>
      <c r="D34" s="175"/>
      <c r="E34" s="175">
        <v>1</v>
      </c>
      <c r="F34" s="175"/>
      <c r="G34" s="175">
        <v>1</v>
      </c>
      <c r="H34" s="175"/>
      <c r="I34" s="175">
        <v>1</v>
      </c>
      <c r="J34" s="175"/>
      <c r="K34" s="175">
        <v>1</v>
      </c>
      <c r="L34" s="175"/>
      <c r="M34" s="175">
        <v>1</v>
      </c>
      <c r="N34" s="175"/>
      <c r="O34" s="175">
        <v>1</v>
      </c>
      <c r="P34" s="175"/>
      <c r="Q34" s="175">
        <v>1</v>
      </c>
      <c r="R34" s="176"/>
      <c r="S34" s="42"/>
      <c r="T34" s="44"/>
      <c r="U34" s="42"/>
      <c r="V34" s="196"/>
      <c r="W34" s="6"/>
    </row>
    <row r="35" spans="1:23" ht="15.6">
      <c r="A35" s="40"/>
      <c r="B35" s="174" t="s">
        <v>150</v>
      </c>
      <c r="C35" s="175">
        <v>1</v>
      </c>
      <c r="D35" s="175"/>
      <c r="E35" s="175">
        <v>1</v>
      </c>
      <c r="F35" s="175"/>
      <c r="G35" s="175">
        <v>1</v>
      </c>
      <c r="H35" s="175"/>
      <c r="I35" s="175">
        <v>1</v>
      </c>
      <c r="J35" s="175"/>
      <c r="K35" s="175">
        <v>1</v>
      </c>
      <c r="L35" s="175"/>
      <c r="M35" s="175">
        <v>1</v>
      </c>
      <c r="N35" s="175"/>
      <c r="O35" s="175">
        <v>1</v>
      </c>
      <c r="P35" s="175"/>
      <c r="Q35" s="175">
        <v>1</v>
      </c>
      <c r="R35" s="176"/>
      <c r="S35" s="42"/>
      <c r="T35" s="44"/>
      <c r="U35" s="42"/>
      <c r="V35" s="196"/>
      <c r="W35" s="6"/>
    </row>
    <row r="36" spans="1:23" ht="15.6">
      <c r="A36" s="25"/>
      <c r="B36" s="26" t="s">
        <v>153</v>
      </c>
      <c r="C36" s="157" t="s">
        <v>157</v>
      </c>
      <c r="D36" s="157"/>
      <c r="E36" s="157" t="s">
        <v>157</v>
      </c>
      <c r="F36" s="157"/>
      <c r="G36" s="157" t="s">
        <v>158</v>
      </c>
      <c r="H36" s="157"/>
      <c r="I36" s="157" t="s">
        <v>158</v>
      </c>
      <c r="J36" s="157"/>
      <c r="K36" s="157" t="s">
        <v>159</v>
      </c>
      <c r="L36" s="184"/>
      <c r="M36" s="157" t="s">
        <v>160</v>
      </c>
      <c r="N36" s="158"/>
      <c r="O36" s="157" t="s">
        <v>161</v>
      </c>
      <c r="P36" s="157"/>
      <c r="Q36" s="157" t="s">
        <v>162</v>
      </c>
      <c r="R36" s="157"/>
      <c r="S36" s="157"/>
      <c r="T36" s="158"/>
      <c r="U36" s="29"/>
      <c r="V36" s="196"/>
      <c r="W36" s="6"/>
    </row>
    <row r="37" spans="1:23" ht="15.6">
      <c r="A37" s="25"/>
      <c r="B37" s="26" t="s">
        <v>151</v>
      </c>
      <c r="C37" s="185">
        <v>4.9103099999999997E-2</v>
      </c>
      <c r="D37" s="185"/>
      <c r="E37" s="185">
        <v>3.3099999999999997E-2</v>
      </c>
      <c r="F37" s="185"/>
      <c r="G37" s="185">
        <v>5.0203100000000001E-2</v>
      </c>
      <c r="H37" s="185"/>
      <c r="I37" s="185">
        <v>3.4200000000000001E-2</v>
      </c>
      <c r="J37" s="185"/>
      <c r="K37" s="185">
        <v>5.2903100000000002E-2</v>
      </c>
      <c r="L37" s="185"/>
      <c r="M37" s="185">
        <v>3.6600000000000001E-2</v>
      </c>
      <c r="N37" s="185"/>
      <c r="O37" s="185">
        <v>5.6403099999999998E-2</v>
      </c>
      <c r="P37" s="185"/>
      <c r="Q37" s="185">
        <v>3.9899999999999998E-2</v>
      </c>
      <c r="R37" s="186"/>
      <c r="S37" s="185"/>
      <c r="T37" s="158"/>
      <c r="U37" s="33"/>
      <c r="V37" s="196"/>
      <c r="W37" s="6"/>
    </row>
    <row r="38" spans="1:23" ht="15.6">
      <c r="A38" s="25"/>
      <c r="B38" s="26" t="s">
        <v>152</v>
      </c>
      <c r="C38" s="185">
        <v>4.8468799999999999E-2</v>
      </c>
      <c r="D38" s="185"/>
      <c r="E38" s="185">
        <v>2.9839999999999998E-2</v>
      </c>
      <c r="F38" s="185"/>
      <c r="G38" s="185">
        <v>4.9568800000000003E-2</v>
      </c>
      <c r="H38" s="185"/>
      <c r="I38" s="185">
        <v>3.0939999999999999E-2</v>
      </c>
      <c r="J38" s="185"/>
      <c r="K38" s="185">
        <v>5.2268799999999997E-2</v>
      </c>
      <c r="L38" s="185"/>
      <c r="M38" s="185">
        <v>3.3340000000000002E-2</v>
      </c>
      <c r="N38" s="185"/>
      <c r="O38" s="185">
        <v>5.57688E-2</v>
      </c>
      <c r="P38" s="185"/>
      <c r="Q38" s="185">
        <v>3.6639999999999999E-2</v>
      </c>
      <c r="R38" s="186"/>
      <c r="S38" s="185"/>
      <c r="T38" s="158"/>
      <c r="U38" s="29"/>
      <c r="V38" s="196"/>
      <c r="W38" s="6"/>
    </row>
    <row r="39" spans="1:23" ht="15.6">
      <c r="A39" s="25"/>
      <c r="B39" s="26" t="s">
        <v>263</v>
      </c>
      <c r="C39" s="157" t="s">
        <v>157</v>
      </c>
      <c r="D39" s="185"/>
      <c r="E39" s="185" t="s">
        <v>198</v>
      </c>
      <c r="F39" s="185"/>
      <c r="G39" s="157" t="s">
        <v>158</v>
      </c>
      <c r="H39" s="185"/>
      <c r="I39" s="185" t="s">
        <v>225</v>
      </c>
      <c r="J39" s="185"/>
      <c r="K39" s="157" t="s">
        <v>159</v>
      </c>
      <c r="L39" s="185"/>
      <c r="M39" s="185" t="s">
        <v>199</v>
      </c>
      <c r="N39" s="185"/>
      <c r="O39" s="157" t="s">
        <v>161</v>
      </c>
      <c r="P39" s="185"/>
      <c r="Q39" s="185" t="s">
        <v>200</v>
      </c>
      <c r="R39" s="186"/>
      <c r="S39" s="185"/>
      <c r="T39" s="158"/>
      <c r="U39" s="29"/>
      <c r="V39" s="196"/>
      <c r="W39" s="6"/>
    </row>
    <row r="40" spans="1:23" ht="15.6">
      <c r="A40" s="25"/>
      <c r="B40" s="26" t="s">
        <v>264</v>
      </c>
      <c r="C40" s="185">
        <f>+C37</f>
        <v>4.9103099999999997E-2</v>
      </c>
      <c r="D40" s="185"/>
      <c r="E40" s="185">
        <v>4.93911E-2</v>
      </c>
      <c r="F40" s="185"/>
      <c r="G40" s="185">
        <f>+G37</f>
        <v>5.0203100000000001E-2</v>
      </c>
      <c r="H40" s="185"/>
      <c r="I40" s="185">
        <v>5.0569599999999999E-2</v>
      </c>
      <c r="J40" s="185"/>
      <c r="K40" s="185">
        <f>+K37</f>
        <v>5.2903100000000002E-2</v>
      </c>
      <c r="L40" s="184"/>
      <c r="M40" s="185">
        <v>5.3183300000000003E-2</v>
      </c>
      <c r="N40" s="184"/>
      <c r="O40" s="185">
        <f>+O37</f>
        <v>5.6403099999999998E-2</v>
      </c>
      <c r="P40" s="185"/>
      <c r="Q40" s="185">
        <v>5.68163E-2</v>
      </c>
      <c r="R40" s="186"/>
      <c r="S40" s="185"/>
      <c r="T40" s="158"/>
      <c r="U40" s="45">
        <f>SUMPRODUCT(C40:Q40,C31:Q31)/U31</f>
        <v>5.0440807444444444E-2</v>
      </c>
      <c r="V40" s="196"/>
      <c r="W40" s="6"/>
    </row>
    <row r="41" spans="1:23" ht="15.6">
      <c r="A41" s="25"/>
      <c r="B41" s="26" t="s">
        <v>265</v>
      </c>
      <c r="C41" s="185">
        <f>+C38</f>
        <v>4.8468799999999999E-2</v>
      </c>
      <c r="D41" s="185"/>
      <c r="E41" s="185">
        <v>4.8756800000000003E-2</v>
      </c>
      <c r="F41" s="185"/>
      <c r="G41" s="185">
        <f>+G38</f>
        <v>4.9568800000000003E-2</v>
      </c>
      <c r="H41" s="185"/>
      <c r="I41" s="185">
        <v>4.9935300000000002E-2</v>
      </c>
      <c r="J41" s="185"/>
      <c r="K41" s="185">
        <f>+K38</f>
        <v>5.2268799999999997E-2</v>
      </c>
      <c r="L41" s="184"/>
      <c r="M41" s="185">
        <v>5.2548999999999998E-2</v>
      </c>
      <c r="N41" s="184"/>
      <c r="O41" s="185">
        <f>+O38</f>
        <v>5.57688E-2</v>
      </c>
      <c r="P41" s="185"/>
      <c r="Q41" s="185">
        <v>5.6182000000000003E-2</v>
      </c>
      <c r="R41" s="186"/>
      <c r="S41" s="185"/>
      <c r="T41" s="158"/>
      <c r="U41" s="29"/>
      <c r="V41" s="196"/>
      <c r="W41" s="6"/>
    </row>
    <row r="42" spans="1:23" ht="15.6">
      <c r="A42" s="25"/>
      <c r="B42" s="26" t="s">
        <v>17</v>
      </c>
      <c r="C42" s="187">
        <v>39918</v>
      </c>
      <c r="D42" s="187"/>
      <c r="E42" s="187">
        <v>39918</v>
      </c>
      <c r="F42" s="187"/>
      <c r="G42" s="187">
        <v>39918</v>
      </c>
      <c r="H42" s="187"/>
      <c r="I42" s="187">
        <v>39918</v>
      </c>
      <c r="J42" s="187"/>
      <c r="K42" s="187">
        <v>39918</v>
      </c>
      <c r="L42" s="187"/>
      <c r="M42" s="187">
        <v>39918</v>
      </c>
      <c r="N42" s="187"/>
      <c r="O42" s="187">
        <v>39918</v>
      </c>
      <c r="P42" s="187"/>
      <c r="Q42" s="187">
        <v>39918</v>
      </c>
      <c r="R42" s="157"/>
      <c r="S42" s="157"/>
      <c r="T42" s="158"/>
      <c r="U42" s="29"/>
      <c r="V42" s="196"/>
      <c r="W42" s="6"/>
    </row>
    <row r="43" spans="1:23" ht="15.6">
      <c r="A43" s="25"/>
      <c r="B43" s="26" t="s">
        <v>18</v>
      </c>
      <c r="C43" s="46">
        <v>40283</v>
      </c>
      <c r="D43" s="51"/>
      <c r="E43" s="46">
        <v>40283</v>
      </c>
      <c r="F43" s="51"/>
      <c r="G43" s="46">
        <v>40283</v>
      </c>
      <c r="H43" s="51"/>
      <c r="I43" s="46">
        <v>40283</v>
      </c>
      <c r="J43" s="51"/>
      <c r="K43" s="46">
        <v>40283</v>
      </c>
      <c r="L43" s="51"/>
      <c r="M43" s="46">
        <v>40283</v>
      </c>
      <c r="N43" s="51"/>
      <c r="O43" s="46">
        <v>40283</v>
      </c>
      <c r="P43" s="46"/>
      <c r="Q43" s="46">
        <v>40283</v>
      </c>
      <c r="R43" s="33"/>
      <c r="S43" s="33"/>
      <c r="T43" s="29"/>
      <c r="U43" s="29"/>
      <c r="V43" s="196"/>
      <c r="W43" s="6"/>
    </row>
    <row r="44" spans="1:23" ht="15.6">
      <c r="A44" s="25"/>
      <c r="B44" s="26" t="s">
        <v>154</v>
      </c>
      <c r="C44" s="33" t="s">
        <v>163</v>
      </c>
      <c r="D44" s="33"/>
      <c r="E44" s="33" t="s">
        <v>163</v>
      </c>
      <c r="F44" s="33"/>
      <c r="G44" s="33" t="s">
        <v>164</v>
      </c>
      <c r="H44" s="33"/>
      <c r="I44" s="33" t="s">
        <v>164</v>
      </c>
      <c r="J44" s="33"/>
      <c r="K44" s="33" t="s">
        <v>106</v>
      </c>
      <c r="L44" s="33"/>
      <c r="M44" s="33" t="s">
        <v>165</v>
      </c>
      <c r="N44" s="33"/>
      <c r="O44" s="33" t="s">
        <v>166</v>
      </c>
      <c r="P44" s="33"/>
      <c r="Q44" s="33" t="s">
        <v>167</v>
      </c>
      <c r="R44" s="33"/>
      <c r="S44" s="33"/>
      <c r="T44" s="29"/>
      <c r="U44" s="29"/>
      <c r="V44" s="196"/>
      <c r="W44" s="6"/>
    </row>
    <row r="45" spans="1:23" ht="15.6">
      <c r="A45" s="25"/>
      <c r="B45" s="26" t="s">
        <v>266</v>
      </c>
      <c r="C45" s="33" t="s">
        <v>163</v>
      </c>
      <c r="D45" s="26"/>
      <c r="E45" s="33" t="s">
        <v>228</v>
      </c>
      <c r="F45" s="26"/>
      <c r="G45" s="33" t="s">
        <v>164</v>
      </c>
      <c r="H45" s="26"/>
      <c r="I45" s="33" t="s">
        <v>226</v>
      </c>
      <c r="J45" s="26"/>
      <c r="K45" s="33" t="s">
        <v>106</v>
      </c>
      <c r="L45" s="26"/>
      <c r="M45" s="33" t="s">
        <v>227</v>
      </c>
      <c r="N45" s="26"/>
      <c r="O45" s="33" t="s">
        <v>166</v>
      </c>
      <c r="P45" s="33"/>
      <c r="Q45" s="33" t="s">
        <v>229</v>
      </c>
      <c r="R45" s="33"/>
      <c r="S45" s="33"/>
      <c r="T45" s="29"/>
      <c r="U45" s="29"/>
      <c r="V45" s="196"/>
      <c r="W45" s="6"/>
    </row>
    <row r="46" spans="1:23" ht="15.6">
      <c r="A46" s="25"/>
      <c r="B46" s="26"/>
      <c r="C46" s="26"/>
      <c r="D46" s="26"/>
      <c r="E46" s="26"/>
      <c r="F46" s="26"/>
      <c r="G46" s="26"/>
      <c r="H46" s="26"/>
      <c r="I46" s="26"/>
      <c r="J46" s="26"/>
      <c r="K46" s="26"/>
      <c r="L46" s="26"/>
      <c r="M46" s="47"/>
      <c r="N46" s="47"/>
      <c r="O46" s="26"/>
      <c r="P46" s="47"/>
      <c r="Q46" s="47"/>
      <c r="R46" s="47"/>
      <c r="S46" s="47"/>
      <c r="T46" s="47"/>
      <c r="U46" s="47"/>
      <c r="V46" s="196"/>
      <c r="W46" s="6"/>
    </row>
    <row r="47" spans="1:23" ht="15.6">
      <c r="A47" s="25"/>
      <c r="B47" s="26" t="s">
        <v>201</v>
      </c>
      <c r="C47" s="26"/>
      <c r="D47" s="26"/>
      <c r="E47" s="26"/>
      <c r="F47" s="26"/>
      <c r="G47" s="26"/>
      <c r="H47" s="26"/>
      <c r="I47" s="26"/>
      <c r="J47" s="26"/>
      <c r="K47" s="26"/>
      <c r="L47" s="26"/>
      <c r="M47" s="26"/>
      <c r="N47" s="26"/>
      <c r="O47" s="26"/>
      <c r="P47" s="26"/>
      <c r="Q47" s="26"/>
      <c r="R47" s="26"/>
      <c r="S47" s="26"/>
      <c r="T47" s="26"/>
      <c r="U47" s="45">
        <f>SUM(G31:Q31)/(C31+E31)</f>
        <v>0.3888888888888889</v>
      </c>
      <c r="V47" s="196"/>
      <c r="W47" s="6"/>
    </row>
    <row r="48" spans="1:23" ht="15.6">
      <c r="A48" s="25"/>
      <c r="B48" s="26" t="s">
        <v>202</v>
      </c>
      <c r="C48" s="26"/>
      <c r="D48" s="26"/>
      <c r="E48" s="26"/>
      <c r="F48" s="26"/>
      <c r="G48" s="26"/>
      <c r="H48" s="26"/>
      <c r="I48" s="26"/>
      <c r="J48" s="26"/>
      <c r="K48" s="26"/>
      <c r="L48" s="26"/>
      <c r="M48" s="26"/>
      <c r="N48" s="26"/>
      <c r="O48" s="26"/>
      <c r="P48" s="26"/>
      <c r="Q48" s="26"/>
      <c r="R48" s="26"/>
      <c r="S48" s="26"/>
      <c r="T48" s="26"/>
      <c r="U48" s="45">
        <f>SUM(F33:Q33)/(C33+E33)</f>
        <v>0.3888888888888889</v>
      </c>
      <c r="V48" s="196"/>
      <c r="W48" s="6"/>
    </row>
    <row r="49" spans="1:23" ht="15.6">
      <c r="A49" s="25"/>
      <c r="B49" s="26" t="s">
        <v>203</v>
      </c>
      <c r="C49" s="26"/>
      <c r="D49" s="26"/>
      <c r="E49" s="26"/>
      <c r="F49" s="26"/>
      <c r="G49" s="26"/>
      <c r="H49" s="26"/>
      <c r="I49" s="26"/>
      <c r="J49" s="26"/>
      <c r="K49" s="26"/>
      <c r="L49" s="26"/>
      <c r="M49" s="26"/>
      <c r="N49" s="26"/>
      <c r="O49" s="26"/>
      <c r="P49" s="26"/>
      <c r="Q49" s="26"/>
      <c r="R49" s="26"/>
      <c r="S49" s="33" t="s">
        <v>95</v>
      </c>
      <c r="T49" s="33" t="s">
        <v>117</v>
      </c>
      <c r="U49" s="34">
        <v>99000</v>
      </c>
      <c r="V49" s="196"/>
      <c r="W49" s="6"/>
    </row>
    <row r="50" spans="1:23" ht="15.6">
      <c r="A50" s="25"/>
      <c r="B50" s="26"/>
      <c r="C50" s="26"/>
      <c r="D50" s="26"/>
      <c r="E50" s="26"/>
      <c r="F50" s="26"/>
      <c r="G50" s="26"/>
      <c r="H50" s="26"/>
      <c r="I50" s="26"/>
      <c r="J50" s="26"/>
      <c r="K50" s="26"/>
      <c r="L50" s="26"/>
      <c r="M50" s="26"/>
      <c r="N50" s="26"/>
      <c r="O50" s="26"/>
      <c r="P50" s="26"/>
      <c r="Q50" s="26"/>
      <c r="R50" s="26"/>
      <c r="S50" s="26" t="s">
        <v>213</v>
      </c>
      <c r="T50" s="26"/>
      <c r="U50" s="48"/>
      <c r="V50" s="196"/>
      <c r="W50" s="6"/>
    </row>
    <row r="51" spans="1:23" ht="15.6">
      <c r="A51" s="25"/>
      <c r="B51" s="26" t="s">
        <v>19</v>
      </c>
      <c r="C51" s="26"/>
      <c r="D51" s="26"/>
      <c r="E51" s="26"/>
      <c r="F51" s="26"/>
      <c r="G51" s="26"/>
      <c r="H51" s="26"/>
      <c r="I51" s="26"/>
      <c r="J51" s="26"/>
      <c r="K51" s="26"/>
      <c r="L51" s="26"/>
      <c r="M51" s="26"/>
      <c r="N51" s="26"/>
      <c r="O51" s="26"/>
      <c r="P51" s="26"/>
      <c r="Q51" s="26"/>
      <c r="R51" s="26"/>
      <c r="S51" s="33"/>
      <c r="T51" s="33"/>
      <c r="U51" s="33" t="s">
        <v>118</v>
      </c>
      <c r="V51" s="196"/>
      <c r="W51" s="6"/>
    </row>
    <row r="52" spans="1:23" ht="15.6">
      <c r="A52" s="40"/>
      <c r="B52" s="30" t="s">
        <v>20</v>
      </c>
      <c r="C52" s="30"/>
      <c r="D52" s="30"/>
      <c r="E52" s="30"/>
      <c r="F52" s="30"/>
      <c r="G52" s="30"/>
      <c r="H52" s="30"/>
      <c r="I52" s="30"/>
      <c r="J52" s="30"/>
      <c r="K52" s="30"/>
      <c r="L52" s="30"/>
      <c r="M52" s="30"/>
      <c r="N52" s="30"/>
      <c r="O52" s="30"/>
      <c r="P52" s="30"/>
      <c r="Q52" s="30"/>
      <c r="R52" s="30"/>
      <c r="S52" s="49"/>
      <c r="T52" s="49"/>
      <c r="U52" s="50">
        <v>39006</v>
      </c>
      <c r="V52" s="198"/>
      <c r="W52" s="6"/>
    </row>
    <row r="53" spans="1:23" ht="15.6">
      <c r="A53" s="25"/>
      <c r="B53" s="26" t="s">
        <v>155</v>
      </c>
      <c r="C53" s="26"/>
      <c r="D53" s="26"/>
      <c r="E53" s="26"/>
      <c r="F53" s="26"/>
      <c r="G53" s="26"/>
      <c r="H53" s="26"/>
      <c r="I53" s="26"/>
      <c r="J53" s="26"/>
      <c r="K53" s="26"/>
      <c r="L53" s="26"/>
      <c r="M53" s="26"/>
      <c r="N53" s="26"/>
      <c r="O53" s="26"/>
      <c r="P53" s="26"/>
      <c r="Q53" s="29"/>
      <c r="R53" s="26">
        <f>U53-S53+1</f>
        <v>90</v>
      </c>
      <c r="S53" s="52">
        <v>38825</v>
      </c>
      <c r="T53" s="53"/>
      <c r="U53" s="52">
        <v>38914</v>
      </c>
      <c r="V53" s="196"/>
      <c r="W53" s="6"/>
    </row>
    <row r="54" spans="1:23" ht="15.6">
      <c r="A54" s="25"/>
      <c r="B54" s="26" t="s">
        <v>156</v>
      </c>
      <c r="C54" s="26"/>
      <c r="D54" s="26"/>
      <c r="E54" s="26"/>
      <c r="F54" s="26"/>
      <c r="G54" s="26"/>
      <c r="H54" s="26"/>
      <c r="I54" s="26"/>
      <c r="J54" s="26"/>
      <c r="K54" s="26"/>
      <c r="L54" s="26"/>
      <c r="M54" s="26"/>
      <c r="N54" s="26"/>
      <c r="O54" s="26"/>
      <c r="P54" s="26"/>
      <c r="Q54" s="29"/>
      <c r="R54" s="26">
        <f>U54-S54+1</f>
        <v>91</v>
      </c>
      <c r="S54" s="52">
        <v>38915</v>
      </c>
      <c r="T54" s="53"/>
      <c r="U54" s="52">
        <v>39005</v>
      </c>
      <c r="V54" s="196"/>
      <c r="W54" s="6"/>
    </row>
    <row r="55" spans="1:23" ht="15.6">
      <c r="A55" s="25"/>
      <c r="B55" s="26" t="s">
        <v>21</v>
      </c>
      <c r="C55" s="26"/>
      <c r="D55" s="26"/>
      <c r="E55" s="26"/>
      <c r="F55" s="26"/>
      <c r="G55" s="26"/>
      <c r="H55" s="26"/>
      <c r="I55" s="26"/>
      <c r="J55" s="26"/>
      <c r="K55" s="26"/>
      <c r="L55" s="26"/>
      <c r="M55" s="26"/>
      <c r="N55" s="26"/>
      <c r="O55" s="26"/>
      <c r="P55" s="26"/>
      <c r="Q55" s="26"/>
      <c r="R55" s="26"/>
      <c r="S55" s="52"/>
      <c r="T55" s="53"/>
      <c r="U55" s="52" t="s">
        <v>119</v>
      </c>
      <c r="V55" s="196"/>
      <c r="W55" s="6"/>
    </row>
    <row r="56" spans="1:23" ht="15.6">
      <c r="A56" s="25"/>
      <c r="B56" s="26" t="s">
        <v>22</v>
      </c>
      <c r="C56" s="26"/>
      <c r="D56" s="26"/>
      <c r="E56" s="26"/>
      <c r="F56" s="26"/>
      <c r="G56" s="26"/>
      <c r="H56" s="26"/>
      <c r="I56" s="26"/>
      <c r="J56" s="26"/>
      <c r="K56" s="26"/>
      <c r="L56" s="26"/>
      <c r="M56" s="26"/>
      <c r="N56" s="26"/>
      <c r="O56" s="26"/>
      <c r="P56" s="26"/>
      <c r="Q56" s="26"/>
      <c r="R56" s="26"/>
      <c r="S56" s="52"/>
      <c r="T56" s="53"/>
      <c r="U56" s="52">
        <v>38992</v>
      </c>
      <c r="V56" s="196"/>
      <c r="W56" s="6"/>
    </row>
    <row r="57" spans="1:23" ht="15.6">
      <c r="A57" s="25"/>
      <c r="B57" s="26"/>
      <c r="C57" s="26"/>
      <c r="D57" s="26"/>
      <c r="E57" s="26"/>
      <c r="F57" s="26"/>
      <c r="G57" s="26"/>
      <c r="H57" s="26"/>
      <c r="I57" s="26"/>
      <c r="J57" s="26"/>
      <c r="K57" s="26"/>
      <c r="L57" s="26"/>
      <c r="M57" s="26"/>
      <c r="N57" s="26"/>
      <c r="O57" s="26"/>
      <c r="P57" s="26"/>
      <c r="Q57" s="26"/>
      <c r="R57" s="26"/>
      <c r="S57" s="26"/>
      <c r="T57" s="26"/>
      <c r="U57" s="54"/>
      <c r="V57" s="196"/>
      <c r="W57" s="6"/>
    </row>
    <row r="58" spans="1:23" ht="15.6">
      <c r="A58" s="7"/>
      <c r="B58" s="9"/>
      <c r="C58" s="9"/>
      <c r="D58" s="9"/>
      <c r="E58" s="9"/>
      <c r="F58" s="9"/>
      <c r="G58" s="9"/>
      <c r="H58" s="9"/>
      <c r="I58" s="9"/>
      <c r="J58" s="9"/>
      <c r="K58" s="9"/>
      <c r="L58" s="9"/>
      <c r="M58" s="9"/>
      <c r="N58" s="9"/>
      <c r="O58" s="9"/>
      <c r="P58" s="9"/>
      <c r="Q58" s="9"/>
      <c r="R58" s="9"/>
      <c r="S58" s="9"/>
      <c r="T58" s="9"/>
      <c r="U58" s="55"/>
      <c r="V58" s="194"/>
      <c r="W58" s="6"/>
    </row>
    <row r="59" spans="1:23" ht="16.2" thickBot="1">
      <c r="A59" s="130"/>
      <c r="B59" s="131" t="s">
        <v>238</v>
      </c>
      <c r="C59" s="132"/>
      <c r="D59" s="132"/>
      <c r="E59" s="132"/>
      <c r="F59" s="132"/>
      <c r="G59" s="132"/>
      <c r="H59" s="132"/>
      <c r="I59" s="132"/>
      <c r="J59" s="132"/>
      <c r="K59" s="132"/>
      <c r="L59" s="132"/>
      <c r="M59" s="132"/>
      <c r="N59" s="132"/>
      <c r="O59" s="132"/>
      <c r="P59" s="132"/>
      <c r="Q59" s="132"/>
      <c r="R59" s="132"/>
      <c r="S59" s="132"/>
      <c r="T59" s="132"/>
      <c r="U59" s="133"/>
      <c r="V59" s="134"/>
      <c r="W59" s="6"/>
    </row>
    <row r="60" spans="1:23" ht="15.6">
      <c r="A60" s="2"/>
      <c r="B60" s="5" t="s">
        <v>237</v>
      </c>
      <c r="C60" s="5"/>
      <c r="D60" s="5"/>
      <c r="E60" s="5"/>
      <c r="F60" s="5"/>
      <c r="G60" s="5"/>
      <c r="H60" s="5"/>
      <c r="I60" s="5"/>
      <c r="J60" s="5"/>
      <c r="K60" s="5"/>
      <c r="L60" s="5"/>
      <c r="M60" s="5"/>
      <c r="N60" s="5"/>
      <c r="O60" s="5"/>
      <c r="P60" s="5"/>
      <c r="Q60" s="5"/>
      <c r="R60" s="5"/>
      <c r="S60" s="5"/>
      <c r="T60" s="5"/>
      <c r="U60" s="56"/>
      <c r="V60" s="193"/>
      <c r="W60" s="6"/>
    </row>
    <row r="61" spans="1:23" ht="15.6">
      <c r="A61" s="7"/>
      <c r="B61" s="57" t="s">
        <v>23</v>
      </c>
      <c r="C61" s="13"/>
      <c r="D61" s="13"/>
      <c r="E61" s="13"/>
      <c r="F61" s="13"/>
      <c r="G61" s="13"/>
      <c r="H61" s="13"/>
      <c r="I61" s="13"/>
      <c r="J61" s="13"/>
      <c r="K61" s="13"/>
      <c r="L61" s="13"/>
      <c r="M61" s="9"/>
      <c r="N61" s="9"/>
      <c r="O61" s="9"/>
      <c r="P61" s="9"/>
      <c r="Q61" s="9"/>
      <c r="R61" s="9"/>
      <c r="S61" s="9"/>
      <c r="T61" s="9"/>
      <c r="U61" s="58"/>
      <c r="V61" s="194"/>
      <c r="W61" s="6"/>
    </row>
    <row r="62" spans="1:23" ht="15.6">
      <c r="A62" s="7"/>
      <c r="B62" s="13"/>
      <c r="C62" s="13"/>
      <c r="D62" s="13"/>
      <c r="E62" s="13"/>
      <c r="F62" s="13"/>
      <c r="G62" s="13"/>
      <c r="H62" s="13"/>
      <c r="I62" s="13"/>
      <c r="J62" s="13"/>
      <c r="K62" s="13"/>
      <c r="L62" s="13"/>
      <c r="M62" s="9"/>
      <c r="N62" s="9"/>
      <c r="O62" s="9"/>
      <c r="P62" s="9"/>
      <c r="Q62" s="9"/>
      <c r="R62" s="9"/>
      <c r="S62" s="9"/>
      <c r="T62" s="9"/>
      <c r="U62" s="58"/>
      <c r="V62" s="194"/>
      <c r="W62" s="6"/>
    </row>
    <row r="63" spans="1:23" s="151" customFormat="1" ht="46.8">
      <c r="A63" s="145"/>
      <c r="B63" s="146"/>
      <c r="C63" s="147"/>
      <c r="D63" s="147"/>
      <c r="E63" s="147"/>
      <c r="F63" s="147"/>
      <c r="G63" s="147"/>
      <c r="H63" s="147"/>
      <c r="I63" s="147"/>
      <c r="J63" s="147"/>
      <c r="K63" s="147" t="s">
        <v>197</v>
      </c>
      <c r="L63" s="147"/>
      <c r="M63" s="147" t="s">
        <v>98</v>
      </c>
      <c r="N63" s="147"/>
      <c r="O63" s="147" t="s">
        <v>107</v>
      </c>
      <c r="P63" s="147"/>
      <c r="Q63" s="147" t="s">
        <v>111</v>
      </c>
      <c r="R63" s="147"/>
      <c r="S63" s="147" t="s">
        <v>113</v>
      </c>
      <c r="T63" s="147"/>
      <c r="U63" s="148" t="s">
        <v>120</v>
      </c>
      <c r="V63" s="199"/>
      <c r="W63" s="150"/>
    </row>
    <row r="64" spans="1:23" ht="15.6">
      <c r="A64" s="25"/>
      <c r="B64" s="26" t="s">
        <v>24</v>
      </c>
      <c r="C64" s="59"/>
      <c r="D64" s="59"/>
      <c r="E64" s="59"/>
      <c r="F64" s="59"/>
      <c r="G64" s="59"/>
      <c r="H64" s="59"/>
      <c r="I64" s="59"/>
      <c r="J64" s="59"/>
      <c r="K64" s="59">
        <f>265+63566+3306</f>
        <v>67137</v>
      </c>
      <c r="L64" s="59"/>
      <c r="M64" s="59">
        <v>43435</v>
      </c>
      <c r="N64" s="59"/>
      <c r="O64" s="59">
        <f>23+3280+238+732+2</f>
        <v>4275</v>
      </c>
      <c r="P64" s="59"/>
      <c r="Q64" s="59">
        <v>5418</v>
      </c>
      <c r="R64" s="59"/>
      <c r="S64" s="59">
        <v>0</v>
      </c>
      <c r="T64" s="59"/>
      <c r="U64" s="60">
        <f>+M64-O64+Q64-S64</f>
        <v>44578</v>
      </c>
      <c r="V64" s="196"/>
      <c r="W64" s="6"/>
    </row>
    <row r="65" spans="1:24" ht="15.6">
      <c r="A65" s="25"/>
      <c r="B65" s="26" t="s">
        <v>25</v>
      </c>
      <c r="C65" s="59"/>
      <c r="D65" s="59"/>
      <c r="E65" s="59"/>
      <c r="F65" s="59"/>
      <c r="G65" s="59"/>
      <c r="H65" s="59"/>
      <c r="I65" s="59"/>
      <c r="J65" s="59"/>
      <c r="K65" s="59"/>
      <c r="L65" s="59"/>
      <c r="M65" s="59"/>
      <c r="N65" s="59"/>
      <c r="O65" s="59"/>
      <c r="P65" s="59"/>
      <c r="Q65" s="59">
        <v>0</v>
      </c>
      <c r="R65" s="59"/>
      <c r="S65" s="59">
        <v>0</v>
      </c>
      <c r="T65" s="59"/>
      <c r="U65" s="60">
        <f>M65-O65</f>
        <v>0</v>
      </c>
      <c r="V65" s="196"/>
      <c r="W65" s="6"/>
    </row>
    <row r="66" spans="1:24" ht="15.6">
      <c r="A66" s="25"/>
      <c r="B66" s="26"/>
      <c r="C66" s="59"/>
      <c r="D66" s="59"/>
      <c r="E66" s="59"/>
      <c r="F66" s="59"/>
      <c r="G66" s="59"/>
      <c r="H66" s="59"/>
      <c r="I66" s="59"/>
      <c r="J66" s="59"/>
      <c r="K66" s="59"/>
      <c r="L66" s="59"/>
      <c r="M66" s="59"/>
      <c r="N66" s="59"/>
      <c r="O66" s="59"/>
      <c r="P66" s="59"/>
      <c r="Q66" s="59"/>
      <c r="R66" s="59"/>
      <c r="S66" s="59"/>
      <c r="T66" s="59"/>
      <c r="U66" s="60"/>
      <c r="V66" s="196"/>
      <c r="W66" s="6"/>
    </row>
    <row r="67" spans="1:24" ht="15.6">
      <c r="A67" s="25"/>
      <c r="B67" s="26" t="s">
        <v>26</v>
      </c>
      <c r="C67" s="59"/>
      <c r="D67" s="59"/>
      <c r="E67" s="59"/>
      <c r="F67" s="59"/>
      <c r="G67" s="59"/>
      <c r="H67" s="59"/>
      <c r="I67" s="59"/>
      <c r="J67" s="59"/>
      <c r="K67" s="59">
        <v>24470</v>
      </c>
      <c r="L67" s="59"/>
      <c r="M67" s="59">
        <v>25363</v>
      </c>
      <c r="N67" s="59"/>
      <c r="O67" s="59">
        <f>11887-19</f>
        <v>11868</v>
      </c>
      <c r="P67" s="59"/>
      <c r="Q67" s="59">
        <v>19885</v>
      </c>
      <c r="R67" s="59"/>
      <c r="S67" s="59">
        <f>SUM(S64:S66)</f>
        <v>0</v>
      </c>
      <c r="T67" s="59"/>
      <c r="U67" s="60">
        <f>+M67-O67+Q67-S67</f>
        <v>33380</v>
      </c>
      <c r="V67" s="196"/>
      <c r="W67" s="6"/>
    </row>
    <row r="68" spans="1:24" ht="15.6">
      <c r="A68" s="25"/>
      <c r="B68" s="26" t="s">
        <v>25</v>
      </c>
      <c r="C68" s="59"/>
      <c r="D68" s="59"/>
      <c r="E68" s="59"/>
      <c r="F68" s="59"/>
      <c r="G68" s="59"/>
      <c r="H68" s="59"/>
      <c r="I68" s="59"/>
      <c r="J68" s="59"/>
      <c r="K68" s="59"/>
      <c r="L68" s="59"/>
      <c r="M68" s="59"/>
      <c r="N68" s="59"/>
      <c r="O68" s="59"/>
      <c r="P68" s="59"/>
      <c r="Q68" s="59">
        <v>0</v>
      </c>
      <c r="R68" s="59"/>
      <c r="S68" s="59">
        <v>0</v>
      </c>
      <c r="T68" s="59"/>
      <c r="U68" s="61"/>
      <c r="V68" s="196"/>
      <c r="W68" s="6"/>
    </row>
    <row r="69" spans="1:24" ht="15.6">
      <c r="A69" s="25"/>
      <c r="B69" s="62"/>
      <c r="C69" s="59"/>
      <c r="D69" s="59"/>
      <c r="E69" s="59"/>
      <c r="F69" s="59"/>
      <c r="G69" s="59"/>
      <c r="H69" s="59"/>
      <c r="I69" s="59"/>
      <c r="J69" s="59"/>
      <c r="K69" s="59"/>
      <c r="L69" s="59"/>
      <c r="M69" s="59"/>
      <c r="N69" s="59"/>
      <c r="O69" s="63"/>
      <c r="P69" s="59"/>
      <c r="Q69" s="59"/>
      <c r="R69" s="59"/>
      <c r="S69" s="59"/>
      <c r="T69" s="59"/>
      <c r="U69" s="61"/>
      <c r="V69" s="196"/>
      <c r="W69" s="6"/>
    </row>
    <row r="70" spans="1:24" ht="15.6">
      <c r="A70" s="25"/>
      <c r="B70" s="26" t="s">
        <v>27</v>
      </c>
      <c r="C70" s="59"/>
      <c r="D70" s="59"/>
      <c r="E70" s="59"/>
      <c r="F70" s="59"/>
      <c r="G70" s="59"/>
      <c r="H70" s="59"/>
      <c r="I70" s="59"/>
      <c r="J70" s="59"/>
      <c r="K70" s="59">
        <v>220072</v>
      </c>
      <c r="L70" s="59"/>
      <c r="M70" s="59">
        <v>196996</v>
      </c>
      <c r="N70" s="59"/>
      <c r="O70" s="59">
        <f>21333+586</f>
        <v>21919</v>
      </c>
      <c r="P70" s="59"/>
      <c r="Q70" s="59">
        <v>312</v>
      </c>
      <c r="R70" s="59"/>
      <c r="S70" s="59">
        <v>0</v>
      </c>
      <c r="T70" s="59"/>
      <c r="U70" s="60">
        <f>+M70-O70+Q70-S70</f>
        <v>175389</v>
      </c>
      <c r="V70" s="196"/>
      <c r="W70" s="6"/>
    </row>
    <row r="71" spans="1:24" ht="15.6">
      <c r="A71" s="25"/>
      <c r="B71" s="26" t="s">
        <v>25</v>
      </c>
      <c r="C71" s="59"/>
      <c r="D71" s="59"/>
      <c r="E71" s="59"/>
      <c r="F71" s="59"/>
      <c r="G71" s="59"/>
      <c r="H71" s="59"/>
      <c r="I71" s="59"/>
      <c r="J71" s="59"/>
      <c r="K71" s="59"/>
      <c r="L71" s="59"/>
      <c r="M71" s="59"/>
      <c r="N71" s="59"/>
      <c r="O71" s="59"/>
      <c r="P71" s="59"/>
      <c r="Q71" s="59">
        <v>0</v>
      </c>
      <c r="R71" s="59"/>
      <c r="S71" s="59">
        <v>0</v>
      </c>
      <c r="T71" s="59"/>
      <c r="U71" s="60">
        <f>M71-O71+Q71-S71</f>
        <v>0</v>
      </c>
      <c r="V71" s="196"/>
      <c r="W71" s="6"/>
    </row>
    <row r="72" spans="1:24" ht="15.6">
      <c r="A72" s="25"/>
      <c r="B72" s="26"/>
      <c r="C72" s="59"/>
      <c r="D72" s="59"/>
      <c r="E72" s="59"/>
      <c r="F72" s="59"/>
      <c r="G72" s="59"/>
      <c r="H72" s="59"/>
      <c r="I72" s="59"/>
      <c r="J72" s="59"/>
      <c r="K72" s="59"/>
      <c r="L72" s="59"/>
      <c r="M72" s="59"/>
      <c r="N72" s="59"/>
      <c r="O72" s="59"/>
      <c r="P72" s="59"/>
      <c r="Q72" s="59"/>
      <c r="R72" s="59"/>
      <c r="S72" s="59"/>
      <c r="T72" s="59"/>
      <c r="U72" s="60"/>
      <c r="V72" s="196"/>
      <c r="W72" s="6"/>
    </row>
    <row r="73" spans="1:24" ht="15.6">
      <c r="A73" s="25"/>
      <c r="B73" s="26" t="s">
        <v>28</v>
      </c>
      <c r="C73" s="59"/>
      <c r="D73" s="59"/>
      <c r="E73" s="59"/>
      <c r="F73" s="59"/>
      <c r="G73" s="59"/>
      <c r="H73" s="59"/>
      <c r="I73" s="59"/>
      <c r="J73" s="59"/>
      <c r="K73" s="59">
        <v>138321</v>
      </c>
      <c r="L73" s="59"/>
      <c r="M73" s="59">
        <v>114719</v>
      </c>
      <c r="N73" s="59"/>
      <c r="O73" s="59">
        <f>17246+2599</f>
        <v>19845</v>
      </c>
      <c r="P73" s="59"/>
      <c r="Q73" s="59">
        <v>28894</v>
      </c>
      <c r="R73" s="59"/>
      <c r="S73" s="59">
        <v>0</v>
      </c>
      <c r="T73" s="59"/>
      <c r="U73" s="60">
        <f>+M73-O73+Q73-S73</f>
        <v>123768</v>
      </c>
      <c r="V73" s="196"/>
      <c r="W73" s="6"/>
    </row>
    <row r="74" spans="1:24" ht="15.6">
      <c r="A74" s="25"/>
      <c r="B74" s="26" t="s">
        <v>25</v>
      </c>
      <c r="C74" s="59"/>
      <c r="D74" s="59"/>
      <c r="E74" s="59"/>
      <c r="F74" s="59"/>
      <c r="G74" s="59"/>
      <c r="H74" s="59"/>
      <c r="I74" s="59"/>
      <c r="J74" s="59"/>
      <c r="K74" s="59"/>
      <c r="L74" s="59"/>
      <c r="M74" s="59"/>
      <c r="N74" s="59"/>
      <c r="O74" s="59"/>
      <c r="P74" s="59"/>
      <c r="Q74" s="59">
        <v>0</v>
      </c>
      <c r="R74" s="59"/>
      <c r="S74" s="59">
        <v>0</v>
      </c>
      <c r="T74" s="59"/>
      <c r="U74" s="60"/>
      <c r="V74" s="196"/>
      <c r="W74" s="6"/>
    </row>
    <row r="75" spans="1:24" ht="15.6">
      <c r="A75" s="25"/>
      <c r="B75" s="59"/>
      <c r="C75" s="59"/>
      <c r="D75" s="59"/>
      <c r="E75" s="59"/>
      <c r="F75" s="59"/>
      <c r="G75" s="59"/>
      <c r="H75" s="59"/>
      <c r="I75" s="59"/>
      <c r="J75" s="59"/>
      <c r="K75" s="59"/>
      <c r="L75" s="59"/>
      <c r="M75" s="59"/>
      <c r="N75" s="59"/>
      <c r="O75" s="59"/>
      <c r="P75" s="59"/>
      <c r="Q75" s="59"/>
      <c r="R75" s="59"/>
      <c r="S75" s="59"/>
      <c r="T75" s="59"/>
      <c r="U75" s="60"/>
      <c r="V75" s="196"/>
      <c r="W75" s="6"/>
    </row>
    <row r="76" spans="1:24" ht="15.6">
      <c r="A76" s="25"/>
      <c r="B76" s="26" t="s">
        <v>29</v>
      </c>
      <c r="C76" s="59"/>
      <c r="D76" s="59"/>
      <c r="E76" s="59"/>
      <c r="F76" s="59"/>
      <c r="G76" s="59"/>
      <c r="H76" s="59"/>
      <c r="I76" s="59"/>
      <c r="J76" s="59"/>
      <c r="K76" s="59">
        <f>SUM(K64:K73)</f>
        <v>450000</v>
      </c>
      <c r="L76" s="59"/>
      <c r="M76" s="59">
        <f>SUM(M64:M73)</f>
        <v>380513</v>
      </c>
      <c r="N76" s="59"/>
      <c r="O76" s="59">
        <f>SUM(O64:O74)</f>
        <v>57907</v>
      </c>
      <c r="P76" s="59"/>
      <c r="Q76" s="59">
        <f>SUM(Q64:Q74)</f>
        <v>54509</v>
      </c>
      <c r="R76" s="59"/>
      <c r="S76" s="59">
        <f>SUM(S71:S75)</f>
        <v>0</v>
      </c>
      <c r="T76" s="59"/>
      <c r="U76" s="59">
        <f>SUM(U64:U74)</f>
        <v>377115</v>
      </c>
      <c r="V76" s="196"/>
      <c r="W76" s="6"/>
      <c r="X76" s="182"/>
    </row>
    <row r="77" spans="1:24" ht="15.6">
      <c r="A77" s="25"/>
      <c r="B77" s="26"/>
      <c r="C77" s="59"/>
      <c r="D77" s="59"/>
      <c r="E77" s="59"/>
      <c r="F77" s="59"/>
      <c r="G77" s="59"/>
      <c r="H77" s="59"/>
      <c r="I77" s="59"/>
      <c r="J77" s="59"/>
      <c r="K77" s="59"/>
      <c r="L77" s="59"/>
      <c r="M77" s="59"/>
      <c r="N77" s="59"/>
      <c r="O77" s="59"/>
      <c r="P77" s="59"/>
      <c r="Q77" s="59"/>
      <c r="R77" s="59"/>
      <c r="S77" s="59"/>
      <c r="T77" s="59"/>
      <c r="U77" s="61"/>
      <c r="V77" s="196"/>
      <c r="W77" s="6"/>
    </row>
    <row r="78" spans="1:24" ht="15.6">
      <c r="A78" s="25"/>
      <c r="B78" s="26" t="s">
        <v>214</v>
      </c>
      <c r="C78" s="59"/>
      <c r="D78" s="59"/>
      <c r="E78" s="59"/>
      <c r="F78" s="59"/>
      <c r="G78" s="59"/>
      <c r="H78" s="59"/>
      <c r="I78" s="59"/>
      <c r="J78" s="59"/>
      <c r="K78" s="59">
        <v>0</v>
      </c>
      <c r="L78" s="59"/>
      <c r="M78" s="59">
        <v>-5705</v>
      </c>
      <c r="N78" s="59"/>
      <c r="O78" s="59">
        <v>755</v>
      </c>
      <c r="P78" s="59"/>
      <c r="Q78" s="59"/>
      <c r="R78" s="59"/>
      <c r="S78" s="59"/>
      <c r="T78" s="59"/>
      <c r="U78" s="60">
        <f>+M78-O78</f>
        <v>-6460</v>
      </c>
      <c r="V78" s="196"/>
      <c r="W78" s="6"/>
    </row>
    <row r="79" spans="1:24" ht="15.6">
      <c r="A79" s="25"/>
      <c r="B79" s="26" t="s">
        <v>30</v>
      </c>
      <c r="C79" s="59"/>
      <c r="D79" s="59"/>
      <c r="E79" s="59"/>
      <c r="F79" s="59"/>
      <c r="G79" s="59"/>
      <c r="H79" s="59"/>
      <c r="I79" s="59"/>
      <c r="J79" s="59"/>
      <c r="K79" s="59">
        <v>0</v>
      </c>
      <c r="L79" s="59"/>
      <c r="M79" s="59">
        <v>75192</v>
      </c>
      <c r="N79" s="59"/>
      <c r="O79" s="59">
        <f>SUM(O76:O78)</f>
        <v>58662</v>
      </c>
      <c r="P79" s="59"/>
      <c r="Q79" s="59">
        <f>-Q76</f>
        <v>-54509</v>
      </c>
      <c r="R79" s="59"/>
      <c r="S79" s="59"/>
      <c r="T79" s="59"/>
      <c r="U79" s="61">
        <f>+M79+O79+Q79</f>
        <v>79345</v>
      </c>
      <c r="V79" s="196"/>
      <c r="W79" s="6"/>
      <c r="X79" s="182"/>
    </row>
    <row r="80" spans="1:24" ht="15.6">
      <c r="A80" s="25"/>
      <c r="B80" s="26" t="s">
        <v>31</v>
      </c>
      <c r="C80" s="59"/>
      <c r="D80" s="59"/>
      <c r="E80" s="59"/>
      <c r="F80" s="59"/>
      <c r="G80" s="59"/>
      <c r="H80" s="59"/>
      <c r="I80" s="59"/>
      <c r="J80" s="59"/>
      <c r="K80" s="59">
        <v>0</v>
      </c>
      <c r="L80" s="59"/>
      <c r="M80" s="59">
        <v>0</v>
      </c>
      <c r="N80" s="59"/>
      <c r="O80" s="59"/>
      <c r="P80" s="59"/>
      <c r="Q80" s="59">
        <v>0</v>
      </c>
      <c r="R80" s="59"/>
      <c r="S80" s="59"/>
      <c r="T80" s="59"/>
      <c r="U80" s="61">
        <f>Q80+M80</f>
        <v>0</v>
      </c>
      <c r="V80" s="196"/>
      <c r="W80" s="6"/>
    </row>
    <row r="81" spans="1:24" ht="15.6">
      <c r="A81" s="25"/>
      <c r="B81" s="26" t="s">
        <v>16</v>
      </c>
      <c r="C81" s="61"/>
      <c r="D81" s="61"/>
      <c r="E81" s="61"/>
      <c r="F81" s="61"/>
      <c r="G81" s="61"/>
      <c r="H81" s="61"/>
      <c r="I81" s="61"/>
      <c r="J81" s="61"/>
      <c r="K81" s="61">
        <f>SUM(K76:K80)</f>
        <v>450000</v>
      </c>
      <c r="L81" s="61"/>
      <c r="M81" s="61">
        <f>SUM(M76:M80)</f>
        <v>450000</v>
      </c>
      <c r="N81" s="59"/>
      <c r="O81" s="59">
        <f>O79-O80</f>
        <v>58662</v>
      </c>
      <c r="P81" s="59"/>
      <c r="Q81" s="59"/>
      <c r="R81" s="59"/>
      <c r="S81" s="59"/>
      <c r="T81" s="59"/>
      <c r="U81" s="61">
        <f>SUM(U76:U80)</f>
        <v>450000</v>
      </c>
      <c r="V81" s="196"/>
      <c r="W81" s="6"/>
    </row>
    <row r="82" spans="1:24" ht="15.6">
      <c r="A82" s="25"/>
      <c r="B82" s="59"/>
      <c r="C82" s="26"/>
      <c r="D82" s="26"/>
      <c r="E82" s="26"/>
      <c r="F82" s="26"/>
      <c r="G82" s="26"/>
      <c r="H82" s="26"/>
      <c r="I82" s="26"/>
      <c r="J82" s="26"/>
      <c r="K82" s="26"/>
      <c r="L82" s="26"/>
      <c r="M82" s="26"/>
      <c r="N82" s="26"/>
      <c r="O82" s="26"/>
      <c r="P82" s="26"/>
      <c r="Q82" s="26"/>
      <c r="R82" s="26"/>
      <c r="S82" s="33"/>
      <c r="T82" s="26"/>
      <c r="U82" s="33"/>
      <c r="V82" s="196"/>
      <c r="W82" s="6"/>
    </row>
    <row r="83" spans="1:24" ht="15.6">
      <c r="A83" s="7"/>
      <c r="B83" s="57" t="s">
        <v>32</v>
      </c>
      <c r="C83" s="14"/>
      <c r="D83" s="14"/>
      <c r="E83" s="14"/>
      <c r="F83" s="14"/>
      <c r="G83" s="14"/>
      <c r="H83" s="14"/>
      <c r="I83" s="14"/>
      <c r="J83" s="14"/>
      <c r="K83" s="14"/>
      <c r="L83" s="14"/>
      <c r="M83" s="14"/>
      <c r="N83" s="14"/>
      <c r="O83" s="14"/>
      <c r="P83" s="14"/>
      <c r="Q83" s="14"/>
      <c r="R83" s="17"/>
      <c r="S83" s="17"/>
      <c r="T83" s="17"/>
      <c r="U83" s="17" t="s">
        <v>121</v>
      </c>
      <c r="V83" s="200"/>
      <c r="W83" s="6"/>
    </row>
    <row r="84" spans="1:24" ht="15.6">
      <c r="A84" s="25"/>
      <c r="B84" s="26" t="s">
        <v>33</v>
      </c>
      <c r="C84" s="26"/>
      <c r="D84" s="26"/>
      <c r="E84" s="26"/>
      <c r="F84" s="26"/>
      <c r="G84" s="26"/>
      <c r="H84" s="26"/>
      <c r="I84" s="26"/>
      <c r="J84" s="26"/>
      <c r="K84" s="26"/>
      <c r="L84" s="26"/>
      <c r="M84" s="26"/>
      <c r="N84" s="26"/>
      <c r="O84" s="59"/>
      <c r="P84" s="26"/>
      <c r="Q84" s="26"/>
      <c r="R84" s="26"/>
      <c r="S84" s="59"/>
      <c r="T84" s="26"/>
      <c r="U84" s="60">
        <v>127901</v>
      </c>
      <c r="V84" s="196"/>
      <c r="W84" s="6"/>
    </row>
    <row r="85" spans="1:24" ht="15.6">
      <c r="A85" s="25"/>
      <c r="B85" s="26" t="s">
        <v>34</v>
      </c>
      <c r="C85" s="47"/>
      <c r="D85" s="47"/>
      <c r="E85" s="47"/>
      <c r="F85" s="47"/>
      <c r="G85" s="47"/>
      <c r="H85" s="47"/>
      <c r="I85" s="47"/>
      <c r="J85" s="47"/>
      <c r="K85" s="47"/>
      <c r="L85" s="47"/>
      <c r="M85" s="51"/>
      <c r="N85" s="26"/>
      <c r="O85" s="26"/>
      <c r="P85" s="26"/>
      <c r="Q85" s="26"/>
      <c r="R85" s="26"/>
      <c r="S85" s="59"/>
      <c r="T85" s="26"/>
      <c r="U85" s="60">
        <f>1522+380+67-3-25-62</f>
        <v>1879</v>
      </c>
      <c r="V85" s="196"/>
      <c r="W85" s="6"/>
    </row>
    <row r="86" spans="1:24" ht="15.6">
      <c r="A86" s="25"/>
      <c r="B86" s="26" t="s">
        <v>230</v>
      </c>
      <c r="C86" s="26"/>
      <c r="D86" s="26"/>
      <c r="E86" s="26"/>
      <c r="F86" s="26"/>
      <c r="G86" s="26"/>
      <c r="H86" s="26"/>
      <c r="I86" s="26"/>
      <c r="J86" s="26"/>
      <c r="K86" s="26"/>
      <c r="L86" s="26"/>
      <c r="M86" s="26"/>
      <c r="N86" s="26"/>
      <c r="O86" s="26"/>
      <c r="P86" s="26"/>
      <c r="Q86" s="26"/>
      <c r="R86" s="26"/>
      <c r="S86" s="59"/>
      <c r="T86" s="26"/>
      <c r="U86" s="60">
        <v>0</v>
      </c>
      <c r="V86" s="196"/>
      <c r="W86" s="6"/>
      <c r="X86" s="64"/>
    </row>
    <row r="87" spans="1:24" ht="15.6">
      <c r="A87" s="25"/>
      <c r="B87" s="26" t="s">
        <v>231</v>
      </c>
      <c r="C87" s="26"/>
      <c r="D87" s="26"/>
      <c r="E87" s="26"/>
      <c r="F87" s="26"/>
      <c r="G87" s="26"/>
      <c r="H87" s="26"/>
      <c r="I87" s="26"/>
      <c r="J87" s="26"/>
      <c r="K87" s="26"/>
      <c r="L87" s="26"/>
      <c r="M87" s="26"/>
      <c r="N87" s="26"/>
      <c r="O87" s="26"/>
      <c r="P87" s="26"/>
      <c r="Q87" s="26"/>
      <c r="R87" s="26"/>
      <c r="S87" s="59"/>
      <c r="T87" s="26"/>
      <c r="U87" s="60">
        <v>0</v>
      </c>
      <c r="V87" s="196"/>
      <c r="W87" s="6"/>
      <c r="X87" s="64"/>
    </row>
    <row r="88" spans="1:24" ht="15.6">
      <c r="A88" s="25"/>
      <c r="B88" s="26" t="s">
        <v>35</v>
      </c>
      <c r="C88" s="26"/>
      <c r="D88" s="26"/>
      <c r="E88" s="26"/>
      <c r="F88" s="26"/>
      <c r="G88" s="26"/>
      <c r="H88" s="26"/>
      <c r="I88" s="26"/>
      <c r="J88" s="26"/>
      <c r="K88" s="26"/>
      <c r="L88" s="26"/>
      <c r="M88" s="26"/>
      <c r="N88" s="26"/>
      <c r="O88" s="26"/>
      <c r="P88" s="26"/>
      <c r="Q88" s="26"/>
      <c r="R88" s="26"/>
      <c r="S88" s="59"/>
      <c r="T88" s="26"/>
      <c r="U88" s="60">
        <f>SUM(U84:U87)</f>
        <v>129780</v>
      </c>
      <c r="V88" s="196"/>
      <c r="W88" s="6"/>
      <c r="X88" s="64"/>
    </row>
    <row r="89" spans="1:24" ht="15.6">
      <c r="A89" s="25"/>
      <c r="B89" s="26"/>
      <c r="C89" s="26"/>
      <c r="D89" s="26"/>
      <c r="E89" s="26"/>
      <c r="F89" s="26"/>
      <c r="G89" s="26"/>
      <c r="H89" s="26"/>
      <c r="I89" s="26"/>
      <c r="J89" s="26"/>
      <c r="K89" s="26"/>
      <c r="L89" s="26"/>
      <c r="M89" s="26"/>
      <c r="N89" s="26"/>
      <c r="O89" s="26"/>
      <c r="P89" s="26"/>
      <c r="Q89" s="26"/>
      <c r="R89" s="26"/>
      <c r="S89" s="59"/>
      <c r="T89" s="26"/>
      <c r="U89" s="61"/>
      <c r="V89" s="196"/>
      <c r="W89" s="6"/>
    </row>
    <row r="90" spans="1:24" ht="15.6">
      <c r="A90" s="25"/>
      <c r="B90" s="152" t="s">
        <v>36</v>
      </c>
      <c r="C90" s="65"/>
      <c r="D90" s="65"/>
      <c r="E90" s="65"/>
      <c r="F90" s="65"/>
      <c r="G90" s="65"/>
      <c r="H90" s="65"/>
      <c r="I90" s="65"/>
      <c r="J90" s="65"/>
      <c r="K90" s="65"/>
      <c r="L90" s="65"/>
      <c r="M90" s="26"/>
      <c r="N90" s="26"/>
      <c r="O90" s="26"/>
      <c r="P90" s="26"/>
      <c r="Q90" s="26"/>
      <c r="R90" s="26"/>
      <c r="S90" s="59"/>
      <c r="T90" s="26"/>
      <c r="U90" s="60"/>
      <c r="V90" s="196"/>
      <c r="W90" s="6"/>
      <c r="X90" s="64"/>
    </row>
    <row r="91" spans="1:24" ht="15.6">
      <c r="A91" s="25">
        <v>1</v>
      </c>
      <c r="B91" s="26" t="s">
        <v>37</v>
      </c>
      <c r="C91" s="26"/>
      <c r="D91" s="26"/>
      <c r="E91" s="26"/>
      <c r="F91" s="26"/>
      <c r="G91" s="26"/>
      <c r="H91" s="26"/>
      <c r="I91" s="26"/>
      <c r="J91" s="26"/>
      <c r="K91" s="26"/>
      <c r="L91" s="26"/>
      <c r="M91" s="26"/>
      <c r="N91" s="26"/>
      <c r="O91" s="26"/>
      <c r="P91" s="26"/>
      <c r="Q91" s="26"/>
      <c r="R91" s="26"/>
      <c r="S91" s="26"/>
      <c r="T91" s="26"/>
      <c r="U91" s="60">
        <v>-2</v>
      </c>
      <c r="V91" s="196"/>
      <c r="W91" s="6"/>
    </row>
    <row r="92" spans="1:24" ht="15.6">
      <c r="A92" s="25">
        <f>A91+1</f>
        <v>2</v>
      </c>
      <c r="B92" s="26" t="s">
        <v>168</v>
      </c>
      <c r="C92" s="26"/>
      <c r="D92" s="26"/>
      <c r="E92" s="26"/>
      <c r="F92" s="26"/>
      <c r="G92" s="26"/>
      <c r="H92" s="26"/>
      <c r="I92" s="26"/>
      <c r="J92" s="26"/>
      <c r="K92" s="26"/>
      <c r="L92" s="26"/>
      <c r="M92" s="26"/>
      <c r="N92" s="26"/>
      <c r="O92" s="26"/>
      <c r="P92" s="26"/>
      <c r="Q92" s="26"/>
      <c r="R92" s="26"/>
      <c r="S92" s="26"/>
      <c r="T92" s="26"/>
      <c r="U92" s="60">
        <f>-378-147</f>
        <v>-525</v>
      </c>
      <c r="V92" s="196"/>
      <c r="W92" s="6"/>
      <c r="X92" s="64"/>
    </row>
    <row r="93" spans="1:24" ht="15.6">
      <c r="A93" s="25">
        <v>3</v>
      </c>
      <c r="B93" s="26" t="s">
        <v>38</v>
      </c>
      <c r="C93" s="26"/>
      <c r="D93" s="26"/>
      <c r="E93" s="26"/>
      <c r="F93" s="26"/>
      <c r="G93" s="26"/>
      <c r="H93" s="26"/>
      <c r="I93" s="26"/>
      <c r="J93" s="26"/>
      <c r="K93" s="26"/>
      <c r="L93" s="26"/>
      <c r="M93" s="26"/>
      <c r="N93" s="26"/>
      <c r="O93" s="26"/>
      <c r="P93" s="26"/>
      <c r="Q93" s="26"/>
      <c r="R93" s="26"/>
      <c r="S93" s="26"/>
      <c r="T93" s="26"/>
      <c r="U93" s="60">
        <v>-587</v>
      </c>
      <c r="V93" s="196"/>
      <c r="W93" s="6"/>
      <c r="X93" s="64"/>
    </row>
    <row r="94" spans="1:24" ht="15.6">
      <c r="A94" s="177" t="s">
        <v>190</v>
      </c>
      <c r="B94" s="26" t="s">
        <v>169</v>
      </c>
      <c r="C94" s="26"/>
      <c r="D94" s="26"/>
      <c r="E94" s="26"/>
      <c r="F94" s="26"/>
      <c r="G94" s="26"/>
      <c r="H94" s="26"/>
      <c r="I94" s="26"/>
      <c r="J94" s="26"/>
      <c r="K94" s="26"/>
      <c r="L94" s="26"/>
      <c r="M94" s="26"/>
      <c r="N94" s="26"/>
      <c r="O94" s="26"/>
      <c r="P94" s="26"/>
      <c r="Q94" s="26"/>
      <c r="R94" s="26"/>
      <c r="S94" s="26"/>
      <c r="T94" s="26"/>
      <c r="U94" s="60">
        <v>-1787</v>
      </c>
      <c r="V94" s="196"/>
      <c r="W94" s="6"/>
      <c r="X94" s="64"/>
    </row>
    <row r="95" spans="1:24" ht="15.6">
      <c r="A95" s="177" t="s">
        <v>191</v>
      </c>
      <c r="B95" s="26" t="s">
        <v>170</v>
      </c>
      <c r="C95" s="26"/>
      <c r="D95" s="26"/>
      <c r="E95" s="26"/>
      <c r="F95" s="26"/>
      <c r="G95" s="26"/>
      <c r="H95" s="26"/>
      <c r="I95" s="26"/>
      <c r="J95" s="26"/>
      <c r="K95" s="26"/>
      <c r="L95" s="26"/>
      <c r="M95" s="26"/>
      <c r="N95" s="26"/>
      <c r="O95" s="26"/>
      <c r="P95" s="26"/>
      <c r="Q95" s="26"/>
      <c r="R95" s="26"/>
      <c r="S95" s="26"/>
      <c r="T95" s="26"/>
      <c r="U95" s="60">
        <v>-2192</v>
      </c>
      <c r="V95" s="196"/>
      <c r="W95" s="6"/>
    </row>
    <row r="96" spans="1:24" ht="15.6">
      <c r="A96" s="25">
        <v>5</v>
      </c>
      <c r="B96" s="26" t="s">
        <v>171</v>
      </c>
      <c r="C96" s="26"/>
      <c r="D96" s="26"/>
      <c r="E96" s="26"/>
      <c r="F96" s="26"/>
      <c r="G96" s="26"/>
      <c r="H96" s="26"/>
      <c r="I96" s="26"/>
      <c r="J96" s="26"/>
      <c r="K96" s="26"/>
      <c r="L96" s="26"/>
      <c r="M96" s="26"/>
      <c r="N96" s="26"/>
      <c r="O96" s="26"/>
      <c r="P96" s="26"/>
      <c r="Q96" s="26"/>
      <c r="R96" s="26"/>
      <c r="S96" s="26"/>
      <c r="T96" s="26"/>
      <c r="U96" s="60">
        <v>-17</v>
      </c>
      <c r="V96" s="196"/>
      <c r="W96" s="6"/>
    </row>
    <row r="97" spans="1:24" ht="15.6">
      <c r="A97" s="177" t="s">
        <v>174</v>
      </c>
      <c r="B97" s="26" t="s">
        <v>172</v>
      </c>
      <c r="C97" s="26"/>
      <c r="D97" s="26"/>
      <c r="E97" s="26"/>
      <c r="F97" s="26"/>
      <c r="G97" s="26"/>
      <c r="H97" s="26"/>
      <c r="I97" s="26"/>
      <c r="J97" s="26"/>
      <c r="K97" s="26"/>
      <c r="L97" s="26"/>
      <c r="M97" s="26"/>
      <c r="N97" s="26"/>
      <c r="O97" s="26"/>
      <c r="P97" s="26"/>
      <c r="Q97" s="26"/>
      <c r="R97" s="26"/>
      <c r="S97" s="26"/>
      <c r="T97" s="26"/>
      <c r="U97" s="60">
        <v>-200</v>
      </c>
      <c r="V97" s="196"/>
      <c r="W97" s="6"/>
      <c r="X97" s="182"/>
    </row>
    <row r="98" spans="1:24" ht="15.6">
      <c r="A98" s="177" t="s">
        <v>176</v>
      </c>
      <c r="B98" s="26" t="s">
        <v>173</v>
      </c>
      <c r="C98" s="26"/>
      <c r="D98" s="26"/>
      <c r="E98" s="26"/>
      <c r="F98" s="26"/>
      <c r="G98" s="26"/>
      <c r="H98" s="26"/>
      <c r="I98" s="26"/>
      <c r="J98" s="26"/>
      <c r="K98" s="26"/>
      <c r="L98" s="26"/>
      <c r="M98" s="26"/>
      <c r="N98" s="26"/>
      <c r="O98" s="26"/>
      <c r="P98" s="26"/>
      <c r="Q98" s="26"/>
      <c r="R98" s="26"/>
      <c r="S98" s="26"/>
      <c r="T98" s="26"/>
      <c r="U98" s="60">
        <v>-309</v>
      </c>
      <c r="V98" s="196"/>
      <c r="W98" s="6"/>
    </row>
    <row r="99" spans="1:24" ht="15.6">
      <c r="A99" s="177" t="s">
        <v>178</v>
      </c>
      <c r="B99" s="26" t="s">
        <v>175</v>
      </c>
      <c r="C99" s="26"/>
      <c r="D99" s="26"/>
      <c r="E99" s="26"/>
      <c r="F99" s="26"/>
      <c r="G99" s="26"/>
      <c r="H99" s="26"/>
      <c r="I99" s="26"/>
      <c r="J99" s="26"/>
      <c r="K99" s="26"/>
      <c r="L99" s="26"/>
      <c r="M99" s="26"/>
      <c r="N99" s="26"/>
      <c r="O99" s="26"/>
      <c r="P99" s="26"/>
      <c r="Q99" s="26"/>
      <c r="R99" s="26"/>
      <c r="S99" s="26"/>
      <c r="T99" s="26"/>
      <c r="U99" s="60">
        <v>-237</v>
      </c>
      <c r="V99" s="196"/>
      <c r="W99" s="6"/>
      <c r="X99" s="182"/>
    </row>
    <row r="100" spans="1:24" ht="15.6">
      <c r="A100" s="177" t="s">
        <v>180</v>
      </c>
      <c r="B100" s="26" t="s">
        <v>177</v>
      </c>
      <c r="C100" s="26"/>
      <c r="D100" s="26"/>
      <c r="E100" s="26"/>
      <c r="F100" s="26"/>
      <c r="G100" s="26"/>
      <c r="H100" s="26"/>
      <c r="I100" s="26"/>
      <c r="J100" s="26"/>
      <c r="K100" s="26"/>
      <c r="L100" s="26"/>
      <c r="M100" s="26"/>
      <c r="N100" s="26"/>
      <c r="O100" s="26"/>
      <c r="P100" s="26"/>
      <c r="Q100" s="26"/>
      <c r="R100" s="26"/>
      <c r="S100" s="26"/>
      <c r="T100" s="26"/>
      <c r="U100" s="60">
        <v>-298</v>
      </c>
      <c r="V100" s="196"/>
      <c r="W100" s="6"/>
    </row>
    <row r="101" spans="1:24" ht="15.6">
      <c r="A101" s="177" t="s">
        <v>192</v>
      </c>
      <c r="B101" s="26" t="s">
        <v>179</v>
      </c>
      <c r="C101" s="26"/>
      <c r="D101" s="26"/>
      <c r="E101" s="26"/>
      <c r="F101" s="26"/>
      <c r="G101" s="26"/>
      <c r="H101" s="26"/>
      <c r="I101" s="26"/>
      <c r="J101" s="26"/>
      <c r="K101" s="26"/>
      <c r="L101" s="26"/>
      <c r="M101" s="26"/>
      <c r="N101" s="26"/>
      <c r="O101" s="26"/>
      <c r="P101" s="26"/>
      <c r="Q101" s="26"/>
      <c r="R101" s="26"/>
      <c r="S101" s="26"/>
      <c r="T101" s="26"/>
      <c r="U101" s="60">
        <v>-344</v>
      </c>
      <c r="V101" s="196"/>
      <c r="W101" s="6"/>
      <c r="X101" s="182"/>
    </row>
    <row r="102" spans="1:24" ht="15.6">
      <c r="A102" s="177" t="s">
        <v>193</v>
      </c>
      <c r="B102" s="26" t="s">
        <v>181</v>
      </c>
      <c r="C102" s="26"/>
      <c r="D102" s="26"/>
      <c r="E102" s="26"/>
      <c r="F102" s="26"/>
      <c r="G102" s="26"/>
      <c r="H102" s="26"/>
      <c r="I102" s="26"/>
      <c r="J102" s="26"/>
      <c r="K102" s="26"/>
      <c r="L102" s="26"/>
      <c r="M102" s="26"/>
      <c r="N102" s="26"/>
      <c r="O102" s="26"/>
      <c r="P102" s="26"/>
      <c r="Q102" s="26"/>
      <c r="R102" s="26"/>
      <c r="S102" s="26"/>
      <c r="T102" s="26"/>
      <c r="U102" s="60">
        <v>-290</v>
      </c>
      <c r="V102" s="196"/>
      <c r="W102" s="6"/>
    </row>
    <row r="103" spans="1:24" ht="15.6">
      <c r="A103" s="25">
        <v>9</v>
      </c>
      <c r="B103" s="26" t="s">
        <v>182</v>
      </c>
      <c r="C103" s="26"/>
      <c r="D103" s="26"/>
      <c r="E103" s="26"/>
      <c r="F103" s="26"/>
      <c r="G103" s="26"/>
      <c r="H103" s="26"/>
      <c r="I103" s="26"/>
      <c r="J103" s="26"/>
      <c r="K103" s="26"/>
      <c r="L103" s="26"/>
      <c r="M103" s="26"/>
      <c r="N103" s="26"/>
      <c r="O103" s="26"/>
      <c r="P103" s="26"/>
      <c r="Q103" s="26"/>
      <c r="R103" s="26"/>
      <c r="S103" s="26"/>
      <c r="T103" s="26"/>
      <c r="U103" s="60">
        <f>+S219-U32</f>
        <v>-79346</v>
      </c>
      <c r="V103" s="196"/>
      <c r="W103" s="6"/>
      <c r="X103" s="182"/>
    </row>
    <row r="104" spans="1:24" ht="15.6">
      <c r="A104" s="25">
        <v>10</v>
      </c>
      <c r="B104" s="26" t="s">
        <v>234</v>
      </c>
      <c r="C104" s="26"/>
      <c r="D104" s="26"/>
      <c r="E104" s="26"/>
      <c r="F104" s="26"/>
      <c r="G104" s="26"/>
      <c r="H104" s="26"/>
      <c r="I104" s="26"/>
      <c r="J104" s="26"/>
      <c r="K104" s="26"/>
      <c r="L104" s="26"/>
      <c r="M104" s="26"/>
      <c r="N104" s="26"/>
      <c r="O104" s="26"/>
      <c r="P104" s="26"/>
      <c r="Q104" s="26"/>
      <c r="R104" s="26"/>
      <c r="S104" s="26"/>
      <c r="T104" s="26"/>
      <c r="U104" s="60">
        <v>-40500</v>
      </c>
      <c r="V104" s="196"/>
      <c r="W104" s="6"/>
      <c r="X104" s="64"/>
    </row>
    <row r="105" spans="1:24" ht="15.6">
      <c r="A105" s="25">
        <v>11</v>
      </c>
      <c r="B105" s="26" t="s">
        <v>183</v>
      </c>
      <c r="C105" s="26"/>
      <c r="D105" s="26"/>
      <c r="E105" s="26"/>
      <c r="F105" s="26"/>
      <c r="G105" s="26"/>
      <c r="H105" s="26"/>
      <c r="I105" s="26"/>
      <c r="J105" s="26"/>
      <c r="K105" s="26"/>
      <c r="L105" s="26"/>
      <c r="M105" s="26"/>
      <c r="N105" s="26"/>
      <c r="O105" s="26"/>
      <c r="P105" s="26"/>
      <c r="Q105" s="26"/>
      <c r="R105" s="26"/>
      <c r="S105" s="26"/>
      <c r="T105" s="26"/>
      <c r="U105" s="60">
        <v>0</v>
      </c>
      <c r="V105" s="196"/>
      <c r="W105" s="6"/>
      <c r="X105" s="64"/>
    </row>
    <row r="106" spans="1:24" ht="15.6">
      <c r="A106" s="25">
        <v>12</v>
      </c>
      <c r="B106" s="26" t="s">
        <v>184</v>
      </c>
      <c r="C106" s="26"/>
      <c r="D106" s="26"/>
      <c r="E106" s="26"/>
      <c r="F106" s="26"/>
      <c r="G106" s="26"/>
      <c r="H106" s="26"/>
      <c r="I106" s="26"/>
      <c r="J106" s="26"/>
      <c r="K106" s="26"/>
      <c r="L106" s="26"/>
      <c r="M106" s="26"/>
      <c r="N106" s="26"/>
      <c r="O106" s="26"/>
      <c r="P106" s="26"/>
      <c r="Q106" s="26"/>
      <c r="R106" s="26"/>
      <c r="S106" s="26"/>
      <c r="T106" s="26"/>
      <c r="U106" s="60">
        <v>-425</v>
      </c>
      <c r="V106" s="196"/>
      <c r="W106" s="6"/>
      <c r="X106" s="182"/>
    </row>
    <row r="107" spans="1:24" ht="15.6">
      <c r="A107" s="25">
        <v>13</v>
      </c>
      <c r="B107" s="26" t="s">
        <v>40</v>
      </c>
      <c r="C107" s="26"/>
      <c r="D107" s="26"/>
      <c r="E107" s="26"/>
      <c r="F107" s="26"/>
      <c r="G107" s="26"/>
      <c r="H107" s="26"/>
      <c r="I107" s="26"/>
      <c r="J107" s="26"/>
      <c r="K107" s="26"/>
      <c r="L107" s="26"/>
      <c r="M107" s="26"/>
      <c r="N107" s="26"/>
      <c r="O107" s="26"/>
      <c r="P107" s="26"/>
      <c r="Q107" s="26"/>
      <c r="R107" s="26"/>
      <c r="S107" s="26"/>
      <c r="T107" s="26"/>
      <c r="U107" s="60">
        <f>-SUM(U88:U106)</f>
        <v>-2721</v>
      </c>
      <c r="V107" s="196"/>
      <c r="W107" s="6"/>
      <c r="X107" s="182"/>
    </row>
    <row r="108" spans="1:24" ht="15.6">
      <c r="A108" s="25"/>
      <c r="B108" s="29"/>
      <c r="C108" s="26"/>
      <c r="D108" s="26"/>
      <c r="E108" s="26"/>
      <c r="F108" s="26"/>
      <c r="G108" s="26"/>
      <c r="H108" s="26"/>
      <c r="I108" s="26"/>
      <c r="J108" s="26"/>
      <c r="K108" s="26"/>
      <c r="L108" s="26"/>
      <c r="M108" s="26"/>
      <c r="N108" s="26"/>
      <c r="O108" s="26"/>
      <c r="P108" s="26"/>
      <c r="Q108" s="26"/>
      <c r="R108" s="26"/>
      <c r="S108" s="59"/>
      <c r="T108" s="59"/>
      <c r="U108" s="59"/>
      <c r="V108" s="196"/>
      <c r="W108" s="6"/>
    </row>
    <row r="109" spans="1:24" ht="15.6">
      <c r="A109" s="7"/>
      <c r="B109" s="12"/>
      <c r="C109" s="9"/>
      <c r="D109" s="9"/>
      <c r="E109" s="9"/>
      <c r="F109" s="9"/>
      <c r="G109" s="9"/>
      <c r="H109" s="9"/>
      <c r="I109" s="9"/>
      <c r="J109" s="9"/>
      <c r="K109" s="9"/>
      <c r="L109" s="9"/>
      <c r="M109" s="9"/>
      <c r="N109" s="9"/>
      <c r="O109" s="9"/>
      <c r="P109" s="9"/>
      <c r="Q109" s="9"/>
      <c r="R109" s="9"/>
      <c r="S109" s="66"/>
      <c r="T109" s="66"/>
      <c r="U109" s="66"/>
      <c r="V109" s="194"/>
      <c r="W109" s="6"/>
    </row>
    <row r="110" spans="1:24" ht="16.2" thickBot="1">
      <c r="A110" s="130"/>
      <c r="B110" s="131" t="str">
        <f>+B59</f>
        <v>PPAF3 INVESTOR REPORT QUARTER ENDING SEPTEMBER 2006</v>
      </c>
      <c r="C110" s="132"/>
      <c r="D110" s="132"/>
      <c r="E110" s="132"/>
      <c r="F110" s="132"/>
      <c r="G110" s="132"/>
      <c r="H110" s="132"/>
      <c r="I110" s="132"/>
      <c r="J110" s="132"/>
      <c r="K110" s="132"/>
      <c r="L110" s="132"/>
      <c r="M110" s="132"/>
      <c r="N110" s="132"/>
      <c r="O110" s="132"/>
      <c r="P110" s="132"/>
      <c r="Q110" s="132"/>
      <c r="R110" s="132"/>
      <c r="S110" s="135"/>
      <c r="T110" s="135"/>
      <c r="U110" s="135"/>
      <c r="V110" s="134"/>
      <c r="W110" s="6"/>
    </row>
    <row r="111" spans="1:24" ht="15.6">
      <c r="A111" s="2"/>
      <c r="B111" s="5"/>
      <c r="C111" s="5"/>
      <c r="D111" s="5"/>
      <c r="E111" s="5"/>
      <c r="F111" s="5"/>
      <c r="G111" s="5"/>
      <c r="H111" s="5"/>
      <c r="I111" s="5"/>
      <c r="J111" s="5"/>
      <c r="K111" s="5"/>
      <c r="L111" s="5"/>
      <c r="M111" s="5"/>
      <c r="N111" s="5"/>
      <c r="O111" s="5"/>
      <c r="P111" s="5"/>
      <c r="Q111" s="5"/>
      <c r="R111" s="5"/>
      <c r="S111" s="67"/>
      <c r="T111" s="67"/>
      <c r="U111" s="67"/>
      <c r="V111" s="193"/>
      <c r="W111" s="6"/>
    </row>
    <row r="112" spans="1:24" ht="15.6">
      <c r="A112" s="68"/>
      <c r="B112" s="69" t="s">
        <v>41</v>
      </c>
      <c r="C112" s="70"/>
      <c r="D112" s="70"/>
      <c r="E112" s="70"/>
      <c r="F112" s="70"/>
      <c r="G112" s="70"/>
      <c r="H112" s="70"/>
      <c r="I112" s="70"/>
      <c r="J112" s="70"/>
      <c r="K112" s="70"/>
      <c r="L112" s="70"/>
      <c r="M112" s="70"/>
      <c r="N112" s="70"/>
      <c r="O112" s="70"/>
      <c r="P112" s="70"/>
      <c r="Q112" s="70"/>
      <c r="R112" s="70"/>
      <c r="S112" s="70"/>
      <c r="T112" s="70"/>
      <c r="U112" s="71"/>
      <c r="V112" s="201"/>
      <c r="W112" s="6"/>
    </row>
    <row r="113" spans="1:23" ht="15.6">
      <c r="A113" s="68"/>
      <c r="B113" s="70"/>
      <c r="C113" s="70"/>
      <c r="D113" s="70"/>
      <c r="E113" s="70"/>
      <c r="F113" s="70"/>
      <c r="G113" s="70"/>
      <c r="H113" s="70"/>
      <c r="I113" s="70"/>
      <c r="J113" s="70"/>
      <c r="K113" s="70"/>
      <c r="L113" s="70"/>
      <c r="M113" s="70"/>
      <c r="N113" s="70"/>
      <c r="O113" s="70"/>
      <c r="P113" s="70"/>
      <c r="Q113" s="70"/>
      <c r="R113" s="70"/>
      <c r="S113" s="70"/>
      <c r="T113" s="70"/>
      <c r="U113" s="71"/>
      <c r="V113" s="202"/>
      <c r="W113" s="6"/>
    </row>
    <row r="114" spans="1:23" ht="15.6">
      <c r="A114" s="7"/>
      <c r="B114" s="153" t="s">
        <v>42</v>
      </c>
      <c r="C114" s="13"/>
      <c r="D114" s="13"/>
      <c r="E114" s="13"/>
      <c r="F114" s="13"/>
      <c r="G114" s="13"/>
      <c r="H114" s="13"/>
      <c r="I114" s="13"/>
      <c r="J114" s="13"/>
      <c r="K114" s="13"/>
      <c r="L114" s="13"/>
      <c r="M114" s="9"/>
      <c r="N114" s="9"/>
      <c r="O114" s="9"/>
      <c r="P114" s="9"/>
      <c r="Q114" s="9"/>
      <c r="R114" s="9"/>
      <c r="S114" s="9"/>
      <c r="T114" s="9"/>
      <c r="U114" s="58"/>
      <c r="V114" s="194"/>
      <c r="W114" s="6"/>
    </row>
    <row r="115" spans="1:23" ht="15.6">
      <c r="A115" s="25"/>
      <c r="B115" s="26" t="s">
        <v>43</v>
      </c>
      <c r="C115" s="26"/>
      <c r="D115" s="26"/>
      <c r="E115" s="26"/>
      <c r="F115" s="26"/>
      <c r="G115" s="26"/>
      <c r="H115" s="26"/>
      <c r="I115" s="26"/>
      <c r="J115" s="26"/>
      <c r="K115" s="26"/>
      <c r="L115" s="26"/>
      <c r="M115" s="26"/>
      <c r="N115" s="26"/>
      <c r="O115" s="26"/>
      <c r="P115" s="26"/>
      <c r="Q115" s="26"/>
      <c r="R115" s="26"/>
      <c r="S115" s="26"/>
      <c r="T115" s="26"/>
      <c r="U115" s="60">
        <v>40500</v>
      </c>
      <c r="V115" s="196"/>
      <c r="W115" s="6"/>
    </row>
    <row r="116" spans="1:23" ht="15.6">
      <c r="A116" s="25"/>
      <c r="B116" s="26" t="s">
        <v>208</v>
      </c>
      <c r="C116" s="26"/>
      <c r="D116" s="26"/>
      <c r="E116" s="26"/>
      <c r="F116" s="26"/>
      <c r="G116" s="26"/>
      <c r="H116" s="26"/>
      <c r="I116" s="26"/>
      <c r="J116" s="26"/>
      <c r="K116" s="26"/>
      <c r="L116" s="26"/>
      <c r="M116" s="26"/>
      <c r="N116" s="26"/>
      <c r="O116" s="26"/>
      <c r="P116" s="26"/>
      <c r="Q116" s="26"/>
      <c r="R116" s="26"/>
      <c r="S116" s="26"/>
      <c r="T116" s="26"/>
      <c r="U116" s="60">
        <v>0</v>
      </c>
      <c r="V116" s="196"/>
      <c r="W116" s="6"/>
    </row>
    <row r="117" spans="1:23" ht="15.6">
      <c r="A117" s="25"/>
      <c r="B117" s="26" t="s">
        <v>44</v>
      </c>
      <c r="C117" s="26"/>
      <c r="D117" s="26"/>
      <c r="E117" s="26"/>
      <c r="F117" s="26"/>
      <c r="G117" s="26"/>
      <c r="H117" s="26"/>
      <c r="I117" s="26"/>
      <c r="J117" s="26"/>
      <c r="K117" s="26"/>
      <c r="L117" s="26"/>
      <c r="M117" s="26"/>
      <c r="N117" s="26"/>
      <c r="O117" s="26"/>
      <c r="P117" s="26"/>
      <c r="Q117" s="26"/>
      <c r="R117" s="26"/>
      <c r="S117" s="26"/>
      <c r="T117" s="26"/>
      <c r="U117" s="60">
        <v>0</v>
      </c>
      <c r="V117" s="196"/>
      <c r="W117" s="6"/>
    </row>
    <row r="118" spans="1:23" ht="15.6">
      <c r="A118" s="25"/>
      <c r="B118" s="26" t="s">
        <v>209</v>
      </c>
      <c r="C118" s="26"/>
      <c r="D118" s="26"/>
      <c r="E118" s="26"/>
      <c r="F118" s="26"/>
      <c r="G118" s="26"/>
      <c r="H118" s="26"/>
      <c r="I118" s="26"/>
      <c r="J118" s="26"/>
      <c r="K118" s="26"/>
      <c r="L118" s="26"/>
      <c r="M118" s="26"/>
      <c r="N118" s="26"/>
      <c r="O118" s="26"/>
      <c r="P118" s="26"/>
      <c r="Q118" s="26"/>
      <c r="R118" s="26"/>
      <c r="S118" s="26"/>
      <c r="T118" s="26"/>
      <c r="U118" s="60">
        <v>0</v>
      </c>
      <c r="V118" s="196"/>
      <c r="W118" s="6"/>
    </row>
    <row r="119" spans="1:23" ht="15.6">
      <c r="A119" s="25"/>
      <c r="B119" s="26" t="s">
        <v>210</v>
      </c>
      <c r="C119" s="26"/>
      <c r="D119" s="26"/>
      <c r="E119" s="26"/>
      <c r="F119" s="26"/>
      <c r="G119" s="26"/>
      <c r="H119" s="26"/>
      <c r="I119" s="26"/>
      <c r="J119" s="26"/>
      <c r="K119" s="26"/>
      <c r="L119" s="26"/>
      <c r="M119" s="26"/>
      <c r="N119" s="26"/>
      <c r="O119" s="26"/>
      <c r="P119" s="26"/>
      <c r="Q119" s="26"/>
      <c r="R119" s="26"/>
      <c r="S119" s="26"/>
      <c r="T119" s="26"/>
      <c r="U119" s="60">
        <v>0</v>
      </c>
      <c r="V119" s="196"/>
      <c r="W119" s="6"/>
    </row>
    <row r="120" spans="1:23" ht="15.6">
      <c r="A120" s="25"/>
      <c r="B120" s="26" t="s">
        <v>211</v>
      </c>
      <c r="C120" s="26"/>
      <c r="D120" s="26"/>
      <c r="E120" s="26"/>
      <c r="F120" s="26"/>
      <c r="G120" s="26"/>
      <c r="H120" s="26"/>
      <c r="I120" s="26"/>
      <c r="J120" s="26"/>
      <c r="K120" s="26"/>
      <c r="L120" s="26"/>
      <c r="M120" s="26"/>
      <c r="N120" s="26"/>
      <c r="O120" s="26"/>
      <c r="P120" s="26"/>
      <c r="Q120" s="26"/>
      <c r="R120" s="26"/>
      <c r="S120" s="26"/>
      <c r="T120" s="26"/>
      <c r="U120" s="60">
        <v>0</v>
      </c>
      <c r="V120" s="196"/>
      <c r="W120" s="6"/>
    </row>
    <row r="121" spans="1:23" ht="15.6">
      <c r="A121" s="25"/>
      <c r="B121" s="26" t="s">
        <v>212</v>
      </c>
      <c r="C121" s="26"/>
      <c r="D121" s="26"/>
      <c r="E121" s="26"/>
      <c r="F121" s="26"/>
      <c r="G121" s="26"/>
      <c r="H121" s="26"/>
      <c r="I121" s="26"/>
      <c r="J121" s="26"/>
      <c r="K121" s="26"/>
      <c r="L121" s="26"/>
      <c r="M121" s="26"/>
      <c r="N121" s="26"/>
      <c r="O121" s="26"/>
      <c r="P121" s="26"/>
      <c r="Q121" s="26"/>
      <c r="R121" s="26"/>
      <c r="S121" s="26"/>
      <c r="T121" s="26"/>
      <c r="U121" s="60">
        <v>0</v>
      </c>
      <c r="V121" s="196"/>
      <c r="W121" s="6"/>
    </row>
    <row r="122" spans="1:23" ht="15.6">
      <c r="A122" s="25"/>
      <c r="B122" s="26" t="s">
        <v>45</v>
      </c>
      <c r="C122" s="26"/>
      <c r="D122" s="26"/>
      <c r="E122" s="26"/>
      <c r="F122" s="26"/>
      <c r="G122" s="26"/>
      <c r="H122" s="26"/>
      <c r="I122" s="26"/>
      <c r="J122" s="26"/>
      <c r="K122" s="26"/>
      <c r="L122" s="26"/>
      <c r="M122" s="26"/>
      <c r="N122" s="26"/>
      <c r="O122" s="26"/>
      <c r="P122" s="26"/>
      <c r="Q122" s="26"/>
      <c r="R122" s="26"/>
      <c r="S122" s="26"/>
      <c r="T122" s="26"/>
      <c r="U122" s="60">
        <f>+U115-U116-U117-U118-U119-U120-U121</f>
        <v>40500</v>
      </c>
      <c r="V122" s="196"/>
      <c r="W122" s="6"/>
    </row>
    <row r="123" spans="1:23" ht="15.6">
      <c r="A123" s="25"/>
      <c r="B123" s="26"/>
      <c r="C123" s="26"/>
      <c r="D123" s="26"/>
      <c r="E123" s="26"/>
      <c r="F123" s="26"/>
      <c r="G123" s="26"/>
      <c r="H123" s="26"/>
      <c r="I123" s="26"/>
      <c r="J123" s="26"/>
      <c r="K123" s="26"/>
      <c r="L123" s="26"/>
      <c r="M123" s="26"/>
      <c r="N123" s="26"/>
      <c r="O123" s="26"/>
      <c r="P123" s="26"/>
      <c r="Q123" s="26"/>
      <c r="R123" s="26"/>
      <c r="S123" s="26"/>
      <c r="T123" s="26"/>
      <c r="U123" s="73"/>
      <c r="V123" s="196"/>
      <c r="W123" s="6"/>
    </row>
    <row r="124" spans="1:23" ht="15.6">
      <c r="A124" s="7"/>
      <c r="B124" s="153" t="s">
        <v>46</v>
      </c>
      <c r="C124" s="13"/>
      <c r="D124" s="13"/>
      <c r="E124" s="13"/>
      <c r="F124" s="13"/>
      <c r="G124" s="13"/>
      <c r="H124" s="13"/>
      <c r="I124" s="13"/>
      <c r="J124" s="13"/>
      <c r="K124" s="13"/>
      <c r="L124" s="13"/>
      <c r="M124" s="9"/>
      <c r="N124" s="9"/>
      <c r="O124" s="9"/>
      <c r="P124" s="188"/>
      <c r="Q124" s="9"/>
      <c r="R124" s="9"/>
      <c r="S124" s="9"/>
      <c r="T124" s="9"/>
      <c r="U124" s="75"/>
      <c r="V124" s="194"/>
      <c r="W124" s="6"/>
    </row>
    <row r="125" spans="1:23" ht="15.6">
      <c r="A125" s="7"/>
      <c r="B125" s="13"/>
      <c r="C125" s="17" t="s">
        <v>185</v>
      </c>
      <c r="D125" s="17"/>
      <c r="E125" s="17" t="s">
        <v>99</v>
      </c>
      <c r="F125" s="17"/>
      <c r="G125" s="17" t="s">
        <v>102</v>
      </c>
      <c r="H125" s="17"/>
      <c r="I125" s="17" t="s">
        <v>108</v>
      </c>
      <c r="J125" s="17"/>
      <c r="K125" s="17"/>
      <c r="L125" s="17"/>
      <c r="M125" s="17"/>
      <c r="N125" s="17"/>
      <c r="O125" s="17"/>
      <c r="P125" s="188"/>
      <c r="Q125" s="188"/>
      <c r="R125" s="9"/>
      <c r="S125" s="9"/>
      <c r="T125" s="9"/>
      <c r="U125" s="75"/>
      <c r="V125" s="194"/>
      <c r="W125" s="6"/>
    </row>
    <row r="126" spans="1:23" ht="15.6">
      <c r="A126" s="25"/>
      <c r="B126" s="26" t="s">
        <v>122</v>
      </c>
      <c r="C126" s="59">
        <f>+N199-'June 06'!N199</f>
        <v>645</v>
      </c>
      <c r="D126" s="26"/>
      <c r="E126" s="59">
        <f>+S199-'June 06'!S199</f>
        <v>58</v>
      </c>
      <c r="F126" s="26"/>
      <c r="G126" s="59">
        <f>+N212-'June 06'!N212</f>
        <v>25</v>
      </c>
      <c r="H126" s="26"/>
      <c r="I126" s="59">
        <f>+S212-'June 06'!S212</f>
        <v>27</v>
      </c>
      <c r="J126" s="26"/>
      <c r="K126" s="26"/>
      <c r="L126" s="26"/>
      <c r="M126" s="26"/>
      <c r="N126" s="26"/>
      <c r="O126" s="26"/>
      <c r="P126" s="189"/>
      <c r="Q126" s="189"/>
      <c r="R126" s="26"/>
      <c r="S126" s="26"/>
      <c r="T126" s="26"/>
      <c r="U126" s="60">
        <f>SUM(C126:I126)</f>
        <v>755</v>
      </c>
      <c r="V126" s="196"/>
      <c r="W126" s="6"/>
    </row>
    <row r="127" spans="1:23" ht="15.6">
      <c r="A127" s="25"/>
      <c r="B127" s="26" t="s">
        <v>47</v>
      </c>
      <c r="C127" s="26">
        <v>732</v>
      </c>
      <c r="D127" s="26"/>
      <c r="E127" s="26">
        <v>0</v>
      </c>
      <c r="F127" s="26"/>
      <c r="G127" s="26">
        <v>586</v>
      </c>
      <c r="H127" s="26"/>
      <c r="I127" s="59">
        <v>2599</v>
      </c>
      <c r="J127" s="26"/>
      <c r="K127" s="26"/>
      <c r="L127" s="26"/>
      <c r="M127" s="26"/>
      <c r="N127" s="26"/>
      <c r="O127" s="26"/>
      <c r="P127" s="189"/>
      <c r="Q127" s="189"/>
      <c r="R127" s="26"/>
      <c r="S127" s="26"/>
      <c r="T127" s="26"/>
      <c r="U127" s="60">
        <f>SUM(C127:I127)</f>
        <v>3917</v>
      </c>
      <c r="V127" s="196"/>
      <c r="W127" s="6"/>
    </row>
    <row r="128" spans="1:23" ht="15.6">
      <c r="A128" s="25"/>
      <c r="B128" s="26" t="s">
        <v>48</v>
      </c>
      <c r="C128" s="26"/>
      <c r="D128" s="26"/>
      <c r="E128" s="26"/>
      <c r="F128" s="26"/>
      <c r="G128" s="26"/>
      <c r="H128" s="26"/>
      <c r="I128" s="26"/>
      <c r="J128" s="26"/>
      <c r="K128" s="26"/>
      <c r="L128" s="26"/>
      <c r="M128" s="26"/>
      <c r="N128" s="26"/>
      <c r="O128" s="26"/>
      <c r="P128" s="26"/>
      <c r="Q128" s="26"/>
      <c r="R128" s="26"/>
      <c r="S128" s="26"/>
      <c r="T128" s="26"/>
      <c r="U128" s="60">
        <f>SUM(U126:U127)</f>
        <v>4672</v>
      </c>
      <c r="V128" s="196"/>
      <c r="W128" s="6"/>
    </row>
    <row r="129" spans="1:25" ht="15.6">
      <c r="A129" s="7"/>
      <c r="B129" s="153" t="s">
        <v>49</v>
      </c>
      <c r="C129" s="13"/>
      <c r="D129" s="13"/>
      <c r="E129" s="13"/>
      <c r="F129" s="13"/>
      <c r="G129" s="13"/>
      <c r="H129" s="13"/>
      <c r="I129" s="13"/>
      <c r="J129" s="13"/>
      <c r="K129" s="13"/>
      <c r="L129" s="13"/>
      <c r="M129" s="9"/>
      <c r="N129" s="9"/>
      <c r="O129" s="9"/>
      <c r="P129" s="9"/>
      <c r="Q129" s="9"/>
      <c r="R129" s="9"/>
      <c r="S129" s="9"/>
      <c r="T129" s="9"/>
      <c r="U129" s="58"/>
      <c r="V129" s="194"/>
      <c r="W129" s="6"/>
    </row>
    <row r="130" spans="1:25" ht="15.6">
      <c r="A130" s="25"/>
      <c r="B130" s="26" t="s">
        <v>50</v>
      </c>
      <c r="C130" s="77"/>
      <c r="D130" s="77"/>
      <c r="E130" s="77"/>
      <c r="F130" s="77"/>
      <c r="G130" s="77"/>
      <c r="H130" s="77"/>
      <c r="I130" s="77"/>
      <c r="J130" s="77"/>
      <c r="K130" s="77"/>
      <c r="L130" s="77"/>
      <c r="M130" s="26"/>
      <c r="N130" s="26"/>
      <c r="O130" s="26"/>
      <c r="P130" s="26"/>
      <c r="Q130" s="26"/>
      <c r="R130" s="26"/>
      <c r="S130" s="26"/>
      <c r="T130" s="26"/>
      <c r="U130" s="60">
        <f>U76+U78</f>
        <v>370655</v>
      </c>
      <c r="V130" s="196"/>
      <c r="W130" s="6"/>
      <c r="X130" s="182"/>
    </row>
    <row r="131" spans="1:25" ht="15.6">
      <c r="A131" s="25"/>
      <c r="B131" s="26" t="s">
        <v>51</v>
      </c>
      <c r="C131" s="77"/>
      <c r="D131" s="77"/>
      <c r="E131" s="77"/>
      <c r="F131" s="77"/>
      <c r="G131" s="77"/>
      <c r="H131" s="77"/>
      <c r="I131" s="77"/>
      <c r="J131" s="77"/>
      <c r="K131" s="77"/>
      <c r="L131" s="77"/>
      <c r="M131" s="26"/>
      <c r="N131" s="26"/>
      <c r="O131" s="26"/>
      <c r="P131" s="26"/>
      <c r="Q131" s="26"/>
      <c r="R131" s="26"/>
      <c r="S131" s="26"/>
      <c r="T131" s="26"/>
      <c r="U131" s="60">
        <f>U79</f>
        <v>79345</v>
      </c>
      <c r="V131" s="196"/>
      <c r="W131" s="6"/>
      <c r="Y131" s="182"/>
    </row>
    <row r="132" spans="1:25" ht="15.6">
      <c r="A132" s="25"/>
      <c r="B132" s="26" t="s">
        <v>52</v>
      </c>
      <c r="C132" s="77"/>
      <c r="D132" s="77"/>
      <c r="E132" s="77"/>
      <c r="F132" s="77"/>
      <c r="G132" s="77"/>
      <c r="H132" s="77"/>
      <c r="I132" s="77"/>
      <c r="J132" s="77"/>
      <c r="K132" s="77"/>
      <c r="L132" s="77"/>
      <c r="M132" s="26"/>
      <c r="N132" s="26"/>
      <c r="O132" s="26"/>
      <c r="P132" s="26"/>
      <c r="Q132" s="26"/>
      <c r="R132" s="26"/>
      <c r="S132" s="26"/>
      <c r="T132" s="26"/>
      <c r="U132" s="60">
        <f>+U130+U131</f>
        <v>450000</v>
      </c>
      <c r="V132" s="196"/>
      <c r="W132" s="6"/>
    </row>
    <row r="133" spans="1:25" ht="15.6">
      <c r="A133" s="25"/>
      <c r="B133" s="26" t="s">
        <v>53</v>
      </c>
      <c r="C133" s="77"/>
      <c r="D133" s="77"/>
      <c r="E133" s="77"/>
      <c r="F133" s="77"/>
      <c r="G133" s="77"/>
      <c r="H133" s="77"/>
      <c r="I133" s="77"/>
      <c r="J133" s="77"/>
      <c r="K133" s="77"/>
      <c r="L133" s="77"/>
      <c r="M133" s="26"/>
      <c r="N133" s="26"/>
      <c r="O133" s="26"/>
      <c r="P133" s="26"/>
      <c r="Q133" s="26"/>
      <c r="R133" s="26"/>
      <c r="S133" s="26"/>
      <c r="T133" s="26"/>
      <c r="U133" s="60">
        <f>U81</f>
        <v>450000</v>
      </c>
      <c r="V133" s="196"/>
      <c r="W133" s="6"/>
      <c r="X133" s="64"/>
    </row>
    <row r="134" spans="1:25" ht="15.6">
      <c r="A134" s="25"/>
      <c r="B134" s="26"/>
      <c r="C134" s="26"/>
      <c r="D134" s="26"/>
      <c r="E134" s="26"/>
      <c r="F134" s="26"/>
      <c r="G134" s="26"/>
      <c r="H134" s="26"/>
      <c r="I134" s="26"/>
      <c r="J134" s="26"/>
      <c r="K134" s="26"/>
      <c r="L134" s="26"/>
      <c r="M134" s="26"/>
      <c r="N134" s="26"/>
      <c r="O134" s="26"/>
      <c r="P134" s="26"/>
      <c r="Q134" s="26"/>
      <c r="R134" s="26"/>
      <c r="S134" s="26"/>
      <c r="T134" s="26"/>
      <c r="U134" s="78"/>
      <c r="V134" s="196"/>
      <c r="W134" s="6"/>
    </row>
    <row r="135" spans="1:25" ht="15.6">
      <c r="A135" s="7"/>
      <c r="B135" s="153" t="s">
        <v>54</v>
      </c>
      <c r="C135" s="141"/>
      <c r="D135" s="141"/>
      <c r="E135" s="141"/>
      <c r="F135" s="141"/>
      <c r="G135" s="141"/>
      <c r="H135" s="141"/>
      <c r="I135" s="141"/>
      <c r="J135" s="141"/>
      <c r="K135" s="141"/>
      <c r="L135" s="141"/>
      <c r="M135" s="141"/>
      <c r="N135" s="141"/>
      <c r="O135" s="141"/>
      <c r="P135" s="141"/>
      <c r="Q135" s="142" t="s">
        <v>112</v>
      </c>
      <c r="R135" s="154"/>
      <c r="S135" s="142" t="s">
        <v>114</v>
      </c>
      <c r="T135" s="141"/>
      <c r="U135" s="155" t="s">
        <v>90</v>
      </c>
      <c r="V135" s="194"/>
      <c r="W135" s="6"/>
    </row>
    <row r="136" spans="1:25" ht="15.6">
      <c r="A136" s="25"/>
      <c r="B136" s="26" t="s">
        <v>55</v>
      </c>
      <c r="C136" s="26"/>
      <c r="D136" s="26"/>
      <c r="E136" s="26"/>
      <c r="F136" s="26"/>
      <c r="G136" s="26"/>
      <c r="H136" s="26"/>
      <c r="I136" s="26"/>
      <c r="J136" s="26"/>
      <c r="K136" s="26"/>
      <c r="L136" s="26"/>
      <c r="M136" s="26"/>
      <c r="N136" s="26"/>
      <c r="O136" s="26"/>
      <c r="P136" s="26"/>
      <c r="Q136" s="60">
        <v>0</v>
      </c>
      <c r="R136" s="26"/>
      <c r="S136" s="79" t="s">
        <v>115</v>
      </c>
      <c r="T136" s="26"/>
      <c r="U136" s="60">
        <f>Q136</f>
        <v>0</v>
      </c>
      <c r="V136" s="196"/>
      <c r="W136" s="6"/>
    </row>
    <row r="137" spans="1:25" ht="15.6">
      <c r="A137" s="25"/>
      <c r="B137" s="26" t="s">
        <v>56</v>
      </c>
      <c r="C137" s="26"/>
      <c r="D137" s="26"/>
      <c r="E137" s="26"/>
      <c r="F137" s="26"/>
      <c r="G137" s="26"/>
      <c r="H137" s="26"/>
      <c r="I137" s="26"/>
      <c r="J137" s="26"/>
      <c r="K137" s="26"/>
      <c r="L137" s="26"/>
      <c r="M137" s="26"/>
      <c r="N137" s="26"/>
      <c r="O137" s="26"/>
      <c r="P137" s="26"/>
      <c r="Q137" s="60">
        <f>+'June 06'!Q139</f>
        <v>1178</v>
      </c>
      <c r="R137" s="26"/>
      <c r="S137" s="79" t="s">
        <v>115</v>
      </c>
      <c r="T137" s="26"/>
      <c r="U137" s="60">
        <f>Q137</f>
        <v>1178</v>
      </c>
      <c r="V137" s="196"/>
      <c r="W137" s="6"/>
    </row>
    <row r="138" spans="1:25" ht="15.6">
      <c r="A138" s="25"/>
      <c r="B138" s="26" t="s">
        <v>57</v>
      </c>
      <c r="C138" s="26"/>
      <c r="D138" s="26"/>
      <c r="E138" s="26"/>
      <c r="F138" s="26"/>
      <c r="G138" s="26"/>
      <c r="H138" s="26"/>
      <c r="I138" s="26"/>
      <c r="J138" s="26"/>
      <c r="K138" s="26"/>
      <c r="L138" s="26"/>
      <c r="M138" s="26"/>
      <c r="N138" s="26"/>
      <c r="O138" s="26"/>
      <c r="P138" s="26"/>
      <c r="Q138" s="60">
        <v>312</v>
      </c>
      <c r="R138" s="26"/>
      <c r="S138" s="79" t="s">
        <v>115</v>
      </c>
      <c r="T138" s="26"/>
      <c r="U138" s="60">
        <f>Q138</f>
        <v>312</v>
      </c>
      <c r="V138" s="196"/>
      <c r="W138" s="6"/>
    </row>
    <row r="139" spans="1:25" ht="15.6">
      <c r="A139" s="25"/>
      <c r="B139" s="26" t="s">
        <v>58</v>
      </c>
      <c r="C139" s="26"/>
      <c r="D139" s="26"/>
      <c r="E139" s="26"/>
      <c r="F139" s="26"/>
      <c r="G139" s="26"/>
      <c r="H139" s="26"/>
      <c r="I139" s="26"/>
      <c r="J139" s="26"/>
      <c r="K139" s="26"/>
      <c r="L139" s="26"/>
      <c r="M139" s="26"/>
      <c r="N139" s="26"/>
      <c r="O139" s="26"/>
      <c r="P139" s="26"/>
      <c r="Q139" s="60">
        <f>SUM(Q137:Q138)</f>
        <v>1490</v>
      </c>
      <c r="R139" s="26"/>
      <c r="S139" s="79" t="s">
        <v>115</v>
      </c>
      <c r="T139" s="26"/>
      <c r="U139" s="60">
        <f>Q139</f>
        <v>1490</v>
      </c>
      <c r="V139" s="196"/>
      <c r="W139" s="6"/>
    </row>
    <row r="140" spans="1:25" ht="15.6">
      <c r="A140" s="25"/>
      <c r="B140" s="26" t="s">
        <v>215</v>
      </c>
      <c r="C140" s="26"/>
      <c r="D140" s="26"/>
      <c r="E140" s="26"/>
      <c r="F140" s="26"/>
      <c r="G140" s="26"/>
      <c r="H140" s="26"/>
      <c r="I140" s="26"/>
      <c r="J140" s="26"/>
      <c r="K140" s="26"/>
      <c r="L140" s="26"/>
      <c r="M140" s="26"/>
      <c r="N140" s="26"/>
      <c r="O140" s="26"/>
      <c r="P140" s="26"/>
      <c r="Q140" s="60"/>
      <c r="R140" s="26"/>
      <c r="S140" s="79"/>
      <c r="T140" s="26"/>
      <c r="U140" s="60"/>
      <c r="V140" s="196"/>
      <c r="W140" s="6"/>
    </row>
    <row r="141" spans="1:25" ht="15.6">
      <c r="A141" s="25"/>
      <c r="B141" s="26"/>
      <c r="C141" s="26"/>
      <c r="D141" s="26"/>
      <c r="E141" s="26"/>
      <c r="F141" s="26"/>
      <c r="G141" s="26"/>
      <c r="H141" s="26"/>
      <c r="I141" s="26"/>
      <c r="J141" s="26"/>
      <c r="K141" s="26"/>
      <c r="L141" s="26"/>
      <c r="M141" s="26"/>
      <c r="N141" s="26"/>
      <c r="O141" s="26"/>
      <c r="P141" s="26"/>
      <c r="Q141" s="26"/>
      <c r="R141" s="26"/>
      <c r="S141" s="26"/>
      <c r="T141" s="26"/>
      <c r="U141" s="26"/>
      <c r="V141" s="196"/>
      <c r="W141" s="6"/>
    </row>
    <row r="142" spans="1:25" ht="15.6">
      <c r="A142" s="25"/>
      <c r="B142" s="29"/>
      <c r="C142" s="29"/>
      <c r="D142" s="29"/>
      <c r="E142" s="29"/>
      <c r="F142" s="29"/>
      <c r="G142" s="29"/>
      <c r="H142" s="29"/>
      <c r="I142" s="29"/>
      <c r="J142" s="29"/>
      <c r="K142" s="29"/>
      <c r="L142" s="29"/>
      <c r="M142" s="29"/>
      <c r="N142" s="29"/>
      <c r="O142" s="29"/>
      <c r="P142" s="29"/>
      <c r="Q142" s="29"/>
      <c r="R142" s="29"/>
      <c r="S142" s="29"/>
      <c r="T142" s="29"/>
      <c r="U142" s="29"/>
      <c r="V142" s="203"/>
      <c r="W142" s="6"/>
    </row>
    <row r="143" spans="1:25" ht="15.6">
      <c r="A143" s="80"/>
      <c r="B143" s="57" t="s">
        <v>59</v>
      </c>
      <c r="C143" s="81"/>
      <c r="D143" s="81"/>
      <c r="E143" s="81"/>
      <c r="F143" s="81"/>
      <c r="G143" s="81"/>
      <c r="H143" s="81"/>
      <c r="I143" s="81"/>
      <c r="J143" s="81"/>
      <c r="K143" s="81"/>
      <c r="L143" s="81"/>
      <c r="M143" s="81"/>
      <c r="N143" s="81"/>
      <c r="O143" s="81"/>
      <c r="P143" s="19"/>
      <c r="Q143" s="19"/>
      <c r="R143" s="19"/>
      <c r="S143" s="19">
        <v>38989</v>
      </c>
      <c r="T143" s="15"/>
      <c r="U143" s="15"/>
      <c r="V143" s="194"/>
      <c r="W143" s="6"/>
    </row>
    <row r="144" spans="1:25" ht="15.6">
      <c r="A144" s="82"/>
      <c r="B144" s="83" t="s">
        <v>60</v>
      </c>
      <c r="C144" s="84"/>
      <c r="D144" s="84"/>
      <c r="E144" s="84"/>
      <c r="F144" s="84"/>
      <c r="G144" s="84"/>
      <c r="H144" s="84"/>
      <c r="I144" s="84"/>
      <c r="J144" s="84"/>
      <c r="K144" s="84"/>
      <c r="L144" s="84"/>
      <c r="M144" s="84"/>
      <c r="N144" s="84"/>
      <c r="O144" s="84"/>
      <c r="P144" s="85"/>
      <c r="Q144" s="85"/>
      <c r="R144" s="85"/>
      <c r="S144" s="86">
        <v>0.10630000000000001</v>
      </c>
      <c r="T144" s="26"/>
      <c r="U144" s="26"/>
      <c r="V144" s="196"/>
      <c r="W144" s="6"/>
    </row>
    <row r="145" spans="1:23" ht="15.6">
      <c r="A145" s="82"/>
      <c r="B145" s="83" t="s">
        <v>61</v>
      </c>
      <c r="C145" s="84"/>
      <c r="D145" s="84"/>
      <c r="E145" s="84"/>
      <c r="F145" s="84"/>
      <c r="G145" s="84"/>
      <c r="H145" s="84"/>
      <c r="I145" s="84"/>
      <c r="J145" s="84"/>
      <c r="K145" s="84"/>
      <c r="L145" s="84"/>
      <c r="M145" s="84"/>
      <c r="N145" s="84"/>
      <c r="O145" s="84"/>
      <c r="P145" s="85"/>
      <c r="Q145" s="85"/>
      <c r="R145" s="85"/>
      <c r="S145" s="86">
        <v>5.2200000000000003E-2</v>
      </c>
      <c r="T145" s="86"/>
      <c r="U145" s="26"/>
      <c r="V145" s="196"/>
      <c r="W145" s="6"/>
    </row>
    <row r="146" spans="1:23" ht="15.6">
      <c r="A146" s="82"/>
      <c r="B146" s="83" t="s">
        <v>62</v>
      </c>
      <c r="C146" s="84"/>
      <c r="D146" s="84"/>
      <c r="E146" s="84"/>
      <c r="F146" s="84"/>
      <c r="G146" s="84"/>
      <c r="H146" s="84"/>
      <c r="I146" s="84"/>
      <c r="J146" s="84"/>
      <c r="K146" s="84"/>
      <c r="L146" s="84"/>
      <c r="M146" s="84"/>
      <c r="N146" s="84"/>
      <c r="O146" s="84"/>
      <c r="P146" s="85"/>
      <c r="Q146" s="85"/>
      <c r="R146" s="85"/>
      <c r="S146" s="86">
        <f>S144-S145</f>
        <v>5.4100000000000002E-2</v>
      </c>
      <c r="T146" s="26"/>
      <c r="U146" s="26"/>
      <c r="V146" s="196"/>
      <c r="W146" s="6"/>
    </row>
    <row r="147" spans="1:23" ht="15.6">
      <c r="A147" s="82"/>
      <c r="B147" s="83" t="s">
        <v>63</v>
      </c>
      <c r="C147" s="84"/>
      <c r="D147" s="84"/>
      <c r="E147" s="84"/>
      <c r="F147" s="84"/>
      <c r="G147" s="84"/>
      <c r="H147" s="84"/>
      <c r="I147" s="84"/>
      <c r="J147" s="84"/>
      <c r="K147" s="84"/>
      <c r="L147" s="84"/>
      <c r="M147" s="84"/>
      <c r="N147" s="84"/>
      <c r="O147" s="84"/>
      <c r="P147" s="85"/>
      <c r="Q147" s="85"/>
      <c r="R147" s="85"/>
      <c r="S147" s="86">
        <v>0.1012</v>
      </c>
      <c r="T147" s="26"/>
      <c r="U147" s="26"/>
      <c r="V147" s="196"/>
      <c r="W147" s="6"/>
    </row>
    <row r="148" spans="1:23" ht="15.6">
      <c r="A148" s="82"/>
      <c r="B148" s="83" t="s">
        <v>64</v>
      </c>
      <c r="C148" s="84"/>
      <c r="D148" s="84"/>
      <c r="E148" s="84"/>
      <c r="F148" s="84"/>
      <c r="G148" s="84"/>
      <c r="H148" s="84"/>
      <c r="I148" s="84"/>
      <c r="J148" s="84"/>
      <c r="K148" s="84"/>
      <c r="L148" s="84"/>
      <c r="M148" s="84"/>
      <c r="N148" s="84"/>
      <c r="O148" s="84"/>
      <c r="P148" s="85"/>
      <c r="Q148" s="85"/>
      <c r="R148" s="85"/>
      <c r="S148" s="86">
        <f>+U40</f>
        <v>5.0440807444444444E-2</v>
      </c>
      <c r="T148" s="26"/>
      <c r="U148" s="26"/>
      <c r="V148" s="196"/>
      <c r="W148" s="6"/>
    </row>
    <row r="149" spans="1:23" ht="15.6">
      <c r="A149" s="82"/>
      <c r="B149" s="83" t="s">
        <v>65</v>
      </c>
      <c r="C149" s="84"/>
      <c r="D149" s="84"/>
      <c r="E149" s="84"/>
      <c r="F149" s="84"/>
      <c r="G149" s="84"/>
      <c r="H149" s="84"/>
      <c r="I149" s="84"/>
      <c r="J149" s="84"/>
      <c r="K149" s="84"/>
      <c r="L149" s="84"/>
      <c r="M149" s="84"/>
      <c r="N149" s="84"/>
      <c r="O149" s="84"/>
      <c r="P149" s="85"/>
      <c r="Q149" s="85"/>
      <c r="R149" s="85"/>
      <c r="S149" s="86">
        <f>S147-S148</f>
        <v>5.0759192555555555E-2</v>
      </c>
      <c r="T149" s="26"/>
      <c r="U149" s="26"/>
      <c r="V149" s="196"/>
      <c r="W149" s="6"/>
    </row>
    <row r="150" spans="1:23" ht="15.6">
      <c r="A150" s="82"/>
      <c r="B150" s="83" t="s">
        <v>204</v>
      </c>
      <c r="C150" s="84"/>
      <c r="D150" s="84"/>
      <c r="E150" s="84"/>
      <c r="F150" s="84"/>
      <c r="G150" s="84"/>
      <c r="H150" s="84"/>
      <c r="I150" s="84"/>
      <c r="J150" s="84"/>
      <c r="K150" s="84"/>
      <c r="L150" s="84"/>
      <c r="M150" s="84"/>
      <c r="N150" s="84"/>
      <c r="O150" s="84"/>
      <c r="P150" s="85"/>
      <c r="Q150" s="85"/>
      <c r="R150" s="85"/>
      <c r="S150" s="183">
        <v>49780</v>
      </c>
      <c r="T150" s="26"/>
      <c r="U150" s="26"/>
      <c r="V150" s="196"/>
      <c r="W150" s="6"/>
    </row>
    <row r="151" spans="1:23" ht="15.6">
      <c r="A151" s="82"/>
      <c r="B151" s="83" t="s">
        <v>205</v>
      </c>
      <c r="C151" s="84"/>
      <c r="D151" s="84"/>
      <c r="E151" s="84"/>
      <c r="F151" s="84"/>
      <c r="G151" s="84"/>
      <c r="H151" s="84"/>
      <c r="I151" s="84"/>
      <c r="J151" s="84"/>
      <c r="K151" s="84"/>
      <c r="L151" s="84"/>
      <c r="M151" s="84"/>
      <c r="N151" s="84"/>
      <c r="O151" s="84"/>
      <c r="P151" s="85"/>
      <c r="Q151" s="85"/>
      <c r="R151" s="85"/>
      <c r="S151" s="183">
        <v>49780</v>
      </c>
      <c r="T151" s="26"/>
      <c r="U151" s="26"/>
      <c r="V151" s="196"/>
      <c r="W151" s="6"/>
    </row>
    <row r="152" spans="1:23" ht="15.6">
      <c r="A152" s="82"/>
      <c r="B152" s="83" t="s">
        <v>206</v>
      </c>
      <c r="C152" s="84"/>
      <c r="D152" s="84"/>
      <c r="E152" s="84"/>
      <c r="F152" s="84"/>
      <c r="G152" s="84"/>
      <c r="H152" s="84"/>
      <c r="I152" s="84"/>
      <c r="J152" s="84"/>
      <c r="K152" s="84"/>
      <c r="L152" s="84"/>
      <c r="M152" s="84"/>
      <c r="N152" s="84"/>
      <c r="O152" s="84"/>
      <c r="P152" s="85"/>
      <c r="Q152" s="85"/>
      <c r="R152" s="85"/>
      <c r="S152" s="183">
        <v>49780</v>
      </c>
      <c r="T152" s="26"/>
      <c r="U152" s="26"/>
      <c r="V152" s="196"/>
      <c r="W152" s="6"/>
    </row>
    <row r="153" spans="1:23" ht="15.6">
      <c r="A153" s="82"/>
      <c r="B153" s="83" t="s">
        <v>207</v>
      </c>
      <c r="C153" s="84"/>
      <c r="D153" s="84"/>
      <c r="E153" s="84"/>
      <c r="F153" s="84"/>
      <c r="G153" s="84"/>
      <c r="H153" s="84"/>
      <c r="I153" s="84"/>
      <c r="J153" s="84"/>
      <c r="K153" s="84"/>
      <c r="L153" s="84"/>
      <c r="M153" s="84"/>
      <c r="N153" s="84"/>
      <c r="O153" s="84"/>
      <c r="P153" s="85"/>
      <c r="Q153" s="85"/>
      <c r="R153" s="85"/>
      <c r="S153" s="183">
        <v>49780</v>
      </c>
      <c r="T153" s="26"/>
      <c r="U153" s="26"/>
      <c r="V153" s="196"/>
      <c r="W153" s="6"/>
    </row>
    <row r="154" spans="1:23" ht="15.6">
      <c r="A154" s="82"/>
      <c r="B154" s="83" t="s">
        <v>221</v>
      </c>
      <c r="C154" s="84"/>
      <c r="D154" s="84"/>
      <c r="E154" s="84"/>
      <c r="F154" s="84"/>
      <c r="G154" s="84"/>
      <c r="H154" s="84"/>
      <c r="I154" s="84"/>
      <c r="J154" s="84"/>
      <c r="K154" s="84"/>
      <c r="L154" s="84"/>
      <c r="M154" s="84"/>
      <c r="N154" s="84"/>
      <c r="O154" s="84"/>
      <c r="P154" s="85"/>
      <c r="Q154" s="85"/>
      <c r="R154" s="85"/>
      <c r="S154" s="87">
        <v>111.34</v>
      </c>
      <c r="T154" s="26"/>
      <c r="U154" s="26"/>
      <c r="V154" s="196"/>
      <c r="W154" s="6"/>
    </row>
    <row r="155" spans="1:23" ht="15.6">
      <c r="A155" s="82"/>
      <c r="B155" s="83" t="s">
        <v>222</v>
      </c>
      <c r="C155" s="84"/>
      <c r="D155" s="84"/>
      <c r="E155" s="84"/>
      <c r="F155" s="84"/>
      <c r="G155" s="84"/>
      <c r="H155" s="84"/>
      <c r="I155" s="84"/>
      <c r="J155" s="84"/>
      <c r="K155" s="84"/>
      <c r="L155" s="84"/>
      <c r="M155" s="84"/>
      <c r="N155" s="84"/>
      <c r="O155" s="84"/>
      <c r="P155" s="85"/>
      <c r="Q155" s="85"/>
      <c r="R155" s="85"/>
      <c r="S155" s="87">
        <v>109.61</v>
      </c>
      <c r="T155" s="26"/>
      <c r="U155" s="26"/>
      <c r="V155" s="196"/>
      <c r="W155" s="6"/>
    </row>
    <row r="156" spans="1:23" ht="15.6">
      <c r="A156" s="82" t="s">
        <v>223</v>
      </c>
      <c r="B156" s="83" t="s">
        <v>66</v>
      </c>
      <c r="C156" s="84"/>
      <c r="D156" s="84"/>
      <c r="E156" s="84"/>
      <c r="F156" s="84"/>
      <c r="G156" s="84"/>
      <c r="H156" s="84"/>
      <c r="I156" s="84"/>
      <c r="J156" s="84"/>
      <c r="K156" s="84"/>
      <c r="L156" s="84"/>
      <c r="M156" s="84"/>
      <c r="N156" s="84"/>
      <c r="O156" s="84"/>
      <c r="P156" s="85"/>
      <c r="Q156" s="85"/>
      <c r="R156" s="85"/>
      <c r="S156" s="86">
        <v>0.1258</v>
      </c>
      <c r="T156" s="26"/>
      <c r="U156" s="26"/>
      <c r="V156" s="196"/>
      <c r="W156" s="6"/>
    </row>
    <row r="157" spans="1:23" ht="15.6">
      <c r="A157" s="82"/>
      <c r="B157" s="83" t="s">
        <v>67</v>
      </c>
      <c r="C157" s="84"/>
      <c r="D157" s="84"/>
      <c r="E157" s="84"/>
      <c r="F157" s="84"/>
      <c r="G157" s="84"/>
      <c r="H157" s="84"/>
      <c r="I157" s="84"/>
      <c r="J157" s="84"/>
      <c r="K157" s="84"/>
      <c r="L157" s="84"/>
      <c r="M157" s="84"/>
      <c r="N157" s="84"/>
      <c r="O157" s="84"/>
      <c r="P157" s="85"/>
      <c r="Q157" s="85"/>
      <c r="R157" s="85"/>
      <c r="S157" s="86">
        <v>0.41260000000000002</v>
      </c>
      <c r="T157" s="26"/>
      <c r="U157" s="26"/>
      <c r="V157" s="196"/>
      <c r="W157" s="6"/>
    </row>
    <row r="158" spans="1:23" ht="15.6">
      <c r="A158" s="82"/>
      <c r="B158" s="83"/>
      <c r="C158" s="83"/>
      <c r="D158" s="83"/>
      <c r="E158" s="83"/>
      <c r="F158" s="83"/>
      <c r="G158" s="83"/>
      <c r="H158" s="83"/>
      <c r="I158" s="83"/>
      <c r="J158" s="83"/>
      <c r="K158" s="83"/>
      <c r="L158" s="83"/>
      <c r="M158" s="83"/>
      <c r="N158" s="83"/>
      <c r="O158" s="83"/>
      <c r="P158" s="26"/>
      <c r="Q158" s="26"/>
      <c r="R158" s="33"/>
      <c r="S158" s="88"/>
      <c r="T158" s="26"/>
      <c r="U158" s="89"/>
      <c r="V158" s="196"/>
      <c r="W158" s="6"/>
    </row>
    <row r="159" spans="1:23" ht="15.6">
      <c r="A159" s="80"/>
      <c r="B159" s="90"/>
      <c r="C159" s="90"/>
      <c r="D159" s="90"/>
      <c r="E159" s="90"/>
      <c r="F159" s="90"/>
      <c r="G159" s="90"/>
      <c r="H159" s="90"/>
      <c r="I159" s="90"/>
      <c r="J159" s="90"/>
      <c r="K159" s="90"/>
      <c r="L159" s="90"/>
      <c r="M159" s="90"/>
      <c r="N159" s="90"/>
      <c r="O159" s="90"/>
      <c r="P159" s="9"/>
      <c r="Q159" s="9"/>
      <c r="R159" s="20"/>
      <c r="S159" s="91"/>
      <c r="T159" s="9"/>
      <c r="U159" s="92"/>
      <c r="V159" s="194"/>
      <c r="W159" s="6"/>
    </row>
    <row r="160" spans="1:23" ht="16.2" thickBot="1">
      <c r="A160" s="136"/>
      <c r="B160" s="131" t="str">
        <f>+B110</f>
        <v>PPAF3 INVESTOR REPORT QUARTER ENDING SEPTEMBER 2006</v>
      </c>
      <c r="C160" s="137"/>
      <c r="D160" s="137"/>
      <c r="E160" s="137"/>
      <c r="F160" s="137"/>
      <c r="G160" s="137"/>
      <c r="H160" s="137"/>
      <c r="I160" s="137"/>
      <c r="J160" s="137"/>
      <c r="K160" s="137"/>
      <c r="L160" s="137"/>
      <c r="M160" s="137"/>
      <c r="N160" s="137"/>
      <c r="O160" s="137"/>
      <c r="P160" s="132"/>
      <c r="Q160" s="132"/>
      <c r="R160" s="138"/>
      <c r="S160" s="139"/>
      <c r="T160" s="132"/>
      <c r="U160" s="140"/>
      <c r="V160" s="134"/>
      <c r="W160" s="6"/>
    </row>
    <row r="161" spans="1:23" ht="15.6">
      <c r="A161" s="93"/>
      <c r="B161" s="94" t="s">
        <v>68</v>
      </c>
      <c r="C161" s="95"/>
      <c r="D161" s="95"/>
      <c r="E161" s="95"/>
      <c r="F161" s="95"/>
      <c r="G161" s="95"/>
      <c r="H161" s="95"/>
      <c r="I161" s="95"/>
      <c r="J161" s="95"/>
      <c r="K161" s="95"/>
      <c r="L161" s="95"/>
      <c r="M161" s="96"/>
      <c r="N161" s="95"/>
      <c r="O161" s="96"/>
      <c r="P161" s="95"/>
      <c r="Q161" s="96"/>
      <c r="R161" s="95" t="s">
        <v>94</v>
      </c>
      <c r="S161" s="96" t="s">
        <v>116</v>
      </c>
      <c r="T161" s="97"/>
      <c r="U161" s="97"/>
      <c r="V161" s="193"/>
      <c r="W161" s="6"/>
    </row>
    <row r="162" spans="1:23" ht="15.6">
      <c r="A162" s="98"/>
      <c r="B162" s="83" t="s">
        <v>216</v>
      </c>
      <c r="C162" s="61"/>
      <c r="D162" s="61"/>
      <c r="E162" s="61"/>
      <c r="F162" s="61"/>
      <c r="G162" s="61"/>
      <c r="H162" s="61"/>
      <c r="I162" s="61"/>
      <c r="J162" s="61"/>
      <c r="K162" s="61"/>
      <c r="L162" s="61"/>
      <c r="M162" s="61"/>
      <c r="N162" s="61"/>
      <c r="O162" s="26"/>
      <c r="P162" s="26"/>
      <c r="Q162" s="26"/>
      <c r="R162" s="59">
        <v>549</v>
      </c>
      <c r="S162" s="60">
        <v>16401</v>
      </c>
      <c r="T162" s="60"/>
      <c r="U162" s="89"/>
      <c r="V162" s="204"/>
      <c r="W162" s="6"/>
    </row>
    <row r="163" spans="1:23" ht="15.6">
      <c r="A163" s="98"/>
      <c r="B163" s="83" t="s">
        <v>217</v>
      </c>
      <c r="C163" s="61"/>
      <c r="D163" s="61"/>
      <c r="E163" s="61"/>
      <c r="F163" s="61"/>
      <c r="G163" s="61"/>
      <c r="H163" s="61"/>
      <c r="I163" s="61"/>
      <c r="J163" s="61"/>
      <c r="K163" s="61"/>
      <c r="L163" s="61"/>
      <c r="M163" s="61"/>
      <c r="N163" s="61"/>
      <c r="O163" s="26"/>
      <c r="P163" s="26"/>
      <c r="Q163" s="26"/>
      <c r="R163" s="26">
        <v>99</v>
      </c>
      <c r="S163" s="60">
        <v>784</v>
      </c>
      <c r="T163" s="60"/>
      <c r="U163" s="89"/>
      <c r="V163" s="204"/>
      <c r="W163" s="6"/>
    </row>
    <row r="164" spans="1:23" ht="15.6">
      <c r="A164" s="98"/>
      <c r="B164" s="83" t="s">
        <v>218</v>
      </c>
      <c r="C164" s="61"/>
      <c r="D164" s="61"/>
      <c r="E164" s="61"/>
      <c r="F164" s="61"/>
      <c r="G164" s="61"/>
      <c r="H164" s="61"/>
      <c r="I164" s="61"/>
      <c r="J164" s="61"/>
      <c r="K164" s="61"/>
      <c r="L164" s="61"/>
      <c r="M164" s="61"/>
      <c r="N164" s="61"/>
      <c r="O164" s="26"/>
      <c r="P164" s="26"/>
      <c r="Q164" s="26"/>
      <c r="R164" s="26">
        <v>267</v>
      </c>
      <c r="S164" s="60">
        <v>343</v>
      </c>
      <c r="T164" s="60"/>
      <c r="U164" s="89"/>
      <c r="V164" s="204"/>
      <c r="W164" s="6"/>
    </row>
    <row r="165" spans="1:23" ht="15.6">
      <c r="A165" s="98"/>
      <c r="B165" s="83" t="s">
        <v>219</v>
      </c>
      <c r="C165" s="61"/>
      <c r="D165" s="61"/>
      <c r="E165" s="61"/>
      <c r="F165" s="61"/>
      <c r="G165" s="61"/>
      <c r="H165" s="61"/>
      <c r="I165" s="61"/>
      <c r="J165" s="61"/>
      <c r="K165" s="61"/>
      <c r="L165" s="61"/>
      <c r="M165" s="61"/>
      <c r="N165" s="61"/>
      <c r="O165" s="26"/>
      <c r="P165" s="26"/>
      <c r="Q165" s="26"/>
      <c r="R165" s="26">
        <v>598</v>
      </c>
      <c r="S165" s="60">
        <v>3707</v>
      </c>
      <c r="T165" s="60"/>
      <c r="U165" s="89"/>
      <c r="V165" s="204"/>
      <c r="W165" s="6"/>
    </row>
    <row r="166" spans="1:23" ht="15.6">
      <c r="A166" s="98"/>
      <c r="B166" s="83" t="s">
        <v>90</v>
      </c>
      <c r="C166" s="61"/>
      <c r="D166" s="61"/>
      <c r="E166" s="61"/>
      <c r="F166" s="61"/>
      <c r="G166" s="61"/>
      <c r="H166" s="61"/>
      <c r="I166" s="61"/>
      <c r="J166" s="61"/>
      <c r="K166" s="61"/>
      <c r="L166" s="61"/>
      <c r="M166" s="61"/>
      <c r="N166" s="61"/>
      <c r="O166" s="26"/>
      <c r="P166" s="26"/>
      <c r="Q166" s="26"/>
      <c r="R166" s="59">
        <f>SUM(R162:R165)</f>
        <v>1513</v>
      </c>
      <c r="S166" s="60">
        <f>SUM(S162:S165)</f>
        <v>21235</v>
      </c>
      <c r="T166" s="60"/>
      <c r="U166" s="89"/>
      <c r="V166" s="204"/>
      <c r="W166" s="6"/>
    </row>
    <row r="167" spans="1:23" ht="15.6">
      <c r="A167" s="98"/>
      <c r="B167" s="83"/>
      <c r="C167" s="61"/>
      <c r="D167" s="61"/>
      <c r="E167" s="61"/>
      <c r="F167" s="61"/>
      <c r="G167" s="61"/>
      <c r="H167" s="61"/>
      <c r="I167" s="61"/>
      <c r="J167" s="61"/>
      <c r="K167" s="61"/>
      <c r="L167" s="61"/>
      <c r="M167" s="61"/>
      <c r="N167" s="61"/>
      <c r="O167" s="26"/>
      <c r="P167" s="26"/>
      <c r="Q167" s="26"/>
      <c r="R167" s="26"/>
      <c r="S167" s="60"/>
      <c r="T167" s="60"/>
      <c r="U167" s="89"/>
      <c r="V167" s="204"/>
      <c r="W167" s="6"/>
    </row>
    <row r="168" spans="1:23" ht="15.6">
      <c r="A168" s="98"/>
      <c r="B168" s="83" t="s">
        <v>220</v>
      </c>
      <c r="C168" s="61"/>
      <c r="D168" s="61"/>
      <c r="E168" s="61"/>
      <c r="F168" s="61"/>
      <c r="G168" s="61"/>
      <c r="H168" s="61"/>
      <c r="I168" s="61"/>
      <c r="J168" s="61"/>
      <c r="K168" s="61"/>
      <c r="L168" s="61"/>
      <c r="M168" s="61"/>
      <c r="N168" s="61"/>
      <c r="O168" s="26"/>
      <c r="P168" s="26"/>
      <c r="Q168" s="26"/>
      <c r="R168" s="26">
        <v>21</v>
      </c>
      <c r="S168" s="60">
        <v>265</v>
      </c>
      <c r="T168" s="60"/>
      <c r="U168" s="89"/>
      <c r="V168" s="204"/>
      <c r="W168" s="6"/>
    </row>
    <row r="169" spans="1:23" ht="15.6">
      <c r="A169" s="98"/>
      <c r="B169" s="83" t="s">
        <v>224</v>
      </c>
      <c r="C169" s="61"/>
      <c r="D169" s="61"/>
      <c r="E169" s="61"/>
      <c r="F169" s="61"/>
      <c r="G169" s="61"/>
      <c r="H169" s="61"/>
      <c r="I169" s="61"/>
      <c r="J169" s="61"/>
      <c r="K169" s="61"/>
      <c r="L169" s="61"/>
      <c r="M169" s="61"/>
      <c r="N169" s="61"/>
      <c r="O169" s="26"/>
      <c r="P169" s="26"/>
      <c r="Q169" s="26"/>
      <c r="R169" s="26">
        <v>10</v>
      </c>
      <c r="S169" s="60">
        <v>355</v>
      </c>
      <c r="T169" s="60"/>
      <c r="U169" s="89"/>
      <c r="V169" s="204"/>
      <c r="W169" s="6"/>
    </row>
    <row r="170" spans="1:23" ht="15.6">
      <c r="A170" s="98"/>
      <c r="B170" s="156" t="s">
        <v>69</v>
      </c>
      <c r="C170" s="61"/>
      <c r="D170" s="61"/>
      <c r="E170" s="61"/>
      <c r="F170" s="61"/>
      <c r="G170" s="61"/>
      <c r="H170" s="61"/>
      <c r="I170" s="61"/>
      <c r="J170" s="61"/>
      <c r="K170" s="61"/>
      <c r="L170" s="61"/>
      <c r="M170" s="61"/>
      <c r="N170" s="61"/>
      <c r="O170" s="26"/>
      <c r="P170" s="26"/>
      <c r="Q170" s="26"/>
      <c r="R170" s="26"/>
      <c r="S170" s="60">
        <v>0</v>
      </c>
      <c r="T170" s="26"/>
      <c r="U170" s="89"/>
      <c r="V170" s="204"/>
      <c r="W170" s="6"/>
    </row>
    <row r="171" spans="1:23" ht="15.6">
      <c r="A171" s="98"/>
      <c r="B171" s="156" t="s">
        <v>70</v>
      </c>
      <c r="C171" s="61"/>
      <c r="D171" s="61"/>
      <c r="E171" s="61"/>
      <c r="F171" s="61"/>
      <c r="G171" s="61"/>
      <c r="H171" s="61"/>
      <c r="I171" s="61"/>
      <c r="J171" s="61"/>
      <c r="K171" s="61"/>
      <c r="L171" s="61"/>
      <c r="M171" s="61"/>
      <c r="N171" s="61"/>
      <c r="O171" s="26"/>
      <c r="P171" s="26"/>
      <c r="Q171" s="26"/>
      <c r="R171" s="26"/>
      <c r="S171" s="60">
        <f>Q76</f>
        <v>54509</v>
      </c>
      <c r="T171" s="26"/>
      <c r="U171" s="89"/>
      <c r="V171" s="204"/>
      <c r="W171" s="6"/>
    </row>
    <row r="172" spans="1:23" ht="15.6">
      <c r="A172" s="101"/>
      <c r="B172" s="156" t="s">
        <v>71</v>
      </c>
      <c r="C172" s="61"/>
      <c r="D172" s="61"/>
      <c r="E172" s="61"/>
      <c r="F172" s="61"/>
      <c r="G172" s="61"/>
      <c r="H172" s="61"/>
      <c r="I172" s="61"/>
      <c r="J172" s="61"/>
      <c r="K172" s="61"/>
      <c r="L172" s="61"/>
      <c r="M172" s="83"/>
      <c r="N172" s="83"/>
      <c r="O172" s="83"/>
      <c r="P172" s="26"/>
      <c r="Q172" s="26"/>
      <c r="R172" s="26"/>
      <c r="S172" s="102"/>
      <c r="T172" s="26"/>
      <c r="U172" s="89"/>
      <c r="V172" s="205"/>
      <c r="W172" s="6"/>
    </row>
    <row r="173" spans="1:23" ht="15.6">
      <c r="A173" s="98"/>
      <c r="B173" s="83" t="s">
        <v>72</v>
      </c>
      <c r="C173" s="61"/>
      <c r="D173" s="61"/>
      <c r="E173" s="61"/>
      <c r="F173" s="61"/>
      <c r="G173" s="61"/>
      <c r="H173" s="61"/>
      <c r="I173" s="61"/>
      <c r="J173" s="61"/>
      <c r="K173" s="61"/>
      <c r="L173" s="61"/>
      <c r="M173" s="61"/>
      <c r="N173" s="61"/>
      <c r="O173" s="61"/>
      <c r="P173" s="26"/>
      <c r="Q173" s="26"/>
      <c r="R173" s="26"/>
      <c r="S173" s="60">
        <f>U128</f>
        <v>4672</v>
      </c>
      <c r="T173" s="26"/>
      <c r="U173" s="89"/>
      <c r="V173" s="205"/>
      <c r="W173" s="6"/>
    </row>
    <row r="174" spans="1:23" ht="15.6">
      <c r="A174" s="98"/>
      <c r="B174" s="83" t="s">
        <v>73</v>
      </c>
      <c r="C174" s="61"/>
      <c r="D174" s="61"/>
      <c r="E174" s="61"/>
      <c r="F174" s="61"/>
      <c r="G174" s="61"/>
      <c r="H174" s="61"/>
      <c r="I174" s="61"/>
      <c r="J174" s="61"/>
      <c r="K174" s="61"/>
      <c r="L174" s="61"/>
      <c r="M174" s="61"/>
      <c r="N174" s="61"/>
      <c r="O174" s="61"/>
      <c r="P174" s="26"/>
      <c r="Q174" s="26"/>
      <c r="R174" s="26"/>
      <c r="S174" s="60">
        <f>+'June 06'!S174+S173</f>
        <v>24711</v>
      </c>
      <c r="T174" s="26"/>
      <c r="U174" s="89"/>
      <c r="V174" s="205"/>
      <c r="W174" s="6"/>
    </row>
    <row r="175" spans="1:23" ht="15.6">
      <c r="A175" s="98"/>
      <c r="B175" s="83" t="s">
        <v>74</v>
      </c>
      <c r="C175" s="61"/>
      <c r="D175" s="61"/>
      <c r="E175" s="61"/>
      <c r="F175" s="61"/>
      <c r="G175" s="61"/>
      <c r="H175" s="61"/>
      <c r="I175" s="61"/>
      <c r="J175" s="61"/>
      <c r="K175" s="61"/>
      <c r="L175" s="61"/>
      <c r="M175" s="61"/>
      <c r="N175" s="61"/>
      <c r="O175" s="61"/>
      <c r="P175" s="26"/>
      <c r="Q175" s="26"/>
      <c r="R175" s="26"/>
      <c r="S175" s="60">
        <f>+'June 06'!S175+1064</f>
        <v>2908</v>
      </c>
      <c r="T175" s="26"/>
      <c r="U175" s="89"/>
      <c r="V175" s="205"/>
      <c r="W175" s="6"/>
    </row>
    <row r="176" spans="1:23" ht="15.6">
      <c r="A176" s="98"/>
      <c r="B176" s="83"/>
      <c r="C176" s="61"/>
      <c r="D176" s="61"/>
      <c r="E176" s="61"/>
      <c r="F176" s="61"/>
      <c r="G176" s="61"/>
      <c r="H176" s="61"/>
      <c r="I176" s="61"/>
      <c r="J176" s="61"/>
      <c r="K176" s="61"/>
      <c r="L176" s="61"/>
      <c r="M176" s="61"/>
      <c r="N176" s="61"/>
      <c r="O176" s="61"/>
      <c r="P176" s="26"/>
      <c r="Q176" s="26"/>
      <c r="R176" s="26"/>
      <c r="S176" s="60"/>
      <c r="T176" s="26"/>
      <c r="U176" s="89"/>
      <c r="V176" s="205"/>
      <c r="W176" s="6"/>
    </row>
    <row r="177" spans="1:23" ht="15.6">
      <c r="A177" s="101"/>
      <c r="B177" s="156" t="s">
        <v>259</v>
      </c>
      <c r="C177" s="61"/>
      <c r="D177" s="61"/>
      <c r="E177" s="61"/>
      <c r="F177" s="61"/>
      <c r="G177" s="61"/>
      <c r="H177" s="61"/>
      <c r="I177" s="61"/>
      <c r="J177" s="61"/>
      <c r="K177" s="61"/>
      <c r="L177" s="61"/>
      <c r="M177" s="83"/>
      <c r="N177" s="83"/>
      <c r="O177" s="83"/>
      <c r="P177" s="26"/>
      <c r="Q177" s="26"/>
      <c r="R177" s="26"/>
      <c r="S177" s="79"/>
      <c r="T177" s="26"/>
      <c r="U177" s="89"/>
      <c r="V177" s="205"/>
      <c r="W177" s="6"/>
    </row>
    <row r="178" spans="1:23" ht="15.6">
      <c r="A178" s="101"/>
      <c r="B178" s="83" t="s">
        <v>254</v>
      </c>
      <c r="C178" s="61"/>
      <c r="D178" s="61"/>
      <c r="E178" s="61"/>
      <c r="F178" s="61"/>
      <c r="G178" s="61"/>
      <c r="H178" s="61"/>
      <c r="I178" s="61"/>
      <c r="J178" s="61"/>
      <c r="K178" s="61"/>
      <c r="L178" s="61"/>
      <c r="M178" s="83"/>
      <c r="N178" s="83"/>
      <c r="O178" s="83"/>
      <c r="P178" s="26"/>
      <c r="Q178" s="26"/>
      <c r="R178" s="26"/>
      <c r="S178" s="79">
        <v>9</v>
      </c>
      <c r="T178" s="26"/>
      <c r="U178" s="89"/>
      <c r="V178" s="205"/>
      <c r="W178" s="6"/>
    </row>
    <row r="179" spans="1:23" ht="15.6">
      <c r="A179" s="98"/>
      <c r="B179" s="83" t="s">
        <v>75</v>
      </c>
      <c r="C179" s="61"/>
      <c r="D179" s="61"/>
      <c r="E179" s="61"/>
      <c r="F179" s="61"/>
      <c r="G179" s="61"/>
      <c r="H179" s="61"/>
      <c r="I179" s="61"/>
      <c r="J179" s="61"/>
      <c r="K179" s="61"/>
      <c r="L179" s="61"/>
      <c r="M179" s="104"/>
      <c r="N179" s="104"/>
      <c r="O179" s="105"/>
      <c r="P179" s="26"/>
      <c r="Q179" s="26"/>
      <c r="R179" s="26"/>
      <c r="S179" s="191">
        <v>10.36</v>
      </c>
      <c r="T179" s="26"/>
      <c r="U179" s="89"/>
      <c r="V179" s="205"/>
      <c r="W179" s="6"/>
    </row>
    <row r="180" spans="1:23" ht="15.6">
      <c r="A180" s="98"/>
      <c r="B180" s="83" t="s">
        <v>76</v>
      </c>
      <c r="C180" s="61"/>
      <c r="D180" s="61"/>
      <c r="E180" s="61"/>
      <c r="F180" s="61"/>
      <c r="G180" s="61"/>
      <c r="H180" s="61"/>
      <c r="I180" s="61"/>
      <c r="J180" s="61"/>
      <c r="K180" s="61"/>
      <c r="L180" s="61"/>
      <c r="M180" s="104"/>
      <c r="N180" s="104"/>
      <c r="O180" s="105"/>
      <c r="P180" s="26"/>
      <c r="Q180" s="26"/>
      <c r="R180" s="26"/>
      <c r="S180" s="191">
        <v>145.44</v>
      </c>
      <c r="T180" s="26"/>
      <c r="U180" s="89"/>
      <c r="V180" s="205"/>
      <c r="W180" s="6"/>
    </row>
    <row r="181" spans="1:23" ht="15.6">
      <c r="A181" s="98"/>
      <c r="B181" s="83"/>
      <c r="C181" s="61"/>
      <c r="D181" s="61"/>
      <c r="E181" s="61"/>
      <c r="F181" s="61"/>
      <c r="G181" s="61"/>
      <c r="H181" s="61"/>
      <c r="I181" s="61"/>
      <c r="J181" s="61"/>
      <c r="K181" s="61"/>
      <c r="L181" s="61"/>
      <c r="M181" s="106"/>
      <c r="N181" s="104"/>
      <c r="O181" s="105"/>
      <c r="P181" s="26"/>
      <c r="Q181" s="26"/>
      <c r="R181" s="26"/>
      <c r="S181" s="79"/>
      <c r="T181" s="26"/>
      <c r="U181" s="89"/>
      <c r="V181" s="205"/>
      <c r="W181" s="6"/>
    </row>
    <row r="182" spans="1:23" ht="15.6">
      <c r="A182" s="98"/>
      <c r="B182" s="156" t="s">
        <v>77</v>
      </c>
      <c r="C182" s="61"/>
      <c r="D182" s="61"/>
      <c r="E182" s="61"/>
      <c r="F182" s="61"/>
      <c r="G182" s="61"/>
      <c r="H182" s="61"/>
      <c r="I182" s="61"/>
      <c r="J182" s="61"/>
      <c r="K182" s="61"/>
      <c r="L182" s="61"/>
      <c r="M182" s="61"/>
      <c r="N182" s="106"/>
      <c r="O182" s="104"/>
      <c r="P182" s="105"/>
      <c r="Q182" s="26"/>
      <c r="R182" s="33"/>
      <c r="S182" s="33"/>
      <c r="T182" s="107"/>
      <c r="U182" s="33"/>
      <c r="V182" s="206"/>
      <c r="W182" s="6"/>
    </row>
    <row r="183" spans="1:23" ht="15.6">
      <c r="A183" s="98"/>
      <c r="B183" s="83" t="s">
        <v>78</v>
      </c>
      <c r="C183" s="61"/>
      <c r="D183" s="61"/>
      <c r="E183" s="61"/>
      <c r="F183" s="61"/>
      <c r="G183" s="61"/>
      <c r="H183" s="61"/>
      <c r="I183" s="61"/>
      <c r="J183" s="61"/>
      <c r="K183" s="61"/>
      <c r="L183" s="61"/>
      <c r="M183" s="61"/>
      <c r="N183" s="106"/>
      <c r="O183" s="104"/>
      <c r="P183" s="105"/>
      <c r="Q183" s="26"/>
      <c r="R183" s="33"/>
      <c r="S183" s="108">
        <v>176</v>
      </c>
      <c r="T183" s="108"/>
      <c r="U183" s="33"/>
      <c r="V183" s="206"/>
      <c r="W183" s="6"/>
    </row>
    <row r="184" spans="1:23" ht="15.6">
      <c r="A184" s="98"/>
      <c r="B184" s="83" t="s">
        <v>75</v>
      </c>
      <c r="C184" s="61"/>
      <c r="D184" s="61"/>
      <c r="E184" s="61"/>
      <c r="F184" s="61"/>
      <c r="G184" s="61"/>
      <c r="H184" s="61"/>
      <c r="I184" s="61"/>
      <c r="J184" s="61"/>
      <c r="K184" s="61"/>
      <c r="L184" s="61"/>
      <c r="M184" s="61"/>
      <c r="N184" s="106"/>
      <c r="O184" s="104"/>
      <c r="P184" s="105"/>
      <c r="Q184" s="26"/>
      <c r="R184" s="33"/>
      <c r="S184" s="108">
        <v>4.1100000000000003</v>
      </c>
      <c r="T184" s="108"/>
      <c r="U184" s="33"/>
      <c r="V184" s="206"/>
      <c r="W184" s="6"/>
    </row>
    <row r="185" spans="1:23" ht="15.6">
      <c r="A185" s="98"/>
      <c r="B185" s="83" t="s">
        <v>79</v>
      </c>
      <c r="C185" s="61"/>
      <c r="D185" s="61"/>
      <c r="E185" s="61"/>
      <c r="F185" s="61"/>
      <c r="G185" s="61"/>
      <c r="H185" s="61"/>
      <c r="I185" s="61"/>
      <c r="J185" s="61"/>
      <c r="K185" s="61"/>
      <c r="L185" s="61"/>
      <c r="M185" s="61"/>
      <c r="N185" s="106"/>
      <c r="O185" s="104"/>
      <c r="P185" s="105"/>
      <c r="Q185" s="26"/>
      <c r="R185" s="33"/>
      <c r="S185" s="108">
        <v>72.400000000000006</v>
      </c>
      <c r="T185" s="108"/>
      <c r="U185" s="33"/>
      <c r="V185" s="206"/>
      <c r="W185" s="6"/>
    </row>
    <row r="186" spans="1:23" ht="15.6">
      <c r="A186" s="98"/>
      <c r="B186" s="83"/>
      <c r="C186" s="61"/>
      <c r="D186" s="61"/>
      <c r="E186" s="61"/>
      <c r="F186" s="61"/>
      <c r="G186" s="61"/>
      <c r="H186" s="61"/>
      <c r="I186" s="61"/>
      <c r="J186" s="61"/>
      <c r="K186" s="61"/>
      <c r="L186" s="61"/>
      <c r="M186" s="106"/>
      <c r="N186" s="104"/>
      <c r="O186" s="105"/>
      <c r="P186" s="26"/>
      <c r="Q186" s="26"/>
      <c r="R186" s="26"/>
      <c r="S186" s="79"/>
      <c r="T186" s="26"/>
      <c r="U186" s="89"/>
      <c r="V186" s="205"/>
      <c r="W186" s="6"/>
    </row>
    <row r="187" spans="1:23" ht="17.399999999999999">
      <c r="A187" s="98"/>
      <c r="B187" s="180" t="s">
        <v>196</v>
      </c>
      <c r="C187" s="61"/>
      <c r="D187" s="61"/>
      <c r="E187" s="61"/>
      <c r="F187" s="61"/>
      <c r="G187" s="61"/>
      <c r="H187" s="61"/>
      <c r="I187" s="61"/>
      <c r="J187" s="61"/>
      <c r="K187" s="181" t="s">
        <v>195</v>
      </c>
      <c r="L187" s="61"/>
      <c r="M187" s="106"/>
      <c r="N187" s="104"/>
      <c r="O187" s="105"/>
      <c r="P187" s="26"/>
      <c r="Q187" s="26"/>
      <c r="R187" s="26"/>
      <c r="S187" s="79"/>
      <c r="T187" s="26"/>
      <c r="U187" s="89"/>
      <c r="V187" s="205"/>
      <c r="W187" s="6"/>
    </row>
    <row r="188" spans="1:23" ht="15.6">
      <c r="A188" s="25"/>
      <c r="B188" s="109" t="s">
        <v>80</v>
      </c>
      <c r="C188" s="110"/>
      <c r="D188" s="110"/>
      <c r="E188" s="110"/>
      <c r="F188" s="110"/>
      <c r="G188" s="110"/>
      <c r="H188" s="110"/>
      <c r="I188" s="110"/>
      <c r="J188" s="110"/>
      <c r="K188" s="110"/>
      <c r="L188" s="110"/>
      <c r="M188" s="111"/>
      <c r="N188" s="110"/>
      <c r="O188" s="111"/>
      <c r="P188" s="110"/>
      <c r="Q188" s="111"/>
      <c r="R188" s="110"/>
      <c r="S188" s="111"/>
      <c r="T188" s="110"/>
      <c r="U188" s="112"/>
      <c r="V188" s="205"/>
      <c r="W188" s="6"/>
    </row>
    <row r="189" spans="1:23" ht="15.6">
      <c r="A189" s="25"/>
      <c r="B189" s="30"/>
      <c r="C189" s="189"/>
      <c r="D189" s="189"/>
      <c r="E189" s="189"/>
      <c r="F189" s="189"/>
      <c r="G189" s="189"/>
      <c r="H189" s="189"/>
      <c r="I189" s="189"/>
      <c r="J189" s="189"/>
      <c r="K189" s="189"/>
      <c r="L189" s="189"/>
      <c r="M189" s="109" t="s">
        <v>100</v>
      </c>
      <c r="N189" s="110"/>
      <c r="O189" s="111"/>
      <c r="P189" s="110"/>
      <c r="Q189" s="109" t="s">
        <v>26</v>
      </c>
      <c r="R189" s="110"/>
      <c r="S189" s="111"/>
      <c r="T189" s="110"/>
      <c r="U189" s="112"/>
      <c r="V189" s="205"/>
      <c r="W189" s="6"/>
    </row>
    <row r="190" spans="1:23" ht="15.6">
      <c r="A190" s="25"/>
      <c r="B190" s="189"/>
      <c r="C190" s="111"/>
      <c r="D190" s="111"/>
      <c r="E190" s="111"/>
      <c r="F190" s="111"/>
      <c r="G190" s="111"/>
      <c r="H190" s="111"/>
      <c r="I190" s="111"/>
      <c r="J190" s="111"/>
      <c r="K190" s="111"/>
      <c r="L190" s="111" t="s">
        <v>94</v>
      </c>
      <c r="M190" s="110" t="s">
        <v>101</v>
      </c>
      <c r="N190" s="111" t="s">
        <v>103</v>
      </c>
      <c r="O190" s="110" t="s">
        <v>101</v>
      </c>
      <c r="P190" s="110"/>
      <c r="Q190" s="111" t="s">
        <v>94</v>
      </c>
      <c r="R190" s="110" t="s">
        <v>101</v>
      </c>
      <c r="S190" s="111" t="s">
        <v>103</v>
      </c>
      <c r="T190" s="110" t="s">
        <v>101</v>
      </c>
      <c r="U190" s="112"/>
      <c r="V190" s="205"/>
      <c r="W190" s="6"/>
    </row>
    <row r="191" spans="1:23" ht="15.6">
      <c r="A191" s="25"/>
      <c r="B191" s="61" t="s">
        <v>81</v>
      </c>
      <c r="C191" s="113"/>
      <c r="D191" s="113"/>
      <c r="E191" s="113"/>
      <c r="F191" s="113"/>
      <c r="G191" s="113"/>
      <c r="H191" s="113"/>
      <c r="I191" s="113"/>
      <c r="J191" s="113"/>
      <c r="K191" s="113"/>
      <c r="L191" s="113">
        <v>7783</v>
      </c>
      <c r="M191" s="86">
        <f t="shared" ref="M191:M197" si="0">+L191/$L$198</f>
        <v>0.87626660662013056</v>
      </c>
      <c r="N191" s="113">
        <v>33309</v>
      </c>
      <c r="O191" s="86">
        <f t="shared" ref="O191:O197" si="1">N191/$N$198</f>
        <v>0.83527258137318827</v>
      </c>
      <c r="P191" s="110"/>
      <c r="Q191" s="113">
        <v>30912</v>
      </c>
      <c r="R191" s="86">
        <f t="shared" ref="R191:R197" si="2">+Q191/$Q$198</f>
        <v>0.97999556161430423</v>
      </c>
      <c r="S191" s="113">
        <v>32316</v>
      </c>
      <c r="T191" s="86">
        <f t="shared" ref="T191:T197" si="3">+S191/$S$198</f>
        <v>0.9773772078393419</v>
      </c>
      <c r="U191" s="112"/>
      <c r="V191" s="205"/>
      <c r="W191" s="6"/>
    </row>
    <row r="192" spans="1:23" ht="15.6">
      <c r="A192" s="25"/>
      <c r="B192" s="61" t="s">
        <v>82</v>
      </c>
      <c r="C192" s="113"/>
      <c r="D192" s="113"/>
      <c r="E192" s="113"/>
      <c r="F192" s="113"/>
      <c r="G192" s="113"/>
      <c r="H192" s="113"/>
      <c r="I192" s="113"/>
      <c r="J192" s="113"/>
      <c r="K192" s="113"/>
      <c r="L192" s="113">
        <v>145</v>
      </c>
      <c r="M192" s="86">
        <f t="shared" si="0"/>
        <v>1.6325151992794416E-2</v>
      </c>
      <c r="N192" s="113">
        <v>733</v>
      </c>
      <c r="O192" s="86">
        <f t="shared" si="1"/>
        <v>1.8381062239831485E-2</v>
      </c>
      <c r="P192" s="110"/>
      <c r="Q192" s="113">
        <v>98</v>
      </c>
      <c r="R192" s="86">
        <f t="shared" si="2"/>
        <v>3.1068699870018704E-3</v>
      </c>
      <c r="S192" s="113">
        <v>101</v>
      </c>
      <c r="T192" s="86">
        <f t="shared" si="3"/>
        <v>3.0546818291797726E-3</v>
      </c>
      <c r="U192" s="112"/>
      <c r="V192" s="205"/>
      <c r="W192" s="6"/>
    </row>
    <row r="193" spans="1:24" ht="15.6">
      <c r="A193" s="25"/>
      <c r="B193" s="61" t="s">
        <v>83</v>
      </c>
      <c r="C193" s="113"/>
      <c r="D193" s="113"/>
      <c r="E193" s="113"/>
      <c r="F193" s="113"/>
      <c r="G193" s="113"/>
      <c r="H193" s="113"/>
      <c r="I193" s="113"/>
      <c r="J193" s="113"/>
      <c r="K193" s="113"/>
      <c r="L193" s="113">
        <v>116</v>
      </c>
      <c r="M193" s="86">
        <f t="shared" si="0"/>
        <v>1.3060121594235533E-2</v>
      </c>
      <c r="N193" s="113">
        <v>606</v>
      </c>
      <c r="O193" s="86">
        <f t="shared" si="1"/>
        <v>1.5196348864035307E-2</v>
      </c>
      <c r="P193" s="110"/>
      <c r="Q193" s="113">
        <v>82</v>
      </c>
      <c r="R193" s="86">
        <f t="shared" si="2"/>
        <v>2.5996259074913611E-3</v>
      </c>
      <c r="S193" s="113">
        <v>83</v>
      </c>
      <c r="T193" s="86">
        <f t="shared" si="3"/>
        <v>2.5102830873457538E-3</v>
      </c>
      <c r="U193" s="112"/>
      <c r="V193" s="205"/>
      <c r="W193" s="6"/>
    </row>
    <row r="194" spans="1:24" ht="15.6">
      <c r="A194" s="25"/>
      <c r="B194" s="61" t="s">
        <v>186</v>
      </c>
      <c r="C194" s="113"/>
      <c r="D194" s="113"/>
      <c r="E194" s="113"/>
      <c r="F194" s="113"/>
      <c r="G194" s="113"/>
      <c r="H194" s="113"/>
      <c r="I194" s="113"/>
      <c r="J194" s="113"/>
      <c r="K194" s="113"/>
      <c r="L194" s="113">
        <v>110</v>
      </c>
      <c r="M194" s="86">
        <f t="shared" si="0"/>
        <v>1.2384598063499211E-2</v>
      </c>
      <c r="N194" s="113">
        <v>516</v>
      </c>
      <c r="O194" s="86">
        <f t="shared" si="1"/>
        <v>1.2939465369376599E-2</v>
      </c>
      <c r="P194" s="110"/>
      <c r="Q194" s="113">
        <v>66</v>
      </c>
      <c r="R194" s="86">
        <f t="shared" si="2"/>
        <v>2.0923818279808513E-3</v>
      </c>
      <c r="S194" s="113">
        <v>53</v>
      </c>
      <c r="T194" s="86">
        <f t="shared" si="3"/>
        <v>1.6029518509557221E-3</v>
      </c>
      <c r="U194" s="112"/>
      <c r="V194" s="205"/>
      <c r="W194" s="6"/>
    </row>
    <row r="195" spans="1:24" ht="15.6">
      <c r="A195" s="25"/>
      <c r="B195" s="61" t="s">
        <v>187</v>
      </c>
      <c r="C195" s="113"/>
      <c r="D195" s="113"/>
      <c r="E195" s="113"/>
      <c r="F195" s="113"/>
      <c r="G195" s="113"/>
      <c r="H195" s="113"/>
      <c r="I195" s="113"/>
      <c r="J195" s="113"/>
      <c r="K195" s="113"/>
      <c r="L195" s="113">
        <v>109</v>
      </c>
      <c r="M195" s="86">
        <f t="shared" si="0"/>
        <v>1.2272010808376492E-2</v>
      </c>
      <c r="N195" s="113">
        <v>720</v>
      </c>
      <c r="O195" s="86">
        <f t="shared" si="1"/>
        <v>1.8055067957269671E-2</v>
      </c>
      <c r="P195" s="110"/>
      <c r="Q195" s="113">
        <v>54</v>
      </c>
      <c r="R195" s="86">
        <f t="shared" si="2"/>
        <v>1.7119487683479695E-3</v>
      </c>
      <c r="S195" s="113">
        <v>78</v>
      </c>
      <c r="T195" s="86">
        <f t="shared" si="3"/>
        <v>2.3590612146140817E-3</v>
      </c>
      <c r="U195" s="112"/>
      <c r="V195" s="205"/>
      <c r="W195" s="6"/>
    </row>
    <row r="196" spans="1:24" ht="15.6">
      <c r="A196" s="25"/>
      <c r="B196" s="61" t="s">
        <v>188</v>
      </c>
      <c r="C196" s="113"/>
      <c r="D196" s="113"/>
      <c r="E196" s="113"/>
      <c r="F196" s="113"/>
      <c r="G196" s="113"/>
      <c r="H196" s="113"/>
      <c r="I196" s="113"/>
      <c r="J196" s="113"/>
      <c r="K196" s="113"/>
      <c r="L196" s="113">
        <v>93</v>
      </c>
      <c r="M196" s="86">
        <f t="shared" si="0"/>
        <v>1.0470614726412969E-2</v>
      </c>
      <c r="N196" s="113">
        <v>635</v>
      </c>
      <c r="O196" s="86">
        <f t="shared" si="1"/>
        <v>1.5923566878980892E-2</v>
      </c>
      <c r="P196" s="110"/>
      <c r="Q196" s="113">
        <v>73</v>
      </c>
      <c r="R196" s="86">
        <f t="shared" si="2"/>
        <v>2.3143011127666996E-3</v>
      </c>
      <c r="S196" s="113">
        <v>93</v>
      </c>
      <c r="T196" s="86">
        <f t="shared" si="3"/>
        <v>2.8127268328090975E-3</v>
      </c>
      <c r="U196" s="112"/>
      <c r="V196" s="205"/>
      <c r="W196" s="6"/>
    </row>
    <row r="197" spans="1:24" ht="15.6">
      <c r="A197" s="25"/>
      <c r="B197" s="61" t="s">
        <v>189</v>
      </c>
      <c r="C197" s="113"/>
      <c r="D197" s="113"/>
      <c r="E197" s="113"/>
      <c r="F197" s="113"/>
      <c r="G197" s="113"/>
      <c r="H197" s="113"/>
      <c r="I197" s="113"/>
      <c r="J197" s="113"/>
      <c r="K197" s="113"/>
      <c r="L197" s="113">
        <v>526</v>
      </c>
      <c r="M197" s="86">
        <f t="shared" si="0"/>
        <v>5.922089619455078E-2</v>
      </c>
      <c r="N197" s="113">
        <v>3359</v>
      </c>
      <c r="O197" s="86">
        <f t="shared" si="1"/>
        <v>8.423190731731782E-2</v>
      </c>
      <c r="P197" s="110"/>
      <c r="Q197" s="113">
        <v>258</v>
      </c>
      <c r="R197" s="86">
        <f t="shared" si="2"/>
        <v>8.1793107821069647E-3</v>
      </c>
      <c r="S197" s="113">
        <v>340</v>
      </c>
      <c r="T197" s="86">
        <f t="shared" si="3"/>
        <v>1.0283087345753689E-2</v>
      </c>
      <c r="U197" s="112"/>
      <c r="V197" s="205"/>
      <c r="W197" s="6"/>
    </row>
    <row r="198" spans="1:24" ht="15.6">
      <c r="A198" s="25"/>
      <c r="B198" s="61" t="s">
        <v>84</v>
      </c>
      <c r="C198" s="113"/>
      <c r="D198" s="113"/>
      <c r="E198" s="113"/>
      <c r="F198" s="113"/>
      <c r="G198" s="113"/>
      <c r="H198" s="113"/>
      <c r="I198" s="113"/>
      <c r="J198" s="113"/>
      <c r="K198" s="113"/>
      <c r="L198" s="113">
        <f>SUM(L191:L197)</f>
        <v>8882</v>
      </c>
      <c r="M198" s="86">
        <f>SUM(M191:M197)</f>
        <v>0.99999999999999989</v>
      </c>
      <c r="N198" s="113">
        <f>SUM(N191:N197)</f>
        <v>39878</v>
      </c>
      <c r="O198" s="86">
        <f>SUM(O191:O197)</f>
        <v>1</v>
      </c>
      <c r="P198" s="110"/>
      <c r="Q198" s="113">
        <f>SUM(Q191:Q197)</f>
        <v>31543</v>
      </c>
      <c r="R198" s="86">
        <f>SUM(R191:R197)</f>
        <v>1</v>
      </c>
      <c r="S198" s="113">
        <f>SUM(S191:S197)</f>
        <v>33064</v>
      </c>
      <c r="T198" s="86">
        <f>SUM(T191:T197)</f>
        <v>1</v>
      </c>
      <c r="U198" s="112"/>
      <c r="V198" s="205"/>
      <c r="W198" s="6"/>
      <c r="X198" s="64"/>
    </row>
    <row r="199" spans="1:24" ht="15.6">
      <c r="A199" s="25"/>
      <c r="B199" s="61" t="s">
        <v>85</v>
      </c>
      <c r="C199" s="113"/>
      <c r="D199" s="113"/>
      <c r="E199" s="113"/>
      <c r="F199" s="113"/>
      <c r="G199" s="113"/>
      <c r="H199" s="113"/>
      <c r="I199" s="113"/>
      <c r="J199" s="113"/>
      <c r="K199" s="113"/>
      <c r="L199" s="113">
        <v>635</v>
      </c>
      <c r="M199" s="114"/>
      <c r="N199" s="113">
        <v>4700</v>
      </c>
      <c r="O199" s="114"/>
      <c r="P199" s="110"/>
      <c r="Q199" s="113">
        <v>204</v>
      </c>
      <c r="R199" s="114"/>
      <c r="S199" s="113">
        <v>317</v>
      </c>
      <c r="T199" s="114"/>
      <c r="U199" s="112"/>
      <c r="V199" s="205"/>
      <c r="W199" s="6"/>
      <c r="X199" s="64"/>
    </row>
    <row r="200" spans="1:24" ht="15.6">
      <c r="A200" s="25"/>
      <c r="B200" s="61" t="s">
        <v>86</v>
      </c>
      <c r="C200" s="113"/>
      <c r="D200" s="113"/>
      <c r="E200" s="113"/>
      <c r="F200" s="113"/>
      <c r="G200" s="113"/>
      <c r="H200" s="113"/>
      <c r="I200" s="113"/>
      <c r="J200" s="113"/>
      <c r="K200" s="113"/>
      <c r="L200" s="113">
        <f>SUM(L198:L199)</f>
        <v>9517</v>
      </c>
      <c r="M200" s="189"/>
      <c r="N200" s="113">
        <f>SUM(N198:N199)</f>
        <v>44578</v>
      </c>
      <c r="O200" s="115"/>
      <c r="P200" s="189"/>
      <c r="Q200" s="113">
        <f>SUM(Q198:Q199)</f>
        <v>31747</v>
      </c>
      <c r="R200" s="189"/>
      <c r="S200" s="113">
        <f>SUM(S198:S199)</f>
        <v>33381</v>
      </c>
      <c r="T200" s="189"/>
      <c r="U200" s="189"/>
      <c r="V200" s="205"/>
      <c r="W200" s="6"/>
      <c r="X200" s="64"/>
    </row>
    <row r="201" spans="1:24" ht="15.6">
      <c r="A201" s="25"/>
      <c r="B201" s="61"/>
      <c r="C201" s="113"/>
      <c r="D201" s="113"/>
      <c r="E201" s="113"/>
      <c r="F201" s="113"/>
      <c r="G201" s="113"/>
      <c r="H201" s="113"/>
      <c r="I201" s="113"/>
      <c r="J201" s="113"/>
      <c r="K201" s="113"/>
      <c r="L201" s="113"/>
      <c r="M201" s="115"/>
      <c r="N201" s="113"/>
      <c r="O201" s="115"/>
      <c r="P201" s="110"/>
      <c r="Q201" s="113"/>
      <c r="R201" s="115"/>
      <c r="S201" s="113"/>
      <c r="T201" s="115"/>
      <c r="U201" s="112"/>
      <c r="V201" s="205"/>
      <c r="W201" s="6"/>
    </row>
    <row r="202" spans="1:24" ht="15.6">
      <c r="A202" s="25"/>
      <c r="B202" s="61"/>
      <c r="C202" s="110"/>
      <c r="D202" s="110"/>
      <c r="E202" s="110"/>
      <c r="F202" s="110"/>
      <c r="G202" s="110"/>
      <c r="H202" s="110"/>
      <c r="I202" s="110"/>
      <c r="J202" s="110"/>
      <c r="K202" s="110"/>
      <c r="L202" s="110"/>
      <c r="M202" s="109" t="s">
        <v>27</v>
      </c>
      <c r="N202" s="110"/>
      <c r="O202" s="111"/>
      <c r="P202" s="110"/>
      <c r="Q202" s="109" t="s">
        <v>28</v>
      </c>
      <c r="R202" s="110"/>
      <c r="S202" s="111"/>
      <c r="T202" s="110"/>
      <c r="U202" s="112"/>
      <c r="V202" s="205"/>
      <c r="W202" s="6"/>
    </row>
    <row r="203" spans="1:24" ht="15.6">
      <c r="A203" s="25"/>
      <c r="B203" s="189"/>
      <c r="C203" s="111"/>
      <c r="D203" s="111"/>
      <c r="E203" s="111"/>
      <c r="F203" s="111"/>
      <c r="G203" s="111"/>
      <c r="H203" s="111"/>
      <c r="I203" s="111"/>
      <c r="J203" s="111"/>
      <c r="K203" s="111"/>
      <c r="L203" s="111" t="s">
        <v>94</v>
      </c>
      <c r="M203" s="110" t="s">
        <v>101</v>
      </c>
      <c r="N203" s="111" t="s">
        <v>103</v>
      </c>
      <c r="O203" s="110" t="s">
        <v>101</v>
      </c>
      <c r="P203" s="110"/>
      <c r="Q203" s="111" t="s">
        <v>94</v>
      </c>
      <c r="R203" s="110" t="s">
        <v>101</v>
      </c>
      <c r="S203" s="111" t="s">
        <v>103</v>
      </c>
      <c r="T203" s="110" t="s">
        <v>101</v>
      </c>
      <c r="U203" s="112"/>
      <c r="V203" s="205"/>
      <c r="W203" s="6"/>
    </row>
    <row r="204" spans="1:24" ht="15.6">
      <c r="A204" s="25"/>
      <c r="B204" s="61" t="s">
        <v>81</v>
      </c>
      <c r="C204" s="113"/>
      <c r="D204" s="113"/>
      <c r="E204" s="113"/>
      <c r="F204" s="113"/>
      <c r="G204" s="113"/>
      <c r="H204" s="113"/>
      <c r="I204" s="113"/>
      <c r="J204" s="113"/>
      <c r="K204" s="113"/>
      <c r="L204" s="113">
        <v>5835</v>
      </c>
      <c r="M204" s="86">
        <f t="shared" ref="M204:M210" si="4">+L204/$L$211</f>
        <v>0.91400375939849621</v>
      </c>
      <c r="N204" s="113">
        <v>157967</v>
      </c>
      <c r="O204" s="86">
        <f t="shared" ref="O204:O210" si="5">+N204/$N$211</f>
        <v>0.90594031014865117</v>
      </c>
      <c r="P204" s="110"/>
      <c r="Q204" s="113">
        <v>13416</v>
      </c>
      <c r="R204" s="86">
        <f t="shared" ref="R204:R210" si="6">Q204/$Q$211</f>
        <v>0.98127559976594503</v>
      </c>
      <c r="S204" s="113">
        <v>120918</v>
      </c>
      <c r="T204" s="86">
        <f t="shared" ref="T204:T210" si="7">+S204/$S$211</f>
        <v>0.98033143079517449</v>
      </c>
      <c r="U204" s="112"/>
      <c r="V204" s="205"/>
      <c r="W204" s="6"/>
    </row>
    <row r="205" spans="1:24" ht="15.6">
      <c r="A205" s="25"/>
      <c r="B205" s="61" t="s">
        <v>82</v>
      </c>
      <c r="C205" s="113"/>
      <c r="D205" s="113"/>
      <c r="E205" s="113"/>
      <c r="F205" s="113"/>
      <c r="G205" s="113"/>
      <c r="H205" s="113"/>
      <c r="I205" s="113"/>
      <c r="J205" s="113"/>
      <c r="K205" s="113"/>
      <c r="L205" s="113">
        <v>148</v>
      </c>
      <c r="M205" s="86">
        <f t="shared" si="4"/>
        <v>2.3182957393483708E-2</v>
      </c>
      <c r="N205" s="113">
        <v>4095</v>
      </c>
      <c r="O205" s="86">
        <f t="shared" si="5"/>
        <v>2.3484813727289409E-2</v>
      </c>
      <c r="P205" s="110"/>
      <c r="Q205" s="113">
        <v>96</v>
      </c>
      <c r="R205" s="86">
        <f t="shared" si="6"/>
        <v>7.0216500877706258E-3</v>
      </c>
      <c r="S205" s="113">
        <v>1052</v>
      </c>
      <c r="T205" s="86">
        <f t="shared" si="7"/>
        <v>8.5289920871708391E-3</v>
      </c>
      <c r="U205" s="112"/>
      <c r="V205" s="205"/>
      <c r="W205" s="6"/>
    </row>
    <row r="206" spans="1:24" ht="15.6">
      <c r="A206" s="25"/>
      <c r="B206" s="61" t="s">
        <v>83</v>
      </c>
      <c r="C206" s="113"/>
      <c r="D206" s="113"/>
      <c r="E206" s="113"/>
      <c r="F206" s="113"/>
      <c r="G206" s="113"/>
      <c r="H206" s="113"/>
      <c r="I206" s="113"/>
      <c r="J206" s="113"/>
      <c r="K206" s="113"/>
      <c r="L206" s="113">
        <v>107</v>
      </c>
      <c r="M206" s="86">
        <f t="shared" si="4"/>
        <v>1.6760651629072681E-2</v>
      </c>
      <c r="N206" s="113">
        <v>3121</v>
      </c>
      <c r="O206" s="86">
        <f t="shared" si="5"/>
        <v>1.7898926408515325E-2</v>
      </c>
      <c r="P206" s="110"/>
      <c r="Q206" s="113">
        <v>43</v>
      </c>
      <c r="R206" s="86">
        <f t="shared" si="6"/>
        <v>3.1451141018139263E-3</v>
      </c>
      <c r="S206" s="113">
        <v>362</v>
      </c>
      <c r="T206" s="86">
        <f t="shared" si="7"/>
        <v>2.934881307562589E-3</v>
      </c>
      <c r="U206" s="112"/>
      <c r="V206" s="205"/>
      <c r="W206" s="6"/>
    </row>
    <row r="207" spans="1:24" ht="15.6">
      <c r="A207" s="25"/>
      <c r="B207" s="61" t="s">
        <v>186</v>
      </c>
      <c r="C207" s="113"/>
      <c r="D207" s="113"/>
      <c r="E207" s="113"/>
      <c r="F207" s="113"/>
      <c r="G207" s="113"/>
      <c r="H207" s="113"/>
      <c r="I207" s="113"/>
      <c r="J207" s="113"/>
      <c r="K207" s="113"/>
      <c r="L207" s="113">
        <v>75</v>
      </c>
      <c r="M207" s="86">
        <f t="shared" si="4"/>
        <v>1.1748120300751879E-2</v>
      </c>
      <c r="N207" s="113">
        <v>2183</v>
      </c>
      <c r="O207" s="86">
        <f t="shared" si="5"/>
        <v>1.2519498990640485E-2</v>
      </c>
      <c r="P207" s="110"/>
      <c r="Q207" s="113">
        <v>26</v>
      </c>
      <c r="R207" s="86">
        <f t="shared" si="6"/>
        <v>1.9016968987712111E-3</v>
      </c>
      <c r="S207" s="113">
        <v>158</v>
      </c>
      <c r="T207" s="86">
        <f t="shared" si="7"/>
        <v>1.2809702944610196E-3</v>
      </c>
      <c r="U207" s="112"/>
      <c r="V207" s="205"/>
      <c r="W207" s="6"/>
    </row>
    <row r="208" spans="1:24" ht="15.6">
      <c r="A208" s="25"/>
      <c r="B208" s="61" t="s">
        <v>187</v>
      </c>
      <c r="C208" s="113"/>
      <c r="D208" s="113"/>
      <c r="E208" s="113"/>
      <c r="F208" s="113"/>
      <c r="G208" s="113"/>
      <c r="H208" s="113"/>
      <c r="I208" s="113"/>
      <c r="J208" s="113"/>
      <c r="K208" s="113"/>
      <c r="L208" s="113">
        <v>60</v>
      </c>
      <c r="M208" s="86">
        <f t="shared" si="4"/>
        <v>9.3984962406015032E-3</v>
      </c>
      <c r="N208" s="113">
        <v>2009</v>
      </c>
      <c r="O208" s="86">
        <f t="shared" si="5"/>
        <v>1.1521609469627455E-2</v>
      </c>
      <c r="P208" s="110"/>
      <c r="Q208" s="113">
        <v>16</v>
      </c>
      <c r="R208" s="86">
        <f t="shared" si="6"/>
        <v>1.1702750146284377E-3</v>
      </c>
      <c r="S208" s="113">
        <v>209</v>
      </c>
      <c r="T208" s="86">
        <f t="shared" si="7"/>
        <v>1.6944480477364119E-3</v>
      </c>
      <c r="U208" s="112"/>
      <c r="V208" s="205"/>
      <c r="W208" s="6"/>
    </row>
    <row r="209" spans="1:24" ht="15.6">
      <c r="A209" s="25"/>
      <c r="B209" s="61" t="s">
        <v>188</v>
      </c>
      <c r="C209" s="113"/>
      <c r="D209" s="113"/>
      <c r="E209" s="113"/>
      <c r="F209" s="113"/>
      <c r="G209" s="113"/>
      <c r="H209" s="113"/>
      <c r="I209" s="113"/>
      <c r="J209" s="113"/>
      <c r="K209" s="113"/>
      <c r="L209" s="113">
        <v>47</v>
      </c>
      <c r="M209" s="86">
        <f t="shared" si="4"/>
        <v>7.3621553884711775E-3</v>
      </c>
      <c r="N209" s="113">
        <v>1445</v>
      </c>
      <c r="O209" s="86">
        <f t="shared" si="5"/>
        <v>8.287071022205909E-3</v>
      </c>
      <c r="P209" s="110"/>
      <c r="Q209" s="113">
        <v>13</v>
      </c>
      <c r="R209" s="86">
        <f t="shared" si="6"/>
        <v>9.5084844938560556E-4</v>
      </c>
      <c r="S209" s="113">
        <v>130</v>
      </c>
      <c r="T209" s="86">
        <f t="shared" si="7"/>
        <v>1.0539629005059021E-3</v>
      </c>
      <c r="U209" s="112"/>
      <c r="V209" s="205"/>
      <c r="W209" s="6"/>
    </row>
    <row r="210" spans="1:24" ht="15.6">
      <c r="A210" s="25"/>
      <c r="B210" s="61" t="s">
        <v>189</v>
      </c>
      <c r="C210" s="113"/>
      <c r="D210" s="113"/>
      <c r="E210" s="113"/>
      <c r="F210" s="113"/>
      <c r="G210" s="113"/>
      <c r="H210" s="113"/>
      <c r="I210" s="113"/>
      <c r="J210" s="113"/>
      <c r="K210" s="113"/>
      <c r="L210" s="113">
        <v>112</v>
      </c>
      <c r="M210" s="86">
        <f t="shared" si="4"/>
        <v>1.7543859649122806E-2</v>
      </c>
      <c r="N210" s="113">
        <v>3548</v>
      </c>
      <c r="O210" s="86">
        <f t="shared" si="5"/>
        <v>2.0347770233070286E-2</v>
      </c>
      <c r="P210" s="110"/>
      <c r="Q210" s="113">
        <v>62</v>
      </c>
      <c r="R210" s="86">
        <f t="shared" si="6"/>
        <v>4.5348156816851963E-3</v>
      </c>
      <c r="S210" s="113">
        <v>515</v>
      </c>
      <c r="T210" s="86">
        <f t="shared" si="7"/>
        <v>4.1753145673887665E-3</v>
      </c>
      <c r="U210" s="112"/>
      <c r="V210" s="205"/>
      <c r="W210" s="6"/>
    </row>
    <row r="211" spans="1:24" ht="15.6">
      <c r="A211" s="25"/>
      <c r="B211" s="61" t="str">
        <f>B198</f>
        <v>Total Performing  Assets</v>
      </c>
      <c r="C211" s="113"/>
      <c r="D211" s="113"/>
      <c r="E211" s="113"/>
      <c r="F211" s="113"/>
      <c r="G211" s="113"/>
      <c r="H211" s="113"/>
      <c r="I211" s="113"/>
      <c r="J211" s="113"/>
      <c r="K211" s="113"/>
      <c r="L211" s="113">
        <f>SUM(L204:L210)</f>
        <v>6384</v>
      </c>
      <c r="M211" s="86">
        <f>SUM(M204:M210)</f>
        <v>1</v>
      </c>
      <c r="N211" s="113">
        <f>SUM(N204:N210)</f>
        <v>174368</v>
      </c>
      <c r="O211" s="86">
        <f>SUM(O204:O210)</f>
        <v>1</v>
      </c>
      <c r="P211" s="110"/>
      <c r="Q211" s="113">
        <f>SUM(Q204:Q210)</f>
        <v>13672</v>
      </c>
      <c r="R211" s="86">
        <f>SUM(R204:R210)</f>
        <v>1</v>
      </c>
      <c r="S211" s="113">
        <f>SUM(S204:S210)</f>
        <v>123344</v>
      </c>
      <c r="T211" s="86">
        <f>SUM(T204:T210)</f>
        <v>1</v>
      </c>
      <c r="U211" s="112"/>
      <c r="V211" s="205"/>
      <c r="W211" s="6"/>
    </row>
    <row r="212" spans="1:24" ht="15.6">
      <c r="A212" s="25"/>
      <c r="B212" s="61" t="s">
        <v>85</v>
      </c>
      <c r="C212" s="113"/>
      <c r="D212" s="113"/>
      <c r="E212" s="113"/>
      <c r="F212" s="113"/>
      <c r="G212" s="113"/>
      <c r="H212" s="113"/>
      <c r="I212" s="113"/>
      <c r="J212" s="113"/>
      <c r="K212" s="113"/>
      <c r="L212" s="113">
        <v>33</v>
      </c>
      <c r="M212" s="116"/>
      <c r="N212" s="113">
        <v>1021</v>
      </c>
      <c r="O212" s="114"/>
      <c r="P212" s="110"/>
      <c r="Q212" s="113">
        <v>35</v>
      </c>
      <c r="R212" s="116"/>
      <c r="S212" s="113">
        <v>423</v>
      </c>
      <c r="T212" s="116"/>
      <c r="U212" s="112"/>
      <c r="V212" s="205"/>
      <c r="W212" s="6"/>
    </row>
    <row r="213" spans="1:24" ht="15.6">
      <c r="A213" s="25"/>
      <c r="B213" s="61" t="s">
        <v>86</v>
      </c>
      <c r="C213" s="113"/>
      <c r="D213" s="113"/>
      <c r="E213" s="113"/>
      <c r="F213" s="113"/>
      <c r="G213" s="113"/>
      <c r="H213" s="113"/>
      <c r="I213" s="113"/>
      <c r="J213" s="113"/>
      <c r="K213" s="113"/>
      <c r="L213" s="113">
        <f>SUM(L211:L212)</f>
        <v>6417</v>
      </c>
      <c r="M213" s="189"/>
      <c r="N213" s="113">
        <f>SUM(N211:N212)</f>
        <v>175389</v>
      </c>
      <c r="O213" s="86"/>
      <c r="P213" s="189"/>
      <c r="Q213" s="113">
        <f>SUM(Q211:Q212)</f>
        <v>13707</v>
      </c>
      <c r="R213" s="189"/>
      <c r="S213" s="113">
        <f>SUM(S211:S212)</f>
        <v>123767</v>
      </c>
      <c r="T213" s="189"/>
      <c r="U213" s="189"/>
      <c r="V213" s="190"/>
    </row>
    <row r="214" spans="1:24" ht="15.6">
      <c r="A214" s="25"/>
      <c r="B214" s="61"/>
      <c r="C214" s="110"/>
      <c r="D214" s="110"/>
      <c r="E214" s="110"/>
      <c r="F214" s="110"/>
      <c r="G214" s="110"/>
      <c r="H214" s="110"/>
      <c r="I214" s="110"/>
      <c r="J214" s="110"/>
      <c r="K214" s="110"/>
      <c r="L214" s="110"/>
      <c r="M214" s="111"/>
      <c r="N214" s="110"/>
      <c r="O214" s="111"/>
      <c r="P214" s="110"/>
      <c r="Q214" s="117"/>
      <c r="R214" s="110"/>
      <c r="S214" s="113"/>
      <c r="T214" s="110"/>
      <c r="U214" s="112"/>
      <c r="V214" s="205"/>
      <c r="W214" s="6"/>
    </row>
    <row r="215" spans="1:24" ht="15.6">
      <c r="A215" s="25"/>
      <c r="B215" s="61" t="s">
        <v>86</v>
      </c>
      <c r="C215" s="110"/>
      <c r="D215" s="110"/>
      <c r="E215" s="110"/>
      <c r="F215" s="110"/>
      <c r="G215" s="110"/>
      <c r="H215" s="110"/>
      <c r="I215" s="110"/>
      <c r="J215" s="110"/>
      <c r="K215" s="110"/>
      <c r="L215" s="110"/>
      <c r="M215" s="111"/>
      <c r="N215" s="110"/>
      <c r="O215" s="111"/>
      <c r="P215" s="110"/>
      <c r="Q215" s="117"/>
      <c r="R215" s="116"/>
      <c r="S215" s="113">
        <f>N200+S200+N213+S213</f>
        <v>377115</v>
      </c>
      <c r="T215" s="115"/>
      <c r="U215" s="112"/>
      <c r="V215" s="205"/>
      <c r="W215" s="6"/>
      <c r="X215" s="182"/>
    </row>
    <row r="216" spans="1:24" ht="15.6">
      <c r="A216" s="25"/>
      <c r="B216" s="61"/>
      <c r="C216" s="110"/>
      <c r="D216" s="110"/>
      <c r="E216" s="110"/>
      <c r="F216" s="110"/>
      <c r="G216" s="110"/>
      <c r="H216" s="110"/>
      <c r="I216" s="110"/>
      <c r="J216" s="110"/>
      <c r="K216" s="110"/>
      <c r="L216" s="110"/>
      <c r="M216" s="111"/>
      <c r="N216" s="110"/>
      <c r="O216" s="111"/>
      <c r="P216" s="110"/>
      <c r="Q216" s="111"/>
      <c r="R216" s="110"/>
      <c r="S216" s="113"/>
      <c r="T216" s="116"/>
      <c r="U216" s="112"/>
      <c r="V216" s="205"/>
      <c r="W216" s="6"/>
    </row>
    <row r="217" spans="1:24" ht="15.6">
      <c r="A217" s="25"/>
      <c r="B217" s="118" t="s">
        <v>87</v>
      </c>
      <c r="C217" s="110"/>
      <c r="D217" s="110"/>
      <c r="E217" s="110"/>
      <c r="F217" s="110"/>
      <c r="G217" s="110"/>
      <c r="H217" s="110"/>
      <c r="I217" s="110"/>
      <c r="J217" s="110"/>
      <c r="K217" s="110"/>
      <c r="L217" s="110"/>
      <c r="M217" s="111"/>
      <c r="N217" s="110"/>
      <c r="O217" s="111"/>
      <c r="P217" s="110"/>
      <c r="Q217" s="111"/>
      <c r="R217" s="110"/>
      <c r="S217" s="113"/>
      <c r="T217" s="110"/>
      <c r="U217" s="112"/>
      <c r="V217" s="205"/>
      <c r="W217" s="6"/>
    </row>
    <row r="218" spans="1:24" ht="15.6">
      <c r="A218" s="25"/>
      <c r="B218" s="61"/>
      <c r="C218" s="110"/>
      <c r="D218" s="110"/>
      <c r="E218" s="110"/>
      <c r="F218" s="110"/>
      <c r="G218" s="110"/>
      <c r="H218" s="110"/>
      <c r="I218" s="110"/>
      <c r="J218" s="110"/>
      <c r="K218" s="110"/>
      <c r="L218" s="110"/>
      <c r="M218" s="111"/>
      <c r="N218" s="110"/>
      <c r="O218" s="111"/>
      <c r="P218" s="110"/>
      <c r="Q218" s="111"/>
      <c r="R218" s="110"/>
      <c r="S218" s="113"/>
      <c r="T218" s="110"/>
      <c r="U218" s="112"/>
      <c r="V218" s="205"/>
      <c r="W218" s="6"/>
    </row>
    <row r="219" spans="1:24" ht="15.6">
      <c r="A219" s="25"/>
      <c r="B219" s="61" t="s">
        <v>88</v>
      </c>
      <c r="C219" s="110"/>
      <c r="D219" s="110"/>
      <c r="E219" s="110"/>
      <c r="F219" s="110"/>
      <c r="G219" s="110"/>
      <c r="H219" s="110"/>
      <c r="I219" s="110"/>
      <c r="J219" s="110"/>
      <c r="K219" s="110"/>
      <c r="L219" s="110"/>
      <c r="M219" s="111"/>
      <c r="N219" s="110"/>
      <c r="O219" s="111"/>
      <c r="P219" s="110"/>
      <c r="Q219" s="111"/>
      <c r="R219" s="110"/>
      <c r="S219" s="113">
        <f>+N198+S198+N211+S211</f>
        <v>370654</v>
      </c>
      <c r="T219" s="110"/>
      <c r="U219" s="112"/>
      <c r="V219" s="205"/>
      <c r="W219" s="6"/>
      <c r="X219" s="182"/>
    </row>
    <row r="220" spans="1:24" ht="15.6">
      <c r="A220" s="25"/>
      <c r="B220" s="61" t="s">
        <v>89</v>
      </c>
      <c r="C220" s="110"/>
      <c r="D220" s="110"/>
      <c r="E220" s="110"/>
      <c r="F220" s="110"/>
      <c r="G220" s="110"/>
      <c r="H220" s="110"/>
      <c r="I220" s="110"/>
      <c r="J220" s="110"/>
      <c r="K220" s="110"/>
      <c r="L220" s="110"/>
      <c r="M220" s="111"/>
      <c r="N220" s="110"/>
      <c r="O220" s="111"/>
      <c r="P220" s="110"/>
      <c r="Q220" s="111"/>
      <c r="R220" s="110"/>
      <c r="S220" s="113">
        <f>-U103</f>
        <v>79346</v>
      </c>
      <c r="T220" s="110"/>
      <c r="U220" s="112"/>
      <c r="V220" s="205"/>
      <c r="W220" s="119"/>
    </row>
    <row r="221" spans="1:24" ht="15.6">
      <c r="A221" s="25"/>
      <c r="B221" s="61" t="s">
        <v>90</v>
      </c>
      <c r="C221" s="110"/>
      <c r="D221" s="110"/>
      <c r="E221" s="110"/>
      <c r="F221" s="110"/>
      <c r="G221" s="110"/>
      <c r="H221" s="110"/>
      <c r="I221" s="110"/>
      <c r="J221" s="110"/>
      <c r="K221" s="110"/>
      <c r="L221" s="110"/>
      <c r="M221" s="111"/>
      <c r="N221" s="110"/>
      <c r="O221" s="111"/>
      <c r="P221" s="110"/>
      <c r="Q221" s="111"/>
      <c r="R221" s="110"/>
      <c r="S221" s="113">
        <f>SUM(S219:S220)</f>
        <v>450000</v>
      </c>
      <c r="T221" s="110"/>
      <c r="U221" s="112"/>
      <c r="V221" s="205"/>
      <c r="W221" s="6"/>
    </row>
    <row r="222" spans="1:24" ht="15.6">
      <c r="A222" s="25"/>
      <c r="B222" s="61"/>
      <c r="C222" s="110"/>
      <c r="D222" s="110"/>
      <c r="E222" s="110"/>
      <c r="F222" s="110"/>
      <c r="G222" s="110"/>
      <c r="H222" s="110"/>
      <c r="I222" s="110"/>
      <c r="J222" s="110"/>
      <c r="K222" s="110"/>
      <c r="L222" s="110"/>
      <c r="M222" s="111"/>
      <c r="N222" s="110"/>
      <c r="O222" s="111"/>
      <c r="P222" s="110"/>
      <c r="Q222" s="111"/>
      <c r="R222" s="110"/>
      <c r="S222" s="113"/>
      <c r="T222" s="110"/>
      <c r="U222" s="112"/>
      <c r="V222" s="205"/>
      <c r="W222" s="6"/>
    </row>
    <row r="223" spans="1:24" ht="15.6">
      <c r="A223" s="25"/>
      <c r="B223" s="61" t="s">
        <v>91</v>
      </c>
      <c r="C223" s="110"/>
      <c r="D223" s="110"/>
      <c r="E223" s="110"/>
      <c r="F223" s="110"/>
      <c r="G223" s="110"/>
      <c r="H223" s="110"/>
      <c r="I223" s="110"/>
      <c r="J223" s="110"/>
      <c r="K223" s="110"/>
      <c r="L223" s="110"/>
      <c r="M223" s="111"/>
      <c r="N223" s="110"/>
      <c r="O223" s="111"/>
      <c r="P223" s="110"/>
      <c r="Q223" s="111"/>
      <c r="R223" s="110"/>
      <c r="S223" s="113">
        <f>U33</f>
        <v>450000</v>
      </c>
      <c r="T223" s="110"/>
      <c r="U223" s="112"/>
      <c r="V223" s="205"/>
      <c r="W223" s="6"/>
    </row>
    <row r="224" spans="1:24" ht="15.6">
      <c r="A224" s="25"/>
      <c r="B224" s="61"/>
      <c r="C224" s="110"/>
      <c r="D224" s="110"/>
      <c r="E224" s="110"/>
      <c r="F224" s="110"/>
      <c r="G224" s="110"/>
      <c r="H224" s="110"/>
      <c r="I224" s="110"/>
      <c r="J224" s="110"/>
      <c r="K224" s="110"/>
      <c r="L224" s="110"/>
      <c r="M224" s="111"/>
      <c r="N224" s="110"/>
      <c r="O224" s="111"/>
      <c r="P224" s="110"/>
      <c r="Q224" s="111"/>
      <c r="R224" s="110"/>
      <c r="S224" s="113"/>
      <c r="T224" s="110"/>
      <c r="U224" s="112"/>
      <c r="V224" s="205"/>
      <c r="W224" s="6"/>
    </row>
    <row r="225" spans="1:23" ht="15.6">
      <c r="A225" s="25"/>
      <c r="B225" s="61" t="s">
        <v>92</v>
      </c>
      <c r="C225" s="110"/>
      <c r="D225" s="110"/>
      <c r="E225" s="110"/>
      <c r="F225" s="110"/>
      <c r="G225" s="110"/>
      <c r="H225" s="110"/>
      <c r="I225" s="110"/>
      <c r="J225" s="110"/>
      <c r="K225" s="110"/>
      <c r="L225" s="110"/>
      <c r="M225" s="111"/>
      <c r="N225" s="110"/>
      <c r="O225" s="111"/>
      <c r="P225" s="110"/>
      <c r="Q225" s="111"/>
      <c r="R225" s="110"/>
      <c r="S225" s="113">
        <f>S221/S223</f>
        <v>1</v>
      </c>
      <c r="T225" s="110"/>
      <c r="U225" s="112"/>
      <c r="V225" s="205"/>
      <c r="W225" s="6"/>
    </row>
    <row r="226" spans="1:23" ht="15.6">
      <c r="A226" s="25"/>
      <c r="B226" s="26"/>
      <c r="C226" s="26"/>
      <c r="D226" s="26"/>
      <c r="E226" s="26"/>
      <c r="F226" s="26"/>
      <c r="G226" s="26"/>
      <c r="H226" s="26"/>
      <c r="I226" s="26"/>
      <c r="J226" s="26"/>
      <c r="K226" s="26"/>
      <c r="L226" s="26"/>
      <c r="M226" s="33"/>
      <c r="N226" s="26"/>
      <c r="O226" s="26"/>
      <c r="P226" s="26"/>
      <c r="Q226" s="59"/>
      <c r="R226" s="120"/>
      <c r="S226" s="60"/>
      <c r="T226" s="120"/>
      <c r="U226" s="89"/>
      <c r="V226" s="196"/>
      <c r="W226" s="6"/>
    </row>
    <row r="227" spans="1:23" ht="15.6">
      <c r="A227" s="121"/>
      <c r="B227" s="30" t="s">
        <v>127</v>
      </c>
      <c r="C227" s="122"/>
      <c r="D227" s="122"/>
      <c r="E227" s="122"/>
      <c r="F227" s="122"/>
      <c r="G227" s="122"/>
      <c r="H227" s="122"/>
      <c r="I227" s="122"/>
      <c r="J227" s="122"/>
      <c r="K227" s="122"/>
      <c r="L227" s="122"/>
      <c r="M227" s="110"/>
      <c r="N227" s="112"/>
      <c r="O227" s="30"/>
      <c r="P227" s="123"/>
      <c r="Q227" s="123"/>
      <c r="R227" s="123"/>
      <c r="S227" s="124"/>
      <c r="T227" s="29"/>
      <c r="U227" s="29"/>
      <c r="V227" s="203"/>
      <c r="W227" s="6"/>
    </row>
    <row r="228" spans="1:23" ht="15.6">
      <c r="A228" s="125"/>
      <c r="B228" s="13" t="s">
        <v>128</v>
      </c>
      <c r="C228" s="126"/>
      <c r="D228" s="126"/>
      <c r="E228" s="126"/>
      <c r="F228" s="126"/>
      <c r="G228" s="126"/>
      <c r="H228" s="126"/>
      <c r="I228" s="126"/>
      <c r="J228" s="126"/>
      <c r="K228" s="126"/>
      <c r="L228" s="126"/>
      <c r="M228" s="127"/>
      <c r="N228" s="13"/>
      <c r="O228" s="13"/>
      <c r="P228" s="126"/>
      <c r="Q228" s="126"/>
      <c r="R228" s="12"/>
      <c r="S228" s="12"/>
      <c r="T228" s="12"/>
      <c r="U228" s="12"/>
      <c r="V228" s="207"/>
      <c r="W228" s="6"/>
    </row>
    <row r="229" spans="1:23" ht="15.6">
      <c r="A229" s="125"/>
      <c r="B229" s="13" t="s">
        <v>246</v>
      </c>
      <c r="C229" s="126"/>
      <c r="D229" s="126"/>
      <c r="E229" s="126"/>
      <c r="F229" s="126"/>
      <c r="G229" s="126"/>
      <c r="H229" s="126"/>
      <c r="I229" s="126"/>
      <c r="J229" s="126"/>
      <c r="K229" s="126"/>
      <c r="L229" s="126"/>
      <c r="M229" s="127"/>
      <c r="N229" s="13"/>
      <c r="O229" s="13"/>
      <c r="P229" s="126"/>
      <c r="Q229" s="126"/>
      <c r="R229" s="12"/>
      <c r="S229" s="12"/>
      <c r="T229" s="12"/>
      <c r="U229" s="12"/>
      <c r="V229" s="207"/>
      <c r="W229" s="6"/>
    </row>
    <row r="230" spans="1:23" ht="15.6">
      <c r="A230" s="125"/>
      <c r="B230" s="13" t="s">
        <v>129</v>
      </c>
      <c r="C230" s="126"/>
      <c r="D230" s="126"/>
      <c r="E230" s="126"/>
      <c r="F230" s="126"/>
      <c r="G230" s="126"/>
      <c r="H230" s="126"/>
      <c r="I230" s="126"/>
      <c r="J230" s="126"/>
      <c r="K230" s="126"/>
      <c r="L230" s="126"/>
      <c r="M230" s="127"/>
      <c r="N230" s="13"/>
      <c r="O230" s="13"/>
      <c r="P230" s="126"/>
      <c r="Q230" s="126"/>
      <c r="R230" s="12"/>
      <c r="S230" s="12"/>
      <c r="T230" s="12"/>
      <c r="U230" s="12"/>
      <c r="V230" s="207"/>
      <c r="W230" s="6"/>
    </row>
    <row r="231" spans="1:23" ht="15.6">
      <c r="A231" s="125"/>
      <c r="B231" s="13"/>
      <c r="C231" s="126"/>
      <c r="D231" s="126"/>
      <c r="E231" s="126"/>
      <c r="F231" s="126"/>
      <c r="G231" s="126"/>
      <c r="H231" s="126"/>
      <c r="I231" s="126"/>
      <c r="J231" s="126"/>
      <c r="K231" s="126"/>
      <c r="L231" s="126"/>
      <c r="M231" s="127"/>
      <c r="N231" s="13"/>
      <c r="O231" s="13"/>
      <c r="P231" s="126"/>
      <c r="Q231" s="126"/>
      <c r="R231" s="12"/>
      <c r="S231" s="12"/>
      <c r="T231" s="12"/>
      <c r="U231" s="12"/>
      <c r="V231" s="207"/>
      <c r="W231" s="6"/>
    </row>
    <row r="232" spans="1:23" ht="15.6">
      <c r="A232" s="125"/>
      <c r="B232" s="13"/>
      <c r="C232" s="126"/>
      <c r="D232" s="126"/>
      <c r="E232" s="126"/>
      <c r="F232" s="126"/>
      <c r="G232" s="126"/>
      <c r="H232" s="126"/>
      <c r="I232" s="126"/>
      <c r="J232" s="126"/>
      <c r="K232" s="126"/>
      <c r="L232" s="126"/>
      <c r="M232" s="127"/>
      <c r="N232" s="13"/>
      <c r="O232" s="13"/>
      <c r="P232" s="126"/>
      <c r="Q232" s="126"/>
      <c r="R232" s="12"/>
      <c r="S232" s="12"/>
      <c r="T232" s="12"/>
      <c r="U232" s="12"/>
      <c r="V232" s="207"/>
      <c r="W232" s="6"/>
    </row>
    <row r="233" spans="1:23" ht="16.2" thickBot="1">
      <c r="A233" s="125"/>
      <c r="B233" s="13" t="str">
        <f>+B160</f>
        <v>PPAF3 INVESTOR REPORT QUARTER ENDING SEPTEMBER 2006</v>
      </c>
      <c r="C233" s="126"/>
      <c r="D233" s="126"/>
      <c r="E233" s="126"/>
      <c r="F233" s="126"/>
      <c r="G233" s="126"/>
      <c r="H233" s="126"/>
      <c r="I233" s="126"/>
      <c r="J233" s="126"/>
      <c r="K233" s="126"/>
      <c r="L233" s="126"/>
      <c r="M233" s="127"/>
      <c r="N233" s="13"/>
      <c r="O233" s="13"/>
      <c r="P233" s="126"/>
      <c r="Q233" s="126"/>
      <c r="R233" s="12"/>
      <c r="S233" s="12"/>
      <c r="T233" s="12"/>
      <c r="U233" s="12"/>
      <c r="V233" s="208"/>
      <c r="W233" s="6"/>
    </row>
    <row r="234" spans="1:2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row>
  </sheetData>
  <phoneticPr fontId="0" type="noConversion"/>
  <hyperlinks>
    <hyperlink ref="I9" r:id="rId1"/>
    <hyperlink ref="K187"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16383" man="1"/>
    <brk id="110" max="16383" man="1"/>
    <brk id="160" max="21" man="1"/>
    <brk id="239" man="1"/>
  </rowBreaks>
  <colBreaks count="1" manualBreakCount="1">
    <brk id="23" max="1048575" man="1"/>
  </col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18"/>
  </sheetPr>
  <dimension ref="A1:Y235"/>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 t="s">
        <v>223</v>
      </c>
      <c r="B1" s="3" t="s">
        <v>123</v>
      </c>
      <c r="C1" s="4"/>
      <c r="D1" s="4"/>
      <c r="E1" s="4"/>
      <c r="F1" s="4"/>
      <c r="G1" s="4"/>
      <c r="H1" s="4"/>
      <c r="I1" s="4"/>
      <c r="J1" s="4"/>
      <c r="K1" s="4"/>
      <c r="L1" s="4"/>
      <c r="M1" s="5"/>
      <c r="N1" s="5"/>
      <c r="O1" s="5"/>
      <c r="P1" s="5"/>
      <c r="Q1" s="5"/>
      <c r="R1" s="5"/>
      <c r="S1" s="5"/>
      <c r="T1" s="5"/>
      <c r="U1" s="5"/>
      <c r="V1" s="193"/>
      <c r="W1" s="6"/>
    </row>
    <row r="2" spans="1:23" ht="15.6">
      <c r="A2" s="7"/>
      <c r="B2" s="8"/>
      <c r="C2" s="8"/>
      <c r="D2" s="8"/>
      <c r="E2" s="8"/>
      <c r="F2" s="8"/>
      <c r="G2" s="8"/>
      <c r="H2" s="8"/>
      <c r="I2" s="8"/>
      <c r="J2" s="8"/>
      <c r="K2" s="8"/>
      <c r="L2" s="8"/>
      <c r="M2" s="9"/>
      <c r="N2" s="9"/>
      <c r="O2" s="9"/>
      <c r="P2" s="9"/>
      <c r="Q2" s="9"/>
      <c r="R2" s="9"/>
      <c r="S2" s="9"/>
      <c r="T2" s="9"/>
      <c r="U2" s="9"/>
      <c r="V2" s="194"/>
      <c r="W2" s="6"/>
    </row>
    <row r="3" spans="1:23" ht="15.6">
      <c r="A3" s="10"/>
      <c r="B3" s="141" t="s">
        <v>125</v>
      </c>
      <c r="C3" s="9"/>
      <c r="D3" s="9"/>
      <c r="E3" s="9"/>
      <c r="F3" s="9"/>
      <c r="G3" s="9"/>
      <c r="H3" s="9"/>
      <c r="I3" s="9"/>
      <c r="J3" s="9"/>
      <c r="K3" s="9"/>
      <c r="L3" s="9"/>
      <c r="M3" s="9"/>
      <c r="N3" s="9"/>
      <c r="O3" s="9"/>
      <c r="P3" s="9"/>
      <c r="Q3" s="9"/>
      <c r="R3" s="9"/>
      <c r="S3" s="9"/>
      <c r="T3" s="9"/>
      <c r="U3" s="9"/>
      <c r="V3" s="194"/>
      <c r="W3" s="6"/>
    </row>
    <row r="4" spans="1:23" ht="15.6">
      <c r="A4" s="7"/>
      <c r="B4" s="8"/>
      <c r="C4" s="8"/>
      <c r="D4" s="8"/>
      <c r="E4" s="8"/>
      <c r="F4" s="8"/>
      <c r="G4" s="8"/>
      <c r="H4" s="8"/>
      <c r="I4" s="8"/>
      <c r="J4" s="8"/>
      <c r="K4" s="8"/>
      <c r="L4" s="8"/>
      <c r="M4" s="9"/>
      <c r="N4" s="9"/>
      <c r="O4" s="9"/>
      <c r="P4" s="9"/>
      <c r="Q4" s="9"/>
      <c r="R4" s="9"/>
      <c r="S4" s="9"/>
      <c r="T4" s="9"/>
      <c r="U4" s="9"/>
      <c r="V4" s="194"/>
      <c r="W4" s="6"/>
    </row>
    <row r="5" spans="1:23" ht="16.2">
      <c r="A5" s="7"/>
      <c r="B5" s="192" t="s">
        <v>0</v>
      </c>
      <c r="C5" s="11"/>
      <c r="D5" s="11"/>
      <c r="E5" s="11"/>
      <c r="F5" s="11"/>
      <c r="G5" s="11"/>
      <c r="H5" s="11"/>
      <c r="I5" s="11"/>
      <c r="J5" s="11"/>
      <c r="K5" s="11"/>
      <c r="L5" s="11"/>
      <c r="M5" s="9"/>
      <c r="N5" s="9"/>
      <c r="O5" s="9"/>
      <c r="P5" s="9"/>
      <c r="Q5" s="9"/>
      <c r="R5" s="9"/>
      <c r="S5" s="9"/>
      <c r="T5" s="9"/>
      <c r="U5" s="9"/>
      <c r="V5" s="194"/>
      <c r="W5" s="6"/>
    </row>
    <row r="6" spans="1:23" ht="16.2">
      <c r="A6" s="7"/>
      <c r="B6" s="192" t="s">
        <v>1</v>
      </c>
      <c r="C6" s="11"/>
      <c r="D6" s="11"/>
      <c r="E6" s="11"/>
      <c r="F6" s="11"/>
      <c r="G6" s="11"/>
      <c r="H6" s="11"/>
      <c r="I6" s="11"/>
      <c r="J6" s="11"/>
      <c r="K6" s="11"/>
      <c r="L6" s="11"/>
      <c r="M6" s="9"/>
      <c r="N6" s="9"/>
      <c r="O6" s="9"/>
      <c r="P6" s="9"/>
      <c r="Q6" s="9"/>
      <c r="R6" s="9"/>
      <c r="S6" s="9"/>
      <c r="T6" s="9"/>
      <c r="U6" s="9"/>
      <c r="V6" s="194"/>
      <c r="W6" s="6"/>
    </row>
    <row r="7" spans="1:23" ht="16.2">
      <c r="A7" s="7"/>
      <c r="B7" s="192" t="s">
        <v>2</v>
      </c>
      <c r="C7" s="11"/>
      <c r="D7" s="11"/>
      <c r="E7" s="11"/>
      <c r="F7" s="11"/>
      <c r="G7" s="11"/>
      <c r="H7" s="11"/>
      <c r="I7" s="11"/>
      <c r="J7" s="11"/>
      <c r="K7" s="11"/>
      <c r="L7" s="11"/>
      <c r="M7" s="9"/>
      <c r="N7" s="9"/>
      <c r="O7" s="9"/>
      <c r="P7" s="9"/>
      <c r="Q7" s="9"/>
      <c r="R7" s="9"/>
      <c r="S7" s="9"/>
      <c r="T7" s="9"/>
      <c r="U7" s="9"/>
      <c r="V7" s="194"/>
      <c r="W7" s="6"/>
    </row>
    <row r="8" spans="1:23" ht="16.2">
      <c r="A8" s="7"/>
      <c r="B8" s="12"/>
      <c r="C8" s="11"/>
      <c r="D8" s="11"/>
      <c r="E8" s="11"/>
      <c r="F8" s="11"/>
      <c r="G8" s="11"/>
      <c r="H8" s="11"/>
      <c r="I8" s="11"/>
      <c r="J8" s="11"/>
      <c r="K8" s="11"/>
      <c r="L8" s="11"/>
      <c r="M8" s="9"/>
      <c r="N8" s="9"/>
      <c r="O8" s="9"/>
      <c r="P8" s="9"/>
      <c r="Q8" s="9"/>
      <c r="R8" s="9"/>
      <c r="S8" s="9"/>
      <c r="T8" s="9"/>
      <c r="U8" s="9"/>
      <c r="V8" s="194"/>
      <c r="W8" s="6"/>
    </row>
    <row r="9" spans="1:23" ht="18">
      <c r="A9" s="7"/>
      <c r="B9" s="178" t="s">
        <v>194</v>
      </c>
      <c r="C9" s="11"/>
      <c r="D9" s="11"/>
      <c r="E9" s="11"/>
      <c r="F9" s="11"/>
      <c r="G9" s="11"/>
      <c r="H9" s="11"/>
      <c r="I9" s="179" t="s">
        <v>195</v>
      </c>
      <c r="J9" s="11"/>
      <c r="K9" s="11"/>
      <c r="L9" s="11"/>
      <c r="M9" s="9"/>
      <c r="N9" s="9"/>
      <c r="O9" s="9"/>
      <c r="P9" s="9"/>
      <c r="Q9" s="9"/>
      <c r="R9" s="9"/>
      <c r="S9" s="9"/>
      <c r="T9" s="9"/>
      <c r="U9" s="9"/>
      <c r="V9" s="194"/>
      <c r="W9" s="6"/>
    </row>
    <row r="10" spans="1:23" ht="16.2">
      <c r="A10" s="7"/>
      <c r="B10" s="11"/>
      <c r="C10" s="11"/>
      <c r="D10" s="11"/>
      <c r="E10" s="11"/>
      <c r="F10" s="11"/>
      <c r="G10" s="11"/>
      <c r="H10" s="11"/>
      <c r="I10" s="11"/>
      <c r="J10" s="11"/>
      <c r="K10" s="11"/>
      <c r="L10" s="11"/>
      <c r="M10" s="13"/>
      <c r="N10" s="13"/>
      <c r="O10" s="9"/>
      <c r="P10" s="9"/>
      <c r="Q10" s="9"/>
      <c r="R10" s="9"/>
      <c r="S10" s="9"/>
      <c r="T10" s="9"/>
      <c r="U10" s="9"/>
      <c r="V10" s="194"/>
      <c r="W10" s="6"/>
    </row>
    <row r="11" spans="1:23" ht="15.6">
      <c r="A11" s="7"/>
      <c r="B11" s="13" t="s">
        <v>3</v>
      </c>
      <c r="C11" s="13"/>
      <c r="D11" s="13"/>
      <c r="E11" s="13"/>
      <c r="F11" s="13"/>
      <c r="G11" s="13"/>
      <c r="H11" s="13"/>
      <c r="I11" s="13"/>
      <c r="J11" s="13"/>
      <c r="K11" s="13"/>
      <c r="L11" s="13"/>
      <c r="M11" s="9"/>
      <c r="N11" s="9"/>
      <c r="O11" s="9"/>
      <c r="P11" s="9"/>
      <c r="Q11" s="9"/>
      <c r="R11" s="9"/>
      <c r="S11" s="9"/>
      <c r="T11" s="9"/>
      <c r="U11" s="9"/>
      <c r="V11" s="194"/>
      <c r="W11" s="6"/>
    </row>
    <row r="12" spans="1:23" ht="16.2" thickBot="1">
      <c r="A12" s="7"/>
      <c r="B12" s="13"/>
      <c r="C12" s="13"/>
      <c r="D12" s="13"/>
      <c r="E12" s="13"/>
      <c r="F12" s="13"/>
      <c r="G12" s="13"/>
      <c r="H12" s="13"/>
      <c r="I12" s="13"/>
      <c r="J12" s="13"/>
      <c r="K12" s="13"/>
      <c r="L12" s="13"/>
      <c r="M12" s="9"/>
      <c r="N12" s="9"/>
      <c r="O12" s="9"/>
      <c r="P12" s="9"/>
      <c r="Q12" s="9"/>
      <c r="R12" s="9"/>
      <c r="S12" s="9"/>
      <c r="T12" s="9"/>
      <c r="U12" s="9"/>
      <c r="V12" s="194"/>
      <c r="W12" s="6"/>
    </row>
    <row r="13" spans="1:23" ht="15.6">
      <c r="A13" s="2"/>
      <c r="B13" s="5"/>
      <c r="C13" s="5"/>
      <c r="D13" s="5"/>
      <c r="E13" s="5"/>
      <c r="F13" s="5"/>
      <c r="G13" s="5"/>
      <c r="H13" s="5"/>
      <c r="I13" s="5"/>
      <c r="J13" s="5"/>
      <c r="K13" s="5"/>
      <c r="L13" s="5"/>
      <c r="M13" s="5"/>
      <c r="N13" s="5"/>
      <c r="O13" s="5"/>
      <c r="P13" s="5"/>
      <c r="Q13" s="5"/>
      <c r="R13" s="5"/>
      <c r="S13" s="5"/>
      <c r="T13" s="5"/>
      <c r="U13" s="5"/>
      <c r="V13" s="193"/>
      <c r="W13" s="6"/>
    </row>
    <row r="14" spans="1:23" ht="15.6">
      <c r="A14" s="7"/>
      <c r="B14" s="14" t="s">
        <v>4</v>
      </c>
      <c r="C14" s="14"/>
      <c r="D14" s="14"/>
      <c r="E14" s="14"/>
      <c r="F14" s="14"/>
      <c r="G14" s="14"/>
      <c r="H14" s="14"/>
      <c r="I14" s="14"/>
      <c r="J14" s="14"/>
      <c r="K14" s="14"/>
      <c r="L14" s="14"/>
      <c r="M14" s="15"/>
      <c r="N14" s="15"/>
      <c r="O14" s="15"/>
      <c r="P14" s="15"/>
      <c r="Q14" s="15"/>
      <c r="R14" s="15"/>
      <c r="S14" s="15"/>
      <c r="T14" s="15"/>
      <c r="U14" s="16" t="s">
        <v>126</v>
      </c>
      <c r="V14" s="194"/>
      <c r="W14" s="6"/>
    </row>
    <row r="15" spans="1:23" ht="15.6">
      <c r="A15" s="7"/>
      <c r="B15" s="14" t="s">
        <v>5</v>
      </c>
      <c r="C15" s="14"/>
      <c r="D15" s="14"/>
      <c r="E15" s="14"/>
      <c r="F15" s="14"/>
      <c r="G15" s="14"/>
      <c r="H15" s="14"/>
      <c r="I15" s="14"/>
      <c r="J15" s="14"/>
      <c r="K15" s="14"/>
      <c r="L15" s="14"/>
      <c r="M15" s="17" t="s">
        <v>93</v>
      </c>
      <c r="N15" s="18">
        <v>0.1492</v>
      </c>
      <c r="O15" s="17" t="s">
        <v>99</v>
      </c>
      <c r="P15" s="18">
        <v>5.4399999999999997E-2</v>
      </c>
      <c r="Q15" s="17" t="s">
        <v>102</v>
      </c>
      <c r="R15" s="18">
        <v>0.48899999999999999</v>
      </c>
      <c r="S15" s="17" t="s">
        <v>108</v>
      </c>
      <c r="T15" s="18">
        <v>0.30740000000000001</v>
      </c>
      <c r="U15" s="16"/>
      <c r="V15" s="195"/>
      <c r="W15" s="6"/>
    </row>
    <row r="16" spans="1:23" ht="15.6">
      <c r="A16" s="7"/>
      <c r="B16" s="14" t="s">
        <v>6</v>
      </c>
      <c r="C16" s="14"/>
      <c r="D16" s="14"/>
      <c r="E16" s="14"/>
      <c r="F16" s="14"/>
      <c r="G16" s="14"/>
      <c r="H16" s="14"/>
      <c r="I16" s="14"/>
      <c r="J16" s="14"/>
      <c r="K16" s="14"/>
      <c r="L16" s="14"/>
      <c r="M16" s="17" t="s">
        <v>93</v>
      </c>
      <c r="N16" s="18">
        <f>+N199/S222</f>
        <v>8.5535555555555559E-2</v>
      </c>
      <c r="O16" s="17" t="s">
        <v>99</v>
      </c>
      <c r="P16" s="18">
        <f>+S199/S222</f>
        <v>9.022444444444444E-2</v>
      </c>
      <c r="Q16" s="17" t="s">
        <v>102</v>
      </c>
      <c r="R16" s="18">
        <f>+N212/S222</f>
        <v>0.40216444444444444</v>
      </c>
      <c r="S16" s="17" t="s">
        <v>108</v>
      </c>
      <c r="T16" s="18">
        <f>+S212/S222</f>
        <v>0.29248000000000002</v>
      </c>
      <c r="U16" s="16"/>
      <c r="V16" s="195"/>
      <c r="W16" s="6"/>
    </row>
    <row r="17" spans="1:23" ht="15.6">
      <c r="A17" s="7"/>
      <c r="B17" s="14" t="s">
        <v>7</v>
      </c>
      <c r="C17" s="14"/>
      <c r="D17" s="14"/>
      <c r="E17" s="14"/>
      <c r="F17" s="14"/>
      <c r="G17" s="14"/>
      <c r="H17" s="14"/>
      <c r="I17" s="14"/>
      <c r="J17" s="14"/>
      <c r="K17" s="14"/>
      <c r="L17" s="14"/>
      <c r="M17" s="15"/>
      <c r="N17" s="15"/>
      <c r="O17" s="15"/>
      <c r="P17" s="15"/>
      <c r="Q17" s="15"/>
      <c r="R17" s="15"/>
      <c r="S17" s="15"/>
      <c r="T17" s="15"/>
      <c r="U17" s="19">
        <v>38491</v>
      </c>
      <c r="V17" s="194"/>
      <c r="W17" s="6"/>
    </row>
    <row r="18" spans="1:23" ht="15.6">
      <c r="A18" s="7"/>
      <c r="B18" s="14" t="s">
        <v>8</v>
      </c>
      <c r="C18" s="14"/>
      <c r="D18" s="14"/>
      <c r="E18" s="14"/>
      <c r="F18" s="14"/>
      <c r="G18" s="14"/>
      <c r="H18" s="14"/>
      <c r="I18" s="14"/>
      <c r="J18" s="14"/>
      <c r="K18" s="14"/>
      <c r="L18" s="14"/>
      <c r="M18" s="15"/>
      <c r="N18" s="15"/>
      <c r="O18" s="15"/>
      <c r="P18" s="15"/>
      <c r="Q18" s="15"/>
      <c r="R18" s="15"/>
      <c r="S18" s="15"/>
      <c r="T18" s="15"/>
      <c r="U18" s="19">
        <v>39106</v>
      </c>
      <c r="V18" s="194"/>
      <c r="W18" s="6"/>
    </row>
    <row r="19" spans="1:23" ht="15.6">
      <c r="A19" s="7"/>
      <c r="B19" s="9"/>
      <c r="C19" s="9"/>
      <c r="D19" s="9"/>
      <c r="E19" s="9"/>
      <c r="F19" s="9"/>
      <c r="G19" s="9"/>
      <c r="H19" s="9"/>
      <c r="I19" s="9"/>
      <c r="J19" s="9"/>
      <c r="K19" s="9"/>
      <c r="L19" s="9"/>
      <c r="M19" s="9"/>
      <c r="N19" s="9"/>
      <c r="O19" s="9"/>
      <c r="P19" s="9"/>
      <c r="Q19" s="9"/>
      <c r="R19" s="9"/>
      <c r="S19" s="9"/>
      <c r="T19" s="9"/>
      <c r="U19" s="20"/>
      <c r="V19" s="194"/>
      <c r="W19" s="6"/>
    </row>
    <row r="20" spans="1:23" ht="15.6">
      <c r="A20" s="7"/>
      <c r="B20" s="21" t="s">
        <v>9</v>
      </c>
      <c r="C20" s="9"/>
      <c r="D20" s="9"/>
      <c r="E20" s="9"/>
      <c r="F20" s="9"/>
      <c r="G20" s="9"/>
      <c r="H20" s="9"/>
      <c r="I20" s="9"/>
      <c r="J20" s="9"/>
      <c r="K20" s="9"/>
      <c r="L20" s="9"/>
      <c r="M20" s="9"/>
      <c r="N20" s="9"/>
      <c r="O20" s="9"/>
      <c r="P20" s="9"/>
      <c r="Q20" s="9"/>
      <c r="R20" s="9"/>
      <c r="S20" s="20"/>
      <c r="T20" s="9"/>
      <c r="U20" s="12"/>
      <c r="V20" s="194"/>
      <c r="W20" s="6"/>
    </row>
    <row r="21" spans="1:23" ht="15.6">
      <c r="A21" s="7"/>
      <c r="B21" s="9"/>
      <c r="C21" s="9"/>
      <c r="D21" s="9"/>
      <c r="E21" s="9"/>
      <c r="F21" s="9"/>
      <c r="G21" s="9"/>
      <c r="H21" s="9"/>
      <c r="I21" s="9"/>
      <c r="J21" s="9"/>
      <c r="K21" s="9"/>
      <c r="L21" s="9"/>
      <c r="M21" s="9"/>
      <c r="N21" s="9"/>
      <c r="O21" s="9"/>
      <c r="P21" s="9"/>
      <c r="Q21" s="9"/>
      <c r="R21" s="9"/>
      <c r="S21" s="9"/>
      <c r="T21" s="9"/>
      <c r="U21" s="22"/>
      <c r="V21" s="194"/>
      <c r="W21" s="6"/>
    </row>
    <row r="22" spans="1:23" ht="15.6">
      <c r="A22" s="7"/>
      <c r="B22" s="9"/>
      <c r="C22" s="142" t="s">
        <v>130</v>
      </c>
      <c r="D22" s="142"/>
      <c r="E22" s="142" t="s">
        <v>131</v>
      </c>
      <c r="F22" s="142"/>
      <c r="G22" s="142" t="s">
        <v>132</v>
      </c>
      <c r="H22" s="142"/>
      <c r="I22" s="142" t="s">
        <v>133</v>
      </c>
      <c r="J22" s="142"/>
      <c r="K22" s="142" t="s">
        <v>134</v>
      </c>
      <c r="L22" s="142"/>
      <c r="M22" s="144" t="s">
        <v>135</v>
      </c>
      <c r="N22" s="144"/>
      <c r="O22" s="144" t="s">
        <v>136</v>
      </c>
      <c r="P22" s="144"/>
      <c r="Q22" s="144" t="s">
        <v>137</v>
      </c>
      <c r="R22" s="23"/>
      <c r="S22" s="24"/>
      <c r="T22" s="12"/>
      <c r="U22" s="12"/>
      <c r="V22" s="194"/>
      <c r="W22" s="6"/>
    </row>
    <row r="23" spans="1:23" ht="15.6">
      <c r="A23" s="25"/>
      <c r="B23" s="26" t="s">
        <v>10</v>
      </c>
      <c r="C23" s="157" t="s">
        <v>96</v>
      </c>
      <c r="D23" s="157"/>
      <c r="E23" s="157" t="s">
        <v>96</v>
      </c>
      <c r="F23" s="157"/>
      <c r="G23" s="157" t="s">
        <v>138</v>
      </c>
      <c r="H23" s="157"/>
      <c r="I23" s="157" t="s">
        <v>138</v>
      </c>
      <c r="J23" s="157"/>
      <c r="K23" s="157" t="s">
        <v>104</v>
      </c>
      <c r="L23" s="143"/>
      <c r="M23" s="28" t="s">
        <v>104</v>
      </c>
      <c r="N23" s="28"/>
      <c r="O23" s="28" t="s">
        <v>109</v>
      </c>
      <c r="P23" s="28"/>
      <c r="Q23" s="28" t="s">
        <v>109</v>
      </c>
      <c r="R23" s="28"/>
      <c r="S23" s="28"/>
      <c r="T23" s="29"/>
      <c r="U23" s="29"/>
      <c r="V23" s="196"/>
      <c r="W23" s="6"/>
    </row>
    <row r="24" spans="1:23" ht="15.6">
      <c r="A24" s="25"/>
      <c r="B24" s="26" t="s">
        <v>11</v>
      </c>
      <c r="C24" s="157" t="s">
        <v>97</v>
      </c>
      <c r="D24" s="157"/>
      <c r="E24" s="157" t="s">
        <v>97</v>
      </c>
      <c r="F24" s="157"/>
      <c r="G24" s="157" t="s">
        <v>139</v>
      </c>
      <c r="H24" s="157"/>
      <c r="I24" s="157" t="s">
        <v>139</v>
      </c>
      <c r="J24" s="157"/>
      <c r="K24" s="157" t="s">
        <v>105</v>
      </c>
      <c r="L24" s="27"/>
      <c r="M24" s="28" t="s">
        <v>105</v>
      </c>
      <c r="N24" s="28"/>
      <c r="O24" s="28" t="s">
        <v>110</v>
      </c>
      <c r="P24" s="28"/>
      <c r="Q24" s="28" t="s">
        <v>110</v>
      </c>
      <c r="R24" s="28"/>
      <c r="S24" s="28"/>
      <c r="T24" s="29"/>
      <c r="U24" s="29"/>
      <c r="V24" s="196"/>
      <c r="W24" s="6"/>
    </row>
    <row r="25" spans="1:23" ht="15.6">
      <c r="A25" s="25"/>
      <c r="B25" s="30" t="s">
        <v>12</v>
      </c>
      <c r="C25" s="110" t="s">
        <v>96</v>
      </c>
      <c r="D25" s="110"/>
      <c r="E25" s="110" t="s">
        <v>96</v>
      </c>
      <c r="F25" s="110"/>
      <c r="G25" s="110" t="s">
        <v>138</v>
      </c>
      <c r="H25" s="110"/>
      <c r="I25" s="110" t="s">
        <v>138</v>
      </c>
      <c r="J25" s="30"/>
      <c r="K25" s="110" t="s">
        <v>104</v>
      </c>
      <c r="L25" s="30"/>
      <c r="M25" s="31" t="s">
        <v>104</v>
      </c>
      <c r="N25" s="28"/>
      <c r="O25" s="31" t="s">
        <v>109</v>
      </c>
      <c r="P25" s="28"/>
      <c r="Q25" s="31" t="s">
        <v>109</v>
      </c>
      <c r="R25" s="31"/>
      <c r="S25" s="31"/>
      <c r="T25" s="32"/>
      <c r="U25" s="29"/>
      <c r="V25" s="196"/>
      <c r="W25" s="6"/>
    </row>
    <row r="26" spans="1:23" ht="15.6">
      <c r="A26" s="25"/>
      <c r="B26" s="30" t="s">
        <v>13</v>
      </c>
      <c r="C26" s="110" t="s">
        <v>97</v>
      </c>
      <c r="D26" s="110"/>
      <c r="E26" s="110" t="s">
        <v>97</v>
      </c>
      <c r="F26" s="110"/>
      <c r="G26" s="110" t="s">
        <v>139</v>
      </c>
      <c r="H26" s="110"/>
      <c r="I26" s="110" t="s">
        <v>139</v>
      </c>
      <c r="J26" s="30"/>
      <c r="K26" s="110" t="s">
        <v>105</v>
      </c>
      <c r="L26" s="30"/>
      <c r="M26" s="31" t="s">
        <v>105</v>
      </c>
      <c r="N26" s="28"/>
      <c r="O26" s="31" t="s">
        <v>110</v>
      </c>
      <c r="P26" s="28"/>
      <c r="Q26" s="31" t="s">
        <v>110</v>
      </c>
      <c r="R26" s="31"/>
      <c r="S26" s="31"/>
      <c r="T26" s="32"/>
      <c r="U26" s="29"/>
      <c r="V26" s="196"/>
      <c r="W26" s="6"/>
    </row>
    <row r="27" spans="1:23" ht="15.6">
      <c r="A27" s="25"/>
      <c r="B27" s="26" t="s">
        <v>14</v>
      </c>
      <c r="C27" s="33" t="s">
        <v>140</v>
      </c>
      <c r="D27" s="26"/>
      <c r="E27" s="33" t="s">
        <v>141</v>
      </c>
      <c r="F27" s="26"/>
      <c r="G27" s="33" t="s">
        <v>142</v>
      </c>
      <c r="H27" s="26"/>
      <c r="I27" s="33" t="s">
        <v>258</v>
      </c>
      <c r="J27" s="26"/>
      <c r="K27" s="33" t="s">
        <v>143</v>
      </c>
      <c r="L27" s="26"/>
      <c r="M27" s="26" t="s">
        <v>144</v>
      </c>
      <c r="N27" s="28"/>
      <c r="O27" s="26" t="s">
        <v>145</v>
      </c>
      <c r="P27" s="28"/>
      <c r="Q27" s="26" t="s">
        <v>146</v>
      </c>
      <c r="R27" s="28"/>
      <c r="S27" s="33"/>
      <c r="T27" s="29"/>
      <c r="U27" s="29"/>
      <c r="V27" s="196"/>
      <c r="W27" s="6"/>
    </row>
    <row r="28" spans="1:23" ht="15.6">
      <c r="A28" s="25"/>
      <c r="B28" s="26" t="s">
        <v>147</v>
      </c>
      <c r="C28" s="168">
        <v>146000</v>
      </c>
      <c r="D28" s="33"/>
      <c r="E28" s="165">
        <v>259500</v>
      </c>
      <c r="F28" s="33"/>
      <c r="G28" s="168">
        <v>16000</v>
      </c>
      <c r="H28" s="33"/>
      <c r="I28" s="165">
        <v>35500</v>
      </c>
      <c r="J28" s="26"/>
      <c r="K28" s="168">
        <v>18000</v>
      </c>
      <c r="L28" s="26"/>
      <c r="M28" s="165">
        <v>33000</v>
      </c>
      <c r="N28" s="35"/>
      <c r="O28" s="34">
        <v>24500</v>
      </c>
      <c r="P28" s="34"/>
      <c r="Q28" s="165">
        <v>30000</v>
      </c>
      <c r="R28" s="34"/>
      <c r="S28" s="34"/>
      <c r="T28" s="36"/>
      <c r="U28" s="34"/>
      <c r="V28" s="197"/>
      <c r="W28" s="6"/>
    </row>
    <row r="29" spans="1:23" ht="15.6">
      <c r="A29" s="25"/>
      <c r="B29" s="26" t="s">
        <v>15</v>
      </c>
      <c r="C29" s="168">
        <v>146000</v>
      </c>
      <c r="D29" s="169"/>
      <c r="E29" s="165">
        <v>259500</v>
      </c>
      <c r="F29" s="169"/>
      <c r="G29" s="168">
        <v>16000</v>
      </c>
      <c r="H29" s="169"/>
      <c r="I29" s="165">
        <v>35500</v>
      </c>
      <c r="J29" s="38"/>
      <c r="K29" s="168">
        <v>18000</v>
      </c>
      <c r="L29" s="38"/>
      <c r="M29" s="165">
        <v>33000</v>
      </c>
      <c r="N29" s="35"/>
      <c r="O29" s="34">
        <v>24500</v>
      </c>
      <c r="P29" s="34"/>
      <c r="Q29" s="165">
        <v>30000</v>
      </c>
      <c r="R29" s="39"/>
      <c r="S29" s="34"/>
      <c r="T29" s="36"/>
      <c r="U29" s="34"/>
      <c r="V29" s="197"/>
      <c r="W29" s="6"/>
    </row>
    <row r="30" spans="1:23" ht="15.6">
      <c r="A30" s="40"/>
      <c r="B30" s="30" t="s">
        <v>148</v>
      </c>
      <c r="C30" s="162">
        <v>146000</v>
      </c>
      <c r="D30" s="170"/>
      <c r="E30" s="171">
        <v>259500</v>
      </c>
      <c r="F30" s="170"/>
      <c r="G30" s="162">
        <v>16000</v>
      </c>
      <c r="H30" s="170"/>
      <c r="I30" s="171">
        <v>35500</v>
      </c>
      <c r="J30" s="159"/>
      <c r="K30" s="162">
        <v>18000</v>
      </c>
      <c r="L30" s="41"/>
      <c r="M30" s="166">
        <v>33000</v>
      </c>
      <c r="N30" s="43"/>
      <c r="O30" s="42">
        <v>24500</v>
      </c>
      <c r="P30" s="42"/>
      <c r="Q30" s="166">
        <v>30000</v>
      </c>
      <c r="R30" s="42"/>
      <c r="S30" s="42"/>
      <c r="T30" s="44"/>
      <c r="U30" s="42"/>
      <c r="V30" s="196"/>
      <c r="W30" s="6"/>
    </row>
    <row r="31" spans="1:23" ht="15.6">
      <c r="A31" s="40"/>
      <c r="B31" s="158" t="s">
        <v>260</v>
      </c>
      <c r="C31" s="172">
        <v>146000</v>
      </c>
      <c r="D31" s="173"/>
      <c r="E31" s="172">
        <v>178000</v>
      </c>
      <c r="F31" s="172"/>
      <c r="G31" s="172">
        <v>16000</v>
      </c>
      <c r="H31" s="172"/>
      <c r="I31" s="172">
        <v>24500</v>
      </c>
      <c r="J31" s="161"/>
      <c r="K31" s="172">
        <v>18000</v>
      </c>
      <c r="L31" s="161"/>
      <c r="M31" s="167">
        <v>22500</v>
      </c>
      <c r="N31" s="164"/>
      <c r="O31" s="167">
        <v>24500</v>
      </c>
      <c r="P31" s="163"/>
      <c r="Q31" s="167">
        <v>20500</v>
      </c>
      <c r="R31" s="42"/>
      <c r="S31" s="42"/>
      <c r="T31" s="44"/>
      <c r="U31" s="34">
        <f>+Q31+O31+M31+K31+I31+G31+E31+C31</f>
        <v>450000</v>
      </c>
      <c r="V31" s="196"/>
      <c r="W31" s="6"/>
    </row>
    <row r="32" spans="1:23" ht="15.6">
      <c r="A32" s="40"/>
      <c r="B32" s="158" t="s">
        <v>261</v>
      </c>
      <c r="C32" s="172">
        <v>146000</v>
      </c>
      <c r="D32" s="173"/>
      <c r="E32" s="172">
        <v>178000</v>
      </c>
      <c r="F32" s="172"/>
      <c r="G32" s="172">
        <v>16000</v>
      </c>
      <c r="H32" s="172"/>
      <c r="I32" s="172">
        <v>24500</v>
      </c>
      <c r="J32" s="161"/>
      <c r="K32" s="172">
        <v>18000</v>
      </c>
      <c r="L32" s="161"/>
      <c r="M32" s="167">
        <v>22500</v>
      </c>
      <c r="N32" s="164"/>
      <c r="O32" s="167">
        <v>24500</v>
      </c>
      <c r="P32" s="163"/>
      <c r="Q32" s="167">
        <v>20500</v>
      </c>
      <c r="R32" s="42"/>
      <c r="S32" s="42"/>
      <c r="T32" s="44"/>
      <c r="U32" s="34">
        <f>+Q32+O32+M32+K32+I32+G32+E32+C32</f>
        <v>450000</v>
      </c>
      <c r="V32" s="196"/>
      <c r="W32" s="6"/>
    </row>
    <row r="33" spans="1:23" ht="15.6">
      <c r="A33" s="40"/>
      <c r="B33" s="30" t="s">
        <v>262</v>
      </c>
      <c r="C33" s="162">
        <v>146000</v>
      </c>
      <c r="D33" s="162"/>
      <c r="E33" s="162">
        <v>178000</v>
      </c>
      <c r="F33" s="162"/>
      <c r="G33" s="162">
        <v>16000</v>
      </c>
      <c r="H33" s="162"/>
      <c r="I33" s="162">
        <v>24500</v>
      </c>
      <c r="J33" s="160"/>
      <c r="K33" s="162">
        <v>18000</v>
      </c>
      <c r="L33" s="160"/>
      <c r="M33" s="162">
        <v>22500</v>
      </c>
      <c r="N33" s="160"/>
      <c r="O33" s="162">
        <v>24500</v>
      </c>
      <c r="P33" s="162"/>
      <c r="Q33" s="162">
        <v>20500</v>
      </c>
      <c r="R33" s="42"/>
      <c r="S33" s="42"/>
      <c r="T33" s="44"/>
      <c r="U33" s="42">
        <f>+Q33+O33+M33+K33+I33+G33+E33+C33</f>
        <v>450000</v>
      </c>
      <c r="V33" s="196"/>
      <c r="W33" s="6"/>
    </row>
    <row r="34" spans="1:23" ht="15.6">
      <c r="A34" s="40"/>
      <c r="B34" s="174" t="s">
        <v>149</v>
      </c>
      <c r="C34" s="175">
        <v>1</v>
      </c>
      <c r="D34" s="175"/>
      <c r="E34" s="175">
        <v>1</v>
      </c>
      <c r="F34" s="175"/>
      <c r="G34" s="175">
        <v>1</v>
      </c>
      <c r="H34" s="175"/>
      <c r="I34" s="175">
        <v>1</v>
      </c>
      <c r="J34" s="175"/>
      <c r="K34" s="175">
        <v>1</v>
      </c>
      <c r="L34" s="175"/>
      <c r="M34" s="175">
        <v>1</v>
      </c>
      <c r="N34" s="175"/>
      <c r="O34" s="175">
        <v>1</v>
      </c>
      <c r="P34" s="175"/>
      <c r="Q34" s="175">
        <v>1</v>
      </c>
      <c r="R34" s="176"/>
      <c r="S34" s="42"/>
      <c r="T34" s="44"/>
      <c r="U34" s="42"/>
      <c r="V34" s="196"/>
      <c r="W34" s="6"/>
    </row>
    <row r="35" spans="1:23" ht="15.6">
      <c r="A35" s="40"/>
      <c r="B35" s="174" t="s">
        <v>150</v>
      </c>
      <c r="C35" s="175">
        <v>1</v>
      </c>
      <c r="D35" s="175"/>
      <c r="E35" s="175">
        <v>1</v>
      </c>
      <c r="F35" s="175"/>
      <c r="G35" s="175">
        <v>1</v>
      </c>
      <c r="H35" s="175"/>
      <c r="I35" s="175">
        <v>1</v>
      </c>
      <c r="J35" s="175"/>
      <c r="K35" s="175">
        <v>1</v>
      </c>
      <c r="L35" s="175"/>
      <c r="M35" s="175">
        <v>1</v>
      </c>
      <c r="N35" s="175"/>
      <c r="O35" s="175">
        <v>1</v>
      </c>
      <c r="P35" s="175"/>
      <c r="Q35" s="175">
        <v>1</v>
      </c>
      <c r="R35" s="176"/>
      <c r="S35" s="42"/>
      <c r="T35" s="44"/>
      <c r="U35" s="42"/>
      <c r="V35" s="196"/>
      <c r="W35" s="6"/>
    </row>
    <row r="36" spans="1:23" ht="15.6">
      <c r="A36" s="25"/>
      <c r="B36" s="26" t="s">
        <v>153</v>
      </c>
      <c r="C36" s="157" t="s">
        <v>157</v>
      </c>
      <c r="D36" s="157"/>
      <c r="E36" s="157" t="s">
        <v>157</v>
      </c>
      <c r="F36" s="157"/>
      <c r="G36" s="157" t="s">
        <v>158</v>
      </c>
      <c r="H36" s="157"/>
      <c r="I36" s="157" t="s">
        <v>158</v>
      </c>
      <c r="J36" s="157"/>
      <c r="K36" s="157" t="s">
        <v>159</v>
      </c>
      <c r="L36" s="184"/>
      <c r="M36" s="157" t="s">
        <v>160</v>
      </c>
      <c r="N36" s="158"/>
      <c r="O36" s="157" t="s">
        <v>161</v>
      </c>
      <c r="P36" s="157"/>
      <c r="Q36" s="157" t="s">
        <v>162</v>
      </c>
      <c r="R36" s="157"/>
      <c r="S36" s="157"/>
      <c r="T36" s="158"/>
      <c r="U36" s="29"/>
      <c r="V36" s="196"/>
      <c r="W36" s="6"/>
    </row>
    <row r="37" spans="1:23" ht="15.6">
      <c r="A37" s="25"/>
      <c r="B37" s="26" t="s">
        <v>151</v>
      </c>
      <c r="C37" s="185">
        <v>5.3406299999999997E-2</v>
      </c>
      <c r="D37" s="185"/>
      <c r="E37" s="185">
        <v>3.7139999999999999E-2</v>
      </c>
      <c r="F37" s="185"/>
      <c r="G37" s="185">
        <v>5.4506300000000001E-2</v>
      </c>
      <c r="H37" s="185"/>
      <c r="I37" s="185">
        <v>3.8240000000000003E-2</v>
      </c>
      <c r="J37" s="185"/>
      <c r="K37" s="185">
        <v>5.7206300000000002E-2</v>
      </c>
      <c r="L37" s="185"/>
      <c r="M37" s="185">
        <v>4.0640000000000003E-2</v>
      </c>
      <c r="N37" s="185"/>
      <c r="O37" s="185">
        <v>6.0706299999999998E-2</v>
      </c>
      <c r="P37" s="185"/>
      <c r="Q37" s="185">
        <v>4.394E-2</v>
      </c>
      <c r="R37" s="186"/>
      <c r="S37" s="185"/>
      <c r="T37" s="158"/>
      <c r="U37" s="33"/>
      <c r="V37" s="196"/>
      <c r="W37" s="6"/>
    </row>
    <row r="38" spans="1:23" ht="15.6">
      <c r="A38" s="25"/>
      <c r="B38" s="26" t="s">
        <v>152</v>
      </c>
      <c r="C38" s="185">
        <v>4.9103099999999997E-2</v>
      </c>
      <c r="D38" s="185"/>
      <c r="E38" s="185">
        <v>3.3099999999999997E-2</v>
      </c>
      <c r="F38" s="185"/>
      <c r="G38" s="185">
        <v>5.0203100000000001E-2</v>
      </c>
      <c r="H38" s="185"/>
      <c r="I38" s="185">
        <v>3.4200000000000001E-2</v>
      </c>
      <c r="J38" s="185"/>
      <c r="K38" s="185">
        <v>5.2903100000000002E-2</v>
      </c>
      <c r="L38" s="185"/>
      <c r="M38" s="185">
        <v>3.6600000000000001E-2</v>
      </c>
      <c r="N38" s="185"/>
      <c r="O38" s="185">
        <v>5.6403099999999998E-2</v>
      </c>
      <c r="P38" s="185"/>
      <c r="Q38" s="185">
        <v>3.9899999999999998E-2</v>
      </c>
      <c r="R38" s="186"/>
      <c r="S38" s="185"/>
      <c r="T38" s="158"/>
      <c r="U38" s="29"/>
      <c r="V38" s="196"/>
      <c r="W38" s="6"/>
    </row>
    <row r="39" spans="1:23" ht="15.6">
      <c r="A39" s="25"/>
      <c r="B39" s="26" t="s">
        <v>263</v>
      </c>
      <c r="C39" s="157" t="s">
        <v>157</v>
      </c>
      <c r="D39" s="185"/>
      <c r="E39" s="185" t="s">
        <v>198</v>
      </c>
      <c r="F39" s="185"/>
      <c r="G39" s="157" t="s">
        <v>158</v>
      </c>
      <c r="H39" s="185"/>
      <c r="I39" s="185" t="s">
        <v>225</v>
      </c>
      <c r="J39" s="185"/>
      <c r="K39" s="157" t="s">
        <v>159</v>
      </c>
      <c r="L39" s="185"/>
      <c r="M39" s="185" t="s">
        <v>199</v>
      </c>
      <c r="N39" s="185"/>
      <c r="O39" s="157" t="s">
        <v>161</v>
      </c>
      <c r="P39" s="185"/>
      <c r="Q39" s="185" t="s">
        <v>200</v>
      </c>
      <c r="R39" s="186"/>
      <c r="S39" s="185"/>
      <c r="T39" s="158"/>
      <c r="U39" s="29"/>
      <c r="V39" s="196"/>
      <c r="W39" s="6"/>
    </row>
    <row r="40" spans="1:23" ht="15.6">
      <c r="A40" s="25"/>
      <c r="B40" s="26" t="s">
        <v>264</v>
      </c>
      <c r="C40" s="185">
        <f>+C37</f>
        <v>5.3406299999999997E-2</v>
      </c>
      <c r="D40" s="185"/>
      <c r="E40" s="185">
        <v>5.36943E-2</v>
      </c>
      <c r="F40" s="185"/>
      <c r="G40" s="185">
        <f>+G37</f>
        <v>5.4506300000000001E-2</v>
      </c>
      <c r="H40" s="185"/>
      <c r="I40" s="185">
        <v>5.4872799999999999E-2</v>
      </c>
      <c r="J40" s="185"/>
      <c r="K40" s="185">
        <f>+K37</f>
        <v>5.7206300000000002E-2</v>
      </c>
      <c r="L40" s="184"/>
      <c r="M40" s="185">
        <v>5.7486500000000003E-2</v>
      </c>
      <c r="N40" s="184"/>
      <c r="O40" s="185">
        <f>+O37</f>
        <v>6.0706299999999998E-2</v>
      </c>
      <c r="P40" s="185"/>
      <c r="Q40" s="185">
        <v>6.11195E-2</v>
      </c>
      <c r="R40" s="186"/>
      <c r="S40" s="185"/>
      <c r="T40" s="158"/>
      <c r="U40" s="45">
        <f>SUMPRODUCT(C40:Q40,C31:Q31)/U31</f>
        <v>5.4744007444444451E-2</v>
      </c>
      <c r="V40" s="196"/>
      <c r="W40" s="6"/>
    </row>
    <row r="41" spans="1:23" ht="15.6">
      <c r="A41" s="25"/>
      <c r="B41" s="26" t="s">
        <v>265</v>
      </c>
      <c r="C41" s="185">
        <f>+C38</f>
        <v>4.9103099999999997E-2</v>
      </c>
      <c r="D41" s="185"/>
      <c r="E41" s="185">
        <v>4.93911E-2</v>
      </c>
      <c r="F41" s="185"/>
      <c r="G41" s="185">
        <f>+G38</f>
        <v>5.0203100000000001E-2</v>
      </c>
      <c r="H41" s="185"/>
      <c r="I41" s="185">
        <v>5.0569599999999999E-2</v>
      </c>
      <c r="J41" s="185"/>
      <c r="K41" s="185">
        <f>+K38</f>
        <v>5.2903100000000002E-2</v>
      </c>
      <c r="L41" s="184"/>
      <c r="M41" s="185">
        <v>5.3183300000000003E-2</v>
      </c>
      <c r="N41" s="184"/>
      <c r="O41" s="185">
        <f>+O38</f>
        <v>5.6403099999999998E-2</v>
      </c>
      <c r="P41" s="185"/>
      <c r="Q41" s="185">
        <v>5.68163E-2</v>
      </c>
      <c r="R41" s="186"/>
      <c r="S41" s="185"/>
      <c r="T41" s="158"/>
      <c r="U41" s="29"/>
      <c r="V41" s="196"/>
      <c r="W41" s="6"/>
    </row>
    <row r="42" spans="1:23" ht="15.6">
      <c r="A42" s="25"/>
      <c r="B42" s="26" t="s">
        <v>17</v>
      </c>
      <c r="C42" s="187">
        <v>39918</v>
      </c>
      <c r="D42" s="187"/>
      <c r="E42" s="187">
        <v>39918</v>
      </c>
      <c r="F42" s="187"/>
      <c r="G42" s="187">
        <v>39918</v>
      </c>
      <c r="H42" s="187"/>
      <c r="I42" s="187">
        <v>39918</v>
      </c>
      <c r="J42" s="187"/>
      <c r="K42" s="187">
        <v>39918</v>
      </c>
      <c r="L42" s="187"/>
      <c r="M42" s="187">
        <v>39918</v>
      </c>
      <c r="N42" s="187"/>
      <c r="O42" s="187">
        <v>39918</v>
      </c>
      <c r="P42" s="187"/>
      <c r="Q42" s="187">
        <v>39918</v>
      </c>
      <c r="R42" s="157"/>
      <c r="S42" s="157"/>
      <c r="T42" s="158"/>
      <c r="U42" s="29"/>
      <c r="V42" s="196"/>
      <c r="W42" s="6"/>
    </row>
    <row r="43" spans="1:23" ht="15.6">
      <c r="A43" s="25"/>
      <c r="B43" s="26" t="s">
        <v>18</v>
      </c>
      <c r="C43" s="46">
        <v>40283</v>
      </c>
      <c r="D43" s="51"/>
      <c r="E43" s="46">
        <v>40283</v>
      </c>
      <c r="F43" s="51"/>
      <c r="G43" s="46">
        <v>40283</v>
      </c>
      <c r="H43" s="51"/>
      <c r="I43" s="46">
        <v>40283</v>
      </c>
      <c r="J43" s="51"/>
      <c r="K43" s="46">
        <v>40283</v>
      </c>
      <c r="L43" s="51"/>
      <c r="M43" s="46">
        <v>40283</v>
      </c>
      <c r="N43" s="51"/>
      <c r="O43" s="46">
        <v>40283</v>
      </c>
      <c r="P43" s="46"/>
      <c r="Q43" s="46">
        <v>40283</v>
      </c>
      <c r="R43" s="33"/>
      <c r="S43" s="33"/>
      <c r="T43" s="29"/>
      <c r="U43" s="29"/>
      <c r="V43" s="196"/>
      <c r="W43" s="6"/>
    </row>
    <row r="44" spans="1:23" ht="15.6">
      <c r="A44" s="25"/>
      <c r="B44" s="26" t="s">
        <v>154</v>
      </c>
      <c r="C44" s="33" t="s">
        <v>163</v>
      </c>
      <c r="D44" s="33"/>
      <c r="E44" s="33" t="s">
        <v>163</v>
      </c>
      <c r="F44" s="33"/>
      <c r="G44" s="33" t="s">
        <v>164</v>
      </c>
      <c r="H44" s="33"/>
      <c r="I44" s="33" t="s">
        <v>164</v>
      </c>
      <c r="J44" s="33"/>
      <c r="K44" s="33" t="s">
        <v>106</v>
      </c>
      <c r="L44" s="33"/>
      <c r="M44" s="33" t="s">
        <v>165</v>
      </c>
      <c r="N44" s="33"/>
      <c r="O44" s="33" t="s">
        <v>166</v>
      </c>
      <c r="P44" s="33"/>
      <c r="Q44" s="33" t="s">
        <v>167</v>
      </c>
      <c r="R44" s="33"/>
      <c r="S44" s="33"/>
      <c r="T44" s="29"/>
      <c r="U44" s="29"/>
      <c r="V44" s="196"/>
      <c r="W44" s="6"/>
    </row>
    <row r="45" spans="1:23" ht="15.6">
      <c r="A45" s="25"/>
      <c r="B45" s="26" t="s">
        <v>266</v>
      </c>
      <c r="C45" s="33" t="s">
        <v>163</v>
      </c>
      <c r="D45" s="26"/>
      <c r="E45" s="33" t="s">
        <v>228</v>
      </c>
      <c r="F45" s="26"/>
      <c r="G45" s="33" t="s">
        <v>164</v>
      </c>
      <c r="H45" s="26"/>
      <c r="I45" s="33" t="s">
        <v>226</v>
      </c>
      <c r="J45" s="26"/>
      <c r="K45" s="33" t="s">
        <v>106</v>
      </c>
      <c r="L45" s="26"/>
      <c r="M45" s="33" t="s">
        <v>227</v>
      </c>
      <c r="N45" s="26"/>
      <c r="O45" s="33" t="s">
        <v>166</v>
      </c>
      <c r="P45" s="33"/>
      <c r="Q45" s="33" t="s">
        <v>229</v>
      </c>
      <c r="R45" s="33"/>
      <c r="S45" s="33"/>
      <c r="T45" s="29"/>
      <c r="U45" s="29"/>
      <c r="V45" s="196"/>
      <c r="W45" s="6"/>
    </row>
    <row r="46" spans="1:23" ht="15.6">
      <c r="A46" s="25"/>
      <c r="B46" s="26"/>
      <c r="C46" s="26"/>
      <c r="D46" s="26"/>
      <c r="E46" s="26"/>
      <c r="F46" s="26"/>
      <c r="G46" s="26"/>
      <c r="H46" s="26"/>
      <c r="I46" s="26"/>
      <c r="J46" s="26"/>
      <c r="K46" s="26"/>
      <c r="L46" s="26"/>
      <c r="M46" s="47"/>
      <c r="N46" s="47"/>
      <c r="O46" s="26"/>
      <c r="P46" s="47"/>
      <c r="Q46" s="47"/>
      <c r="R46" s="47"/>
      <c r="S46" s="47"/>
      <c r="T46" s="47"/>
      <c r="U46" s="47"/>
      <c r="V46" s="196"/>
      <c r="W46" s="6"/>
    </row>
    <row r="47" spans="1:23" ht="15.6">
      <c r="A47" s="25"/>
      <c r="B47" s="26" t="s">
        <v>201</v>
      </c>
      <c r="C47" s="26"/>
      <c r="D47" s="26"/>
      <c r="E47" s="26"/>
      <c r="F47" s="26"/>
      <c r="G47" s="26"/>
      <c r="H47" s="26"/>
      <c r="I47" s="26"/>
      <c r="J47" s="26"/>
      <c r="K47" s="26"/>
      <c r="L47" s="26"/>
      <c r="M47" s="26"/>
      <c r="N47" s="26"/>
      <c r="O47" s="26"/>
      <c r="P47" s="26"/>
      <c r="Q47" s="26"/>
      <c r="R47" s="26"/>
      <c r="S47" s="26"/>
      <c r="T47" s="26"/>
      <c r="U47" s="45">
        <f>SUM(G31:Q31)/(C31+E31)</f>
        <v>0.3888888888888889</v>
      </c>
      <c r="V47" s="196"/>
      <c r="W47" s="6"/>
    </row>
    <row r="48" spans="1:23" ht="15.6">
      <c r="A48" s="25"/>
      <c r="B48" s="26" t="s">
        <v>202</v>
      </c>
      <c r="C48" s="26"/>
      <c r="D48" s="26"/>
      <c r="E48" s="26"/>
      <c r="F48" s="26"/>
      <c r="G48" s="26"/>
      <c r="H48" s="26"/>
      <c r="I48" s="26"/>
      <c r="J48" s="26"/>
      <c r="K48" s="26"/>
      <c r="L48" s="26"/>
      <c r="M48" s="26"/>
      <c r="N48" s="26"/>
      <c r="O48" s="26"/>
      <c r="P48" s="26"/>
      <c r="Q48" s="26"/>
      <c r="R48" s="26"/>
      <c r="S48" s="26"/>
      <c r="T48" s="26"/>
      <c r="U48" s="45">
        <f>SUM(F33:Q33)/(C33+E33)</f>
        <v>0.3888888888888889</v>
      </c>
      <c r="V48" s="196"/>
      <c r="W48" s="6"/>
    </row>
    <row r="49" spans="1:23" ht="15.6">
      <c r="A49" s="25"/>
      <c r="B49" s="26" t="s">
        <v>203</v>
      </c>
      <c r="C49" s="26"/>
      <c r="D49" s="26"/>
      <c r="E49" s="26"/>
      <c r="F49" s="26"/>
      <c r="G49" s="26"/>
      <c r="H49" s="26"/>
      <c r="I49" s="26"/>
      <c r="J49" s="26"/>
      <c r="K49" s="26"/>
      <c r="L49" s="26"/>
      <c r="M49" s="26"/>
      <c r="N49" s="26"/>
      <c r="O49" s="26"/>
      <c r="P49" s="26"/>
      <c r="Q49" s="26"/>
      <c r="R49" s="26"/>
      <c r="S49" s="33" t="s">
        <v>95</v>
      </c>
      <c r="T49" s="33" t="s">
        <v>117</v>
      </c>
      <c r="U49" s="34">
        <v>99000</v>
      </c>
      <c r="V49" s="196"/>
      <c r="W49" s="6"/>
    </row>
    <row r="50" spans="1:23" ht="15.6">
      <c r="A50" s="25"/>
      <c r="B50" s="26"/>
      <c r="C50" s="26"/>
      <c r="D50" s="26"/>
      <c r="E50" s="26"/>
      <c r="F50" s="26"/>
      <c r="G50" s="26"/>
      <c r="H50" s="26"/>
      <c r="I50" s="26"/>
      <c r="J50" s="26"/>
      <c r="K50" s="26"/>
      <c r="L50" s="26"/>
      <c r="M50" s="26"/>
      <c r="N50" s="26"/>
      <c r="O50" s="26"/>
      <c r="P50" s="26"/>
      <c r="Q50" s="26"/>
      <c r="R50" s="26"/>
      <c r="S50" s="26" t="s">
        <v>213</v>
      </c>
      <c r="T50" s="26"/>
      <c r="U50" s="48"/>
      <c r="V50" s="196"/>
      <c r="W50" s="6"/>
    </row>
    <row r="51" spans="1:23" ht="15.6">
      <c r="A51" s="25"/>
      <c r="B51" s="26" t="s">
        <v>19</v>
      </c>
      <c r="C51" s="26"/>
      <c r="D51" s="26"/>
      <c r="E51" s="26"/>
      <c r="F51" s="26"/>
      <c r="G51" s="26"/>
      <c r="H51" s="26"/>
      <c r="I51" s="26"/>
      <c r="J51" s="26"/>
      <c r="K51" s="26"/>
      <c r="L51" s="26"/>
      <c r="M51" s="26"/>
      <c r="N51" s="26"/>
      <c r="O51" s="26"/>
      <c r="P51" s="26"/>
      <c r="Q51" s="26"/>
      <c r="R51" s="26"/>
      <c r="S51" s="33"/>
      <c r="T51" s="33"/>
      <c r="U51" s="33" t="s">
        <v>118</v>
      </c>
      <c r="V51" s="196"/>
      <c r="W51" s="6"/>
    </row>
    <row r="52" spans="1:23" ht="15.6">
      <c r="A52" s="40"/>
      <c r="B52" s="30" t="s">
        <v>20</v>
      </c>
      <c r="C52" s="30"/>
      <c r="D52" s="30"/>
      <c r="E52" s="30"/>
      <c r="F52" s="30"/>
      <c r="G52" s="30"/>
      <c r="H52" s="30"/>
      <c r="I52" s="30"/>
      <c r="J52" s="30"/>
      <c r="K52" s="30"/>
      <c r="L52" s="30"/>
      <c r="M52" s="30"/>
      <c r="N52" s="30"/>
      <c r="O52" s="30"/>
      <c r="P52" s="30"/>
      <c r="Q52" s="30"/>
      <c r="R52" s="30"/>
      <c r="S52" s="49"/>
      <c r="T52" s="49"/>
      <c r="U52" s="50">
        <v>39097</v>
      </c>
      <c r="V52" s="198"/>
      <c r="W52" s="6"/>
    </row>
    <row r="53" spans="1:23" ht="15.6">
      <c r="A53" s="25"/>
      <c r="B53" s="26" t="s">
        <v>155</v>
      </c>
      <c r="C53" s="26"/>
      <c r="D53" s="26"/>
      <c r="E53" s="26"/>
      <c r="F53" s="26"/>
      <c r="G53" s="26"/>
      <c r="H53" s="26"/>
      <c r="I53" s="26"/>
      <c r="J53" s="26"/>
      <c r="K53" s="26"/>
      <c r="L53" s="26"/>
      <c r="M53" s="26"/>
      <c r="N53" s="26"/>
      <c r="O53" s="26"/>
      <c r="P53" s="26"/>
      <c r="Q53" s="29"/>
      <c r="R53" s="26">
        <f>U53-S53+1</f>
        <v>91</v>
      </c>
      <c r="S53" s="52">
        <v>38915</v>
      </c>
      <c r="T53" s="53"/>
      <c r="U53" s="52">
        <v>39005</v>
      </c>
      <c r="V53" s="196"/>
      <c r="W53" s="6"/>
    </row>
    <row r="54" spans="1:23" ht="15.6">
      <c r="A54" s="25"/>
      <c r="B54" s="26" t="s">
        <v>156</v>
      </c>
      <c r="C54" s="26"/>
      <c r="D54" s="26"/>
      <c r="E54" s="26"/>
      <c r="F54" s="26"/>
      <c r="G54" s="26"/>
      <c r="H54" s="26"/>
      <c r="I54" s="26"/>
      <c r="J54" s="26"/>
      <c r="K54" s="26"/>
      <c r="L54" s="26"/>
      <c r="M54" s="26"/>
      <c r="N54" s="26"/>
      <c r="O54" s="26"/>
      <c r="P54" s="26"/>
      <c r="Q54" s="29"/>
      <c r="R54" s="26">
        <f>U54-S54+1</f>
        <v>91</v>
      </c>
      <c r="S54" s="52">
        <v>39006</v>
      </c>
      <c r="T54" s="53"/>
      <c r="U54" s="52">
        <v>39096</v>
      </c>
      <c r="V54" s="196"/>
      <c r="W54" s="6"/>
    </row>
    <row r="55" spans="1:23" ht="15.6">
      <c r="A55" s="25"/>
      <c r="B55" s="26" t="s">
        <v>21</v>
      </c>
      <c r="C55" s="26"/>
      <c r="D55" s="26"/>
      <c r="E55" s="26"/>
      <c r="F55" s="26"/>
      <c r="G55" s="26"/>
      <c r="H55" s="26"/>
      <c r="I55" s="26"/>
      <c r="J55" s="26"/>
      <c r="K55" s="26"/>
      <c r="L55" s="26"/>
      <c r="M55" s="26"/>
      <c r="N55" s="26"/>
      <c r="O55" s="26"/>
      <c r="P55" s="26"/>
      <c r="Q55" s="26"/>
      <c r="R55" s="26"/>
      <c r="S55" s="52"/>
      <c r="T55" s="53"/>
      <c r="U55" s="52" t="s">
        <v>119</v>
      </c>
      <c r="V55" s="196"/>
      <c r="W55" s="6"/>
    </row>
    <row r="56" spans="1:23" ht="15.6">
      <c r="A56" s="25"/>
      <c r="B56" s="26" t="s">
        <v>22</v>
      </c>
      <c r="C56" s="26"/>
      <c r="D56" s="26"/>
      <c r="E56" s="26"/>
      <c r="F56" s="26"/>
      <c r="G56" s="26"/>
      <c r="H56" s="26"/>
      <c r="I56" s="26"/>
      <c r="J56" s="26"/>
      <c r="K56" s="26"/>
      <c r="L56" s="26"/>
      <c r="M56" s="26"/>
      <c r="N56" s="26"/>
      <c r="O56" s="26"/>
      <c r="P56" s="26"/>
      <c r="Q56" s="26"/>
      <c r="R56" s="26"/>
      <c r="S56" s="52"/>
      <c r="T56" s="53"/>
      <c r="U56" s="52">
        <v>39084</v>
      </c>
      <c r="V56" s="196"/>
      <c r="W56" s="6"/>
    </row>
    <row r="57" spans="1:23" ht="15.6">
      <c r="A57" s="25"/>
      <c r="B57" s="26"/>
      <c r="C57" s="26"/>
      <c r="D57" s="26"/>
      <c r="E57" s="26"/>
      <c r="F57" s="26"/>
      <c r="G57" s="26"/>
      <c r="H57" s="26"/>
      <c r="I57" s="26"/>
      <c r="J57" s="26"/>
      <c r="K57" s="26"/>
      <c r="L57" s="26"/>
      <c r="M57" s="26"/>
      <c r="N57" s="26"/>
      <c r="O57" s="26"/>
      <c r="P57" s="26"/>
      <c r="Q57" s="26"/>
      <c r="R57" s="26"/>
      <c r="S57" s="26"/>
      <c r="T57" s="26"/>
      <c r="U57" s="54"/>
      <c r="V57" s="196"/>
      <c r="W57" s="6"/>
    </row>
    <row r="58" spans="1:23" ht="15.6">
      <c r="A58" s="7"/>
      <c r="B58" s="9"/>
      <c r="C58" s="9"/>
      <c r="D58" s="9"/>
      <c r="E58" s="9"/>
      <c r="F58" s="9"/>
      <c r="G58" s="9"/>
      <c r="H58" s="9"/>
      <c r="I58" s="9"/>
      <c r="J58" s="9"/>
      <c r="K58" s="9"/>
      <c r="L58" s="9"/>
      <c r="M58" s="9"/>
      <c r="N58" s="9"/>
      <c r="O58" s="9"/>
      <c r="P58" s="9"/>
      <c r="Q58" s="9"/>
      <c r="R58" s="9"/>
      <c r="S58" s="9"/>
      <c r="T58" s="9"/>
      <c r="U58" s="55"/>
      <c r="V58" s="194"/>
      <c r="W58" s="6"/>
    </row>
    <row r="59" spans="1:23" ht="16.2" thickBot="1">
      <c r="A59" s="130"/>
      <c r="B59" s="131" t="s">
        <v>239</v>
      </c>
      <c r="C59" s="132"/>
      <c r="D59" s="132"/>
      <c r="E59" s="132"/>
      <c r="F59" s="132"/>
      <c r="G59" s="132"/>
      <c r="H59" s="132"/>
      <c r="I59" s="132"/>
      <c r="J59" s="132"/>
      <c r="K59" s="132"/>
      <c r="L59" s="132"/>
      <c r="M59" s="132"/>
      <c r="N59" s="132"/>
      <c r="O59" s="132"/>
      <c r="P59" s="132"/>
      <c r="Q59" s="132"/>
      <c r="R59" s="132"/>
      <c r="S59" s="132"/>
      <c r="T59" s="132"/>
      <c r="U59" s="133"/>
      <c r="V59" s="134"/>
      <c r="W59" s="6"/>
    </row>
    <row r="60" spans="1:23" ht="15.6">
      <c r="A60" s="2"/>
      <c r="B60" s="5" t="s">
        <v>237</v>
      </c>
      <c r="C60" s="5"/>
      <c r="D60" s="5"/>
      <c r="E60" s="5"/>
      <c r="F60" s="5"/>
      <c r="G60" s="5"/>
      <c r="H60" s="5"/>
      <c r="I60" s="5"/>
      <c r="J60" s="5"/>
      <c r="K60" s="5"/>
      <c r="L60" s="5"/>
      <c r="M60" s="5"/>
      <c r="N60" s="5"/>
      <c r="O60" s="5"/>
      <c r="P60" s="5"/>
      <c r="Q60" s="5"/>
      <c r="R60" s="5"/>
      <c r="S60" s="5"/>
      <c r="T60" s="5"/>
      <c r="U60" s="56"/>
      <c r="V60" s="193"/>
      <c r="W60" s="6"/>
    </row>
    <row r="61" spans="1:23" ht="15.6">
      <c r="A61" s="7"/>
      <c r="B61" s="57" t="s">
        <v>23</v>
      </c>
      <c r="C61" s="13"/>
      <c r="D61" s="13"/>
      <c r="E61" s="13"/>
      <c r="F61" s="13"/>
      <c r="G61" s="13"/>
      <c r="H61" s="13"/>
      <c r="I61" s="13"/>
      <c r="J61" s="13"/>
      <c r="K61" s="13"/>
      <c r="L61" s="13"/>
      <c r="M61" s="9"/>
      <c r="N61" s="9"/>
      <c r="O61" s="9"/>
      <c r="P61" s="9"/>
      <c r="Q61" s="9"/>
      <c r="R61" s="9"/>
      <c r="S61" s="9"/>
      <c r="T61" s="9"/>
      <c r="U61" s="58"/>
      <c r="V61" s="194"/>
      <c r="W61" s="6"/>
    </row>
    <row r="62" spans="1:23" ht="15.6">
      <c r="A62" s="7"/>
      <c r="B62" s="13"/>
      <c r="C62" s="13"/>
      <c r="D62" s="13"/>
      <c r="E62" s="13"/>
      <c r="F62" s="13"/>
      <c r="G62" s="13"/>
      <c r="H62" s="13"/>
      <c r="I62" s="13"/>
      <c r="J62" s="13"/>
      <c r="K62" s="13"/>
      <c r="L62" s="13"/>
      <c r="M62" s="9"/>
      <c r="N62" s="9"/>
      <c r="O62" s="9"/>
      <c r="P62" s="9"/>
      <c r="Q62" s="9"/>
      <c r="R62" s="9"/>
      <c r="S62" s="9"/>
      <c r="T62" s="9"/>
      <c r="U62" s="58"/>
      <c r="V62" s="194"/>
      <c r="W62" s="6"/>
    </row>
    <row r="63" spans="1:23" s="151" customFormat="1" ht="46.8">
      <c r="A63" s="145"/>
      <c r="B63" s="146"/>
      <c r="C63" s="147"/>
      <c r="D63" s="147"/>
      <c r="E63" s="147"/>
      <c r="F63" s="147"/>
      <c r="G63" s="147"/>
      <c r="H63" s="147"/>
      <c r="I63" s="147"/>
      <c r="J63" s="147"/>
      <c r="K63" s="147" t="s">
        <v>197</v>
      </c>
      <c r="L63" s="147"/>
      <c r="M63" s="147" t="s">
        <v>98</v>
      </c>
      <c r="N63" s="147"/>
      <c r="O63" s="147" t="s">
        <v>107</v>
      </c>
      <c r="P63" s="147"/>
      <c r="Q63" s="147" t="s">
        <v>111</v>
      </c>
      <c r="R63" s="147"/>
      <c r="S63" s="147" t="s">
        <v>113</v>
      </c>
      <c r="T63" s="147"/>
      <c r="U63" s="148" t="s">
        <v>120</v>
      </c>
      <c r="V63" s="199"/>
      <c r="W63" s="150"/>
    </row>
    <row r="64" spans="1:23" ht="15.6">
      <c r="A64" s="25"/>
      <c r="B64" s="26" t="s">
        <v>24</v>
      </c>
      <c r="C64" s="59"/>
      <c r="D64" s="59"/>
      <c r="E64" s="59"/>
      <c r="F64" s="59"/>
      <c r="G64" s="59"/>
      <c r="H64" s="59"/>
      <c r="I64" s="59"/>
      <c r="J64" s="59"/>
      <c r="K64" s="59">
        <f>265+63566+3306</f>
        <v>67137</v>
      </c>
      <c r="L64" s="59"/>
      <c r="M64" s="59">
        <v>44578</v>
      </c>
      <c r="N64" s="59"/>
      <c r="O64" s="59">
        <f>16+3932+145+679</f>
        <v>4772</v>
      </c>
      <c r="P64" s="59"/>
      <c r="Q64" s="59">
        <v>4035</v>
      </c>
      <c r="R64" s="59"/>
      <c r="S64" s="59">
        <v>0</v>
      </c>
      <c r="T64" s="59"/>
      <c r="U64" s="60">
        <f>+M64-O64+Q64-S64</f>
        <v>43841</v>
      </c>
      <c r="V64" s="196"/>
      <c r="W64" s="6"/>
    </row>
    <row r="65" spans="1:24" ht="15.6">
      <c r="A65" s="25"/>
      <c r="B65" s="26" t="s">
        <v>25</v>
      </c>
      <c r="C65" s="59"/>
      <c r="D65" s="59"/>
      <c r="E65" s="59"/>
      <c r="F65" s="59"/>
      <c r="G65" s="59"/>
      <c r="H65" s="59"/>
      <c r="I65" s="59"/>
      <c r="J65" s="59"/>
      <c r="K65" s="59"/>
      <c r="L65" s="59"/>
      <c r="M65" s="59"/>
      <c r="N65" s="59"/>
      <c r="O65" s="59"/>
      <c r="P65" s="59"/>
      <c r="Q65" s="59">
        <v>0</v>
      </c>
      <c r="R65" s="59"/>
      <c r="S65" s="59">
        <v>0</v>
      </c>
      <c r="T65" s="59"/>
      <c r="U65" s="60">
        <f>M65-O65</f>
        <v>0</v>
      </c>
      <c r="V65" s="196"/>
      <c r="W65" s="6"/>
    </row>
    <row r="66" spans="1:24" ht="15.6">
      <c r="A66" s="25"/>
      <c r="B66" s="26"/>
      <c r="C66" s="59"/>
      <c r="D66" s="59"/>
      <c r="E66" s="59"/>
      <c r="F66" s="59"/>
      <c r="G66" s="59"/>
      <c r="H66" s="59"/>
      <c r="I66" s="59"/>
      <c r="J66" s="59"/>
      <c r="K66" s="59"/>
      <c r="L66" s="59"/>
      <c r="M66" s="59"/>
      <c r="N66" s="59"/>
      <c r="O66" s="59"/>
      <c r="P66" s="59"/>
      <c r="Q66" s="59"/>
      <c r="R66" s="59"/>
      <c r="S66" s="59"/>
      <c r="T66" s="59"/>
      <c r="U66" s="60"/>
      <c r="V66" s="196"/>
      <c r="W66" s="6"/>
    </row>
    <row r="67" spans="1:24" ht="15.6">
      <c r="A67" s="25"/>
      <c r="B67" s="26" t="s">
        <v>26</v>
      </c>
      <c r="C67" s="59"/>
      <c r="D67" s="59"/>
      <c r="E67" s="59"/>
      <c r="F67" s="59"/>
      <c r="G67" s="59"/>
      <c r="H67" s="59"/>
      <c r="I67" s="59"/>
      <c r="J67" s="59"/>
      <c r="K67" s="59">
        <v>24470</v>
      </c>
      <c r="L67" s="59"/>
      <c r="M67" s="59">
        <v>33380</v>
      </c>
      <c r="N67" s="59"/>
      <c r="O67" s="59">
        <f>12397-4</f>
        <v>12393</v>
      </c>
      <c r="P67" s="59"/>
      <c r="Q67" s="59">
        <v>20010</v>
      </c>
      <c r="R67" s="59"/>
      <c r="S67" s="59">
        <f>SUM(S64:S66)</f>
        <v>0</v>
      </c>
      <c r="T67" s="59"/>
      <c r="U67" s="60">
        <f>+M67-O67+Q67-S67</f>
        <v>40997</v>
      </c>
      <c r="V67" s="196"/>
      <c r="W67" s="6"/>
    </row>
    <row r="68" spans="1:24" ht="15.6">
      <c r="A68" s="25"/>
      <c r="B68" s="26" t="s">
        <v>25</v>
      </c>
      <c r="C68" s="59"/>
      <c r="D68" s="59"/>
      <c r="E68" s="59"/>
      <c r="F68" s="59"/>
      <c r="G68" s="59"/>
      <c r="H68" s="59"/>
      <c r="I68" s="59"/>
      <c r="J68" s="59"/>
      <c r="K68" s="59"/>
      <c r="L68" s="59"/>
      <c r="M68" s="59"/>
      <c r="N68" s="59"/>
      <c r="O68" s="59"/>
      <c r="P68" s="59"/>
      <c r="Q68" s="59">
        <v>0</v>
      </c>
      <c r="R68" s="59"/>
      <c r="S68" s="59">
        <v>0</v>
      </c>
      <c r="T68" s="59"/>
      <c r="U68" s="61"/>
      <c r="V68" s="196"/>
      <c r="W68" s="6"/>
    </row>
    <row r="69" spans="1:24" ht="15.6">
      <c r="A69" s="25"/>
      <c r="B69" s="62"/>
      <c r="C69" s="59"/>
      <c r="D69" s="59"/>
      <c r="E69" s="59"/>
      <c r="F69" s="59"/>
      <c r="G69" s="59"/>
      <c r="H69" s="59"/>
      <c r="I69" s="59"/>
      <c r="J69" s="59"/>
      <c r="K69" s="59"/>
      <c r="L69" s="59"/>
      <c r="M69" s="59"/>
      <c r="N69" s="59"/>
      <c r="O69" s="63"/>
      <c r="P69" s="59"/>
      <c r="Q69" s="59"/>
      <c r="R69" s="59"/>
      <c r="S69" s="59"/>
      <c r="T69" s="59"/>
      <c r="U69" s="61"/>
      <c r="V69" s="196"/>
      <c r="W69" s="6"/>
    </row>
    <row r="70" spans="1:24" ht="15.6">
      <c r="A70" s="25"/>
      <c r="B70" s="26" t="s">
        <v>27</v>
      </c>
      <c r="C70" s="59"/>
      <c r="D70" s="59"/>
      <c r="E70" s="59"/>
      <c r="F70" s="59"/>
      <c r="G70" s="59"/>
      <c r="H70" s="59"/>
      <c r="I70" s="59"/>
      <c r="J70" s="59"/>
      <c r="K70" s="59">
        <v>220072</v>
      </c>
      <c r="L70" s="59"/>
      <c r="M70" s="59">
        <v>175389</v>
      </c>
      <c r="N70" s="59"/>
      <c r="O70" s="59">
        <f>22586+655</f>
        <v>23241</v>
      </c>
      <c r="P70" s="59"/>
      <c r="Q70" s="59">
        <f>29477+217</f>
        <v>29694</v>
      </c>
      <c r="R70" s="59"/>
      <c r="S70" s="59">
        <v>0</v>
      </c>
      <c r="T70" s="59"/>
      <c r="U70" s="60">
        <f>+M70-O70+Q70-S70</f>
        <v>181842</v>
      </c>
      <c r="V70" s="196"/>
      <c r="W70" s="6"/>
    </row>
    <row r="71" spans="1:24" ht="15.6">
      <c r="A71" s="25"/>
      <c r="B71" s="26" t="s">
        <v>25</v>
      </c>
      <c r="C71" s="59"/>
      <c r="D71" s="59"/>
      <c r="E71" s="59"/>
      <c r="F71" s="59"/>
      <c r="G71" s="59"/>
      <c r="H71" s="59"/>
      <c r="I71" s="59"/>
      <c r="J71" s="59"/>
      <c r="K71" s="59"/>
      <c r="L71" s="59"/>
      <c r="M71" s="59"/>
      <c r="N71" s="59"/>
      <c r="O71" s="59"/>
      <c r="P71" s="59"/>
      <c r="Q71" s="59">
        <v>0</v>
      </c>
      <c r="R71" s="59"/>
      <c r="S71" s="59">
        <v>0</v>
      </c>
      <c r="T71" s="59"/>
      <c r="U71" s="60">
        <f>M71-O71+Q71-S71</f>
        <v>0</v>
      </c>
      <c r="V71" s="196"/>
      <c r="W71" s="6"/>
    </row>
    <row r="72" spans="1:24" ht="15.6">
      <c r="A72" s="25"/>
      <c r="B72" s="26"/>
      <c r="C72" s="59"/>
      <c r="D72" s="59"/>
      <c r="E72" s="59"/>
      <c r="F72" s="59"/>
      <c r="G72" s="59"/>
      <c r="H72" s="59"/>
      <c r="I72" s="59"/>
      <c r="J72" s="59"/>
      <c r="K72" s="59"/>
      <c r="L72" s="59"/>
      <c r="M72" s="59"/>
      <c r="N72" s="59"/>
      <c r="O72" s="59"/>
      <c r="P72" s="59"/>
      <c r="Q72" s="59"/>
      <c r="R72" s="59"/>
      <c r="S72" s="59"/>
      <c r="T72" s="59"/>
      <c r="U72" s="60"/>
      <c r="V72" s="196"/>
      <c r="W72" s="6"/>
    </row>
    <row r="73" spans="1:24" ht="15.6">
      <c r="A73" s="25"/>
      <c r="B73" s="26" t="s">
        <v>28</v>
      </c>
      <c r="C73" s="59"/>
      <c r="D73" s="59"/>
      <c r="E73" s="59"/>
      <c r="F73" s="59"/>
      <c r="G73" s="59"/>
      <c r="H73" s="59"/>
      <c r="I73" s="59"/>
      <c r="J73" s="59"/>
      <c r="K73" s="59">
        <v>138321</v>
      </c>
      <c r="L73" s="59"/>
      <c r="M73" s="59">
        <v>123768</v>
      </c>
      <c r="N73" s="59"/>
      <c r="O73" s="59">
        <f>16705+2368+1</f>
        <v>19074</v>
      </c>
      <c r="P73" s="59"/>
      <c r="Q73" s="59">
        <v>27368</v>
      </c>
      <c r="R73" s="59"/>
      <c r="S73" s="59">
        <v>0</v>
      </c>
      <c r="T73" s="59"/>
      <c r="U73" s="60">
        <f>+M73-O73+Q73-S73</f>
        <v>132062</v>
      </c>
      <c r="V73" s="196"/>
      <c r="W73" s="6"/>
    </row>
    <row r="74" spans="1:24" ht="15.6">
      <c r="A74" s="25"/>
      <c r="B74" s="26" t="s">
        <v>25</v>
      </c>
      <c r="C74" s="59"/>
      <c r="D74" s="59"/>
      <c r="E74" s="59"/>
      <c r="F74" s="59"/>
      <c r="G74" s="59"/>
      <c r="H74" s="59"/>
      <c r="I74" s="59"/>
      <c r="J74" s="59"/>
      <c r="K74" s="59"/>
      <c r="L74" s="59"/>
      <c r="M74" s="59"/>
      <c r="N74" s="59"/>
      <c r="O74" s="59"/>
      <c r="P74" s="59"/>
      <c r="Q74" s="59">
        <v>0</v>
      </c>
      <c r="R74" s="59"/>
      <c r="S74" s="59">
        <v>0</v>
      </c>
      <c r="T74" s="59"/>
      <c r="U74" s="60"/>
      <c r="V74" s="196"/>
      <c r="W74" s="6"/>
    </row>
    <row r="75" spans="1:24" ht="15.6">
      <c r="A75" s="25"/>
      <c r="B75" s="59"/>
      <c r="C75" s="59"/>
      <c r="D75" s="59"/>
      <c r="E75" s="59"/>
      <c r="F75" s="59"/>
      <c r="G75" s="59"/>
      <c r="H75" s="59"/>
      <c r="I75" s="59"/>
      <c r="J75" s="59"/>
      <c r="K75" s="59"/>
      <c r="L75" s="59"/>
      <c r="M75" s="59"/>
      <c r="N75" s="59"/>
      <c r="O75" s="59"/>
      <c r="P75" s="59"/>
      <c r="Q75" s="59"/>
      <c r="R75" s="59"/>
      <c r="S75" s="59"/>
      <c r="T75" s="59"/>
      <c r="U75" s="60"/>
      <c r="V75" s="196"/>
      <c r="W75" s="6"/>
    </row>
    <row r="76" spans="1:24" ht="15.6">
      <c r="A76" s="25"/>
      <c r="B76" s="26" t="s">
        <v>29</v>
      </c>
      <c r="C76" s="59"/>
      <c r="D76" s="59"/>
      <c r="E76" s="59"/>
      <c r="F76" s="59"/>
      <c r="G76" s="59"/>
      <c r="H76" s="59"/>
      <c r="I76" s="59"/>
      <c r="J76" s="59"/>
      <c r="K76" s="59">
        <f>SUM(K64:K73)</f>
        <v>450000</v>
      </c>
      <c r="L76" s="59"/>
      <c r="M76" s="59">
        <f>SUM(M64:M73)</f>
        <v>377115</v>
      </c>
      <c r="N76" s="59"/>
      <c r="O76" s="59">
        <f>SUM(O64:O74)</f>
        <v>59480</v>
      </c>
      <c r="P76" s="59"/>
      <c r="Q76" s="59">
        <f>SUM(Q64:Q74)</f>
        <v>81107</v>
      </c>
      <c r="R76" s="59"/>
      <c r="S76" s="59">
        <f>SUM(S71:S75)</f>
        <v>0</v>
      </c>
      <c r="T76" s="59"/>
      <c r="U76" s="59">
        <f>SUM(U64:U74)</f>
        <v>398742</v>
      </c>
      <c r="V76" s="196"/>
      <c r="W76" s="6"/>
      <c r="X76" s="182"/>
    </row>
    <row r="77" spans="1:24" ht="15.6">
      <c r="A77" s="25"/>
      <c r="B77" s="26"/>
      <c r="C77" s="59"/>
      <c r="D77" s="59"/>
      <c r="E77" s="59"/>
      <c r="F77" s="59"/>
      <c r="G77" s="59"/>
      <c r="H77" s="59"/>
      <c r="I77" s="59"/>
      <c r="J77" s="59"/>
      <c r="K77" s="59"/>
      <c r="L77" s="59"/>
      <c r="M77" s="59"/>
      <c r="N77" s="59"/>
      <c r="O77" s="59"/>
      <c r="P77" s="59"/>
      <c r="Q77" s="59"/>
      <c r="R77" s="59"/>
      <c r="S77" s="59"/>
      <c r="T77" s="59"/>
      <c r="U77" s="61"/>
      <c r="V77" s="196"/>
      <c r="W77" s="6"/>
    </row>
    <row r="78" spans="1:24" ht="15.6">
      <c r="A78" s="25"/>
      <c r="B78" s="26" t="s">
        <v>214</v>
      </c>
      <c r="C78" s="59"/>
      <c r="D78" s="59"/>
      <c r="E78" s="59"/>
      <c r="F78" s="59"/>
      <c r="G78" s="59"/>
      <c r="H78" s="59"/>
      <c r="I78" s="59"/>
      <c r="J78" s="59"/>
      <c r="K78" s="59">
        <v>0</v>
      </c>
      <c r="L78" s="59"/>
      <c r="M78" s="59">
        <v>-6460</v>
      </c>
      <c r="N78" s="59"/>
      <c r="O78" s="59">
        <v>600</v>
      </c>
      <c r="P78" s="59"/>
      <c r="Q78" s="59"/>
      <c r="R78" s="59"/>
      <c r="S78" s="59"/>
      <c r="T78" s="59"/>
      <c r="U78" s="60">
        <f>+M78-O78</f>
        <v>-7060</v>
      </c>
      <c r="V78" s="196"/>
      <c r="W78" s="6"/>
    </row>
    <row r="79" spans="1:24" ht="15.6">
      <c r="A79" s="25"/>
      <c r="B79" s="26" t="s">
        <v>30</v>
      </c>
      <c r="C79" s="59"/>
      <c r="D79" s="59"/>
      <c r="E79" s="59"/>
      <c r="F79" s="59"/>
      <c r="G79" s="59"/>
      <c r="H79" s="59"/>
      <c r="I79" s="59"/>
      <c r="J79" s="59"/>
      <c r="K79" s="59">
        <v>0</v>
      </c>
      <c r="L79" s="59"/>
      <c r="M79" s="59">
        <v>79345</v>
      </c>
      <c r="N79" s="59"/>
      <c r="O79" s="59">
        <f>SUM(O76:O78)</f>
        <v>60080</v>
      </c>
      <c r="P79" s="59"/>
      <c r="Q79" s="59">
        <f>-Q76</f>
        <v>-81107</v>
      </c>
      <c r="R79" s="59"/>
      <c r="S79" s="59"/>
      <c r="T79" s="59"/>
      <c r="U79" s="61">
        <f>+M79+O79+Q79</f>
        <v>58318</v>
      </c>
      <c r="V79" s="196"/>
      <c r="W79" s="6"/>
      <c r="X79" s="182"/>
    </row>
    <row r="80" spans="1:24" ht="15.6">
      <c r="A80" s="25"/>
      <c r="B80" s="26" t="s">
        <v>31</v>
      </c>
      <c r="C80" s="59"/>
      <c r="D80" s="59"/>
      <c r="E80" s="59"/>
      <c r="F80" s="59"/>
      <c r="G80" s="59"/>
      <c r="H80" s="59"/>
      <c r="I80" s="59"/>
      <c r="J80" s="59"/>
      <c r="K80" s="59">
        <v>0</v>
      </c>
      <c r="L80" s="59"/>
      <c r="M80" s="59">
        <v>0</v>
      </c>
      <c r="N80" s="59"/>
      <c r="O80" s="59"/>
      <c r="P80" s="59"/>
      <c r="Q80" s="59">
        <v>0</v>
      </c>
      <c r="R80" s="59"/>
      <c r="S80" s="59"/>
      <c r="T80" s="59"/>
      <c r="U80" s="61">
        <f>Q80+M80</f>
        <v>0</v>
      </c>
      <c r="V80" s="196"/>
      <c r="W80" s="6"/>
    </row>
    <row r="81" spans="1:24" ht="15.6">
      <c r="A81" s="25"/>
      <c r="B81" s="26" t="s">
        <v>16</v>
      </c>
      <c r="C81" s="61"/>
      <c r="D81" s="61"/>
      <c r="E81" s="61"/>
      <c r="F81" s="61"/>
      <c r="G81" s="61"/>
      <c r="H81" s="61"/>
      <c r="I81" s="61"/>
      <c r="J81" s="61"/>
      <c r="K81" s="61">
        <f>SUM(K76:K80)</f>
        <v>450000</v>
      </c>
      <c r="L81" s="61"/>
      <c r="M81" s="61">
        <f>SUM(M76:M80)</f>
        <v>450000</v>
      </c>
      <c r="N81" s="59"/>
      <c r="O81" s="59">
        <f>O79-O80</f>
        <v>60080</v>
      </c>
      <c r="P81" s="59"/>
      <c r="Q81" s="59"/>
      <c r="R81" s="59"/>
      <c r="S81" s="59"/>
      <c r="T81" s="59"/>
      <c r="U81" s="61">
        <f>SUM(U76:U80)</f>
        <v>450000</v>
      </c>
      <c r="V81" s="196"/>
      <c r="W81" s="6"/>
    </row>
    <row r="82" spans="1:24" ht="15.6">
      <c r="A82" s="25"/>
      <c r="B82" s="59"/>
      <c r="C82" s="26"/>
      <c r="D82" s="26"/>
      <c r="E82" s="26"/>
      <c r="F82" s="26"/>
      <c r="G82" s="26"/>
      <c r="H82" s="26"/>
      <c r="I82" s="26"/>
      <c r="J82" s="26"/>
      <c r="K82" s="26"/>
      <c r="L82" s="26"/>
      <c r="M82" s="26"/>
      <c r="N82" s="26"/>
      <c r="O82" s="26"/>
      <c r="P82" s="26"/>
      <c r="Q82" s="26"/>
      <c r="R82" s="26"/>
      <c r="S82" s="33"/>
      <c r="T82" s="26"/>
      <c r="U82" s="33"/>
      <c r="V82" s="196"/>
      <c r="W82" s="6"/>
    </row>
    <row r="83" spans="1:24" ht="15.6">
      <c r="A83" s="7"/>
      <c r="B83" s="57" t="s">
        <v>32</v>
      </c>
      <c r="C83" s="14"/>
      <c r="D83" s="14"/>
      <c r="E83" s="14"/>
      <c r="F83" s="14"/>
      <c r="G83" s="14"/>
      <c r="H83" s="14"/>
      <c r="I83" s="14"/>
      <c r="J83" s="14"/>
      <c r="K83" s="14"/>
      <c r="L83" s="14"/>
      <c r="M83" s="14"/>
      <c r="N83" s="14"/>
      <c r="O83" s="14"/>
      <c r="P83" s="14"/>
      <c r="Q83" s="14"/>
      <c r="R83" s="17"/>
      <c r="S83" s="17"/>
      <c r="T83" s="17"/>
      <c r="U83" s="17" t="s">
        <v>121</v>
      </c>
      <c r="V83" s="200"/>
      <c r="W83" s="6"/>
    </row>
    <row r="84" spans="1:24" ht="15.6">
      <c r="A84" s="25"/>
      <c r="B84" s="26" t="s">
        <v>33</v>
      </c>
      <c r="C84" s="26"/>
      <c r="D84" s="26"/>
      <c r="E84" s="26"/>
      <c r="F84" s="26"/>
      <c r="G84" s="26"/>
      <c r="H84" s="26"/>
      <c r="I84" s="26"/>
      <c r="J84" s="26"/>
      <c r="K84" s="26"/>
      <c r="L84" s="26"/>
      <c r="M84" s="26"/>
      <c r="N84" s="26"/>
      <c r="O84" s="59"/>
      <c r="P84" s="26"/>
      <c r="Q84" s="26"/>
      <c r="R84" s="26"/>
      <c r="S84" s="59"/>
      <c r="T84" s="26"/>
      <c r="U84" s="60">
        <v>107754</v>
      </c>
      <c r="V84" s="196"/>
      <c r="W84" s="6"/>
    </row>
    <row r="85" spans="1:24" ht="15.6">
      <c r="A85" s="25"/>
      <c r="B85" s="26" t="s">
        <v>34</v>
      </c>
      <c r="C85" s="47"/>
      <c r="D85" s="47"/>
      <c r="E85" s="47"/>
      <c r="F85" s="47"/>
      <c r="G85" s="47"/>
      <c r="H85" s="47"/>
      <c r="I85" s="47"/>
      <c r="J85" s="47"/>
      <c r="K85" s="47"/>
      <c r="L85" s="47"/>
      <c r="M85" s="51"/>
      <c r="N85" s="26"/>
      <c r="O85" s="26"/>
      <c r="P85" s="26"/>
      <c r="Q85" s="26"/>
      <c r="R85" s="26"/>
      <c r="S85" s="59"/>
      <c r="T85" s="26"/>
      <c r="U85" s="60">
        <f>862-56+415+38-3-20-18</f>
        <v>1218</v>
      </c>
      <c r="V85" s="196"/>
      <c r="W85" s="6"/>
    </row>
    <row r="86" spans="1:24" ht="15.6">
      <c r="A86" s="25"/>
      <c r="B86" s="26" t="s">
        <v>230</v>
      </c>
      <c r="C86" s="26"/>
      <c r="D86" s="26"/>
      <c r="E86" s="26"/>
      <c r="F86" s="26"/>
      <c r="G86" s="26"/>
      <c r="H86" s="26"/>
      <c r="I86" s="26"/>
      <c r="J86" s="26"/>
      <c r="K86" s="26"/>
      <c r="L86" s="26"/>
      <c r="M86" s="26"/>
      <c r="N86" s="26"/>
      <c r="O86" s="26"/>
      <c r="P86" s="26"/>
      <c r="Q86" s="26"/>
      <c r="R86" s="26"/>
      <c r="S86" s="59"/>
      <c r="T86" s="26"/>
      <c r="U86" s="60">
        <v>0</v>
      </c>
      <c r="V86" s="196"/>
      <c r="W86" s="6"/>
      <c r="X86" s="64"/>
    </row>
    <row r="87" spans="1:24" ht="15.6">
      <c r="A87" s="25"/>
      <c r="B87" s="26" t="s">
        <v>231</v>
      </c>
      <c r="C87" s="26"/>
      <c r="D87" s="26"/>
      <c r="E87" s="26"/>
      <c r="F87" s="26"/>
      <c r="G87" s="26"/>
      <c r="H87" s="26"/>
      <c r="I87" s="26"/>
      <c r="J87" s="26"/>
      <c r="K87" s="26"/>
      <c r="L87" s="26"/>
      <c r="M87" s="26"/>
      <c r="N87" s="26"/>
      <c r="O87" s="26"/>
      <c r="P87" s="26"/>
      <c r="Q87" s="26"/>
      <c r="R87" s="26"/>
      <c r="S87" s="59"/>
      <c r="T87" s="26"/>
      <c r="U87" s="60">
        <v>0</v>
      </c>
      <c r="V87" s="196"/>
      <c r="W87" s="6"/>
      <c r="X87" s="64"/>
    </row>
    <row r="88" spans="1:24" ht="15.6">
      <c r="A88" s="25"/>
      <c r="B88" s="26" t="s">
        <v>35</v>
      </c>
      <c r="C88" s="26"/>
      <c r="D88" s="26"/>
      <c r="E88" s="26"/>
      <c r="F88" s="26"/>
      <c r="G88" s="26"/>
      <c r="H88" s="26"/>
      <c r="I88" s="26"/>
      <c r="J88" s="26"/>
      <c r="K88" s="26"/>
      <c r="L88" s="26"/>
      <c r="M88" s="26"/>
      <c r="N88" s="26"/>
      <c r="O88" s="26"/>
      <c r="P88" s="26"/>
      <c r="Q88" s="26"/>
      <c r="R88" s="26"/>
      <c r="S88" s="59"/>
      <c r="T88" s="26"/>
      <c r="U88" s="60">
        <f>SUM(U84:U87)</f>
        <v>108972</v>
      </c>
      <c r="V88" s="196"/>
      <c r="W88" s="6"/>
      <c r="X88" s="64"/>
    </row>
    <row r="89" spans="1:24" ht="15.6">
      <c r="A89" s="25"/>
      <c r="B89" s="26"/>
      <c r="C89" s="26"/>
      <c r="D89" s="26"/>
      <c r="E89" s="26"/>
      <c r="F89" s="26"/>
      <c r="G89" s="26"/>
      <c r="H89" s="26"/>
      <c r="I89" s="26"/>
      <c r="J89" s="26"/>
      <c r="K89" s="26"/>
      <c r="L89" s="26"/>
      <c r="M89" s="26"/>
      <c r="N89" s="26"/>
      <c r="O89" s="26"/>
      <c r="P89" s="26"/>
      <c r="Q89" s="26"/>
      <c r="R89" s="26"/>
      <c r="S89" s="59"/>
      <c r="T89" s="26"/>
      <c r="U89" s="61"/>
      <c r="V89" s="196"/>
      <c r="W89" s="6"/>
    </row>
    <row r="90" spans="1:24" ht="15.6">
      <c r="A90" s="25"/>
      <c r="B90" s="152" t="s">
        <v>36</v>
      </c>
      <c r="C90" s="65"/>
      <c r="D90" s="65"/>
      <c r="E90" s="65"/>
      <c r="F90" s="65"/>
      <c r="G90" s="65"/>
      <c r="H90" s="65"/>
      <c r="I90" s="65"/>
      <c r="J90" s="65"/>
      <c r="K90" s="65"/>
      <c r="L90" s="65"/>
      <c r="M90" s="26"/>
      <c r="N90" s="26"/>
      <c r="O90" s="26"/>
      <c r="P90" s="26"/>
      <c r="Q90" s="26"/>
      <c r="R90" s="26"/>
      <c r="S90" s="59"/>
      <c r="T90" s="26"/>
      <c r="U90" s="60"/>
      <c r="V90" s="196"/>
      <c r="W90" s="6"/>
      <c r="X90" s="64"/>
    </row>
    <row r="91" spans="1:24" ht="15.6">
      <c r="A91" s="25">
        <v>1</v>
      </c>
      <c r="B91" s="26" t="s">
        <v>37</v>
      </c>
      <c r="C91" s="26"/>
      <c r="D91" s="26"/>
      <c r="E91" s="26"/>
      <c r="F91" s="26"/>
      <c r="G91" s="26"/>
      <c r="H91" s="26"/>
      <c r="I91" s="26"/>
      <c r="J91" s="26"/>
      <c r="K91" s="26"/>
      <c r="L91" s="26"/>
      <c r="M91" s="26"/>
      <c r="N91" s="26"/>
      <c r="O91" s="26"/>
      <c r="P91" s="26"/>
      <c r="Q91" s="26"/>
      <c r="R91" s="26"/>
      <c r="S91" s="26"/>
      <c r="T91" s="26"/>
      <c r="U91" s="60">
        <v>-2</v>
      </c>
      <c r="V91" s="196"/>
      <c r="W91" s="6"/>
    </row>
    <row r="92" spans="1:24" ht="15.6">
      <c r="A92" s="25">
        <f>A91+1</f>
        <v>2</v>
      </c>
      <c r="B92" s="26" t="s">
        <v>168</v>
      </c>
      <c r="C92" s="26"/>
      <c r="D92" s="26"/>
      <c r="E92" s="26"/>
      <c r="F92" s="26"/>
      <c r="G92" s="26"/>
      <c r="H92" s="26"/>
      <c r="I92" s="26"/>
      <c r="J92" s="26"/>
      <c r="K92" s="26"/>
      <c r="L92" s="26"/>
      <c r="M92" s="26"/>
      <c r="N92" s="26"/>
      <c r="O92" s="26"/>
      <c r="P92" s="26"/>
      <c r="Q92" s="26"/>
      <c r="R92" s="26"/>
      <c r="S92" s="26"/>
      <c r="T92" s="26"/>
      <c r="U92" s="60">
        <f>-374-174-10</f>
        <v>-558</v>
      </c>
      <c r="V92" s="196"/>
      <c r="W92" s="6"/>
      <c r="X92" s="64"/>
    </row>
    <row r="93" spans="1:24" ht="15.6">
      <c r="A93" s="25">
        <v>3</v>
      </c>
      <c r="B93" s="26" t="s">
        <v>38</v>
      </c>
      <c r="C93" s="26"/>
      <c r="D93" s="26"/>
      <c r="E93" s="26"/>
      <c r="F93" s="26"/>
      <c r="G93" s="26"/>
      <c r="H93" s="26"/>
      <c r="I93" s="26"/>
      <c r="J93" s="26"/>
      <c r="K93" s="26"/>
      <c r="L93" s="26"/>
      <c r="M93" s="26"/>
      <c r="N93" s="26"/>
      <c r="O93" s="26"/>
      <c r="P93" s="26"/>
      <c r="Q93" s="26"/>
      <c r="R93" s="26"/>
      <c r="S93" s="26"/>
      <c r="T93" s="26"/>
      <c r="U93" s="60">
        <v>-534</v>
      </c>
      <c r="V93" s="196"/>
      <c r="W93" s="6"/>
      <c r="X93" s="64"/>
    </row>
    <row r="94" spans="1:24" ht="15.6">
      <c r="A94" s="177" t="s">
        <v>190</v>
      </c>
      <c r="B94" s="26" t="s">
        <v>169</v>
      </c>
      <c r="C94" s="26"/>
      <c r="D94" s="26"/>
      <c r="E94" s="26"/>
      <c r="F94" s="26"/>
      <c r="G94" s="26"/>
      <c r="H94" s="26"/>
      <c r="I94" s="26"/>
      <c r="J94" s="26"/>
      <c r="K94" s="26"/>
      <c r="L94" s="26"/>
      <c r="M94" s="26"/>
      <c r="N94" s="26"/>
      <c r="O94" s="26"/>
      <c r="P94" s="26"/>
      <c r="Q94" s="26"/>
      <c r="R94" s="26"/>
      <c r="S94" s="26"/>
      <c r="T94" s="26"/>
      <c r="U94" s="60">
        <v>-1944</v>
      </c>
      <c r="V94" s="196"/>
      <c r="W94" s="6"/>
      <c r="X94" s="64"/>
    </row>
    <row r="95" spans="1:24" ht="15.6">
      <c r="A95" s="177" t="s">
        <v>191</v>
      </c>
      <c r="B95" s="26" t="s">
        <v>170</v>
      </c>
      <c r="C95" s="26"/>
      <c r="D95" s="26"/>
      <c r="E95" s="26"/>
      <c r="F95" s="26"/>
      <c r="G95" s="26"/>
      <c r="H95" s="26"/>
      <c r="I95" s="26"/>
      <c r="J95" s="26"/>
      <c r="K95" s="26"/>
      <c r="L95" s="26"/>
      <c r="M95" s="26"/>
      <c r="N95" s="26"/>
      <c r="O95" s="26"/>
      <c r="P95" s="26"/>
      <c r="Q95" s="26"/>
      <c r="R95" s="26"/>
      <c r="S95" s="26"/>
      <c r="T95" s="26"/>
      <c r="U95" s="60">
        <v>-2383</v>
      </c>
      <c r="V95" s="196"/>
      <c r="W95" s="6"/>
      <c r="X95" s="182"/>
    </row>
    <row r="96" spans="1:24" ht="15.6">
      <c r="A96" s="25">
        <v>5</v>
      </c>
      <c r="B96" s="26" t="s">
        <v>171</v>
      </c>
      <c r="C96" s="26"/>
      <c r="D96" s="26"/>
      <c r="E96" s="26"/>
      <c r="F96" s="26"/>
      <c r="G96" s="26"/>
      <c r="H96" s="26"/>
      <c r="I96" s="26"/>
      <c r="J96" s="26"/>
      <c r="K96" s="26"/>
      <c r="L96" s="26"/>
      <c r="M96" s="26"/>
      <c r="N96" s="26"/>
      <c r="O96" s="26"/>
      <c r="P96" s="26"/>
      <c r="Q96" s="26"/>
      <c r="R96" s="26"/>
      <c r="S96" s="26"/>
      <c r="T96" s="26"/>
      <c r="U96" s="60">
        <v>-7</v>
      </c>
      <c r="V96" s="196"/>
      <c r="W96" s="6"/>
    </row>
    <row r="97" spans="1:24" ht="15.6">
      <c r="A97" s="177" t="s">
        <v>174</v>
      </c>
      <c r="B97" s="26" t="s">
        <v>172</v>
      </c>
      <c r="C97" s="26"/>
      <c r="D97" s="26"/>
      <c r="E97" s="26"/>
      <c r="F97" s="26"/>
      <c r="G97" s="26"/>
      <c r="H97" s="26"/>
      <c r="I97" s="26"/>
      <c r="J97" s="26"/>
      <c r="K97" s="26"/>
      <c r="L97" s="26"/>
      <c r="M97" s="26"/>
      <c r="N97" s="26"/>
      <c r="O97" s="26"/>
      <c r="P97" s="26"/>
      <c r="Q97" s="26"/>
      <c r="R97" s="26"/>
      <c r="S97" s="26"/>
      <c r="T97" s="26"/>
      <c r="U97" s="60">
        <v>-217</v>
      </c>
      <c r="V97" s="196"/>
      <c r="W97" s="6"/>
      <c r="X97" s="182"/>
    </row>
    <row r="98" spans="1:24" ht="15.6">
      <c r="A98" s="177" t="s">
        <v>176</v>
      </c>
      <c r="B98" s="26" t="s">
        <v>173</v>
      </c>
      <c r="C98" s="26"/>
      <c r="D98" s="26"/>
      <c r="E98" s="26"/>
      <c r="F98" s="26"/>
      <c r="G98" s="26"/>
      <c r="H98" s="26"/>
      <c r="I98" s="26"/>
      <c r="J98" s="26"/>
      <c r="K98" s="26"/>
      <c r="L98" s="26"/>
      <c r="M98" s="26"/>
      <c r="N98" s="26"/>
      <c r="O98" s="26"/>
      <c r="P98" s="26"/>
      <c r="Q98" s="26"/>
      <c r="R98" s="26"/>
      <c r="S98" s="26"/>
      <c r="T98" s="26"/>
      <c r="U98" s="60">
        <v>-335</v>
      </c>
      <c r="V98" s="196"/>
      <c r="W98" s="6"/>
      <c r="X98" s="182"/>
    </row>
    <row r="99" spans="1:24" ht="15.6">
      <c r="A99" s="177" t="s">
        <v>178</v>
      </c>
      <c r="B99" s="26" t="s">
        <v>175</v>
      </c>
      <c r="C99" s="26"/>
      <c r="D99" s="26"/>
      <c r="E99" s="26"/>
      <c r="F99" s="26"/>
      <c r="G99" s="26"/>
      <c r="H99" s="26"/>
      <c r="I99" s="26"/>
      <c r="J99" s="26"/>
      <c r="K99" s="26"/>
      <c r="L99" s="26"/>
      <c r="M99" s="26"/>
      <c r="N99" s="26"/>
      <c r="O99" s="26"/>
      <c r="P99" s="26"/>
      <c r="Q99" s="26"/>
      <c r="R99" s="26"/>
      <c r="S99" s="26"/>
      <c r="T99" s="26"/>
      <c r="U99" s="60">
        <v>-257</v>
      </c>
      <c r="V99" s="196"/>
      <c r="W99" s="6"/>
      <c r="X99" s="182"/>
    </row>
    <row r="100" spans="1:24" ht="15.6">
      <c r="A100" s="177" t="s">
        <v>180</v>
      </c>
      <c r="B100" s="26" t="s">
        <v>177</v>
      </c>
      <c r="C100" s="26"/>
      <c r="D100" s="26"/>
      <c r="E100" s="26"/>
      <c r="F100" s="26"/>
      <c r="G100" s="26"/>
      <c r="H100" s="26"/>
      <c r="I100" s="26"/>
      <c r="J100" s="26"/>
      <c r="K100" s="26"/>
      <c r="L100" s="26"/>
      <c r="M100" s="26"/>
      <c r="N100" s="26"/>
      <c r="O100" s="26"/>
      <c r="P100" s="26"/>
      <c r="Q100" s="26"/>
      <c r="R100" s="26"/>
      <c r="S100" s="26"/>
      <c r="T100" s="26"/>
      <c r="U100" s="60">
        <v>-322</v>
      </c>
      <c r="V100" s="196"/>
      <c r="W100" s="6"/>
      <c r="X100" s="182"/>
    </row>
    <row r="101" spans="1:24" ht="15.6">
      <c r="A101" s="177" t="s">
        <v>192</v>
      </c>
      <c r="B101" s="26" t="s">
        <v>179</v>
      </c>
      <c r="C101" s="26"/>
      <c r="D101" s="26"/>
      <c r="E101" s="26"/>
      <c r="F101" s="26"/>
      <c r="G101" s="26"/>
      <c r="H101" s="26"/>
      <c r="I101" s="26"/>
      <c r="J101" s="26"/>
      <c r="K101" s="26"/>
      <c r="L101" s="26"/>
      <c r="M101" s="26"/>
      <c r="N101" s="26"/>
      <c r="O101" s="26"/>
      <c r="P101" s="26"/>
      <c r="Q101" s="26"/>
      <c r="R101" s="26"/>
      <c r="S101" s="26"/>
      <c r="T101" s="26"/>
      <c r="U101" s="60">
        <v>-371</v>
      </c>
      <c r="V101" s="196"/>
      <c r="W101" s="6"/>
      <c r="X101" s="182"/>
    </row>
    <row r="102" spans="1:24" ht="15.6">
      <c r="A102" s="177" t="s">
        <v>193</v>
      </c>
      <c r="B102" s="26" t="s">
        <v>181</v>
      </c>
      <c r="C102" s="26"/>
      <c r="D102" s="26"/>
      <c r="E102" s="26"/>
      <c r="F102" s="26"/>
      <c r="G102" s="26"/>
      <c r="H102" s="26"/>
      <c r="I102" s="26"/>
      <c r="J102" s="26"/>
      <c r="K102" s="26"/>
      <c r="L102" s="26"/>
      <c r="M102" s="26"/>
      <c r="N102" s="26"/>
      <c r="O102" s="26"/>
      <c r="P102" s="26"/>
      <c r="Q102" s="26"/>
      <c r="R102" s="26"/>
      <c r="S102" s="26"/>
      <c r="T102" s="26"/>
      <c r="U102" s="60">
        <v>-312</v>
      </c>
      <c r="V102" s="196"/>
      <c r="W102" s="6"/>
      <c r="X102" s="182"/>
    </row>
    <row r="103" spans="1:24" ht="15.6">
      <c r="A103" s="25">
        <v>9</v>
      </c>
      <c r="B103" s="26" t="s">
        <v>182</v>
      </c>
      <c r="C103" s="26"/>
      <c r="D103" s="26"/>
      <c r="E103" s="26"/>
      <c r="F103" s="26"/>
      <c r="G103" s="26"/>
      <c r="H103" s="26"/>
      <c r="I103" s="26"/>
      <c r="J103" s="26"/>
      <c r="K103" s="26"/>
      <c r="L103" s="26"/>
      <c r="M103" s="26"/>
      <c r="N103" s="26"/>
      <c r="O103" s="26"/>
      <c r="P103" s="26"/>
      <c r="Q103" s="26"/>
      <c r="R103" s="26"/>
      <c r="S103" s="26"/>
      <c r="T103" s="26"/>
      <c r="U103" s="60">
        <f>+S220-U32</f>
        <v>-58318</v>
      </c>
      <c r="V103" s="196"/>
      <c r="W103" s="6"/>
      <c r="X103" s="182"/>
    </row>
    <row r="104" spans="1:24" ht="15.6">
      <c r="A104" s="25">
        <v>10</v>
      </c>
      <c r="B104" s="26" t="s">
        <v>234</v>
      </c>
      <c r="C104" s="26"/>
      <c r="D104" s="26"/>
      <c r="E104" s="26"/>
      <c r="F104" s="26"/>
      <c r="G104" s="26"/>
      <c r="H104" s="26"/>
      <c r="I104" s="26"/>
      <c r="J104" s="26"/>
      <c r="K104" s="26"/>
      <c r="L104" s="26"/>
      <c r="M104" s="26"/>
      <c r="N104" s="26"/>
      <c r="O104" s="26"/>
      <c r="P104" s="26"/>
      <c r="Q104" s="26"/>
      <c r="R104" s="26"/>
      <c r="S104" s="26"/>
      <c r="T104" s="26"/>
      <c r="U104" s="60">
        <v>-40500</v>
      </c>
      <c r="V104" s="196"/>
      <c r="W104" s="6"/>
      <c r="X104" s="64"/>
    </row>
    <row r="105" spans="1:24" ht="15.6">
      <c r="A105" s="25">
        <v>11</v>
      </c>
      <c r="B105" s="26" t="s">
        <v>183</v>
      </c>
      <c r="C105" s="26"/>
      <c r="D105" s="26"/>
      <c r="E105" s="26"/>
      <c r="F105" s="26"/>
      <c r="G105" s="26"/>
      <c r="H105" s="26"/>
      <c r="I105" s="26"/>
      <c r="J105" s="26"/>
      <c r="K105" s="26"/>
      <c r="L105" s="26"/>
      <c r="M105" s="26"/>
      <c r="N105" s="26"/>
      <c r="O105" s="26"/>
      <c r="P105" s="26"/>
      <c r="Q105" s="26"/>
      <c r="R105" s="26"/>
      <c r="S105" s="26"/>
      <c r="T105" s="26"/>
      <c r="U105" s="60">
        <v>0</v>
      </c>
      <c r="V105" s="196"/>
      <c r="W105" s="6"/>
      <c r="X105" s="64"/>
    </row>
    <row r="106" spans="1:24" ht="15.6">
      <c r="A106" s="25">
        <v>12</v>
      </c>
      <c r="B106" s="26" t="s">
        <v>184</v>
      </c>
      <c r="C106" s="26"/>
      <c r="D106" s="26"/>
      <c r="E106" s="26"/>
      <c r="F106" s="26"/>
      <c r="G106" s="26"/>
      <c r="H106" s="26"/>
      <c r="I106" s="26"/>
      <c r="J106" s="26"/>
      <c r="K106" s="26"/>
      <c r="L106" s="26"/>
      <c r="M106" s="26"/>
      <c r="N106" s="26"/>
      <c r="O106" s="26"/>
      <c r="P106" s="26"/>
      <c r="Q106" s="26"/>
      <c r="R106" s="26"/>
      <c r="S106" s="26"/>
      <c r="T106" s="26"/>
      <c r="U106" s="60">
        <v>-420</v>
      </c>
      <c r="V106" s="196"/>
      <c r="W106" s="6"/>
      <c r="X106" s="182"/>
    </row>
    <row r="107" spans="1:24" ht="15.6">
      <c r="A107" s="25">
        <v>13</v>
      </c>
      <c r="B107" s="26" t="s">
        <v>40</v>
      </c>
      <c r="C107" s="26"/>
      <c r="D107" s="26"/>
      <c r="E107" s="26"/>
      <c r="F107" s="26"/>
      <c r="G107" s="26"/>
      <c r="H107" s="26"/>
      <c r="I107" s="26"/>
      <c r="J107" s="26"/>
      <c r="K107" s="26"/>
      <c r="L107" s="26"/>
      <c r="M107" s="26"/>
      <c r="N107" s="26"/>
      <c r="O107" s="26"/>
      <c r="P107" s="26"/>
      <c r="Q107" s="26"/>
      <c r="R107" s="26"/>
      <c r="S107" s="26"/>
      <c r="T107" s="26"/>
      <c r="U107" s="60">
        <f>-SUM(U88:U106)</f>
        <v>-2492</v>
      </c>
      <c r="V107" s="196"/>
      <c r="W107" s="6"/>
      <c r="X107" s="182"/>
    </row>
    <row r="108" spans="1:24" ht="15.6">
      <c r="A108" s="25"/>
      <c r="B108" s="29"/>
      <c r="C108" s="26"/>
      <c r="D108" s="26"/>
      <c r="E108" s="26"/>
      <c r="F108" s="26"/>
      <c r="G108" s="26"/>
      <c r="H108" s="26"/>
      <c r="I108" s="26"/>
      <c r="J108" s="26"/>
      <c r="K108" s="26"/>
      <c r="L108" s="26"/>
      <c r="M108" s="26"/>
      <c r="N108" s="26"/>
      <c r="O108" s="26"/>
      <c r="P108" s="26"/>
      <c r="Q108" s="26"/>
      <c r="R108" s="26"/>
      <c r="S108" s="59"/>
      <c r="T108" s="59"/>
      <c r="U108" s="59"/>
      <c r="V108" s="196"/>
      <c r="W108" s="6"/>
      <c r="X108" s="182"/>
    </row>
    <row r="109" spans="1:24" ht="15.6">
      <c r="A109" s="7"/>
      <c r="B109" s="12"/>
      <c r="C109" s="9"/>
      <c r="D109" s="9"/>
      <c r="E109" s="9"/>
      <c r="F109" s="9"/>
      <c r="G109" s="9"/>
      <c r="H109" s="9"/>
      <c r="I109" s="9"/>
      <c r="J109" s="9"/>
      <c r="K109" s="9"/>
      <c r="L109" s="9"/>
      <c r="M109" s="9"/>
      <c r="N109" s="9"/>
      <c r="O109" s="9"/>
      <c r="P109" s="9"/>
      <c r="Q109" s="9"/>
      <c r="R109" s="9"/>
      <c r="S109" s="66"/>
      <c r="T109" s="66"/>
      <c r="U109" s="66"/>
      <c r="V109" s="194"/>
      <c r="W109" s="6"/>
    </row>
    <row r="110" spans="1:24" ht="16.2" thickBot="1">
      <c r="A110" s="130"/>
      <c r="B110" s="131" t="str">
        <f>+B59</f>
        <v>PPAF3 INVESTOR REPORT QUARTER ENDING DECEMBER 2006</v>
      </c>
      <c r="C110" s="132"/>
      <c r="D110" s="132"/>
      <c r="E110" s="132"/>
      <c r="F110" s="132"/>
      <c r="G110" s="132"/>
      <c r="H110" s="132"/>
      <c r="I110" s="132"/>
      <c r="J110" s="132"/>
      <c r="K110" s="132"/>
      <c r="L110" s="132"/>
      <c r="M110" s="132"/>
      <c r="N110" s="132"/>
      <c r="O110" s="132"/>
      <c r="P110" s="132"/>
      <c r="Q110" s="132"/>
      <c r="R110" s="132"/>
      <c r="S110" s="135"/>
      <c r="T110" s="135"/>
      <c r="U110" s="135"/>
      <c r="V110" s="134"/>
      <c r="W110" s="6"/>
    </row>
    <row r="111" spans="1:24" ht="15.6">
      <c r="A111" s="2"/>
      <c r="B111" s="5"/>
      <c r="C111" s="5"/>
      <c r="D111" s="5"/>
      <c r="E111" s="5"/>
      <c r="F111" s="5"/>
      <c r="G111" s="5"/>
      <c r="H111" s="5"/>
      <c r="I111" s="5"/>
      <c r="J111" s="5"/>
      <c r="K111" s="5"/>
      <c r="L111" s="5"/>
      <c r="M111" s="5"/>
      <c r="N111" s="5"/>
      <c r="O111" s="5"/>
      <c r="P111" s="5"/>
      <c r="Q111" s="5"/>
      <c r="R111" s="5"/>
      <c r="S111" s="67"/>
      <c r="T111" s="67"/>
      <c r="U111" s="67"/>
      <c r="V111" s="193"/>
      <c r="W111" s="6"/>
    </row>
    <row r="112" spans="1:24" ht="15.6">
      <c r="A112" s="68"/>
      <c r="B112" s="69" t="s">
        <v>41</v>
      </c>
      <c r="C112" s="70"/>
      <c r="D112" s="70"/>
      <c r="E112" s="70"/>
      <c r="F112" s="70"/>
      <c r="G112" s="70"/>
      <c r="H112" s="70"/>
      <c r="I112" s="70"/>
      <c r="J112" s="70"/>
      <c r="K112" s="70"/>
      <c r="L112" s="70"/>
      <c r="M112" s="70"/>
      <c r="N112" s="70"/>
      <c r="O112" s="70"/>
      <c r="P112" s="70"/>
      <c r="Q112" s="70"/>
      <c r="R112" s="70"/>
      <c r="S112" s="70"/>
      <c r="T112" s="70"/>
      <c r="U112" s="71"/>
      <c r="V112" s="201"/>
      <c r="W112" s="6"/>
    </row>
    <row r="113" spans="1:23" ht="15.6">
      <c r="A113" s="68"/>
      <c r="B113" s="70"/>
      <c r="C113" s="70"/>
      <c r="D113" s="70"/>
      <c r="E113" s="70"/>
      <c r="F113" s="70"/>
      <c r="G113" s="70"/>
      <c r="H113" s="70"/>
      <c r="I113" s="70"/>
      <c r="J113" s="70"/>
      <c r="K113" s="70"/>
      <c r="L113" s="70"/>
      <c r="M113" s="70"/>
      <c r="N113" s="70"/>
      <c r="O113" s="70"/>
      <c r="P113" s="70"/>
      <c r="Q113" s="70"/>
      <c r="R113" s="70"/>
      <c r="S113" s="70"/>
      <c r="T113" s="70"/>
      <c r="U113" s="71"/>
      <c r="V113" s="202"/>
      <c r="W113" s="6"/>
    </row>
    <row r="114" spans="1:23" ht="15.6">
      <c r="A114" s="7"/>
      <c r="B114" s="153" t="s">
        <v>42</v>
      </c>
      <c r="C114" s="13"/>
      <c r="D114" s="13"/>
      <c r="E114" s="13"/>
      <c r="F114" s="13"/>
      <c r="G114" s="13"/>
      <c r="H114" s="13"/>
      <c r="I114" s="13"/>
      <c r="J114" s="13"/>
      <c r="K114" s="13"/>
      <c r="L114" s="13"/>
      <c r="M114" s="9"/>
      <c r="N114" s="9"/>
      <c r="O114" s="9"/>
      <c r="P114" s="9"/>
      <c r="Q114" s="9"/>
      <c r="R114" s="9"/>
      <c r="S114" s="9"/>
      <c r="T114" s="9"/>
      <c r="U114" s="58"/>
      <c r="V114" s="194"/>
      <c r="W114" s="6"/>
    </row>
    <row r="115" spans="1:23" ht="15.6">
      <c r="A115" s="25"/>
      <c r="B115" s="26" t="s">
        <v>43</v>
      </c>
      <c r="C115" s="26"/>
      <c r="D115" s="26"/>
      <c r="E115" s="26"/>
      <c r="F115" s="26"/>
      <c r="G115" s="26"/>
      <c r="H115" s="26"/>
      <c r="I115" s="26"/>
      <c r="J115" s="26"/>
      <c r="K115" s="26"/>
      <c r="L115" s="26"/>
      <c r="M115" s="26"/>
      <c r="N115" s="26"/>
      <c r="O115" s="26"/>
      <c r="P115" s="26"/>
      <c r="Q115" s="26"/>
      <c r="R115" s="26"/>
      <c r="S115" s="26"/>
      <c r="T115" s="26"/>
      <c r="U115" s="60">
        <v>40500</v>
      </c>
      <c r="V115" s="196"/>
      <c r="W115" s="6"/>
    </row>
    <row r="116" spans="1:23" ht="15.6">
      <c r="A116" s="25"/>
      <c r="B116" s="26" t="s">
        <v>240</v>
      </c>
      <c r="C116" s="26"/>
      <c r="D116" s="26"/>
      <c r="E116" s="26"/>
      <c r="F116" s="26"/>
      <c r="G116" s="26"/>
      <c r="H116" s="26"/>
      <c r="I116" s="26"/>
      <c r="J116" s="26"/>
      <c r="K116" s="26"/>
      <c r="L116" s="26"/>
      <c r="M116" s="26"/>
      <c r="N116" s="26"/>
      <c r="O116" s="26"/>
      <c r="P116" s="26"/>
      <c r="Q116" s="26"/>
      <c r="R116" s="26"/>
      <c r="S116" s="26"/>
      <c r="T116" s="26"/>
      <c r="U116" s="60">
        <v>40500</v>
      </c>
      <c r="V116" s="196"/>
      <c r="W116" s="6"/>
    </row>
    <row r="117" spans="1:23" ht="15.6">
      <c r="A117" s="25"/>
      <c r="B117" s="26" t="s">
        <v>241</v>
      </c>
      <c r="C117" s="26"/>
      <c r="D117" s="26"/>
      <c r="E117" s="26"/>
      <c r="F117" s="26"/>
      <c r="G117" s="26"/>
      <c r="H117" s="26"/>
      <c r="I117" s="26"/>
      <c r="J117" s="26"/>
      <c r="K117" s="26"/>
      <c r="L117" s="26"/>
      <c r="M117" s="26"/>
      <c r="N117" s="26"/>
      <c r="O117" s="26"/>
      <c r="P117" s="26"/>
      <c r="Q117" s="26"/>
      <c r="R117" s="26"/>
      <c r="S117" s="26"/>
      <c r="T117" s="26"/>
      <c r="U117" s="60">
        <v>0</v>
      </c>
      <c r="V117" s="196"/>
      <c r="W117" s="6"/>
    </row>
    <row r="118" spans="1:23" ht="15.6">
      <c r="A118" s="25"/>
      <c r="B118" s="26" t="s">
        <v>209</v>
      </c>
      <c r="C118" s="26"/>
      <c r="D118" s="26"/>
      <c r="E118" s="26"/>
      <c r="F118" s="26"/>
      <c r="G118" s="26"/>
      <c r="H118" s="26"/>
      <c r="I118" s="26"/>
      <c r="J118" s="26"/>
      <c r="K118" s="26"/>
      <c r="L118" s="26"/>
      <c r="M118" s="26"/>
      <c r="N118" s="26"/>
      <c r="O118" s="26"/>
      <c r="P118" s="26"/>
      <c r="Q118" s="26"/>
      <c r="R118" s="26"/>
      <c r="S118" s="26"/>
      <c r="T118" s="26"/>
      <c r="U118" s="60">
        <v>0</v>
      </c>
      <c r="V118" s="196"/>
      <c r="W118" s="6"/>
    </row>
    <row r="119" spans="1:23" ht="15.6">
      <c r="A119" s="25"/>
      <c r="B119" s="26" t="s">
        <v>210</v>
      </c>
      <c r="C119" s="26"/>
      <c r="D119" s="26"/>
      <c r="E119" s="26"/>
      <c r="F119" s="26"/>
      <c r="G119" s="26"/>
      <c r="H119" s="26"/>
      <c r="I119" s="26"/>
      <c r="J119" s="26"/>
      <c r="K119" s="26"/>
      <c r="L119" s="26"/>
      <c r="M119" s="26"/>
      <c r="N119" s="26"/>
      <c r="O119" s="26"/>
      <c r="P119" s="26"/>
      <c r="Q119" s="26"/>
      <c r="R119" s="26"/>
      <c r="S119" s="26"/>
      <c r="T119" s="26"/>
      <c r="U119" s="60">
        <v>0</v>
      </c>
      <c r="V119" s="196"/>
      <c r="W119" s="6"/>
    </row>
    <row r="120" spans="1:23" ht="15.6">
      <c r="A120" s="25"/>
      <c r="B120" s="26" t="s">
        <v>211</v>
      </c>
      <c r="C120" s="26"/>
      <c r="D120" s="26"/>
      <c r="E120" s="26"/>
      <c r="F120" s="26"/>
      <c r="G120" s="26"/>
      <c r="H120" s="26"/>
      <c r="I120" s="26"/>
      <c r="J120" s="26"/>
      <c r="K120" s="26"/>
      <c r="L120" s="26"/>
      <c r="M120" s="26"/>
      <c r="N120" s="26"/>
      <c r="O120" s="26"/>
      <c r="P120" s="26"/>
      <c r="Q120" s="26"/>
      <c r="R120" s="26"/>
      <c r="S120" s="26"/>
      <c r="T120" s="26"/>
      <c r="U120" s="60">
        <v>0</v>
      </c>
      <c r="V120" s="196"/>
      <c r="W120" s="6"/>
    </row>
    <row r="121" spans="1:23" ht="15.6">
      <c r="A121" s="25"/>
      <c r="B121" s="26" t="s">
        <v>212</v>
      </c>
      <c r="C121" s="26"/>
      <c r="D121" s="26"/>
      <c r="E121" s="26"/>
      <c r="F121" s="26"/>
      <c r="G121" s="26"/>
      <c r="H121" s="26"/>
      <c r="I121" s="26"/>
      <c r="J121" s="26"/>
      <c r="K121" s="26"/>
      <c r="L121" s="26"/>
      <c r="M121" s="26"/>
      <c r="N121" s="26"/>
      <c r="O121" s="26"/>
      <c r="P121" s="26"/>
      <c r="Q121" s="26"/>
      <c r="R121" s="26"/>
      <c r="S121" s="26"/>
      <c r="T121" s="26"/>
      <c r="U121" s="60">
        <v>0</v>
      </c>
      <c r="V121" s="196"/>
      <c r="W121" s="6"/>
    </row>
    <row r="122" spans="1:23" ht="15.6">
      <c r="A122" s="25"/>
      <c r="B122" s="26" t="s">
        <v>242</v>
      </c>
      <c r="C122" s="26"/>
      <c r="D122" s="26"/>
      <c r="E122" s="26"/>
      <c r="F122" s="26"/>
      <c r="G122" s="26"/>
      <c r="H122" s="26"/>
      <c r="I122" s="26"/>
      <c r="J122" s="26"/>
      <c r="K122" s="26"/>
      <c r="L122" s="26"/>
      <c r="M122" s="26"/>
      <c r="N122" s="26"/>
      <c r="O122" s="26"/>
      <c r="P122" s="26"/>
      <c r="Q122" s="26"/>
      <c r="R122" s="26"/>
      <c r="S122" s="26"/>
      <c r="T122" s="26"/>
      <c r="U122" s="60">
        <v>0</v>
      </c>
      <c r="V122" s="196"/>
      <c r="W122" s="6"/>
    </row>
    <row r="123" spans="1:23" ht="15.6">
      <c r="A123" s="25"/>
      <c r="B123" s="26" t="s">
        <v>45</v>
      </c>
      <c r="C123" s="26"/>
      <c r="D123" s="26"/>
      <c r="E123" s="26"/>
      <c r="F123" s="26"/>
      <c r="G123" s="26"/>
      <c r="H123" s="26"/>
      <c r="I123" s="26"/>
      <c r="J123" s="26"/>
      <c r="K123" s="26"/>
      <c r="L123" s="26"/>
      <c r="M123" s="26"/>
      <c r="N123" s="26"/>
      <c r="O123" s="26"/>
      <c r="P123" s="26"/>
      <c r="Q123" s="26"/>
      <c r="R123" s="26"/>
      <c r="S123" s="26"/>
      <c r="T123" s="26"/>
      <c r="U123" s="60">
        <f>SUM(U116:U122)</f>
        <v>40500</v>
      </c>
      <c r="V123" s="196"/>
      <c r="W123" s="6"/>
    </row>
    <row r="124" spans="1:23" ht="15.6">
      <c r="A124" s="25"/>
      <c r="B124" s="26"/>
      <c r="C124" s="26"/>
      <c r="D124" s="26"/>
      <c r="E124" s="26"/>
      <c r="F124" s="26"/>
      <c r="G124" s="26"/>
      <c r="H124" s="26"/>
      <c r="I124" s="26"/>
      <c r="J124" s="26"/>
      <c r="K124" s="26"/>
      <c r="L124" s="26"/>
      <c r="M124" s="26"/>
      <c r="N124" s="26"/>
      <c r="O124" s="26"/>
      <c r="P124" s="26"/>
      <c r="Q124" s="26"/>
      <c r="R124" s="26"/>
      <c r="S124" s="26"/>
      <c r="T124" s="26"/>
      <c r="U124" s="73"/>
      <c r="V124" s="196"/>
      <c r="W124" s="6"/>
    </row>
    <row r="125" spans="1:23" ht="15.6">
      <c r="A125" s="7"/>
      <c r="B125" s="153" t="s">
        <v>46</v>
      </c>
      <c r="C125" s="13"/>
      <c r="D125" s="13"/>
      <c r="E125" s="13"/>
      <c r="F125" s="13"/>
      <c r="G125" s="13"/>
      <c r="H125" s="13"/>
      <c r="I125" s="13"/>
      <c r="J125" s="13"/>
      <c r="K125" s="13"/>
      <c r="L125" s="13"/>
      <c r="M125" s="9"/>
      <c r="N125" s="9"/>
      <c r="O125" s="9"/>
      <c r="P125" s="188"/>
      <c r="Q125" s="9"/>
      <c r="R125" s="9"/>
      <c r="S125" s="9"/>
      <c r="T125" s="9"/>
      <c r="U125" s="75"/>
      <c r="V125" s="194"/>
      <c r="W125" s="6"/>
    </row>
    <row r="126" spans="1:23" ht="15.6">
      <c r="A126" s="7"/>
      <c r="B126" s="13"/>
      <c r="C126" s="17" t="s">
        <v>185</v>
      </c>
      <c r="D126" s="17"/>
      <c r="E126" s="17" t="s">
        <v>99</v>
      </c>
      <c r="F126" s="17"/>
      <c r="G126" s="17" t="s">
        <v>102</v>
      </c>
      <c r="H126" s="17"/>
      <c r="I126" s="17" t="s">
        <v>108</v>
      </c>
      <c r="J126" s="17"/>
      <c r="K126" s="17"/>
      <c r="L126" s="17"/>
      <c r="M126" s="17"/>
      <c r="N126" s="17"/>
      <c r="O126" s="17"/>
      <c r="P126" s="188"/>
      <c r="Q126" s="188"/>
      <c r="R126" s="9"/>
      <c r="S126" s="9"/>
      <c r="T126" s="9"/>
      <c r="U126" s="75"/>
      <c r="V126" s="194"/>
      <c r="W126" s="6"/>
    </row>
    <row r="127" spans="1:23" ht="15.6">
      <c r="A127" s="25"/>
      <c r="B127" s="26" t="s">
        <v>122</v>
      </c>
      <c r="C127" s="59">
        <f>+N200-'Sept 06'!N199</f>
        <v>650</v>
      </c>
      <c r="D127" s="26"/>
      <c r="E127" s="59">
        <f>+S200-'Sept 06'!S199</f>
        <v>80</v>
      </c>
      <c r="F127" s="26"/>
      <c r="G127" s="59">
        <f>+N213-'Sept 06'!N212</f>
        <v>-153</v>
      </c>
      <c r="H127" s="26"/>
      <c r="I127" s="59">
        <f>+S213-'Sept 06'!S212</f>
        <v>23</v>
      </c>
      <c r="J127" s="26"/>
      <c r="K127" s="26"/>
      <c r="L127" s="26"/>
      <c r="M127" s="26"/>
      <c r="N127" s="26"/>
      <c r="O127" s="26"/>
      <c r="P127" s="189"/>
      <c r="Q127" s="189"/>
      <c r="R127" s="26"/>
      <c r="S127" s="26"/>
      <c r="T127" s="26"/>
      <c r="U127" s="60">
        <f>SUM(C127:I127)</f>
        <v>600</v>
      </c>
      <c r="V127" s="196"/>
      <c r="W127" s="6"/>
    </row>
    <row r="128" spans="1:23" ht="15.6">
      <c r="A128" s="25"/>
      <c r="B128" s="26" t="s">
        <v>47</v>
      </c>
      <c r="C128" s="26">
        <v>679</v>
      </c>
      <c r="D128" s="26"/>
      <c r="E128" s="26">
        <v>0</v>
      </c>
      <c r="F128" s="26"/>
      <c r="G128" s="26">
        <v>655</v>
      </c>
      <c r="H128" s="26"/>
      <c r="I128" s="59">
        <v>2368</v>
      </c>
      <c r="J128" s="26"/>
      <c r="K128" s="26"/>
      <c r="L128" s="26"/>
      <c r="M128" s="26"/>
      <c r="N128" s="26"/>
      <c r="O128" s="26"/>
      <c r="P128" s="189"/>
      <c r="Q128" s="189"/>
      <c r="R128" s="26"/>
      <c r="S128" s="26"/>
      <c r="T128" s="26"/>
      <c r="U128" s="60">
        <f>SUM(C128:I128)</f>
        <v>3702</v>
      </c>
      <c r="V128" s="196"/>
      <c r="W128" s="6"/>
    </row>
    <row r="129" spans="1:25" ht="15.6">
      <c r="A129" s="25"/>
      <c r="B129" s="26" t="s">
        <v>48</v>
      </c>
      <c r="C129" s="26"/>
      <c r="D129" s="26"/>
      <c r="E129" s="26"/>
      <c r="F129" s="26"/>
      <c r="G129" s="26"/>
      <c r="H129" s="26"/>
      <c r="I129" s="26"/>
      <c r="J129" s="26"/>
      <c r="K129" s="26"/>
      <c r="L129" s="26"/>
      <c r="M129" s="26"/>
      <c r="N129" s="26"/>
      <c r="O129" s="26"/>
      <c r="P129" s="26"/>
      <c r="Q129" s="26"/>
      <c r="R129" s="26"/>
      <c r="S129" s="26"/>
      <c r="T129" s="26"/>
      <c r="U129" s="60">
        <f>SUM(U127:U128)</f>
        <v>4302</v>
      </c>
      <c r="V129" s="196"/>
      <c r="W129" s="6"/>
    </row>
    <row r="130" spans="1:25" ht="15.6">
      <c r="A130" s="7"/>
      <c r="B130" s="153" t="s">
        <v>49</v>
      </c>
      <c r="C130" s="13"/>
      <c r="D130" s="13"/>
      <c r="E130" s="13"/>
      <c r="F130" s="13"/>
      <c r="G130" s="13"/>
      <c r="H130" s="13"/>
      <c r="I130" s="13"/>
      <c r="J130" s="13"/>
      <c r="K130" s="13"/>
      <c r="L130" s="13"/>
      <c r="M130" s="9"/>
      <c r="N130" s="9"/>
      <c r="O130" s="9"/>
      <c r="P130" s="9"/>
      <c r="Q130" s="9"/>
      <c r="R130" s="9"/>
      <c r="S130" s="9"/>
      <c r="T130" s="9"/>
      <c r="U130" s="58"/>
      <c r="V130" s="194"/>
      <c r="W130" s="6"/>
    </row>
    <row r="131" spans="1:25" ht="15.6">
      <c r="A131" s="25"/>
      <c r="B131" s="26" t="s">
        <v>50</v>
      </c>
      <c r="C131" s="77"/>
      <c r="D131" s="77"/>
      <c r="E131" s="77"/>
      <c r="F131" s="77"/>
      <c r="G131" s="77"/>
      <c r="H131" s="77"/>
      <c r="I131" s="77"/>
      <c r="J131" s="77"/>
      <c r="K131" s="77"/>
      <c r="L131" s="77"/>
      <c r="M131" s="26"/>
      <c r="N131" s="26"/>
      <c r="O131" s="26"/>
      <c r="P131" s="26"/>
      <c r="Q131" s="26"/>
      <c r="R131" s="26"/>
      <c r="S131" s="26"/>
      <c r="T131" s="26"/>
      <c r="U131" s="60">
        <f>U76+U78</f>
        <v>391682</v>
      </c>
      <c r="V131" s="196"/>
      <c r="W131" s="6"/>
      <c r="X131" s="182"/>
    </row>
    <row r="132" spans="1:25" ht="15.6">
      <c r="A132" s="25"/>
      <c r="B132" s="26" t="s">
        <v>51</v>
      </c>
      <c r="C132" s="77"/>
      <c r="D132" s="77"/>
      <c r="E132" s="77"/>
      <c r="F132" s="77"/>
      <c r="G132" s="77"/>
      <c r="H132" s="77"/>
      <c r="I132" s="77"/>
      <c r="J132" s="77"/>
      <c r="K132" s="77"/>
      <c r="L132" s="77"/>
      <c r="M132" s="26"/>
      <c r="N132" s="26"/>
      <c r="O132" s="26"/>
      <c r="P132" s="26"/>
      <c r="Q132" s="26"/>
      <c r="R132" s="26"/>
      <c r="S132" s="26"/>
      <c r="T132" s="26"/>
      <c r="U132" s="60">
        <f>U79</f>
        <v>58318</v>
      </c>
      <c r="V132" s="196"/>
      <c r="W132" s="6"/>
      <c r="Y132" s="182"/>
    </row>
    <row r="133" spans="1:25" ht="15.6">
      <c r="A133" s="25"/>
      <c r="B133" s="26" t="s">
        <v>52</v>
      </c>
      <c r="C133" s="77"/>
      <c r="D133" s="77"/>
      <c r="E133" s="77"/>
      <c r="F133" s="77"/>
      <c r="G133" s="77"/>
      <c r="H133" s="77"/>
      <c r="I133" s="77"/>
      <c r="J133" s="77"/>
      <c r="K133" s="77"/>
      <c r="L133" s="77"/>
      <c r="M133" s="26"/>
      <c r="N133" s="26"/>
      <c r="O133" s="26"/>
      <c r="P133" s="26"/>
      <c r="Q133" s="26"/>
      <c r="R133" s="26"/>
      <c r="S133" s="26"/>
      <c r="T133" s="26"/>
      <c r="U133" s="60">
        <f>+U131+U132</f>
        <v>450000</v>
      </c>
      <c r="V133" s="196"/>
      <c r="W133" s="6"/>
    </row>
    <row r="134" spans="1:25" ht="15.6">
      <c r="A134" s="25"/>
      <c r="B134" s="26" t="s">
        <v>53</v>
      </c>
      <c r="C134" s="77"/>
      <c r="D134" s="77"/>
      <c r="E134" s="77"/>
      <c r="F134" s="77"/>
      <c r="G134" s="77"/>
      <c r="H134" s="77"/>
      <c r="I134" s="77"/>
      <c r="J134" s="77"/>
      <c r="K134" s="77"/>
      <c r="L134" s="77"/>
      <c r="M134" s="26"/>
      <c r="N134" s="26"/>
      <c r="O134" s="26"/>
      <c r="P134" s="26"/>
      <c r="Q134" s="26"/>
      <c r="R134" s="26"/>
      <c r="S134" s="26"/>
      <c r="T134" s="26"/>
      <c r="U134" s="60">
        <f>U81</f>
        <v>450000</v>
      </c>
      <c r="V134" s="196"/>
      <c r="W134" s="6"/>
      <c r="X134" s="64"/>
    </row>
    <row r="135" spans="1:25" ht="15.6">
      <c r="A135" s="25"/>
      <c r="B135" s="26"/>
      <c r="C135" s="26"/>
      <c r="D135" s="26"/>
      <c r="E135" s="26"/>
      <c r="F135" s="26"/>
      <c r="G135" s="26"/>
      <c r="H135" s="26"/>
      <c r="I135" s="26"/>
      <c r="J135" s="26"/>
      <c r="K135" s="26"/>
      <c r="L135" s="26"/>
      <c r="M135" s="26"/>
      <c r="N135" s="26"/>
      <c r="O135" s="26"/>
      <c r="P135" s="26"/>
      <c r="Q135" s="26"/>
      <c r="R135" s="26"/>
      <c r="S135" s="26"/>
      <c r="T135" s="26"/>
      <c r="U135" s="78"/>
      <c r="V135" s="196"/>
      <c r="W135" s="6"/>
    </row>
    <row r="136" spans="1:25" ht="15.6">
      <c r="A136" s="7"/>
      <c r="B136" s="153" t="s">
        <v>54</v>
      </c>
      <c r="C136" s="141"/>
      <c r="D136" s="141"/>
      <c r="E136" s="141"/>
      <c r="F136" s="141"/>
      <c r="G136" s="141"/>
      <c r="H136" s="141"/>
      <c r="I136" s="141"/>
      <c r="J136" s="141"/>
      <c r="K136" s="141"/>
      <c r="L136" s="141"/>
      <c r="M136" s="141"/>
      <c r="N136" s="141"/>
      <c r="O136" s="141"/>
      <c r="P136" s="141"/>
      <c r="Q136" s="142" t="s">
        <v>112</v>
      </c>
      <c r="R136" s="154"/>
      <c r="S136" s="142" t="s">
        <v>114</v>
      </c>
      <c r="T136" s="141"/>
      <c r="U136" s="155" t="s">
        <v>90</v>
      </c>
      <c r="V136" s="194"/>
      <c r="W136" s="6"/>
    </row>
    <row r="137" spans="1:25" ht="15.6">
      <c r="A137" s="25"/>
      <c r="B137" s="26" t="s">
        <v>55</v>
      </c>
      <c r="C137" s="26"/>
      <c r="D137" s="26"/>
      <c r="E137" s="26"/>
      <c r="F137" s="26"/>
      <c r="G137" s="26"/>
      <c r="H137" s="26"/>
      <c r="I137" s="26"/>
      <c r="J137" s="26"/>
      <c r="K137" s="26"/>
      <c r="L137" s="26"/>
      <c r="M137" s="26"/>
      <c r="N137" s="26"/>
      <c r="O137" s="26"/>
      <c r="P137" s="26"/>
      <c r="Q137" s="60">
        <v>0</v>
      </c>
      <c r="R137" s="26"/>
      <c r="S137" s="79" t="s">
        <v>115</v>
      </c>
      <c r="T137" s="26"/>
      <c r="U137" s="60">
        <f>Q137</f>
        <v>0</v>
      </c>
      <c r="V137" s="196"/>
      <c r="W137" s="6"/>
    </row>
    <row r="138" spans="1:25" ht="15.6">
      <c r="A138" s="25"/>
      <c r="B138" s="26" t="s">
        <v>56</v>
      </c>
      <c r="C138" s="26"/>
      <c r="D138" s="26"/>
      <c r="E138" s="26"/>
      <c r="F138" s="26"/>
      <c r="G138" s="26"/>
      <c r="H138" s="26"/>
      <c r="I138" s="26"/>
      <c r="J138" s="26"/>
      <c r="K138" s="26"/>
      <c r="L138" s="26"/>
      <c r="M138" s="26"/>
      <c r="N138" s="26"/>
      <c r="O138" s="26"/>
      <c r="P138" s="26"/>
      <c r="Q138" s="60">
        <f>+'Sept 06'!Q139</f>
        <v>1490</v>
      </c>
      <c r="R138" s="26"/>
      <c r="S138" s="79" t="s">
        <v>115</v>
      </c>
      <c r="T138" s="26"/>
      <c r="U138" s="60">
        <f>Q138</f>
        <v>1490</v>
      </c>
      <c r="V138" s="196"/>
      <c r="W138" s="6"/>
    </row>
    <row r="139" spans="1:25" ht="15.6">
      <c r="A139" s="25"/>
      <c r="B139" s="26" t="s">
        <v>57</v>
      </c>
      <c r="C139" s="26"/>
      <c r="D139" s="26"/>
      <c r="E139" s="26"/>
      <c r="F139" s="26"/>
      <c r="G139" s="26"/>
      <c r="H139" s="26"/>
      <c r="I139" s="26"/>
      <c r="J139" s="26"/>
      <c r="K139" s="26"/>
      <c r="L139" s="26"/>
      <c r="M139" s="26"/>
      <c r="N139" s="26"/>
      <c r="O139" s="26"/>
      <c r="P139" s="26"/>
      <c r="Q139" s="60">
        <v>216</v>
      </c>
      <c r="R139" s="26"/>
      <c r="S139" s="79" t="s">
        <v>115</v>
      </c>
      <c r="T139" s="26"/>
      <c r="U139" s="60">
        <f>Q139</f>
        <v>216</v>
      </c>
      <c r="V139" s="196"/>
      <c r="W139" s="6"/>
    </row>
    <row r="140" spans="1:25" ht="15.6">
      <c r="A140" s="25"/>
      <c r="B140" s="26" t="s">
        <v>58</v>
      </c>
      <c r="C140" s="26"/>
      <c r="D140" s="26"/>
      <c r="E140" s="26"/>
      <c r="F140" s="26"/>
      <c r="G140" s="26"/>
      <c r="H140" s="26"/>
      <c r="I140" s="26"/>
      <c r="J140" s="26"/>
      <c r="K140" s="26"/>
      <c r="L140" s="26"/>
      <c r="M140" s="26"/>
      <c r="N140" s="26"/>
      <c r="O140" s="26"/>
      <c r="P140" s="26"/>
      <c r="Q140" s="60">
        <f>SUM(Q138:Q139)</f>
        <v>1706</v>
      </c>
      <c r="R140" s="26"/>
      <c r="S140" s="79" t="s">
        <v>115</v>
      </c>
      <c r="T140" s="26"/>
      <c r="U140" s="60">
        <f>Q140</f>
        <v>1706</v>
      </c>
      <c r="V140" s="196"/>
      <c r="W140" s="6"/>
    </row>
    <row r="141" spans="1:25" ht="15.6">
      <c r="A141" s="25"/>
      <c r="B141" s="26" t="s">
        <v>215</v>
      </c>
      <c r="C141" s="26"/>
      <c r="D141" s="26"/>
      <c r="E141" s="26"/>
      <c r="F141" s="26"/>
      <c r="G141" s="26"/>
      <c r="H141" s="26"/>
      <c r="I141" s="26"/>
      <c r="J141" s="26"/>
      <c r="K141" s="26"/>
      <c r="L141" s="26"/>
      <c r="M141" s="26"/>
      <c r="N141" s="26"/>
      <c r="O141" s="26"/>
      <c r="P141" s="26"/>
      <c r="Q141" s="60"/>
      <c r="R141" s="26"/>
      <c r="S141" s="79"/>
      <c r="T141" s="26"/>
      <c r="U141" s="60"/>
      <c r="V141" s="196"/>
      <c r="W141" s="6"/>
    </row>
    <row r="142" spans="1:25" ht="15.6">
      <c r="A142" s="25"/>
      <c r="B142" s="26"/>
      <c r="C142" s="26"/>
      <c r="D142" s="26"/>
      <c r="E142" s="26"/>
      <c r="F142" s="26"/>
      <c r="G142" s="26"/>
      <c r="H142" s="26"/>
      <c r="I142" s="26"/>
      <c r="J142" s="26"/>
      <c r="K142" s="26"/>
      <c r="L142" s="26"/>
      <c r="M142" s="26"/>
      <c r="N142" s="26"/>
      <c r="O142" s="26"/>
      <c r="P142" s="26"/>
      <c r="Q142" s="26"/>
      <c r="R142" s="26"/>
      <c r="S142" s="26"/>
      <c r="T142" s="26"/>
      <c r="U142" s="26"/>
      <c r="V142" s="196"/>
      <c r="W142" s="6"/>
    </row>
    <row r="143" spans="1:25" ht="15.6">
      <c r="A143" s="25"/>
      <c r="B143" s="29"/>
      <c r="C143" s="29"/>
      <c r="D143" s="29"/>
      <c r="E143" s="29"/>
      <c r="F143" s="29"/>
      <c r="G143" s="29"/>
      <c r="H143" s="29"/>
      <c r="I143" s="29"/>
      <c r="J143" s="29"/>
      <c r="K143" s="29"/>
      <c r="L143" s="29"/>
      <c r="M143" s="29"/>
      <c r="N143" s="29"/>
      <c r="O143" s="29"/>
      <c r="P143" s="29"/>
      <c r="Q143" s="29"/>
      <c r="R143" s="29"/>
      <c r="S143" s="29"/>
      <c r="T143" s="29"/>
      <c r="U143" s="29"/>
      <c r="V143" s="203"/>
      <c r="W143" s="6"/>
    </row>
    <row r="144" spans="1:25" ht="15.6">
      <c r="A144" s="80"/>
      <c r="B144" s="57" t="s">
        <v>59</v>
      </c>
      <c r="C144" s="81"/>
      <c r="D144" s="81"/>
      <c r="E144" s="81"/>
      <c r="F144" s="81"/>
      <c r="G144" s="81"/>
      <c r="H144" s="81"/>
      <c r="I144" s="81"/>
      <c r="J144" s="81"/>
      <c r="K144" s="81"/>
      <c r="L144" s="81"/>
      <c r="M144" s="81"/>
      <c r="N144" s="81"/>
      <c r="O144" s="81"/>
      <c r="P144" s="19"/>
      <c r="Q144" s="19"/>
      <c r="R144" s="19"/>
      <c r="S144" s="19">
        <v>39080</v>
      </c>
      <c r="T144" s="15"/>
      <c r="U144" s="15"/>
      <c r="V144" s="194"/>
      <c r="W144" s="6"/>
    </row>
    <row r="145" spans="1:23" ht="15.6">
      <c r="A145" s="82"/>
      <c r="B145" s="83" t="s">
        <v>60</v>
      </c>
      <c r="C145" s="84"/>
      <c r="D145" s="84"/>
      <c r="E145" s="84"/>
      <c r="F145" s="84"/>
      <c r="G145" s="84"/>
      <c r="H145" s="84"/>
      <c r="I145" s="84"/>
      <c r="J145" s="84"/>
      <c r="K145" s="84"/>
      <c r="L145" s="84"/>
      <c r="M145" s="84"/>
      <c r="N145" s="84"/>
      <c r="O145" s="84"/>
      <c r="P145" s="85"/>
      <c r="Q145" s="85"/>
      <c r="R145" s="85"/>
      <c r="S145" s="86">
        <v>0.10630000000000001</v>
      </c>
      <c r="T145" s="26"/>
      <c r="U145" s="26"/>
      <c r="V145" s="196"/>
      <c r="W145" s="6"/>
    </row>
    <row r="146" spans="1:23" ht="15.6">
      <c r="A146" s="82"/>
      <c r="B146" s="83" t="s">
        <v>61</v>
      </c>
      <c r="C146" s="84"/>
      <c r="D146" s="84"/>
      <c r="E146" s="84"/>
      <c r="F146" s="84"/>
      <c r="G146" s="84"/>
      <c r="H146" s="84"/>
      <c r="I146" s="84"/>
      <c r="J146" s="84"/>
      <c r="K146" s="84"/>
      <c r="L146" s="84"/>
      <c r="M146" s="84"/>
      <c r="N146" s="84"/>
      <c r="O146" s="84"/>
      <c r="P146" s="85"/>
      <c r="Q146" s="85"/>
      <c r="R146" s="85"/>
      <c r="S146" s="86">
        <v>5.2200000000000003E-2</v>
      </c>
      <c r="T146" s="86"/>
      <c r="U146" s="26"/>
      <c r="V146" s="196"/>
      <c r="W146" s="6"/>
    </row>
    <row r="147" spans="1:23" ht="15.6">
      <c r="A147" s="82"/>
      <c r="B147" s="83" t="s">
        <v>62</v>
      </c>
      <c r="C147" s="84"/>
      <c r="D147" s="84"/>
      <c r="E147" s="84"/>
      <c r="F147" s="84"/>
      <c r="G147" s="84"/>
      <c r="H147" s="84"/>
      <c r="I147" s="84"/>
      <c r="J147" s="84"/>
      <c r="K147" s="84"/>
      <c r="L147" s="84"/>
      <c r="M147" s="84"/>
      <c r="N147" s="84"/>
      <c r="O147" s="84"/>
      <c r="P147" s="85"/>
      <c r="Q147" s="85"/>
      <c r="R147" s="85"/>
      <c r="S147" s="86">
        <f>S145-S146</f>
        <v>5.4100000000000002E-2</v>
      </c>
      <c r="T147" s="26"/>
      <c r="U147" s="26"/>
      <c r="V147" s="196"/>
      <c r="W147" s="6"/>
    </row>
    <row r="148" spans="1:23" ht="15.6">
      <c r="A148" s="82"/>
      <c r="B148" s="83" t="s">
        <v>63</v>
      </c>
      <c r="C148" s="84"/>
      <c r="D148" s="84"/>
      <c r="E148" s="84"/>
      <c r="F148" s="84"/>
      <c r="G148" s="84"/>
      <c r="H148" s="84"/>
      <c r="I148" s="84"/>
      <c r="J148" s="84"/>
      <c r="K148" s="84"/>
      <c r="L148" s="84"/>
      <c r="M148" s="84"/>
      <c r="N148" s="84"/>
      <c r="O148" s="84"/>
      <c r="P148" s="85"/>
      <c r="Q148" s="85"/>
      <c r="R148" s="85"/>
      <c r="S148" s="86">
        <v>0.10192</v>
      </c>
      <c r="T148" s="26"/>
      <c r="U148" s="26"/>
      <c r="V148" s="196"/>
      <c r="W148" s="6"/>
    </row>
    <row r="149" spans="1:23" ht="15.6">
      <c r="A149" s="82"/>
      <c r="B149" s="83" t="s">
        <v>64</v>
      </c>
      <c r="C149" s="84"/>
      <c r="D149" s="84"/>
      <c r="E149" s="84"/>
      <c r="F149" s="84"/>
      <c r="G149" s="84"/>
      <c r="H149" s="84"/>
      <c r="I149" s="84"/>
      <c r="J149" s="84"/>
      <c r="K149" s="84"/>
      <c r="L149" s="84"/>
      <c r="M149" s="84"/>
      <c r="N149" s="84"/>
      <c r="O149" s="84"/>
      <c r="P149" s="85"/>
      <c r="Q149" s="85"/>
      <c r="R149" s="85"/>
      <c r="S149" s="86">
        <f>+U40</f>
        <v>5.4744007444444451E-2</v>
      </c>
      <c r="T149" s="26"/>
      <c r="U149" s="26"/>
      <c r="V149" s="196"/>
      <c r="W149" s="6"/>
    </row>
    <row r="150" spans="1:23" ht="15.6">
      <c r="A150" s="82"/>
      <c r="B150" s="83" t="s">
        <v>65</v>
      </c>
      <c r="C150" s="84"/>
      <c r="D150" s="84"/>
      <c r="E150" s="84"/>
      <c r="F150" s="84"/>
      <c r="G150" s="84"/>
      <c r="H150" s="84"/>
      <c r="I150" s="84"/>
      <c r="J150" s="84"/>
      <c r="K150" s="84"/>
      <c r="L150" s="84"/>
      <c r="M150" s="84"/>
      <c r="N150" s="84"/>
      <c r="O150" s="84"/>
      <c r="P150" s="85"/>
      <c r="Q150" s="85"/>
      <c r="R150" s="85"/>
      <c r="S150" s="86">
        <f>S148-S149</f>
        <v>4.7175992555555546E-2</v>
      </c>
      <c r="T150" s="26"/>
      <c r="U150" s="26"/>
      <c r="V150" s="196"/>
      <c r="W150" s="6"/>
    </row>
    <row r="151" spans="1:23" ht="15.6">
      <c r="A151" s="82"/>
      <c r="B151" s="83" t="s">
        <v>204</v>
      </c>
      <c r="C151" s="84"/>
      <c r="D151" s="84"/>
      <c r="E151" s="84"/>
      <c r="F151" s="84"/>
      <c r="G151" s="84"/>
      <c r="H151" s="84"/>
      <c r="I151" s="84"/>
      <c r="J151" s="84"/>
      <c r="K151" s="84"/>
      <c r="L151" s="84"/>
      <c r="M151" s="84"/>
      <c r="N151" s="84"/>
      <c r="O151" s="84"/>
      <c r="P151" s="85"/>
      <c r="Q151" s="85"/>
      <c r="R151" s="85"/>
      <c r="S151" s="183">
        <v>49780</v>
      </c>
      <c r="T151" s="26"/>
      <c r="U151" s="26"/>
      <c r="V151" s="196"/>
      <c r="W151" s="6"/>
    </row>
    <row r="152" spans="1:23" ht="15.6">
      <c r="A152" s="82"/>
      <c r="B152" s="83" t="s">
        <v>205</v>
      </c>
      <c r="C152" s="84"/>
      <c r="D152" s="84"/>
      <c r="E152" s="84"/>
      <c r="F152" s="84"/>
      <c r="G152" s="84"/>
      <c r="H152" s="84"/>
      <c r="I152" s="84"/>
      <c r="J152" s="84"/>
      <c r="K152" s="84"/>
      <c r="L152" s="84"/>
      <c r="M152" s="84"/>
      <c r="N152" s="84"/>
      <c r="O152" s="84"/>
      <c r="P152" s="85"/>
      <c r="Q152" s="85"/>
      <c r="R152" s="85"/>
      <c r="S152" s="183">
        <v>49780</v>
      </c>
      <c r="T152" s="26"/>
      <c r="U152" s="26"/>
      <c r="V152" s="196"/>
      <c r="W152" s="6"/>
    </row>
    <row r="153" spans="1:23" ht="15.6">
      <c r="A153" s="82"/>
      <c r="B153" s="83" t="s">
        <v>206</v>
      </c>
      <c r="C153" s="84"/>
      <c r="D153" s="84"/>
      <c r="E153" s="84"/>
      <c r="F153" s="84"/>
      <c r="G153" s="84"/>
      <c r="H153" s="84"/>
      <c r="I153" s="84"/>
      <c r="J153" s="84"/>
      <c r="K153" s="84"/>
      <c r="L153" s="84"/>
      <c r="M153" s="84"/>
      <c r="N153" s="84"/>
      <c r="O153" s="84"/>
      <c r="P153" s="85"/>
      <c r="Q153" s="85"/>
      <c r="R153" s="85"/>
      <c r="S153" s="183">
        <v>49780</v>
      </c>
      <c r="T153" s="26"/>
      <c r="U153" s="26"/>
      <c r="V153" s="196"/>
      <c r="W153" s="6"/>
    </row>
    <row r="154" spans="1:23" ht="15.6">
      <c r="A154" s="82"/>
      <c r="B154" s="83" t="s">
        <v>207</v>
      </c>
      <c r="C154" s="84"/>
      <c r="D154" s="84"/>
      <c r="E154" s="84"/>
      <c r="F154" s="84"/>
      <c r="G154" s="84"/>
      <c r="H154" s="84"/>
      <c r="I154" s="84"/>
      <c r="J154" s="84"/>
      <c r="K154" s="84"/>
      <c r="L154" s="84"/>
      <c r="M154" s="84"/>
      <c r="N154" s="84"/>
      <c r="O154" s="84"/>
      <c r="P154" s="85"/>
      <c r="Q154" s="85"/>
      <c r="R154" s="85"/>
      <c r="S154" s="183">
        <v>49780</v>
      </c>
      <c r="T154" s="26"/>
      <c r="U154" s="26"/>
      <c r="V154" s="196"/>
      <c r="W154" s="6"/>
    </row>
    <row r="155" spans="1:23" ht="15.6">
      <c r="A155" s="82"/>
      <c r="B155" s="83" t="s">
        <v>221</v>
      </c>
      <c r="C155" s="84"/>
      <c r="D155" s="84"/>
      <c r="E155" s="84"/>
      <c r="F155" s="84"/>
      <c r="G155" s="84"/>
      <c r="H155" s="84"/>
      <c r="I155" s="84"/>
      <c r="J155" s="84"/>
      <c r="K155" s="84"/>
      <c r="L155" s="84"/>
      <c r="M155" s="84"/>
      <c r="N155" s="84"/>
      <c r="O155" s="84"/>
      <c r="P155" s="85"/>
      <c r="Q155" s="85"/>
      <c r="R155" s="85"/>
      <c r="S155" s="87">
        <v>111.34</v>
      </c>
      <c r="T155" s="26"/>
      <c r="U155" s="26"/>
      <c r="V155" s="196"/>
      <c r="W155" s="6"/>
    </row>
    <row r="156" spans="1:23" ht="15.6">
      <c r="A156" s="82"/>
      <c r="B156" s="83" t="s">
        <v>222</v>
      </c>
      <c r="C156" s="84"/>
      <c r="D156" s="84"/>
      <c r="E156" s="84"/>
      <c r="F156" s="84"/>
      <c r="G156" s="84"/>
      <c r="H156" s="84"/>
      <c r="I156" s="84"/>
      <c r="J156" s="84"/>
      <c r="K156" s="84"/>
      <c r="L156" s="84"/>
      <c r="M156" s="84"/>
      <c r="N156" s="84"/>
      <c r="O156" s="84"/>
      <c r="P156" s="85"/>
      <c r="Q156" s="85"/>
      <c r="R156" s="85"/>
      <c r="S156" s="87">
        <v>109.21</v>
      </c>
      <c r="T156" s="26"/>
      <c r="U156" s="26"/>
      <c r="V156" s="196"/>
      <c r="W156" s="6"/>
    </row>
    <row r="157" spans="1:23" ht="15.6">
      <c r="A157" s="82" t="s">
        <v>223</v>
      </c>
      <c r="B157" s="83" t="s">
        <v>66</v>
      </c>
      <c r="C157" s="84"/>
      <c r="D157" s="84"/>
      <c r="E157" s="84"/>
      <c r="F157" s="84"/>
      <c r="G157" s="84"/>
      <c r="H157" s="84"/>
      <c r="I157" s="84"/>
      <c r="J157" s="84"/>
      <c r="K157" s="84"/>
      <c r="L157" s="84"/>
      <c r="M157" s="84"/>
      <c r="N157" s="84"/>
      <c r="O157" s="84"/>
      <c r="P157" s="85"/>
      <c r="Q157" s="85"/>
      <c r="R157" s="85"/>
      <c r="S157" s="86">
        <v>0.1235</v>
      </c>
      <c r="T157" s="26"/>
      <c r="U157" s="26"/>
      <c r="V157" s="196"/>
      <c r="W157" s="6"/>
    </row>
    <row r="158" spans="1:23" ht="15.6">
      <c r="A158" s="82"/>
      <c r="B158" s="83" t="s">
        <v>67</v>
      </c>
      <c r="C158" s="84"/>
      <c r="D158" s="84"/>
      <c r="E158" s="84"/>
      <c r="F158" s="84"/>
      <c r="G158" s="84"/>
      <c r="H158" s="84"/>
      <c r="I158" s="84"/>
      <c r="J158" s="84"/>
      <c r="K158" s="84"/>
      <c r="L158" s="84"/>
      <c r="M158" s="84"/>
      <c r="N158" s="84"/>
      <c r="O158" s="84"/>
      <c r="P158" s="85"/>
      <c r="Q158" s="85"/>
      <c r="R158" s="85"/>
      <c r="S158" s="86">
        <v>0.41220000000000001</v>
      </c>
      <c r="T158" s="26"/>
      <c r="U158" s="26"/>
      <c r="V158" s="196"/>
      <c r="W158" s="6"/>
    </row>
    <row r="159" spans="1:23" ht="15.6">
      <c r="A159" s="82"/>
      <c r="B159" s="83"/>
      <c r="C159" s="83"/>
      <c r="D159" s="83"/>
      <c r="E159" s="83"/>
      <c r="F159" s="83"/>
      <c r="G159" s="83"/>
      <c r="H159" s="83"/>
      <c r="I159" s="83"/>
      <c r="J159" s="83"/>
      <c r="K159" s="83"/>
      <c r="L159" s="83"/>
      <c r="M159" s="83"/>
      <c r="N159" s="83"/>
      <c r="O159" s="83"/>
      <c r="P159" s="26"/>
      <c r="Q159" s="26"/>
      <c r="R159" s="33"/>
      <c r="S159" s="88"/>
      <c r="T159" s="26"/>
      <c r="U159" s="89"/>
      <c r="V159" s="196"/>
      <c r="W159" s="6"/>
    </row>
    <row r="160" spans="1:23" ht="15.6">
      <c r="A160" s="80"/>
      <c r="B160" s="90"/>
      <c r="C160" s="90"/>
      <c r="D160" s="90"/>
      <c r="E160" s="90"/>
      <c r="F160" s="90"/>
      <c r="G160" s="90"/>
      <c r="H160" s="90"/>
      <c r="I160" s="90"/>
      <c r="J160" s="90"/>
      <c r="K160" s="90"/>
      <c r="L160" s="90"/>
      <c r="M160" s="90"/>
      <c r="N160" s="90"/>
      <c r="O160" s="90"/>
      <c r="P160" s="9"/>
      <c r="Q160" s="9"/>
      <c r="R160" s="20"/>
      <c r="S160" s="91"/>
      <c r="T160" s="9"/>
      <c r="U160" s="92"/>
      <c r="V160" s="194"/>
      <c r="W160" s="6"/>
    </row>
    <row r="161" spans="1:23" ht="16.2" thickBot="1">
      <c r="A161" s="136"/>
      <c r="B161" s="131" t="str">
        <f>+B110</f>
        <v>PPAF3 INVESTOR REPORT QUARTER ENDING DECEMBER 2006</v>
      </c>
      <c r="C161" s="137"/>
      <c r="D161" s="137"/>
      <c r="E161" s="137"/>
      <c r="F161" s="137"/>
      <c r="G161" s="137"/>
      <c r="H161" s="137"/>
      <c r="I161" s="137"/>
      <c r="J161" s="137"/>
      <c r="K161" s="137"/>
      <c r="L161" s="137"/>
      <c r="M161" s="137"/>
      <c r="N161" s="137"/>
      <c r="O161" s="137"/>
      <c r="P161" s="132"/>
      <c r="Q161" s="132"/>
      <c r="R161" s="138"/>
      <c r="S161" s="139"/>
      <c r="T161" s="132"/>
      <c r="U161" s="140"/>
      <c r="V161" s="134"/>
      <c r="W161" s="6"/>
    </row>
    <row r="162" spans="1:23" ht="15.6">
      <c r="A162" s="93"/>
      <c r="B162" s="94" t="s">
        <v>68</v>
      </c>
      <c r="C162" s="95"/>
      <c r="D162" s="95"/>
      <c r="E162" s="95"/>
      <c r="F162" s="95"/>
      <c r="G162" s="95"/>
      <c r="H162" s="95"/>
      <c r="I162" s="95"/>
      <c r="J162" s="95"/>
      <c r="K162" s="95"/>
      <c r="L162" s="95"/>
      <c r="M162" s="96"/>
      <c r="N162" s="95"/>
      <c r="O162" s="96"/>
      <c r="P162" s="95"/>
      <c r="Q162" s="96"/>
      <c r="R162" s="95" t="s">
        <v>94</v>
      </c>
      <c r="S162" s="96" t="s">
        <v>116</v>
      </c>
      <c r="T162" s="97"/>
      <c r="U162" s="97"/>
      <c r="V162" s="193"/>
      <c r="W162" s="6"/>
    </row>
    <row r="163" spans="1:23" ht="15.6">
      <c r="A163" s="98"/>
      <c r="B163" s="83" t="s">
        <v>216</v>
      </c>
      <c r="C163" s="61"/>
      <c r="D163" s="61"/>
      <c r="E163" s="61"/>
      <c r="F163" s="61"/>
      <c r="G163" s="61"/>
      <c r="H163" s="61"/>
      <c r="I163" s="61"/>
      <c r="J163" s="61"/>
      <c r="K163" s="61"/>
      <c r="L163" s="61"/>
      <c r="M163" s="61"/>
      <c r="N163" s="61"/>
      <c r="O163" s="26"/>
      <c r="P163" s="26"/>
      <c r="Q163" s="26"/>
      <c r="R163" s="59">
        <v>543</v>
      </c>
      <c r="S163" s="60">
        <v>16540</v>
      </c>
      <c r="T163" s="60"/>
      <c r="U163" s="89"/>
      <c r="V163" s="204"/>
      <c r="W163" s="6"/>
    </row>
    <row r="164" spans="1:23" ht="15.6">
      <c r="A164" s="98"/>
      <c r="B164" s="83" t="s">
        <v>217</v>
      </c>
      <c r="C164" s="61"/>
      <c r="D164" s="61"/>
      <c r="E164" s="61"/>
      <c r="F164" s="61"/>
      <c r="G164" s="61"/>
      <c r="H164" s="61"/>
      <c r="I164" s="61"/>
      <c r="J164" s="61"/>
      <c r="K164" s="61"/>
      <c r="L164" s="61"/>
      <c r="M164" s="61"/>
      <c r="N164" s="61"/>
      <c r="O164" s="26"/>
      <c r="P164" s="26"/>
      <c r="Q164" s="26"/>
      <c r="R164" s="26">
        <v>84</v>
      </c>
      <c r="S164" s="60">
        <v>758</v>
      </c>
      <c r="T164" s="60"/>
      <c r="U164" s="89"/>
      <c r="V164" s="204"/>
      <c r="W164" s="6"/>
    </row>
    <row r="165" spans="1:23" ht="15.6">
      <c r="A165" s="98"/>
      <c r="B165" s="83" t="s">
        <v>218</v>
      </c>
      <c r="C165" s="61"/>
      <c r="D165" s="61"/>
      <c r="E165" s="61"/>
      <c r="F165" s="61"/>
      <c r="G165" s="61"/>
      <c r="H165" s="61"/>
      <c r="I165" s="61"/>
      <c r="J165" s="61"/>
      <c r="K165" s="61"/>
      <c r="L165" s="61"/>
      <c r="M165" s="61"/>
      <c r="N165" s="61"/>
      <c r="O165" s="26"/>
      <c r="P165" s="26"/>
      <c r="Q165" s="26"/>
      <c r="R165" s="26">
        <v>267</v>
      </c>
      <c r="S165" s="60">
        <v>322</v>
      </c>
      <c r="T165" s="60"/>
      <c r="U165" s="89"/>
      <c r="V165" s="204"/>
      <c r="W165" s="6"/>
    </row>
    <row r="166" spans="1:23" ht="15.6">
      <c r="A166" s="98"/>
      <c r="B166" s="83" t="s">
        <v>219</v>
      </c>
      <c r="C166" s="61"/>
      <c r="D166" s="61"/>
      <c r="E166" s="61"/>
      <c r="F166" s="61"/>
      <c r="G166" s="61"/>
      <c r="H166" s="61"/>
      <c r="I166" s="61"/>
      <c r="J166" s="61"/>
      <c r="K166" s="61"/>
      <c r="L166" s="61"/>
      <c r="M166" s="61"/>
      <c r="N166" s="61"/>
      <c r="O166" s="26"/>
      <c r="P166" s="26"/>
      <c r="Q166" s="26"/>
      <c r="R166" s="26">
        <v>522</v>
      </c>
      <c r="S166" s="60">
        <v>3308</v>
      </c>
      <c r="T166" s="60"/>
      <c r="U166" s="89"/>
      <c r="V166" s="204"/>
      <c r="W166" s="6"/>
    </row>
    <row r="167" spans="1:23" ht="15.6">
      <c r="A167" s="98"/>
      <c r="B167" s="83" t="s">
        <v>90</v>
      </c>
      <c r="C167" s="61"/>
      <c r="D167" s="61"/>
      <c r="E167" s="61"/>
      <c r="F167" s="61"/>
      <c r="G167" s="61"/>
      <c r="H167" s="61"/>
      <c r="I167" s="61"/>
      <c r="J167" s="61"/>
      <c r="K167" s="61"/>
      <c r="L167" s="61"/>
      <c r="M167" s="61"/>
      <c r="N167" s="61"/>
      <c r="O167" s="26"/>
      <c r="P167" s="26"/>
      <c r="Q167" s="26"/>
      <c r="R167" s="59">
        <f>SUM(R163:R166)</f>
        <v>1416</v>
      </c>
      <c r="S167" s="60">
        <f>SUM(S163:S166)</f>
        <v>20928</v>
      </c>
      <c r="T167" s="60"/>
      <c r="U167" s="89"/>
      <c r="V167" s="204"/>
      <c r="W167" s="6"/>
    </row>
    <row r="168" spans="1:23" ht="15.6">
      <c r="A168" s="98"/>
      <c r="B168" s="83"/>
      <c r="C168" s="61"/>
      <c r="D168" s="61"/>
      <c r="E168" s="61"/>
      <c r="F168" s="61"/>
      <c r="G168" s="61"/>
      <c r="H168" s="61"/>
      <c r="I168" s="61"/>
      <c r="J168" s="61"/>
      <c r="K168" s="61"/>
      <c r="L168" s="61"/>
      <c r="M168" s="61"/>
      <c r="N168" s="61"/>
      <c r="O168" s="26"/>
      <c r="P168" s="26"/>
      <c r="Q168" s="26"/>
      <c r="R168" s="26"/>
      <c r="S168" s="60"/>
      <c r="T168" s="60"/>
      <c r="U168" s="89"/>
      <c r="V168" s="204"/>
      <c r="W168" s="6"/>
    </row>
    <row r="169" spans="1:23" ht="15.6">
      <c r="A169" s="98"/>
      <c r="B169" s="83" t="s">
        <v>220</v>
      </c>
      <c r="C169" s="61"/>
      <c r="D169" s="61"/>
      <c r="E169" s="61"/>
      <c r="F169" s="61"/>
      <c r="G169" s="61"/>
      <c r="H169" s="61"/>
      <c r="I169" s="61"/>
      <c r="J169" s="61"/>
      <c r="K169" s="61"/>
      <c r="L169" s="61"/>
      <c r="M169" s="61"/>
      <c r="N169" s="61"/>
      <c r="O169" s="26"/>
      <c r="P169" s="26"/>
      <c r="Q169" s="26"/>
      <c r="R169" s="26">
        <v>30</v>
      </c>
      <c r="S169" s="60">
        <v>297</v>
      </c>
      <c r="T169" s="60"/>
      <c r="U169" s="89"/>
      <c r="V169" s="204"/>
      <c r="W169" s="6"/>
    </row>
    <row r="170" spans="1:23" ht="15.6">
      <c r="A170" s="98"/>
      <c r="B170" s="83" t="s">
        <v>224</v>
      </c>
      <c r="C170" s="61"/>
      <c r="D170" s="61"/>
      <c r="E170" s="61"/>
      <c r="F170" s="61"/>
      <c r="G170" s="61"/>
      <c r="H170" s="61"/>
      <c r="I170" s="61"/>
      <c r="J170" s="61"/>
      <c r="K170" s="61"/>
      <c r="L170" s="61"/>
      <c r="M170" s="61"/>
      <c r="N170" s="61"/>
      <c r="O170" s="26"/>
      <c r="P170" s="26"/>
      <c r="Q170" s="26"/>
      <c r="R170" s="26">
        <v>11</v>
      </c>
      <c r="S170" s="60">
        <v>346</v>
      </c>
      <c r="T170" s="60"/>
      <c r="U170" s="89"/>
      <c r="V170" s="204"/>
      <c r="W170" s="6"/>
    </row>
    <row r="171" spans="1:23" ht="15.6">
      <c r="A171" s="98"/>
      <c r="B171" s="156" t="s">
        <v>69</v>
      </c>
      <c r="C171" s="61"/>
      <c r="D171" s="61"/>
      <c r="E171" s="61"/>
      <c r="F171" s="61"/>
      <c r="G171" s="61"/>
      <c r="H171" s="61"/>
      <c r="I171" s="61"/>
      <c r="J171" s="61"/>
      <c r="K171" s="61"/>
      <c r="L171" s="61"/>
      <c r="M171" s="61"/>
      <c r="N171" s="61"/>
      <c r="O171" s="26"/>
      <c r="P171" s="26"/>
      <c r="Q171" s="26"/>
      <c r="R171" s="26"/>
      <c r="S171" s="60">
        <v>0</v>
      </c>
      <c r="T171" s="26"/>
      <c r="U171" s="89"/>
      <c r="V171" s="204"/>
      <c r="W171" s="6"/>
    </row>
    <row r="172" spans="1:23" ht="15.6">
      <c r="A172" s="98"/>
      <c r="B172" s="156" t="s">
        <v>70</v>
      </c>
      <c r="C172" s="61"/>
      <c r="D172" s="61"/>
      <c r="E172" s="61"/>
      <c r="F172" s="61"/>
      <c r="G172" s="61"/>
      <c r="H172" s="61"/>
      <c r="I172" s="61"/>
      <c r="J172" s="61"/>
      <c r="K172" s="61"/>
      <c r="L172" s="61"/>
      <c r="M172" s="61"/>
      <c r="N172" s="61"/>
      <c r="O172" s="26"/>
      <c r="P172" s="26"/>
      <c r="Q172" s="26"/>
      <c r="R172" s="26"/>
      <c r="S172" s="60">
        <f>Q76</f>
        <v>81107</v>
      </c>
      <c r="T172" s="26"/>
      <c r="U172" s="89"/>
      <c r="V172" s="204"/>
      <c r="W172" s="6"/>
    </row>
    <row r="173" spans="1:23" ht="15.6">
      <c r="A173" s="101"/>
      <c r="B173" s="156" t="s">
        <v>71</v>
      </c>
      <c r="C173" s="61"/>
      <c r="D173" s="61"/>
      <c r="E173" s="61"/>
      <c r="F173" s="61"/>
      <c r="G173" s="61"/>
      <c r="H173" s="61"/>
      <c r="I173" s="61"/>
      <c r="J173" s="61"/>
      <c r="K173" s="61"/>
      <c r="L173" s="61"/>
      <c r="M173" s="83"/>
      <c r="N173" s="83"/>
      <c r="O173" s="83"/>
      <c r="P173" s="26"/>
      <c r="Q173" s="26"/>
      <c r="R173" s="26"/>
      <c r="S173" s="102"/>
      <c r="T173" s="26"/>
      <c r="U173" s="89"/>
      <c r="V173" s="205"/>
      <c r="W173" s="6"/>
    </row>
    <row r="174" spans="1:23" ht="15.6">
      <c r="A174" s="98"/>
      <c r="B174" s="83" t="s">
        <v>72</v>
      </c>
      <c r="C174" s="61"/>
      <c r="D174" s="61"/>
      <c r="E174" s="61"/>
      <c r="F174" s="61"/>
      <c r="G174" s="61"/>
      <c r="H174" s="61"/>
      <c r="I174" s="61"/>
      <c r="J174" s="61"/>
      <c r="K174" s="61"/>
      <c r="L174" s="61"/>
      <c r="M174" s="61"/>
      <c r="N174" s="61"/>
      <c r="O174" s="61"/>
      <c r="P174" s="26"/>
      <c r="Q174" s="26"/>
      <c r="R174" s="26"/>
      <c r="S174" s="60">
        <f>U129</f>
        <v>4302</v>
      </c>
      <c r="T174" s="26"/>
      <c r="U174" s="89"/>
      <c r="V174" s="205"/>
      <c r="W174" s="6"/>
    </row>
    <row r="175" spans="1:23" ht="15.6">
      <c r="A175" s="98"/>
      <c r="B175" s="83" t="s">
        <v>73</v>
      </c>
      <c r="C175" s="61"/>
      <c r="D175" s="61"/>
      <c r="E175" s="61"/>
      <c r="F175" s="61"/>
      <c r="G175" s="61"/>
      <c r="H175" s="61"/>
      <c r="I175" s="61"/>
      <c r="J175" s="61"/>
      <c r="K175" s="61"/>
      <c r="L175" s="61"/>
      <c r="M175" s="61"/>
      <c r="N175" s="61"/>
      <c r="O175" s="61"/>
      <c r="P175" s="26"/>
      <c r="Q175" s="26"/>
      <c r="R175" s="26"/>
      <c r="S175" s="60">
        <f>+'Sept 06'!S174+S174</f>
        <v>29013</v>
      </c>
      <c r="T175" s="26"/>
      <c r="U175" s="89"/>
      <c r="V175" s="205"/>
      <c r="W175" s="6"/>
    </row>
    <row r="176" spans="1:23" ht="15.6">
      <c r="A176" s="98"/>
      <c r="B176" s="83" t="s">
        <v>74</v>
      </c>
      <c r="C176" s="61"/>
      <c r="D176" s="61"/>
      <c r="E176" s="61"/>
      <c r="F176" s="61"/>
      <c r="G176" s="61"/>
      <c r="H176" s="61"/>
      <c r="I176" s="61"/>
      <c r="J176" s="61"/>
      <c r="K176" s="61"/>
      <c r="L176" s="61"/>
      <c r="M176" s="61"/>
      <c r="N176" s="61"/>
      <c r="O176" s="61"/>
      <c r="P176" s="26"/>
      <c r="Q176" s="26"/>
      <c r="R176" s="26"/>
      <c r="S176" s="60">
        <f>'Sept 06'!S175+702</f>
        <v>3610</v>
      </c>
      <c r="T176" s="26"/>
      <c r="U176" s="89"/>
      <c r="V176" s="205"/>
      <c r="W176" s="6"/>
    </row>
    <row r="177" spans="1:23" ht="15.6">
      <c r="A177" s="98"/>
      <c r="B177" s="83"/>
      <c r="C177" s="61"/>
      <c r="D177" s="61"/>
      <c r="E177" s="61"/>
      <c r="F177" s="61"/>
      <c r="G177" s="61"/>
      <c r="H177" s="61"/>
      <c r="I177" s="61"/>
      <c r="J177" s="61"/>
      <c r="K177" s="61"/>
      <c r="L177" s="61"/>
      <c r="M177" s="61"/>
      <c r="N177" s="61"/>
      <c r="O177" s="61"/>
      <c r="P177" s="26"/>
      <c r="Q177" s="26"/>
      <c r="R177" s="26"/>
      <c r="S177" s="60"/>
      <c r="T177" s="26"/>
      <c r="U177" s="89"/>
      <c r="V177" s="205"/>
      <c r="W177" s="6"/>
    </row>
    <row r="178" spans="1:23" ht="15.6">
      <c r="A178" s="101"/>
      <c r="B178" s="156" t="s">
        <v>259</v>
      </c>
      <c r="C178" s="61"/>
      <c r="D178" s="61"/>
      <c r="E178" s="61"/>
      <c r="F178" s="61"/>
      <c r="G178" s="61"/>
      <c r="H178" s="61"/>
      <c r="I178" s="61"/>
      <c r="J178" s="61"/>
      <c r="K178" s="61"/>
      <c r="L178" s="61"/>
      <c r="M178" s="83"/>
      <c r="N178" s="83"/>
      <c r="O178" s="83"/>
      <c r="P178" s="26"/>
      <c r="Q178" s="26"/>
      <c r="R178" s="26"/>
      <c r="S178" s="79"/>
      <c r="T178" s="26"/>
      <c r="U178" s="89"/>
      <c r="V178" s="205"/>
      <c r="W178" s="6"/>
    </row>
    <row r="179" spans="1:23" ht="15.6">
      <c r="A179" s="101"/>
      <c r="B179" s="83" t="s">
        <v>254</v>
      </c>
      <c r="C179" s="61"/>
      <c r="D179" s="61"/>
      <c r="E179" s="61"/>
      <c r="F179" s="61"/>
      <c r="G179" s="61"/>
      <c r="H179" s="61"/>
      <c r="I179" s="61"/>
      <c r="J179" s="61"/>
      <c r="K179" s="61"/>
      <c r="L179" s="61"/>
      <c r="M179" s="83"/>
      <c r="N179" s="83"/>
      <c r="O179" s="83"/>
      <c r="P179" s="26"/>
      <c r="Q179" s="26"/>
      <c r="R179" s="26"/>
      <c r="S179" s="79">
        <v>5</v>
      </c>
      <c r="T179" s="26"/>
      <c r="U179" s="89"/>
      <c r="V179" s="205"/>
      <c r="W179" s="6"/>
    </row>
    <row r="180" spans="1:23" ht="15.6">
      <c r="A180" s="98"/>
      <c r="B180" s="83" t="s">
        <v>75</v>
      </c>
      <c r="C180" s="61"/>
      <c r="D180" s="61"/>
      <c r="E180" s="61"/>
      <c r="F180" s="61"/>
      <c r="G180" s="61"/>
      <c r="H180" s="61"/>
      <c r="I180" s="61"/>
      <c r="J180" s="61"/>
      <c r="K180" s="61"/>
      <c r="L180" s="61"/>
      <c r="M180" s="104"/>
      <c r="N180" s="104"/>
      <c r="O180" s="105"/>
      <c r="P180" s="26"/>
      <c r="Q180" s="26"/>
      <c r="R180" s="26"/>
      <c r="S180" s="191">
        <v>7.86</v>
      </c>
      <c r="T180" s="26"/>
      <c r="U180" s="89"/>
      <c r="V180" s="205"/>
      <c r="W180" s="6"/>
    </row>
    <row r="181" spans="1:23" ht="15.6">
      <c r="A181" s="98"/>
      <c r="B181" s="83" t="s">
        <v>76</v>
      </c>
      <c r="C181" s="61"/>
      <c r="D181" s="61"/>
      <c r="E181" s="61"/>
      <c r="F181" s="61"/>
      <c r="G181" s="61"/>
      <c r="H181" s="61"/>
      <c r="I181" s="61"/>
      <c r="J181" s="61"/>
      <c r="K181" s="61"/>
      <c r="L181" s="61"/>
      <c r="M181" s="104"/>
      <c r="N181" s="104"/>
      <c r="O181" s="105"/>
      <c r="P181" s="26"/>
      <c r="Q181" s="26"/>
      <c r="R181" s="26"/>
      <c r="S181" s="191">
        <v>197.6</v>
      </c>
      <c r="T181" s="26"/>
      <c r="U181" s="89"/>
      <c r="V181" s="205"/>
      <c r="W181" s="6"/>
    </row>
    <row r="182" spans="1:23" ht="15.6">
      <c r="A182" s="98"/>
      <c r="B182" s="83"/>
      <c r="C182" s="61"/>
      <c r="D182" s="61"/>
      <c r="E182" s="61"/>
      <c r="F182" s="61"/>
      <c r="G182" s="61"/>
      <c r="H182" s="61"/>
      <c r="I182" s="61"/>
      <c r="J182" s="61"/>
      <c r="K182" s="61"/>
      <c r="L182" s="61"/>
      <c r="M182" s="106"/>
      <c r="N182" s="104"/>
      <c r="O182" s="105"/>
      <c r="P182" s="26"/>
      <c r="Q182" s="26"/>
      <c r="R182" s="26"/>
      <c r="S182" s="79"/>
      <c r="T182" s="26"/>
      <c r="U182" s="89"/>
      <c r="V182" s="205"/>
      <c r="W182" s="6"/>
    </row>
    <row r="183" spans="1:23" ht="15.6">
      <c r="A183" s="98"/>
      <c r="B183" s="156" t="s">
        <v>77</v>
      </c>
      <c r="C183" s="61"/>
      <c r="D183" s="61"/>
      <c r="E183" s="61"/>
      <c r="F183" s="61"/>
      <c r="G183" s="61"/>
      <c r="H183" s="61"/>
      <c r="I183" s="61"/>
      <c r="J183" s="61"/>
      <c r="K183" s="61"/>
      <c r="L183" s="61"/>
      <c r="M183" s="61"/>
      <c r="N183" s="106"/>
      <c r="O183" s="104"/>
      <c r="P183" s="105"/>
      <c r="Q183" s="26"/>
      <c r="R183" s="33"/>
      <c r="S183" s="33"/>
      <c r="T183" s="107"/>
      <c r="U183" s="33"/>
      <c r="V183" s="206"/>
      <c r="W183" s="6"/>
    </row>
    <row r="184" spans="1:23" ht="15.6">
      <c r="A184" s="98"/>
      <c r="B184" s="83" t="s">
        <v>78</v>
      </c>
      <c r="C184" s="61"/>
      <c r="D184" s="61"/>
      <c r="E184" s="61"/>
      <c r="F184" s="61"/>
      <c r="G184" s="61"/>
      <c r="H184" s="61"/>
      <c r="I184" s="61"/>
      <c r="J184" s="61"/>
      <c r="K184" s="61"/>
      <c r="L184" s="61"/>
      <c r="M184" s="61"/>
      <c r="N184" s="106"/>
      <c r="O184" s="104"/>
      <c r="P184" s="105"/>
      <c r="Q184" s="26"/>
      <c r="R184" s="33"/>
      <c r="S184" s="108">
        <v>99</v>
      </c>
      <c r="T184" s="108"/>
      <c r="U184" s="33"/>
      <c r="V184" s="206"/>
      <c r="W184" s="6"/>
    </row>
    <row r="185" spans="1:23" ht="15.6">
      <c r="A185" s="98"/>
      <c r="B185" s="83" t="s">
        <v>75</v>
      </c>
      <c r="C185" s="61"/>
      <c r="D185" s="61"/>
      <c r="E185" s="61"/>
      <c r="F185" s="61"/>
      <c r="G185" s="61"/>
      <c r="H185" s="61"/>
      <c r="I185" s="61"/>
      <c r="J185" s="61"/>
      <c r="K185" s="61"/>
      <c r="L185" s="61"/>
      <c r="M185" s="61"/>
      <c r="N185" s="106"/>
      <c r="O185" s="104"/>
      <c r="P185" s="105"/>
      <c r="Q185" s="26"/>
      <c r="R185" s="33"/>
      <c r="S185" s="108">
        <v>4.26</v>
      </c>
      <c r="T185" s="108"/>
      <c r="U185" s="33"/>
      <c r="V185" s="206"/>
      <c r="W185" s="6"/>
    </row>
    <row r="186" spans="1:23" ht="15.6">
      <c r="A186" s="98"/>
      <c r="B186" s="83" t="s">
        <v>79</v>
      </c>
      <c r="C186" s="61"/>
      <c r="D186" s="61"/>
      <c r="E186" s="61"/>
      <c r="F186" s="61"/>
      <c r="G186" s="61"/>
      <c r="H186" s="61"/>
      <c r="I186" s="61"/>
      <c r="J186" s="61"/>
      <c r="K186" s="61"/>
      <c r="L186" s="61"/>
      <c r="M186" s="61"/>
      <c r="N186" s="106"/>
      <c r="O186" s="104"/>
      <c r="P186" s="105"/>
      <c r="Q186" s="26"/>
      <c r="R186" s="33"/>
      <c r="S186" s="108">
        <v>68.61</v>
      </c>
      <c r="T186" s="108"/>
      <c r="U186" s="33"/>
      <c r="V186" s="206"/>
      <c r="W186" s="6"/>
    </row>
    <row r="187" spans="1:23" ht="15.6">
      <c r="A187" s="98"/>
      <c r="B187" s="83"/>
      <c r="C187" s="61"/>
      <c r="D187" s="61"/>
      <c r="E187" s="61"/>
      <c r="F187" s="61"/>
      <c r="G187" s="61"/>
      <c r="H187" s="61"/>
      <c r="I187" s="61"/>
      <c r="J187" s="61"/>
      <c r="K187" s="61"/>
      <c r="L187" s="61"/>
      <c r="M187" s="106"/>
      <c r="N187" s="104"/>
      <c r="O187" s="105"/>
      <c r="P187" s="26"/>
      <c r="Q187" s="26"/>
      <c r="R187" s="26"/>
      <c r="S187" s="79"/>
      <c r="T187" s="26"/>
      <c r="U187" s="89"/>
      <c r="V187" s="205"/>
      <c r="W187" s="6"/>
    </row>
    <row r="188" spans="1:23" ht="17.399999999999999">
      <c r="A188" s="98"/>
      <c r="B188" s="180" t="s">
        <v>196</v>
      </c>
      <c r="C188" s="61"/>
      <c r="D188" s="61"/>
      <c r="E188" s="61"/>
      <c r="F188" s="61"/>
      <c r="G188" s="61"/>
      <c r="H188" s="61"/>
      <c r="I188" s="61"/>
      <c r="J188" s="61"/>
      <c r="K188" s="181" t="s">
        <v>195</v>
      </c>
      <c r="L188" s="61"/>
      <c r="M188" s="106"/>
      <c r="N188" s="104"/>
      <c r="O188" s="105"/>
      <c r="P188" s="26"/>
      <c r="Q188" s="26"/>
      <c r="R188" s="26"/>
      <c r="S188" s="79"/>
      <c r="T188" s="26"/>
      <c r="U188" s="89"/>
      <c r="V188" s="205"/>
      <c r="W188" s="6"/>
    </row>
    <row r="189" spans="1:23" ht="15.6">
      <c r="A189" s="25"/>
      <c r="B189" s="109" t="s">
        <v>80</v>
      </c>
      <c r="C189" s="110"/>
      <c r="D189" s="110"/>
      <c r="E189" s="110"/>
      <c r="F189" s="110"/>
      <c r="G189" s="110"/>
      <c r="H189" s="110"/>
      <c r="I189" s="110"/>
      <c r="J189" s="110"/>
      <c r="K189" s="110"/>
      <c r="L189" s="110"/>
      <c r="M189" s="111"/>
      <c r="N189" s="110"/>
      <c r="O189" s="111"/>
      <c r="P189" s="110"/>
      <c r="Q189" s="111"/>
      <c r="R189" s="110"/>
      <c r="S189" s="111"/>
      <c r="T189" s="110"/>
      <c r="U189" s="112"/>
      <c r="V189" s="205"/>
      <c r="W189" s="6"/>
    </row>
    <row r="190" spans="1:23" ht="15.6">
      <c r="A190" s="25"/>
      <c r="B190" s="30"/>
      <c r="C190" s="189"/>
      <c r="D190" s="189"/>
      <c r="E190" s="189"/>
      <c r="F190" s="189"/>
      <c r="G190" s="189"/>
      <c r="H190" s="189"/>
      <c r="I190" s="189"/>
      <c r="J190" s="189"/>
      <c r="K190" s="189"/>
      <c r="L190" s="189"/>
      <c r="M190" s="109" t="s">
        <v>100</v>
      </c>
      <c r="N190" s="110"/>
      <c r="O190" s="111"/>
      <c r="P190" s="110"/>
      <c r="Q190" s="109" t="s">
        <v>26</v>
      </c>
      <c r="R190" s="110"/>
      <c r="S190" s="111"/>
      <c r="T190" s="110"/>
      <c r="U190" s="112"/>
      <c r="V190" s="205"/>
      <c r="W190" s="6"/>
    </row>
    <row r="191" spans="1:23" ht="15.6">
      <c r="A191" s="25"/>
      <c r="B191" s="189"/>
      <c r="C191" s="111"/>
      <c r="D191" s="111"/>
      <c r="E191" s="111"/>
      <c r="F191" s="111"/>
      <c r="G191" s="111"/>
      <c r="H191" s="111"/>
      <c r="I191" s="111"/>
      <c r="J191" s="111"/>
      <c r="K191" s="111"/>
      <c r="L191" s="111" t="s">
        <v>94</v>
      </c>
      <c r="M191" s="110" t="s">
        <v>101</v>
      </c>
      <c r="N191" s="111" t="s">
        <v>103</v>
      </c>
      <c r="O191" s="110" t="s">
        <v>101</v>
      </c>
      <c r="P191" s="110"/>
      <c r="Q191" s="111" t="s">
        <v>94</v>
      </c>
      <c r="R191" s="110" t="s">
        <v>101</v>
      </c>
      <c r="S191" s="111" t="s">
        <v>103</v>
      </c>
      <c r="T191" s="110" t="s">
        <v>101</v>
      </c>
      <c r="U191" s="112"/>
      <c r="V191" s="205"/>
      <c r="W191" s="6"/>
    </row>
    <row r="192" spans="1:23" ht="15.6">
      <c r="A192" s="25"/>
      <c r="B192" s="61" t="s">
        <v>81</v>
      </c>
      <c r="C192" s="113"/>
      <c r="D192" s="113"/>
      <c r="E192" s="113"/>
      <c r="F192" s="113"/>
      <c r="G192" s="113"/>
      <c r="H192" s="113"/>
      <c r="I192" s="113"/>
      <c r="J192" s="113"/>
      <c r="K192" s="113"/>
      <c r="L192" s="113">
        <v>7755</v>
      </c>
      <c r="M192" s="86">
        <f t="shared" ref="M192:M198" si="0">+L192/$L$199</f>
        <v>0.88416372135446353</v>
      </c>
      <c r="N192" s="113">
        <v>32432</v>
      </c>
      <c r="O192" s="86">
        <f t="shared" ref="O192:O198" si="1">N192/$N$199</f>
        <v>0.84258657868073061</v>
      </c>
      <c r="P192" s="110"/>
      <c r="Q192" s="113">
        <v>34750</v>
      </c>
      <c r="R192" s="86">
        <f t="shared" ref="R192:R198" si="2">+Q192/$Q$199</f>
        <v>0.98255435858285978</v>
      </c>
      <c r="S192" s="113">
        <v>39833</v>
      </c>
      <c r="T192" s="86">
        <f t="shared" ref="T192:T198" si="3">+S192/$S$199</f>
        <v>0.98108420974852839</v>
      </c>
      <c r="U192" s="112"/>
      <c r="V192" s="205"/>
      <c r="W192" s="6"/>
    </row>
    <row r="193" spans="1:24" ht="15.6">
      <c r="A193" s="25"/>
      <c r="B193" s="61" t="s">
        <v>82</v>
      </c>
      <c r="C193" s="113"/>
      <c r="D193" s="113"/>
      <c r="E193" s="113"/>
      <c r="F193" s="113"/>
      <c r="G193" s="113"/>
      <c r="H193" s="113"/>
      <c r="I193" s="113"/>
      <c r="J193" s="113"/>
      <c r="K193" s="113"/>
      <c r="L193" s="113">
        <v>133</v>
      </c>
      <c r="M193" s="86">
        <f t="shared" si="0"/>
        <v>1.5163607342378291E-2</v>
      </c>
      <c r="N193" s="113">
        <v>757</v>
      </c>
      <c r="O193" s="86">
        <f t="shared" si="1"/>
        <v>1.9666935127692187E-2</v>
      </c>
      <c r="P193" s="110"/>
      <c r="Q193" s="113">
        <v>100</v>
      </c>
      <c r="R193" s="86">
        <f t="shared" si="2"/>
        <v>2.8274945570729774E-3</v>
      </c>
      <c r="S193" s="113">
        <v>108</v>
      </c>
      <c r="T193" s="86">
        <f t="shared" si="3"/>
        <v>2.6600330041131994E-3</v>
      </c>
      <c r="U193" s="112"/>
      <c r="V193" s="205"/>
      <c r="W193" s="6"/>
    </row>
    <row r="194" spans="1:24" ht="15.6">
      <c r="A194" s="25"/>
      <c r="B194" s="61" t="s">
        <v>83</v>
      </c>
      <c r="C194" s="113"/>
      <c r="D194" s="113"/>
      <c r="E194" s="113"/>
      <c r="F194" s="113"/>
      <c r="G194" s="113"/>
      <c r="H194" s="113"/>
      <c r="I194" s="113"/>
      <c r="J194" s="113"/>
      <c r="K194" s="113"/>
      <c r="L194" s="113">
        <v>111</v>
      </c>
      <c r="M194" s="86">
        <f t="shared" si="0"/>
        <v>1.2655341466195416E-2</v>
      </c>
      <c r="N194" s="113">
        <v>672</v>
      </c>
      <c r="O194" s="86">
        <f t="shared" si="1"/>
        <v>1.7458626691953964E-2</v>
      </c>
      <c r="P194" s="110"/>
      <c r="Q194" s="113">
        <v>85</v>
      </c>
      <c r="R194" s="86">
        <f t="shared" si="2"/>
        <v>2.4033703735120309E-3</v>
      </c>
      <c r="S194" s="113">
        <v>119</v>
      </c>
      <c r="T194" s="86">
        <f t="shared" si="3"/>
        <v>2.9309622915691734E-3</v>
      </c>
      <c r="U194" s="112"/>
      <c r="V194" s="205"/>
      <c r="W194" s="6"/>
    </row>
    <row r="195" spans="1:24" ht="15.6">
      <c r="A195" s="25"/>
      <c r="B195" s="61" t="s">
        <v>186</v>
      </c>
      <c r="C195" s="113"/>
      <c r="D195" s="113"/>
      <c r="E195" s="113"/>
      <c r="F195" s="113"/>
      <c r="G195" s="113"/>
      <c r="H195" s="113"/>
      <c r="I195" s="113"/>
      <c r="J195" s="113"/>
      <c r="K195" s="113"/>
      <c r="L195" s="113">
        <v>95</v>
      </c>
      <c r="M195" s="86">
        <f t="shared" si="0"/>
        <v>1.083114810169878E-2</v>
      </c>
      <c r="N195" s="113">
        <v>473</v>
      </c>
      <c r="O195" s="86">
        <f t="shared" si="1"/>
        <v>1.2288586942402121E-2</v>
      </c>
      <c r="P195" s="110"/>
      <c r="Q195" s="113">
        <v>59</v>
      </c>
      <c r="R195" s="86">
        <f t="shared" si="2"/>
        <v>1.6682217886730569E-3</v>
      </c>
      <c r="S195" s="113">
        <v>74</v>
      </c>
      <c r="T195" s="86">
        <f t="shared" si="3"/>
        <v>1.8226152065220068E-3</v>
      </c>
      <c r="U195" s="112"/>
      <c r="V195" s="205"/>
      <c r="W195" s="6"/>
    </row>
    <row r="196" spans="1:24" ht="15.6">
      <c r="A196" s="25"/>
      <c r="B196" s="61" t="s">
        <v>187</v>
      </c>
      <c r="C196" s="113"/>
      <c r="D196" s="113"/>
      <c r="E196" s="113"/>
      <c r="F196" s="113"/>
      <c r="G196" s="113"/>
      <c r="H196" s="113"/>
      <c r="I196" s="113"/>
      <c r="J196" s="113"/>
      <c r="K196" s="113"/>
      <c r="L196" s="113">
        <v>91</v>
      </c>
      <c r="M196" s="86">
        <f t="shared" si="0"/>
        <v>1.0375099760574621E-2</v>
      </c>
      <c r="N196" s="113">
        <v>478</v>
      </c>
      <c r="O196" s="86">
        <f t="shared" si="1"/>
        <v>1.2418487438622016E-2</v>
      </c>
      <c r="P196" s="110"/>
      <c r="Q196" s="113">
        <v>68</v>
      </c>
      <c r="R196" s="86">
        <f t="shared" si="2"/>
        <v>1.9226962988096248E-3</v>
      </c>
      <c r="S196" s="113">
        <v>93</v>
      </c>
      <c r="T196" s="86">
        <f t="shared" si="3"/>
        <v>2.2905839757641436E-3</v>
      </c>
      <c r="U196" s="112"/>
      <c r="V196" s="205"/>
      <c r="W196" s="6"/>
    </row>
    <row r="197" spans="1:24" ht="15.6">
      <c r="A197" s="25"/>
      <c r="B197" s="61" t="s">
        <v>188</v>
      </c>
      <c r="C197" s="113"/>
      <c r="D197" s="113"/>
      <c r="E197" s="113"/>
      <c r="F197" s="113"/>
      <c r="G197" s="113"/>
      <c r="H197" s="113"/>
      <c r="I197" s="113"/>
      <c r="J197" s="113"/>
      <c r="K197" s="113"/>
      <c r="L197" s="113">
        <v>94</v>
      </c>
      <c r="M197" s="86">
        <f t="shared" si="0"/>
        <v>1.0717136016417741E-2</v>
      </c>
      <c r="N197" s="113">
        <v>478</v>
      </c>
      <c r="O197" s="86">
        <f t="shared" si="1"/>
        <v>1.2418487438622016E-2</v>
      </c>
      <c r="P197" s="110"/>
      <c r="Q197" s="113">
        <v>47</v>
      </c>
      <c r="R197" s="86">
        <f t="shared" si="2"/>
        <v>1.3289224418242995E-3</v>
      </c>
      <c r="S197" s="113">
        <v>55</v>
      </c>
      <c r="T197" s="86">
        <f t="shared" si="3"/>
        <v>1.35464643727987E-3</v>
      </c>
      <c r="U197" s="112"/>
      <c r="V197" s="205"/>
      <c r="W197" s="6"/>
    </row>
    <row r="198" spans="1:24" ht="15.6">
      <c r="A198" s="25"/>
      <c r="B198" s="61" t="s">
        <v>189</v>
      </c>
      <c r="C198" s="113"/>
      <c r="D198" s="113"/>
      <c r="E198" s="113"/>
      <c r="F198" s="113"/>
      <c r="G198" s="113"/>
      <c r="H198" s="113"/>
      <c r="I198" s="113"/>
      <c r="J198" s="113"/>
      <c r="K198" s="113"/>
      <c r="L198" s="113">
        <v>492</v>
      </c>
      <c r="M198" s="86">
        <f t="shared" si="0"/>
        <v>5.6093945958271579E-2</v>
      </c>
      <c r="N198" s="113">
        <v>3201</v>
      </c>
      <c r="O198" s="86">
        <f t="shared" si="1"/>
        <v>8.316229767997714E-2</v>
      </c>
      <c r="P198" s="110"/>
      <c r="Q198" s="113">
        <v>258</v>
      </c>
      <c r="R198" s="86">
        <f t="shared" si="2"/>
        <v>7.2949359572482822E-3</v>
      </c>
      <c r="S198" s="113">
        <v>319</v>
      </c>
      <c r="T198" s="86">
        <f t="shared" si="3"/>
        <v>7.8569493362232457E-3</v>
      </c>
      <c r="U198" s="112"/>
      <c r="V198" s="205"/>
      <c r="W198" s="6"/>
    </row>
    <row r="199" spans="1:24" ht="15.6">
      <c r="A199" s="25"/>
      <c r="B199" s="61" t="s">
        <v>84</v>
      </c>
      <c r="C199" s="113"/>
      <c r="D199" s="113"/>
      <c r="E199" s="113"/>
      <c r="F199" s="113"/>
      <c r="G199" s="113"/>
      <c r="H199" s="113"/>
      <c r="I199" s="113"/>
      <c r="J199" s="113"/>
      <c r="K199" s="113"/>
      <c r="L199" s="113">
        <f>SUM(L192:L198)</f>
        <v>8771</v>
      </c>
      <c r="M199" s="86">
        <f>SUM(M192:M198)</f>
        <v>1</v>
      </c>
      <c r="N199" s="113">
        <f>SUM(N192:N198)</f>
        <v>38491</v>
      </c>
      <c r="O199" s="86">
        <f>SUM(O192:O198)</f>
        <v>1.0000000000000002</v>
      </c>
      <c r="P199" s="110"/>
      <c r="Q199" s="113">
        <f>SUM(Q192:Q198)</f>
        <v>35367</v>
      </c>
      <c r="R199" s="86">
        <f>SUM(R192:R198)</f>
        <v>1</v>
      </c>
      <c r="S199" s="113">
        <f>SUM(S192:S198)</f>
        <v>40601</v>
      </c>
      <c r="T199" s="86">
        <f>SUM(T192:T198)</f>
        <v>1</v>
      </c>
      <c r="U199" s="112"/>
      <c r="V199" s="205"/>
      <c r="W199" s="6"/>
      <c r="X199" s="64"/>
    </row>
    <row r="200" spans="1:24" ht="15.6">
      <c r="A200" s="25"/>
      <c r="B200" s="61" t="s">
        <v>85</v>
      </c>
      <c r="C200" s="113"/>
      <c r="D200" s="113"/>
      <c r="E200" s="113"/>
      <c r="F200" s="113"/>
      <c r="G200" s="113"/>
      <c r="H200" s="113"/>
      <c r="I200" s="113"/>
      <c r="J200" s="113"/>
      <c r="K200" s="113"/>
      <c r="L200" s="113">
        <v>729</v>
      </c>
      <c r="M200" s="114"/>
      <c r="N200" s="113">
        <v>5350</v>
      </c>
      <c r="O200" s="114"/>
      <c r="P200" s="110"/>
      <c r="Q200" s="113">
        <v>250</v>
      </c>
      <c r="R200" s="114"/>
      <c r="S200" s="113">
        <v>397</v>
      </c>
      <c r="T200" s="114"/>
      <c r="U200" s="112"/>
      <c r="V200" s="205"/>
      <c r="W200" s="6"/>
      <c r="X200" s="64"/>
    </row>
    <row r="201" spans="1:24" ht="15.6">
      <c r="A201" s="25"/>
      <c r="B201" s="61" t="s">
        <v>86</v>
      </c>
      <c r="C201" s="113"/>
      <c r="D201" s="113"/>
      <c r="E201" s="113"/>
      <c r="F201" s="113"/>
      <c r="G201" s="113"/>
      <c r="H201" s="113"/>
      <c r="I201" s="113"/>
      <c r="J201" s="113"/>
      <c r="K201" s="113"/>
      <c r="L201" s="113">
        <f>SUM(L199:L200)</f>
        <v>9500</v>
      </c>
      <c r="M201" s="189"/>
      <c r="N201" s="113">
        <f>SUM(N199:N200)</f>
        <v>43841</v>
      </c>
      <c r="O201" s="115"/>
      <c r="P201" s="189"/>
      <c r="Q201" s="113">
        <f>SUM(Q199:Q200)</f>
        <v>35617</v>
      </c>
      <c r="R201" s="189"/>
      <c r="S201" s="113">
        <f>SUM(S199:S200)</f>
        <v>40998</v>
      </c>
      <c r="T201" s="189"/>
      <c r="U201" s="189"/>
      <c r="V201" s="205"/>
      <c r="W201" s="6"/>
      <c r="X201" s="64"/>
    </row>
    <row r="202" spans="1:24" ht="15.6">
      <c r="A202" s="25"/>
      <c r="B202" s="61"/>
      <c r="C202" s="113"/>
      <c r="D202" s="113"/>
      <c r="E202" s="113"/>
      <c r="F202" s="113"/>
      <c r="G202" s="113"/>
      <c r="H202" s="113"/>
      <c r="I202" s="113"/>
      <c r="J202" s="113"/>
      <c r="K202" s="113"/>
      <c r="L202" s="113"/>
      <c r="M202" s="115"/>
      <c r="N202" s="113"/>
      <c r="O202" s="115"/>
      <c r="P202" s="110"/>
      <c r="Q202" s="113"/>
      <c r="R202" s="115"/>
      <c r="S202" s="113"/>
      <c r="T202" s="115"/>
      <c r="U202" s="112"/>
      <c r="V202" s="205"/>
      <c r="W202" s="6"/>
    </row>
    <row r="203" spans="1:24" ht="15.6">
      <c r="A203" s="25"/>
      <c r="B203" s="61"/>
      <c r="C203" s="110"/>
      <c r="D203" s="110"/>
      <c r="E203" s="110"/>
      <c r="F203" s="110"/>
      <c r="G203" s="110"/>
      <c r="H203" s="110"/>
      <c r="I203" s="110"/>
      <c r="J203" s="110"/>
      <c r="K203" s="110"/>
      <c r="L203" s="110"/>
      <c r="M203" s="109" t="s">
        <v>27</v>
      </c>
      <c r="N203" s="110"/>
      <c r="O203" s="111"/>
      <c r="P203" s="110"/>
      <c r="Q203" s="109" t="s">
        <v>28</v>
      </c>
      <c r="R203" s="110"/>
      <c r="S203" s="111"/>
      <c r="T203" s="110"/>
      <c r="U203" s="112"/>
      <c r="V203" s="205"/>
      <c r="W203" s="6"/>
    </row>
    <row r="204" spans="1:24" ht="15.6">
      <c r="A204" s="25"/>
      <c r="B204" s="189"/>
      <c r="C204" s="111"/>
      <c r="D204" s="111"/>
      <c r="E204" s="111"/>
      <c r="F204" s="111"/>
      <c r="G204" s="111"/>
      <c r="H204" s="111"/>
      <c r="I204" s="111"/>
      <c r="J204" s="111"/>
      <c r="K204" s="111"/>
      <c r="L204" s="111" t="s">
        <v>94</v>
      </c>
      <c r="M204" s="110" t="s">
        <v>101</v>
      </c>
      <c r="N204" s="111" t="s">
        <v>103</v>
      </c>
      <c r="O204" s="110" t="s">
        <v>101</v>
      </c>
      <c r="P204" s="110"/>
      <c r="Q204" s="111" t="s">
        <v>94</v>
      </c>
      <c r="R204" s="110" t="s">
        <v>101</v>
      </c>
      <c r="S204" s="111" t="s">
        <v>103</v>
      </c>
      <c r="T204" s="110" t="s">
        <v>101</v>
      </c>
      <c r="U204" s="112"/>
      <c r="V204" s="205"/>
      <c r="W204" s="6"/>
    </row>
    <row r="205" spans="1:24" ht="15.6">
      <c r="A205" s="25"/>
      <c r="B205" s="61" t="s">
        <v>81</v>
      </c>
      <c r="C205" s="113"/>
      <c r="D205" s="113"/>
      <c r="E205" s="113"/>
      <c r="F205" s="113"/>
      <c r="G205" s="113"/>
      <c r="H205" s="113"/>
      <c r="I205" s="113"/>
      <c r="J205" s="113"/>
      <c r="K205" s="113"/>
      <c r="L205" s="113">
        <v>5954</v>
      </c>
      <c r="M205" s="86">
        <f t="shared" ref="M205:M211" si="4">+L205/$L$212</f>
        <v>0.9164229644451285</v>
      </c>
      <c r="N205" s="113">
        <v>164434</v>
      </c>
      <c r="O205" s="86">
        <f t="shared" ref="O205:O211" si="5">+N205/$N$212</f>
        <v>0.90860565606109167</v>
      </c>
      <c r="P205" s="110"/>
      <c r="Q205" s="113">
        <v>12912</v>
      </c>
      <c r="R205" s="86">
        <f t="shared" ref="R205:R211" si="6">Q205/$Q$212</f>
        <v>0.97936893203883491</v>
      </c>
      <c r="S205" s="113">
        <v>128756</v>
      </c>
      <c r="T205" s="86">
        <f t="shared" ref="T205:T211" si="7">+S205/$S$212</f>
        <v>0.97827011913445172</v>
      </c>
      <c r="U205" s="112"/>
      <c r="V205" s="205"/>
      <c r="W205" s="6"/>
    </row>
    <row r="206" spans="1:24" ht="15.6">
      <c r="A206" s="25"/>
      <c r="B206" s="61" t="s">
        <v>82</v>
      </c>
      <c r="C206" s="113"/>
      <c r="D206" s="113"/>
      <c r="E206" s="113"/>
      <c r="F206" s="113"/>
      <c r="G206" s="113"/>
      <c r="H206" s="113"/>
      <c r="I206" s="113"/>
      <c r="J206" s="113"/>
      <c r="K206" s="113"/>
      <c r="L206" s="113">
        <v>140</v>
      </c>
      <c r="M206" s="86">
        <f t="shared" si="4"/>
        <v>2.1548406957057103E-2</v>
      </c>
      <c r="N206" s="113">
        <v>4036</v>
      </c>
      <c r="O206" s="86">
        <f t="shared" si="5"/>
        <v>2.2301546078442206E-2</v>
      </c>
      <c r="P206" s="110"/>
      <c r="Q206" s="113">
        <v>102</v>
      </c>
      <c r="R206" s="86">
        <f t="shared" si="6"/>
        <v>7.7366504854368932E-3</v>
      </c>
      <c r="S206" s="113">
        <v>1094</v>
      </c>
      <c r="T206" s="86">
        <f t="shared" si="7"/>
        <v>8.3120593240943348E-3</v>
      </c>
      <c r="U206" s="112"/>
      <c r="V206" s="205"/>
      <c r="W206" s="6"/>
    </row>
    <row r="207" spans="1:24" ht="15.6">
      <c r="A207" s="25"/>
      <c r="B207" s="61" t="s">
        <v>83</v>
      </c>
      <c r="C207" s="113"/>
      <c r="D207" s="113"/>
      <c r="E207" s="113"/>
      <c r="F207" s="113"/>
      <c r="G207" s="113"/>
      <c r="H207" s="113"/>
      <c r="I207" s="113"/>
      <c r="J207" s="113"/>
      <c r="K207" s="113"/>
      <c r="L207" s="113">
        <v>104</v>
      </c>
      <c r="M207" s="86">
        <f t="shared" si="4"/>
        <v>1.600738802524242E-2</v>
      </c>
      <c r="N207" s="113">
        <v>3036</v>
      </c>
      <c r="O207" s="86">
        <f t="shared" si="5"/>
        <v>1.6775890459403007E-2</v>
      </c>
      <c r="P207" s="110"/>
      <c r="Q207" s="113">
        <v>45</v>
      </c>
      <c r="R207" s="86">
        <f t="shared" si="6"/>
        <v>3.4132281553398056E-3</v>
      </c>
      <c r="S207" s="113">
        <v>428</v>
      </c>
      <c r="T207" s="86">
        <f t="shared" si="7"/>
        <v>3.2518842693897397E-3</v>
      </c>
      <c r="U207" s="112"/>
      <c r="V207" s="205"/>
      <c r="W207" s="6"/>
    </row>
    <row r="208" spans="1:24" ht="15.6">
      <c r="A208" s="25"/>
      <c r="B208" s="61" t="s">
        <v>186</v>
      </c>
      <c r="C208" s="113"/>
      <c r="D208" s="113"/>
      <c r="E208" s="113"/>
      <c r="F208" s="113"/>
      <c r="G208" s="113"/>
      <c r="H208" s="113"/>
      <c r="I208" s="113"/>
      <c r="J208" s="113"/>
      <c r="K208" s="113"/>
      <c r="L208" s="113">
        <v>65</v>
      </c>
      <c r="M208" s="86">
        <f t="shared" si="4"/>
        <v>1.0004617515776512E-2</v>
      </c>
      <c r="N208" s="113">
        <v>2078</v>
      </c>
      <c r="O208" s="86">
        <f t="shared" si="5"/>
        <v>1.1482312376363456E-2</v>
      </c>
      <c r="P208" s="110"/>
      <c r="Q208" s="113">
        <v>28</v>
      </c>
      <c r="R208" s="86">
        <f t="shared" si="6"/>
        <v>2.1237864077669902E-3</v>
      </c>
      <c r="S208" s="113">
        <v>374</v>
      </c>
      <c r="T208" s="86">
        <f t="shared" si="7"/>
        <v>2.8415998054947727E-3</v>
      </c>
      <c r="U208" s="112"/>
      <c r="V208" s="205"/>
      <c r="W208" s="6"/>
    </row>
    <row r="209" spans="1:24" ht="15.6">
      <c r="A209" s="25"/>
      <c r="B209" s="61" t="s">
        <v>187</v>
      </c>
      <c r="C209" s="113"/>
      <c r="D209" s="113"/>
      <c r="E209" s="113"/>
      <c r="F209" s="113"/>
      <c r="G209" s="113"/>
      <c r="H209" s="113"/>
      <c r="I209" s="113"/>
      <c r="J209" s="113"/>
      <c r="K209" s="113"/>
      <c r="L209" s="113">
        <v>52</v>
      </c>
      <c r="M209" s="86">
        <f t="shared" si="4"/>
        <v>8.0036940126212101E-3</v>
      </c>
      <c r="N209" s="113">
        <v>1521</v>
      </c>
      <c r="O209" s="86">
        <f t="shared" si="5"/>
        <v>8.4045221965586211E-3</v>
      </c>
      <c r="P209" s="110"/>
      <c r="Q209" s="113">
        <v>19</v>
      </c>
      <c r="R209" s="86">
        <f t="shared" si="6"/>
        <v>1.4411407766990291E-3</v>
      </c>
      <c r="S209" s="113">
        <v>285</v>
      </c>
      <c r="T209" s="86">
        <f t="shared" si="7"/>
        <v>2.1653902261123269E-3</v>
      </c>
      <c r="U209" s="112"/>
      <c r="V209" s="205"/>
      <c r="W209" s="6"/>
    </row>
    <row r="210" spans="1:24" ht="15.6">
      <c r="A210" s="25"/>
      <c r="B210" s="61" t="s">
        <v>188</v>
      </c>
      <c r="C210" s="113"/>
      <c r="D210" s="113"/>
      <c r="E210" s="113"/>
      <c r="F210" s="113"/>
      <c r="G210" s="113"/>
      <c r="H210" s="113"/>
      <c r="I210" s="113"/>
      <c r="J210" s="113"/>
      <c r="K210" s="113"/>
      <c r="L210" s="113">
        <v>50</v>
      </c>
      <c r="M210" s="86">
        <f t="shared" si="4"/>
        <v>7.6958596275203944E-3</v>
      </c>
      <c r="N210" s="113">
        <v>1556</v>
      </c>
      <c r="O210" s="86">
        <f t="shared" si="5"/>
        <v>8.5979201432249928E-3</v>
      </c>
      <c r="P210" s="110"/>
      <c r="Q210" s="113">
        <v>11</v>
      </c>
      <c r="R210" s="86">
        <f t="shared" si="6"/>
        <v>8.3434466019417471E-4</v>
      </c>
      <c r="S210" s="113">
        <v>94</v>
      </c>
      <c r="T210" s="86">
        <f t="shared" si="7"/>
        <v>7.1419888159494286E-4</v>
      </c>
      <c r="U210" s="112"/>
      <c r="V210" s="205"/>
      <c r="W210" s="6"/>
    </row>
    <row r="211" spans="1:24" ht="15.6">
      <c r="A211" s="25"/>
      <c r="B211" s="61" t="s">
        <v>189</v>
      </c>
      <c r="C211" s="113"/>
      <c r="D211" s="113"/>
      <c r="E211" s="113"/>
      <c r="F211" s="113"/>
      <c r="G211" s="113"/>
      <c r="H211" s="113"/>
      <c r="I211" s="113"/>
      <c r="J211" s="113"/>
      <c r="K211" s="113"/>
      <c r="L211" s="113">
        <v>132</v>
      </c>
      <c r="M211" s="86">
        <f t="shared" si="4"/>
        <v>2.031706941665384E-2</v>
      </c>
      <c r="N211" s="113">
        <v>4313</v>
      </c>
      <c r="O211" s="86">
        <f t="shared" si="5"/>
        <v>2.3832152684916064E-2</v>
      </c>
      <c r="P211" s="110"/>
      <c r="Q211" s="113">
        <v>67</v>
      </c>
      <c r="R211" s="86">
        <f t="shared" si="6"/>
        <v>5.0819174757281557E-3</v>
      </c>
      <c r="S211" s="113">
        <v>585</v>
      </c>
      <c r="T211" s="86">
        <f t="shared" si="7"/>
        <v>4.4447483588621441E-3</v>
      </c>
      <c r="U211" s="112"/>
      <c r="V211" s="205"/>
      <c r="W211" s="6"/>
    </row>
    <row r="212" spans="1:24" ht="15.6">
      <c r="A212" s="25"/>
      <c r="B212" s="61" t="str">
        <f>B199</f>
        <v>Total Performing  Assets</v>
      </c>
      <c r="C212" s="113"/>
      <c r="D212" s="113"/>
      <c r="E212" s="113"/>
      <c r="F212" s="113"/>
      <c r="G212" s="113"/>
      <c r="H212" s="113"/>
      <c r="I212" s="113"/>
      <c r="J212" s="113"/>
      <c r="K212" s="113"/>
      <c r="L212" s="113">
        <f>SUM(L205:L211)</f>
        <v>6497</v>
      </c>
      <c r="M212" s="86">
        <f>SUM(M205:M211)</f>
        <v>0.99999999999999989</v>
      </c>
      <c r="N212" s="113">
        <f>SUM(N205:N211)</f>
        <v>180974</v>
      </c>
      <c r="O212" s="86">
        <f>SUM(O205:O211)</f>
        <v>1</v>
      </c>
      <c r="P212" s="110"/>
      <c r="Q212" s="113">
        <f>SUM(Q205:Q211)</f>
        <v>13184</v>
      </c>
      <c r="R212" s="86">
        <f>SUM(R205:R211)</f>
        <v>1</v>
      </c>
      <c r="S212" s="113">
        <f>SUM(S205:S211)</f>
        <v>131616</v>
      </c>
      <c r="T212" s="86">
        <f>SUM(T205:T211)</f>
        <v>0.99999999999999989</v>
      </c>
      <c r="U212" s="112"/>
      <c r="V212" s="205"/>
      <c r="W212" s="6"/>
    </row>
    <row r="213" spans="1:24" ht="15.6">
      <c r="A213" s="25"/>
      <c r="B213" s="61" t="s">
        <v>85</v>
      </c>
      <c r="C213" s="113"/>
      <c r="D213" s="113"/>
      <c r="E213" s="113"/>
      <c r="F213" s="113"/>
      <c r="G213" s="113"/>
      <c r="H213" s="113"/>
      <c r="I213" s="113"/>
      <c r="J213" s="113"/>
      <c r="K213" s="113"/>
      <c r="L213" s="113">
        <v>28</v>
      </c>
      <c r="M213" s="116"/>
      <c r="N213" s="113">
        <v>868</v>
      </c>
      <c r="O213" s="114"/>
      <c r="P213" s="110"/>
      <c r="Q213" s="113">
        <v>37</v>
      </c>
      <c r="R213" s="116"/>
      <c r="S213" s="113">
        <v>446</v>
      </c>
      <c r="T213" s="116"/>
      <c r="U213" s="112"/>
      <c r="V213" s="205"/>
      <c r="W213" s="6"/>
    </row>
    <row r="214" spans="1:24" ht="15.6">
      <c r="A214" s="25"/>
      <c r="B214" s="61" t="s">
        <v>86</v>
      </c>
      <c r="C214" s="113"/>
      <c r="D214" s="113"/>
      <c r="E214" s="113"/>
      <c r="F214" s="113"/>
      <c r="G214" s="113"/>
      <c r="H214" s="113"/>
      <c r="I214" s="113"/>
      <c r="J214" s="113"/>
      <c r="K214" s="113"/>
      <c r="L214" s="113">
        <f>SUM(L212:L213)</f>
        <v>6525</v>
      </c>
      <c r="M214" s="189"/>
      <c r="N214" s="113">
        <f>SUM(N212:N213)</f>
        <v>181842</v>
      </c>
      <c r="O214" s="86"/>
      <c r="P214" s="189"/>
      <c r="Q214" s="113">
        <f>SUM(Q212:Q213)</f>
        <v>13221</v>
      </c>
      <c r="R214" s="189"/>
      <c r="S214" s="113">
        <f>SUM(S212:S213)</f>
        <v>132062</v>
      </c>
      <c r="T214" s="189"/>
      <c r="U214" s="189"/>
      <c r="V214" s="190"/>
    </row>
    <row r="215" spans="1:24" ht="15.6">
      <c r="A215" s="25"/>
      <c r="B215" s="61"/>
      <c r="C215" s="110"/>
      <c r="D215" s="110"/>
      <c r="E215" s="110"/>
      <c r="F215" s="110"/>
      <c r="G215" s="110"/>
      <c r="H215" s="110"/>
      <c r="I215" s="110"/>
      <c r="J215" s="110"/>
      <c r="K215" s="110"/>
      <c r="L215" s="110"/>
      <c r="M215" s="111"/>
      <c r="N215" s="110"/>
      <c r="O215" s="111"/>
      <c r="P215" s="110"/>
      <c r="Q215" s="117"/>
      <c r="R215" s="110"/>
      <c r="S215" s="113"/>
      <c r="T215" s="110"/>
      <c r="U215" s="112"/>
      <c r="V215" s="205"/>
      <c r="W215" s="6"/>
    </row>
    <row r="216" spans="1:24" ht="15.6">
      <c r="A216" s="25"/>
      <c r="B216" s="61" t="s">
        <v>86</v>
      </c>
      <c r="C216" s="110"/>
      <c r="D216" s="110"/>
      <c r="E216" s="110"/>
      <c r="F216" s="110"/>
      <c r="G216" s="110"/>
      <c r="H216" s="110"/>
      <c r="I216" s="110"/>
      <c r="J216" s="110"/>
      <c r="K216" s="110"/>
      <c r="L216" s="110"/>
      <c r="M216" s="111"/>
      <c r="N216" s="110"/>
      <c r="O216" s="111"/>
      <c r="P216" s="110"/>
      <c r="Q216" s="117"/>
      <c r="R216" s="116"/>
      <c r="S216" s="113">
        <f>N201+S201+N214+S214</f>
        <v>398743</v>
      </c>
      <c r="T216" s="115"/>
      <c r="U216" s="112"/>
      <c r="V216" s="205"/>
      <c r="W216" s="6"/>
      <c r="X216" s="182"/>
    </row>
    <row r="217" spans="1:24" ht="15.6">
      <c r="A217" s="25"/>
      <c r="B217" s="61"/>
      <c r="C217" s="110"/>
      <c r="D217" s="110"/>
      <c r="E217" s="110"/>
      <c r="F217" s="110"/>
      <c r="G217" s="110"/>
      <c r="H217" s="110"/>
      <c r="I217" s="110"/>
      <c r="J217" s="110"/>
      <c r="K217" s="110"/>
      <c r="L217" s="110"/>
      <c r="M217" s="111"/>
      <c r="N217" s="110"/>
      <c r="O217" s="111"/>
      <c r="P217" s="110"/>
      <c r="Q217" s="111"/>
      <c r="R217" s="110"/>
      <c r="S217" s="113"/>
      <c r="T217" s="116"/>
      <c r="U217" s="112"/>
      <c r="V217" s="205"/>
      <c r="W217" s="6"/>
    </row>
    <row r="218" spans="1:24" ht="15.6">
      <c r="A218" s="25"/>
      <c r="B218" s="118" t="s">
        <v>87</v>
      </c>
      <c r="C218" s="110"/>
      <c r="D218" s="110"/>
      <c r="E218" s="110"/>
      <c r="F218" s="110"/>
      <c r="G218" s="110"/>
      <c r="H218" s="110"/>
      <c r="I218" s="110"/>
      <c r="J218" s="110"/>
      <c r="K218" s="110"/>
      <c r="L218" s="110"/>
      <c r="M218" s="111"/>
      <c r="N218" s="110"/>
      <c r="O218" s="111"/>
      <c r="P218" s="110"/>
      <c r="Q218" s="111"/>
      <c r="R218" s="110"/>
      <c r="S218" s="113"/>
      <c r="T218" s="110"/>
      <c r="U218" s="112"/>
      <c r="V218" s="205"/>
      <c r="W218" s="6"/>
    </row>
    <row r="219" spans="1:24" ht="15.6">
      <c r="A219" s="25"/>
      <c r="B219" s="61"/>
      <c r="C219" s="110"/>
      <c r="D219" s="110"/>
      <c r="E219" s="110"/>
      <c r="F219" s="110"/>
      <c r="G219" s="110"/>
      <c r="H219" s="110"/>
      <c r="I219" s="110"/>
      <c r="J219" s="110"/>
      <c r="K219" s="110"/>
      <c r="L219" s="110"/>
      <c r="M219" s="111"/>
      <c r="N219" s="110"/>
      <c r="O219" s="111"/>
      <c r="P219" s="110"/>
      <c r="Q219" s="111"/>
      <c r="R219" s="110"/>
      <c r="S219" s="113"/>
      <c r="T219" s="110"/>
      <c r="U219" s="112"/>
      <c r="V219" s="205"/>
      <c r="W219" s="6"/>
    </row>
    <row r="220" spans="1:24" ht="15.6">
      <c r="A220" s="25"/>
      <c r="B220" s="61" t="s">
        <v>88</v>
      </c>
      <c r="C220" s="110"/>
      <c r="D220" s="110"/>
      <c r="E220" s="110"/>
      <c r="F220" s="110"/>
      <c r="G220" s="110"/>
      <c r="H220" s="110"/>
      <c r="I220" s="110"/>
      <c r="J220" s="110"/>
      <c r="K220" s="110"/>
      <c r="L220" s="110"/>
      <c r="M220" s="111"/>
      <c r="N220" s="110"/>
      <c r="O220" s="111"/>
      <c r="P220" s="110"/>
      <c r="Q220" s="111"/>
      <c r="R220" s="110"/>
      <c r="S220" s="113">
        <f>+N199+S199+N212+S212</f>
        <v>391682</v>
      </c>
      <c r="T220" s="110"/>
      <c r="U220" s="112"/>
      <c r="V220" s="205"/>
      <c r="W220" s="6"/>
      <c r="X220" s="182"/>
    </row>
    <row r="221" spans="1:24" ht="15.6">
      <c r="A221" s="25"/>
      <c r="B221" s="61" t="s">
        <v>89</v>
      </c>
      <c r="C221" s="110"/>
      <c r="D221" s="110"/>
      <c r="E221" s="110"/>
      <c r="F221" s="110"/>
      <c r="G221" s="110"/>
      <c r="H221" s="110"/>
      <c r="I221" s="110"/>
      <c r="J221" s="110"/>
      <c r="K221" s="110"/>
      <c r="L221" s="110"/>
      <c r="M221" s="111"/>
      <c r="N221" s="110"/>
      <c r="O221" s="111"/>
      <c r="P221" s="110"/>
      <c r="Q221" s="111"/>
      <c r="R221" s="110"/>
      <c r="S221" s="113">
        <f>-U103</f>
        <v>58318</v>
      </c>
      <c r="T221" s="110"/>
      <c r="U221" s="112"/>
      <c r="V221" s="205"/>
      <c r="W221" s="119"/>
    </row>
    <row r="222" spans="1:24" ht="15.6">
      <c r="A222" s="25"/>
      <c r="B222" s="61" t="s">
        <v>90</v>
      </c>
      <c r="C222" s="110"/>
      <c r="D222" s="110"/>
      <c r="E222" s="110"/>
      <c r="F222" s="110"/>
      <c r="G222" s="110"/>
      <c r="H222" s="110"/>
      <c r="I222" s="110"/>
      <c r="J222" s="110"/>
      <c r="K222" s="110"/>
      <c r="L222" s="110"/>
      <c r="M222" s="111"/>
      <c r="N222" s="110"/>
      <c r="O222" s="111"/>
      <c r="P222" s="110"/>
      <c r="Q222" s="111"/>
      <c r="R222" s="110"/>
      <c r="S222" s="113">
        <f>SUM(S220:S221)</f>
        <v>450000</v>
      </c>
      <c r="T222" s="110"/>
      <c r="U222" s="112"/>
      <c r="V222" s="205"/>
      <c r="W222" s="6"/>
    </row>
    <row r="223" spans="1:24" ht="15.6">
      <c r="A223" s="25"/>
      <c r="B223" s="61"/>
      <c r="C223" s="110"/>
      <c r="D223" s="110"/>
      <c r="E223" s="110"/>
      <c r="F223" s="110"/>
      <c r="G223" s="110"/>
      <c r="H223" s="110"/>
      <c r="I223" s="110"/>
      <c r="J223" s="110"/>
      <c r="K223" s="110"/>
      <c r="L223" s="110"/>
      <c r="M223" s="111"/>
      <c r="N223" s="110"/>
      <c r="O223" s="111"/>
      <c r="P223" s="110"/>
      <c r="Q223" s="111"/>
      <c r="R223" s="110"/>
      <c r="S223" s="113"/>
      <c r="T223" s="110"/>
      <c r="U223" s="112"/>
      <c r="V223" s="205"/>
      <c r="W223" s="6"/>
    </row>
    <row r="224" spans="1:24" ht="15.6">
      <c r="A224" s="25"/>
      <c r="B224" s="61" t="s">
        <v>91</v>
      </c>
      <c r="C224" s="110"/>
      <c r="D224" s="110"/>
      <c r="E224" s="110"/>
      <c r="F224" s="110"/>
      <c r="G224" s="110"/>
      <c r="H224" s="110"/>
      <c r="I224" s="110"/>
      <c r="J224" s="110"/>
      <c r="K224" s="110"/>
      <c r="L224" s="110"/>
      <c r="M224" s="111"/>
      <c r="N224" s="110"/>
      <c r="O224" s="111"/>
      <c r="P224" s="110"/>
      <c r="Q224" s="111"/>
      <c r="R224" s="110"/>
      <c r="S224" s="113">
        <f>U33</f>
        <v>450000</v>
      </c>
      <c r="T224" s="110"/>
      <c r="U224" s="112"/>
      <c r="V224" s="205"/>
      <c r="W224" s="6"/>
    </row>
    <row r="225" spans="1:23" ht="15.6">
      <c r="A225" s="25"/>
      <c r="B225" s="61"/>
      <c r="C225" s="110"/>
      <c r="D225" s="110"/>
      <c r="E225" s="110"/>
      <c r="F225" s="110"/>
      <c r="G225" s="110"/>
      <c r="H225" s="110"/>
      <c r="I225" s="110"/>
      <c r="J225" s="110"/>
      <c r="K225" s="110"/>
      <c r="L225" s="110"/>
      <c r="M225" s="111"/>
      <c r="N225" s="110"/>
      <c r="O225" s="111"/>
      <c r="P225" s="110"/>
      <c r="Q225" s="111"/>
      <c r="R225" s="110"/>
      <c r="S225" s="113"/>
      <c r="T225" s="110"/>
      <c r="U225" s="112"/>
      <c r="V225" s="205"/>
      <c r="W225" s="6"/>
    </row>
    <row r="226" spans="1:23" ht="15.6">
      <c r="A226" s="25"/>
      <c r="B226" s="61" t="s">
        <v>92</v>
      </c>
      <c r="C226" s="110"/>
      <c r="D226" s="110"/>
      <c r="E226" s="110"/>
      <c r="F226" s="110"/>
      <c r="G226" s="110"/>
      <c r="H226" s="110"/>
      <c r="I226" s="110"/>
      <c r="J226" s="110"/>
      <c r="K226" s="110"/>
      <c r="L226" s="110"/>
      <c r="M226" s="111"/>
      <c r="N226" s="110"/>
      <c r="O226" s="111"/>
      <c r="P226" s="110"/>
      <c r="Q226" s="111"/>
      <c r="R226" s="110"/>
      <c r="S226" s="113">
        <f>S222/S224</f>
        <v>1</v>
      </c>
      <c r="T226" s="110"/>
      <c r="U226" s="112"/>
      <c r="V226" s="205"/>
      <c r="W226" s="6"/>
    </row>
    <row r="227" spans="1:23" ht="15.6">
      <c r="A227" s="25"/>
      <c r="B227" s="26"/>
      <c r="C227" s="26"/>
      <c r="D227" s="26"/>
      <c r="E227" s="26"/>
      <c r="F227" s="26"/>
      <c r="G227" s="26"/>
      <c r="H227" s="26"/>
      <c r="I227" s="26"/>
      <c r="J227" s="26"/>
      <c r="K227" s="26"/>
      <c r="L227" s="26"/>
      <c r="M227" s="33"/>
      <c r="N227" s="26"/>
      <c r="O227" s="26"/>
      <c r="P227" s="26"/>
      <c r="Q227" s="59"/>
      <c r="R227" s="120"/>
      <c r="S227" s="60"/>
      <c r="T227" s="120"/>
      <c r="U227" s="89"/>
      <c r="V227" s="196"/>
      <c r="W227" s="6"/>
    </row>
    <row r="228" spans="1:23" ht="15.6">
      <c r="A228" s="121"/>
      <c r="B228" s="30" t="s">
        <v>127</v>
      </c>
      <c r="C228" s="122"/>
      <c r="D228" s="122"/>
      <c r="E228" s="122"/>
      <c r="F228" s="122"/>
      <c r="G228" s="122"/>
      <c r="H228" s="122"/>
      <c r="I228" s="122"/>
      <c r="J228" s="122"/>
      <c r="K228" s="122"/>
      <c r="L228" s="122"/>
      <c r="M228" s="110"/>
      <c r="N228" s="112"/>
      <c r="O228" s="30"/>
      <c r="P228" s="123"/>
      <c r="Q228" s="123"/>
      <c r="R228" s="123"/>
      <c r="S228" s="124"/>
      <c r="T228" s="29"/>
      <c r="U228" s="29"/>
      <c r="V228" s="203"/>
      <c r="W228" s="6"/>
    </row>
    <row r="229" spans="1:23" ht="15.6">
      <c r="A229" s="125"/>
      <c r="B229" s="13" t="s">
        <v>128</v>
      </c>
      <c r="C229" s="126"/>
      <c r="D229" s="126"/>
      <c r="E229" s="126"/>
      <c r="F229" s="126"/>
      <c r="G229" s="126"/>
      <c r="H229" s="126"/>
      <c r="I229" s="126"/>
      <c r="J229" s="126"/>
      <c r="K229" s="126"/>
      <c r="L229" s="126"/>
      <c r="M229" s="127"/>
      <c r="N229" s="13"/>
      <c r="O229" s="13"/>
      <c r="P229" s="126"/>
      <c r="Q229" s="126"/>
      <c r="R229" s="12"/>
      <c r="S229" s="12"/>
      <c r="T229" s="12"/>
      <c r="U229" s="12"/>
      <c r="V229" s="207"/>
      <c r="W229" s="6"/>
    </row>
    <row r="230" spans="1:23" ht="15.6">
      <c r="A230" s="125"/>
      <c r="B230" s="13" t="s">
        <v>246</v>
      </c>
      <c r="C230" s="126"/>
      <c r="D230" s="126"/>
      <c r="E230" s="126"/>
      <c r="F230" s="126"/>
      <c r="G230" s="126"/>
      <c r="H230" s="126"/>
      <c r="I230" s="126"/>
      <c r="J230" s="126"/>
      <c r="K230" s="126"/>
      <c r="L230" s="126"/>
      <c r="M230" s="127"/>
      <c r="N230" s="13"/>
      <c r="O230" s="13"/>
      <c r="P230" s="126"/>
      <c r="Q230" s="126"/>
      <c r="R230" s="12"/>
      <c r="S230" s="12"/>
      <c r="T230" s="12"/>
      <c r="U230" s="12"/>
      <c r="V230" s="207"/>
      <c r="W230" s="6"/>
    </row>
    <row r="231" spans="1:23" ht="15.6">
      <c r="A231" s="125"/>
      <c r="B231" s="13" t="s">
        <v>129</v>
      </c>
      <c r="C231" s="126"/>
      <c r="D231" s="126"/>
      <c r="E231" s="126"/>
      <c r="F231" s="126"/>
      <c r="G231" s="126"/>
      <c r="H231" s="126"/>
      <c r="I231" s="126"/>
      <c r="J231" s="126"/>
      <c r="K231" s="126"/>
      <c r="L231" s="126"/>
      <c r="M231" s="127"/>
      <c r="N231" s="13"/>
      <c r="O231" s="13"/>
      <c r="P231" s="126"/>
      <c r="Q231" s="126"/>
      <c r="R231" s="12"/>
      <c r="S231" s="12"/>
      <c r="T231" s="12"/>
      <c r="U231" s="12"/>
      <c r="V231" s="207"/>
      <c r="W231" s="6"/>
    </row>
    <row r="232" spans="1:23" ht="15.6">
      <c r="A232" s="125"/>
      <c r="B232" s="13"/>
      <c r="C232" s="126"/>
      <c r="D232" s="126"/>
      <c r="E232" s="126"/>
      <c r="F232" s="126"/>
      <c r="G232" s="126"/>
      <c r="H232" s="126"/>
      <c r="I232" s="126"/>
      <c r="J232" s="126"/>
      <c r="K232" s="126"/>
      <c r="L232" s="126"/>
      <c r="M232" s="127"/>
      <c r="N232" s="13"/>
      <c r="O232" s="13"/>
      <c r="P232" s="126"/>
      <c r="Q232" s="126"/>
      <c r="R232" s="12"/>
      <c r="S232" s="12"/>
      <c r="T232" s="12"/>
      <c r="U232" s="12"/>
      <c r="V232" s="207"/>
      <c r="W232" s="6"/>
    </row>
    <row r="233" spans="1:23" ht="15.6">
      <c r="A233" s="125"/>
      <c r="B233" s="13"/>
      <c r="C233" s="126"/>
      <c r="D233" s="126"/>
      <c r="E233" s="126"/>
      <c r="F233" s="126"/>
      <c r="G233" s="126"/>
      <c r="H233" s="126"/>
      <c r="I233" s="126"/>
      <c r="J233" s="126"/>
      <c r="K233" s="126"/>
      <c r="L233" s="126"/>
      <c r="M233" s="127"/>
      <c r="N233" s="13"/>
      <c r="O233" s="13"/>
      <c r="P233" s="126"/>
      <c r="Q233" s="126"/>
      <c r="R233" s="12"/>
      <c r="S233" s="12"/>
      <c r="T233" s="12"/>
      <c r="U233" s="12"/>
      <c r="V233" s="207"/>
      <c r="W233" s="6"/>
    </row>
    <row r="234" spans="1:23" ht="16.2" thickBot="1">
      <c r="A234" s="125"/>
      <c r="B234" s="13" t="str">
        <f>+B161</f>
        <v>PPAF3 INVESTOR REPORT QUARTER ENDING DECEMBER 2006</v>
      </c>
      <c r="C234" s="126"/>
      <c r="D234" s="126"/>
      <c r="E234" s="126"/>
      <c r="F234" s="126"/>
      <c r="G234" s="126"/>
      <c r="H234" s="126"/>
      <c r="I234" s="126"/>
      <c r="J234" s="126"/>
      <c r="K234" s="126"/>
      <c r="L234" s="126"/>
      <c r="M234" s="127"/>
      <c r="N234" s="13"/>
      <c r="O234" s="13"/>
      <c r="P234" s="126"/>
      <c r="Q234" s="126"/>
      <c r="R234" s="12"/>
      <c r="S234" s="12"/>
      <c r="T234" s="12"/>
      <c r="U234" s="12"/>
      <c r="V234" s="208"/>
      <c r="W234" s="6"/>
    </row>
    <row r="235" spans="1:23">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row>
  </sheetData>
  <phoneticPr fontId="0" type="noConversion"/>
  <hyperlinks>
    <hyperlink ref="I9" r:id="rId1"/>
    <hyperlink ref="K188"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16383" man="1"/>
    <brk id="110" max="16383" man="1"/>
    <brk id="161" max="21" man="1"/>
    <brk id="240" man="1"/>
  </rowBreaks>
  <colBreaks count="1" manualBreakCount="1">
    <brk id="23" max="1048575" man="1"/>
  </col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23"/>
  </sheetPr>
  <dimension ref="A1:Y235"/>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 t="s">
        <v>223</v>
      </c>
      <c r="B1" s="3" t="s">
        <v>123</v>
      </c>
      <c r="C1" s="4"/>
      <c r="D1" s="4"/>
      <c r="E1" s="4"/>
      <c r="F1" s="4"/>
      <c r="G1" s="4"/>
      <c r="H1" s="4"/>
      <c r="I1" s="4"/>
      <c r="J1" s="4"/>
      <c r="K1" s="4"/>
      <c r="L1" s="4"/>
      <c r="M1" s="5"/>
      <c r="N1" s="5"/>
      <c r="O1" s="5"/>
      <c r="P1" s="5"/>
      <c r="Q1" s="5"/>
      <c r="R1" s="5"/>
      <c r="S1" s="5"/>
      <c r="T1" s="5"/>
      <c r="U1" s="5"/>
      <c r="V1" s="193"/>
      <c r="W1" s="6"/>
    </row>
    <row r="2" spans="1:23" ht="15.6">
      <c r="A2" s="7"/>
      <c r="B2" s="8"/>
      <c r="C2" s="8"/>
      <c r="D2" s="8"/>
      <c r="E2" s="8"/>
      <c r="F2" s="8"/>
      <c r="G2" s="8"/>
      <c r="H2" s="8"/>
      <c r="I2" s="8"/>
      <c r="J2" s="8"/>
      <c r="K2" s="8"/>
      <c r="L2" s="8"/>
      <c r="M2" s="9"/>
      <c r="N2" s="9"/>
      <c r="O2" s="9"/>
      <c r="P2" s="9"/>
      <c r="Q2" s="9"/>
      <c r="R2" s="9"/>
      <c r="S2" s="9"/>
      <c r="T2" s="9"/>
      <c r="U2" s="9"/>
      <c r="V2" s="194"/>
      <c r="W2" s="6"/>
    </row>
    <row r="3" spans="1:23" ht="15.6">
      <c r="A3" s="10"/>
      <c r="B3" s="141" t="s">
        <v>125</v>
      </c>
      <c r="C3" s="9"/>
      <c r="D3" s="9"/>
      <c r="E3" s="9"/>
      <c r="F3" s="9"/>
      <c r="G3" s="9"/>
      <c r="H3" s="9"/>
      <c r="I3" s="9"/>
      <c r="J3" s="9"/>
      <c r="K3" s="9"/>
      <c r="L3" s="9"/>
      <c r="M3" s="9"/>
      <c r="N3" s="9"/>
      <c r="O3" s="9"/>
      <c r="P3" s="9"/>
      <c r="Q3" s="9"/>
      <c r="R3" s="9"/>
      <c r="S3" s="9"/>
      <c r="T3" s="9"/>
      <c r="U3" s="9"/>
      <c r="V3" s="194"/>
      <c r="W3" s="6"/>
    </row>
    <row r="4" spans="1:23" ht="15.6">
      <c r="A4" s="7"/>
      <c r="B4" s="8"/>
      <c r="C4" s="8"/>
      <c r="D4" s="8"/>
      <c r="E4" s="8"/>
      <c r="F4" s="8"/>
      <c r="G4" s="8"/>
      <c r="H4" s="8"/>
      <c r="I4" s="8"/>
      <c r="J4" s="8"/>
      <c r="K4" s="8"/>
      <c r="L4" s="8"/>
      <c r="M4" s="9"/>
      <c r="N4" s="9"/>
      <c r="O4" s="9"/>
      <c r="P4" s="9"/>
      <c r="Q4" s="9"/>
      <c r="R4" s="9"/>
      <c r="S4" s="9"/>
      <c r="T4" s="9"/>
      <c r="U4" s="9"/>
      <c r="V4" s="194"/>
      <c r="W4" s="6"/>
    </row>
    <row r="5" spans="1:23" ht="16.2">
      <c r="A5" s="7"/>
      <c r="B5" s="192" t="s">
        <v>0</v>
      </c>
      <c r="C5" s="11"/>
      <c r="D5" s="11"/>
      <c r="E5" s="11"/>
      <c r="F5" s="11"/>
      <c r="G5" s="11"/>
      <c r="H5" s="11"/>
      <c r="I5" s="11"/>
      <c r="J5" s="11"/>
      <c r="K5" s="11"/>
      <c r="L5" s="11"/>
      <c r="M5" s="9"/>
      <c r="N5" s="9"/>
      <c r="O5" s="9"/>
      <c r="P5" s="9"/>
      <c r="Q5" s="9"/>
      <c r="R5" s="9"/>
      <c r="S5" s="9"/>
      <c r="T5" s="9"/>
      <c r="U5" s="9"/>
      <c r="V5" s="194"/>
      <c r="W5" s="6"/>
    </row>
    <row r="6" spans="1:23" ht="16.2">
      <c r="A6" s="7"/>
      <c r="B6" s="192" t="s">
        <v>1</v>
      </c>
      <c r="C6" s="11"/>
      <c r="D6" s="11"/>
      <c r="E6" s="11"/>
      <c r="F6" s="11"/>
      <c r="G6" s="11"/>
      <c r="H6" s="11"/>
      <c r="I6" s="11"/>
      <c r="J6" s="11"/>
      <c r="K6" s="11"/>
      <c r="L6" s="11"/>
      <c r="M6" s="9"/>
      <c r="N6" s="9"/>
      <c r="O6" s="9"/>
      <c r="P6" s="9"/>
      <c r="Q6" s="9"/>
      <c r="R6" s="9"/>
      <c r="S6" s="9"/>
      <c r="T6" s="9"/>
      <c r="U6" s="9"/>
      <c r="V6" s="194"/>
      <c r="W6" s="6"/>
    </row>
    <row r="7" spans="1:23" ht="16.2">
      <c r="A7" s="7"/>
      <c r="B7" s="192" t="s">
        <v>2</v>
      </c>
      <c r="C7" s="11"/>
      <c r="D7" s="11"/>
      <c r="E7" s="11"/>
      <c r="F7" s="11"/>
      <c r="G7" s="11"/>
      <c r="H7" s="11"/>
      <c r="I7" s="11"/>
      <c r="J7" s="11"/>
      <c r="K7" s="11"/>
      <c r="L7" s="11"/>
      <c r="M7" s="9"/>
      <c r="N7" s="9"/>
      <c r="O7" s="9"/>
      <c r="P7" s="9"/>
      <c r="Q7" s="9"/>
      <c r="R7" s="9"/>
      <c r="S7" s="9"/>
      <c r="T7" s="9"/>
      <c r="U7" s="9"/>
      <c r="V7" s="194"/>
      <c r="W7" s="6"/>
    </row>
    <row r="8" spans="1:23" ht="16.2">
      <c r="A8" s="7"/>
      <c r="B8" s="12"/>
      <c r="C8" s="11"/>
      <c r="D8" s="11"/>
      <c r="E8" s="11"/>
      <c r="F8" s="11"/>
      <c r="G8" s="11"/>
      <c r="H8" s="11"/>
      <c r="I8" s="11"/>
      <c r="J8" s="11"/>
      <c r="K8" s="11"/>
      <c r="L8" s="11"/>
      <c r="M8" s="9"/>
      <c r="N8" s="9"/>
      <c r="O8" s="9"/>
      <c r="P8" s="9"/>
      <c r="Q8" s="9"/>
      <c r="R8" s="9"/>
      <c r="S8" s="9"/>
      <c r="T8" s="9"/>
      <c r="U8" s="9"/>
      <c r="V8" s="194"/>
      <c r="W8" s="6"/>
    </row>
    <row r="9" spans="1:23" ht="18">
      <c r="A9" s="7"/>
      <c r="B9" s="178" t="s">
        <v>194</v>
      </c>
      <c r="C9" s="11"/>
      <c r="D9" s="11"/>
      <c r="E9" s="11"/>
      <c r="F9" s="11"/>
      <c r="G9" s="11"/>
      <c r="H9" s="11"/>
      <c r="I9" s="179" t="s">
        <v>195</v>
      </c>
      <c r="J9" s="11"/>
      <c r="K9" s="11"/>
      <c r="L9" s="11"/>
      <c r="M9" s="9"/>
      <c r="N9" s="9"/>
      <c r="O9" s="9"/>
      <c r="P9" s="9"/>
      <c r="Q9" s="9"/>
      <c r="R9" s="9"/>
      <c r="S9" s="9"/>
      <c r="T9" s="9"/>
      <c r="U9" s="9"/>
      <c r="V9" s="194"/>
      <c r="W9" s="6"/>
    </row>
    <row r="10" spans="1:23" ht="16.2">
      <c r="A10" s="7"/>
      <c r="B10" s="11"/>
      <c r="C10" s="11"/>
      <c r="D10" s="11"/>
      <c r="E10" s="11"/>
      <c r="F10" s="11"/>
      <c r="G10" s="11"/>
      <c r="H10" s="11"/>
      <c r="I10" s="11"/>
      <c r="J10" s="11"/>
      <c r="K10" s="11"/>
      <c r="L10" s="11"/>
      <c r="M10" s="13"/>
      <c r="N10" s="13"/>
      <c r="O10" s="9"/>
      <c r="P10" s="9"/>
      <c r="Q10" s="9"/>
      <c r="R10" s="9"/>
      <c r="S10" s="9"/>
      <c r="T10" s="9"/>
      <c r="U10" s="9"/>
      <c r="V10" s="194"/>
      <c r="W10" s="6"/>
    </row>
    <row r="11" spans="1:23" ht="15.6">
      <c r="A11" s="7"/>
      <c r="B11" s="13" t="s">
        <v>3</v>
      </c>
      <c r="C11" s="13"/>
      <c r="D11" s="13"/>
      <c r="E11" s="13"/>
      <c r="F11" s="13"/>
      <c r="G11" s="13"/>
      <c r="H11" s="13"/>
      <c r="I11" s="13"/>
      <c r="J11" s="13"/>
      <c r="K11" s="13"/>
      <c r="L11" s="13"/>
      <c r="M11" s="9"/>
      <c r="N11" s="9"/>
      <c r="O11" s="9"/>
      <c r="P11" s="9"/>
      <c r="Q11" s="9"/>
      <c r="R11" s="9"/>
      <c r="S11" s="9"/>
      <c r="T11" s="9"/>
      <c r="U11" s="9"/>
      <c r="V11" s="194"/>
      <c r="W11" s="6"/>
    </row>
    <row r="12" spans="1:23" ht="16.2" thickBot="1">
      <c r="A12" s="7"/>
      <c r="B12" s="13"/>
      <c r="C12" s="13"/>
      <c r="D12" s="13"/>
      <c r="E12" s="13"/>
      <c r="F12" s="13"/>
      <c r="G12" s="13"/>
      <c r="H12" s="13"/>
      <c r="I12" s="13"/>
      <c r="J12" s="13"/>
      <c r="K12" s="13"/>
      <c r="L12" s="13"/>
      <c r="M12" s="9"/>
      <c r="N12" s="9"/>
      <c r="O12" s="9"/>
      <c r="P12" s="9"/>
      <c r="Q12" s="9"/>
      <c r="R12" s="9"/>
      <c r="S12" s="9"/>
      <c r="T12" s="9"/>
      <c r="U12" s="9"/>
      <c r="V12" s="194"/>
      <c r="W12" s="6"/>
    </row>
    <row r="13" spans="1:23" ht="15.6">
      <c r="A13" s="2"/>
      <c r="B13" s="5"/>
      <c r="C13" s="5"/>
      <c r="D13" s="5"/>
      <c r="E13" s="5"/>
      <c r="F13" s="5"/>
      <c r="G13" s="5"/>
      <c r="H13" s="5"/>
      <c r="I13" s="5"/>
      <c r="J13" s="5"/>
      <c r="K13" s="5"/>
      <c r="L13" s="5"/>
      <c r="M13" s="5"/>
      <c r="N13" s="5"/>
      <c r="O13" s="5"/>
      <c r="P13" s="5"/>
      <c r="Q13" s="5"/>
      <c r="R13" s="5"/>
      <c r="S13" s="5"/>
      <c r="T13" s="5"/>
      <c r="U13" s="5"/>
      <c r="V13" s="193"/>
      <c r="W13" s="6"/>
    </row>
    <row r="14" spans="1:23" ht="15.6">
      <c r="A14" s="7"/>
      <c r="B14" s="14" t="s">
        <v>4</v>
      </c>
      <c r="C14" s="14"/>
      <c r="D14" s="14"/>
      <c r="E14" s="14"/>
      <c r="F14" s="14"/>
      <c r="G14" s="14"/>
      <c r="H14" s="14"/>
      <c r="I14" s="14"/>
      <c r="J14" s="14"/>
      <c r="K14" s="14"/>
      <c r="L14" s="14"/>
      <c r="M14" s="15"/>
      <c r="N14" s="15"/>
      <c r="O14" s="15"/>
      <c r="P14" s="15"/>
      <c r="Q14" s="15"/>
      <c r="R14" s="15"/>
      <c r="S14" s="15"/>
      <c r="T14" s="15"/>
      <c r="U14" s="16" t="s">
        <v>126</v>
      </c>
      <c r="V14" s="194"/>
      <c r="W14" s="6"/>
    </row>
    <row r="15" spans="1:23" ht="15.6">
      <c r="A15" s="7"/>
      <c r="B15" s="14" t="s">
        <v>5</v>
      </c>
      <c r="C15" s="14"/>
      <c r="D15" s="14"/>
      <c r="E15" s="14"/>
      <c r="F15" s="14"/>
      <c r="G15" s="14"/>
      <c r="H15" s="14"/>
      <c r="I15" s="14"/>
      <c r="J15" s="14"/>
      <c r="K15" s="14"/>
      <c r="L15" s="14"/>
      <c r="M15" s="17" t="s">
        <v>93</v>
      </c>
      <c r="N15" s="18">
        <v>0.1492</v>
      </c>
      <c r="O15" s="17" t="s">
        <v>99</v>
      </c>
      <c r="P15" s="18">
        <v>5.4399999999999997E-2</v>
      </c>
      <c r="Q15" s="17" t="s">
        <v>102</v>
      </c>
      <c r="R15" s="18">
        <v>0.48899999999999999</v>
      </c>
      <c r="S15" s="17" t="s">
        <v>108</v>
      </c>
      <c r="T15" s="18">
        <v>0.30740000000000001</v>
      </c>
      <c r="U15" s="16"/>
      <c r="V15" s="195"/>
      <c r="W15" s="6"/>
    </row>
    <row r="16" spans="1:23" ht="15.6">
      <c r="A16" s="7"/>
      <c r="B16" s="14" t="s">
        <v>6</v>
      </c>
      <c r="C16" s="14"/>
      <c r="D16" s="14"/>
      <c r="E16" s="14"/>
      <c r="F16" s="14"/>
      <c r="G16" s="14"/>
      <c r="H16" s="14"/>
      <c r="I16" s="14"/>
      <c r="J16" s="14"/>
      <c r="K16" s="14"/>
      <c r="L16" s="14"/>
      <c r="M16" s="17" t="s">
        <v>93</v>
      </c>
      <c r="N16" s="18">
        <f>+N199/S222</f>
        <v>7.9479999999999995E-2</v>
      </c>
      <c r="O16" s="17" t="s">
        <v>99</v>
      </c>
      <c r="P16" s="18">
        <f>+S199/S222</f>
        <v>9.1253333333333339E-2</v>
      </c>
      <c r="Q16" s="17" t="s">
        <v>102</v>
      </c>
      <c r="R16" s="18">
        <f>+N212/S222</f>
        <v>0.40674222222222223</v>
      </c>
      <c r="S16" s="17" t="s">
        <v>108</v>
      </c>
      <c r="T16" s="18">
        <f>+S212/S222</f>
        <v>0.28627333333333332</v>
      </c>
      <c r="U16" s="16"/>
      <c r="V16" s="195"/>
      <c r="W16" s="6"/>
    </row>
    <row r="17" spans="1:23" ht="15.6">
      <c r="A17" s="7"/>
      <c r="B17" s="14" t="s">
        <v>7</v>
      </c>
      <c r="C17" s="14"/>
      <c r="D17" s="14"/>
      <c r="E17" s="14"/>
      <c r="F17" s="14"/>
      <c r="G17" s="14"/>
      <c r="H17" s="14"/>
      <c r="I17" s="14"/>
      <c r="J17" s="14"/>
      <c r="K17" s="14"/>
      <c r="L17" s="14"/>
      <c r="M17" s="15"/>
      <c r="N17" s="15"/>
      <c r="O17" s="15"/>
      <c r="P17" s="15"/>
      <c r="Q17" s="15"/>
      <c r="R17" s="15"/>
      <c r="S17" s="15"/>
      <c r="T17" s="15"/>
      <c r="U17" s="19">
        <v>38491</v>
      </c>
      <c r="V17" s="194"/>
      <c r="W17" s="6"/>
    </row>
    <row r="18" spans="1:23" ht="15.6">
      <c r="A18" s="7"/>
      <c r="B18" s="14" t="s">
        <v>8</v>
      </c>
      <c r="C18" s="14"/>
      <c r="D18" s="14"/>
      <c r="E18" s="14"/>
      <c r="F18" s="14"/>
      <c r="G18" s="14"/>
      <c r="H18" s="14"/>
      <c r="I18" s="14"/>
      <c r="J18" s="14"/>
      <c r="K18" s="14"/>
      <c r="L18" s="14"/>
      <c r="M18" s="15"/>
      <c r="N18" s="15"/>
      <c r="O18" s="15"/>
      <c r="P18" s="15"/>
      <c r="Q18" s="15"/>
      <c r="R18" s="15"/>
      <c r="S18" s="15"/>
      <c r="T18" s="15"/>
      <c r="U18" s="19">
        <v>39196</v>
      </c>
      <c r="V18" s="194"/>
      <c r="W18" s="6"/>
    </row>
    <row r="19" spans="1:23" ht="15.6">
      <c r="A19" s="7"/>
      <c r="B19" s="9"/>
      <c r="C19" s="9"/>
      <c r="D19" s="9"/>
      <c r="E19" s="9"/>
      <c r="F19" s="9"/>
      <c r="G19" s="9"/>
      <c r="H19" s="9"/>
      <c r="I19" s="9"/>
      <c r="J19" s="9"/>
      <c r="K19" s="9"/>
      <c r="L19" s="9"/>
      <c r="M19" s="9"/>
      <c r="N19" s="9"/>
      <c r="O19" s="9"/>
      <c r="P19" s="9"/>
      <c r="Q19" s="9"/>
      <c r="R19" s="9"/>
      <c r="S19" s="9"/>
      <c r="T19" s="9"/>
      <c r="U19" s="20"/>
      <c r="V19" s="194"/>
      <c r="W19" s="6"/>
    </row>
    <row r="20" spans="1:23" ht="15.6">
      <c r="A20" s="7"/>
      <c r="B20" s="21" t="s">
        <v>9</v>
      </c>
      <c r="C20" s="9"/>
      <c r="D20" s="9"/>
      <c r="E20" s="9"/>
      <c r="F20" s="9"/>
      <c r="G20" s="9"/>
      <c r="H20" s="9"/>
      <c r="I20" s="9"/>
      <c r="J20" s="9"/>
      <c r="K20" s="9"/>
      <c r="L20" s="9"/>
      <c r="M20" s="9"/>
      <c r="N20" s="9"/>
      <c r="O20" s="9"/>
      <c r="P20" s="9"/>
      <c r="Q20" s="9"/>
      <c r="R20" s="9"/>
      <c r="S20" s="20"/>
      <c r="T20" s="9"/>
      <c r="U20" s="12"/>
      <c r="V20" s="194"/>
      <c r="W20" s="6"/>
    </row>
    <row r="21" spans="1:23" ht="15.6">
      <c r="A21" s="7"/>
      <c r="B21" s="9"/>
      <c r="C21" s="9"/>
      <c r="D21" s="9"/>
      <c r="E21" s="9"/>
      <c r="F21" s="9"/>
      <c r="G21" s="9"/>
      <c r="H21" s="9"/>
      <c r="I21" s="9"/>
      <c r="J21" s="9"/>
      <c r="K21" s="9"/>
      <c r="L21" s="9"/>
      <c r="M21" s="9"/>
      <c r="N21" s="9"/>
      <c r="O21" s="9"/>
      <c r="P21" s="9"/>
      <c r="Q21" s="9"/>
      <c r="R21" s="9"/>
      <c r="S21" s="9"/>
      <c r="T21" s="9"/>
      <c r="U21" s="22"/>
      <c r="V21" s="194"/>
      <c r="W21" s="6"/>
    </row>
    <row r="22" spans="1:23" ht="15.6">
      <c r="A22" s="7"/>
      <c r="B22" s="9"/>
      <c r="C22" s="142" t="s">
        <v>130</v>
      </c>
      <c r="D22" s="142"/>
      <c r="E22" s="142" t="s">
        <v>131</v>
      </c>
      <c r="F22" s="142"/>
      <c r="G22" s="142" t="s">
        <v>132</v>
      </c>
      <c r="H22" s="142"/>
      <c r="I22" s="142" t="s">
        <v>133</v>
      </c>
      <c r="J22" s="142"/>
      <c r="K22" s="142" t="s">
        <v>134</v>
      </c>
      <c r="L22" s="142"/>
      <c r="M22" s="144" t="s">
        <v>135</v>
      </c>
      <c r="N22" s="144"/>
      <c r="O22" s="144" t="s">
        <v>136</v>
      </c>
      <c r="P22" s="144"/>
      <c r="Q22" s="144" t="s">
        <v>137</v>
      </c>
      <c r="R22" s="23"/>
      <c r="S22" s="24"/>
      <c r="T22" s="12"/>
      <c r="U22" s="12"/>
      <c r="V22" s="194"/>
      <c r="W22" s="6"/>
    </row>
    <row r="23" spans="1:23" ht="15.6">
      <c r="A23" s="25"/>
      <c r="B23" s="26" t="s">
        <v>10</v>
      </c>
      <c r="C23" s="157" t="s">
        <v>96</v>
      </c>
      <c r="D23" s="157"/>
      <c r="E23" s="157" t="s">
        <v>96</v>
      </c>
      <c r="F23" s="157"/>
      <c r="G23" s="157" t="s">
        <v>138</v>
      </c>
      <c r="H23" s="157"/>
      <c r="I23" s="157" t="s">
        <v>138</v>
      </c>
      <c r="J23" s="157"/>
      <c r="K23" s="157" t="s">
        <v>104</v>
      </c>
      <c r="L23" s="143"/>
      <c r="M23" s="28" t="s">
        <v>104</v>
      </c>
      <c r="N23" s="28"/>
      <c r="O23" s="28" t="s">
        <v>109</v>
      </c>
      <c r="P23" s="28"/>
      <c r="Q23" s="28" t="s">
        <v>109</v>
      </c>
      <c r="R23" s="28"/>
      <c r="S23" s="28"/>
      <c r="T23" s="29"/>
      <c r="U23" s="29"/>
      <c r="V23" s="196"/>
      <c r="W23" s="6"/>
    </row>
    <row r="24" spans="1:23" ht="15.6">
      <c r="A24" s="25"/>
      <c r="B24" s="26" t="s">
        <v>11</v>
      </c>
      <c r="C24" s="157" t="s">
        <v>97</v>
      </c>
      <c r="D24" s="157"/>
      <c r="E24" s="157" t="s">
        <v>97</v>
      </c>
      <c r="F24" s="157"/>
      <c r="G24" s="157" t="s">
        <v>139</v>
      </c>
      <c r="H24" s="157"/>
      <c r="I24" s="157" t="s">
        <v>139</v>
      </c>
      <c r="J24" s="157"/>
      <c r="K24" s="157" t="s">
        <v>105</v>
      </c>
      <c r="L24" s="27"/>
      <c r="M24" s="28" t="s">
        <v>105</v>
      </c>
      <c r="N24" s="28"/>
      <c r="O24" s="28" t="s">
        <v>110</v>
      </c>
      <c r="P24" s="28"/>
      <c r="Q24" s="28" t="s">
        <v>110</v>
      </c>
      <c r="R24" s="28"/>
      <c r="S24" s="28"/>
      <c r="T24" s="29"/>
      <c r="U24" s="29"/>
      <c r="V24" s="196"/>
      <c r="W24" s="6"/>
    </row>
    <row r="25" spans="1:23" ht="15.6">
      <c r="A25" s="25"/>
      <c r="B25" s="30" t="s">
        <v>12</v>
      </c>
      <c r="C25" s="110" t="s">
        <v>96</v>
      </c>
      <c r="D25" s="110"/>
      <c r="E25" s="110" t="s">
        <v>96</v>
      </c>
      <c r="F25" s="110"/>
      <c r="G25" s="110" t="s">
        <v>138</v>
      </c>
      <c r="H25" s="110"/>
      <c r="I25" s="110" t="s">
        <v>138</v>
      </c>
      <c r="J25" s="30"/>
      <c r="K25" s="110" t="s">
        <v>104</v>
      </c>
      <c r="L25" s="30"/>
      <c r="M25" s="31" t="s">
        <v>104</v>
      </c>
      <c r="N25" s="28"/>
      <c r="O25" s="31" t="s">
        <v>109</v>
      </c>
      <c r="P25" s="28"/>
      <c r="Q25" s="31" t="s">
        <v>109</v>
      </c>
      <c r="R25" s="31"/>
      <c r="S25" s="31"/>
      <c r="T25" s="32"/>
      <c r="U25" s="29"/>
      <c r="V25" s="196"/>
      <c r="W25" s="6"/>
    </row>
    <row r="26" spans="1:23" ht="15.6">
      <c r="A26" s="25"/>
      <c r="B26" s="30" t="s">
        <v>13</v>
      </c>
      <c r="C26" s="110" t="s">
        <v>97</v>
      </c>
      <c r="D26" s="110"/>
      <c r="E26" s="110" t="s">
        <v>97</v>
      </c>
      <c r="F26" s="110"/>
      <c r="G26" s="110" t="s">
        <v>139</v>
      </c>
      <c r="H26" s="110"/>
      <c r="I26" s="110" t="s">
        <v>139</v>
      </c>
      <c r="J26" s="30"/>
      <c r="K26" s="110" t="s">
        <v>105</v>
      </c>
      <c r="L26" s="30"/>
      <c r="M26" s="31" t="s">
        <v>105</v>
      </c>
      <c r="N26" s="28"/>
      <c r="O26" s="31" t="s">
        <v>110</v>
      </c>
      <c r="P26" s="28"/>
      <c r="Q26" s="31" t="s">
        <v>110</v>
      </c>
      <c r="R26" s="31"/>
      <c r="S26" s="31"/>
      <c r="T26" s="32"/>
      <c r="U26" s="29"/>
      <c r="V26" s="196"/>
      <c r="W26" s="6"/>
    </row>
    <row r="27" spans="1:23" ht="15.6">
      <c r="A27" s="25"/>
      <c r="B27" s="26" t="s">
        <v>14</v>
      </c>
      <c r="C27" s="33" t="s">
        <v>140</v>
      </c>
      <c r="D27" s="26"/>
      <c r="E27" s="33" t="s">
        <v>141</v>
      </c>
      <c r="F27" s="26"/>
      <c r="G27" s="33" t="s">
        <v>142</v>
      </c>
      <c r="H27" s="26"/>
      <c r="I27" s="33" t="s">
        <v>258</v>
      </c>
      <c r="J27" s="26"/>
      <c r="K27" s="33" t="s">
        <v>143</v>
      </c>
      <c r="L27" s="26"/>
      <c r="M27" s="26" t="s">
        <v>144</v>
      </c>
      <c r="N27" s="28"/>
      <c r="O27" s="26" t="s">
        <v>145</v>
      </c>
      <c r="P27" s="28"/>
      <c r="Q27" s="26" t="s">
        <v>146</v>
      </c>
      <c r="R27" s="28"/>
      <c r="S27" s="33"/>
      <c r="T27" s="29"/>
      <c r="U27" s="29"/>
      <c r="V27" s="196"/>
      <c r="W27" s="6"/>
    </row>
    <row r="28" spans="1:23" ht="15.6">
      <c r="A28" s="25"/>
      <c r="B28" s="26" t="s">
        <v>147</v>
      </c>
      <c r="C28" s="168">
        <v>146000</v>
      </c>
      <c r="D28" s="33"/>
      <c r="E28" s="165">
        <v>259500</v>
      </c>
      <c r="F28" s="33"/>
      <c r="G28" s="168">
        <v>16000</v>
      </c>
      <c r="H28" s="33"/>
      <c r="I28" s="165">
        <v>35500</v>
      </c>
      <c r="J28" s="26"/>
      <c r="K28" s="168">
        <v>18000</v>
      </c>
      <c r="L28" s="26"/>
      <c r="M28" s="165">
        <v>33000</v>
      </c>
      <c r="N28" s="35"/>
      <c r="O28" s="34">
        <v>24500</v>
      </c>
      <c r="P28" s="34"/>
      <c r="Q28" s="165">
        <v>30000</v>
      </c>
      <c r="R28" s="34"/>
      <c r="S28" s="34"/>
      <c r="T28" s="36"/>
      <c r="U28" s="34"/>
      <c r="V28" s="197"/>
      <c r="W28" s="6"/>
    </row>
    <row r="29" spans="1:23" ht="15.6">
      <c r="A29" s="25"/>
      <c r="B29" s="26" t="s">
        <v>15</v>
      </c>
      <c r="C29" s="168">
        <v>146000</v>
      </c>
      <c r="D29" s="169"/>
      <c r="E29" s="165">
        <v>259500</v>
      </c>
      <c r="F29" s="169"/>
      <c r="G29" s="168">
        <v>16000</v>
      </c>
      <c r="H29" s="169"/>
      <c r="I29" s="165">
        <v>35500</v>
      </c>
      <c r="J29" s="38"/>
      <c r="K29" s="168">
        <v>18000</v>
      </c>
      <c r="L29" s="38"/>
      <c r="M29" s="165">
        <v>33000</v>
      </c>
      <c r="N29" s="35"/>
      <c r="O29" s="34">
        <v>24500</v>
      </c>
      <c r="P29" s="34"/>
      <c r="Q29" s="165">
        <v>30000</v>
      </c>
      <c r="R29" s="39"/>
      <c r="S29" s="34"/>
      <c r="T29" s="36"/>
      <c r="U29" s="34"/>
      <c r="V29" s="197"/>
      <c r="W29" s="6"/>
    </row>
    <row r="30" spans="1:23" ht="15.6">
      <c r="A30" s="40"/>
      <c r="B30" s="30" t="s">
        <v>148</v>
      </c>
      <c r="C30" s="162">
        <v>146000</v>
      </c>
      <c r="D30" s="170"/>
      <c r="E30" s="171">
        <v>259500</v>
      </c>
      <c r="F30" s="170"/>
      <c r="G30" s="162">
        <v>16000</v>
      </c>
      <c r="H30" s="170"/>
      <c r="I30" s="171">
        <v>35500</v>
      </c>
      <c r="J30" s="159"/>
      <c r="K30" s="162">
        <v>18000</v>
      </c>
      <c r="L30" s="41"/>
      <c r="M30" s="166">
        <v>33000</v>
      </c>
      <c r="N30" s="43"/>
      <c r="O30" s="42">
        <v>24500</v>
      </c>
      <c r="P30" s="42"/>
      <c r="Q30" s="166">
        <v>30000</v>
      </c>
      <c r="R30" s="42"/>
      <c r="S30" s="42"/>
      <c r="T30" s="44"/>
      <c r="U30" s="42"/>
      <c r="V30" s="196"/>
      <c r="W30" s="6"/>
    </row>
    <row r="31" spans="1:23" ht="15.6">
      <c r="A31" s="40"/>
      <c r="B31" s="158" t="s">
        <v>260</v>
      </c>
      <c r="C31" s="172">
        <v>146000</v>
      </c>
      <c r="D31" s="173"/>
      <c r="E31" s="172">
        <v>178000</v>
      </c>
      <c r="F31" s="172"/>
      <c r="G31" s="172">
        <v>16000</v>
      </c>
      <c r="H31" s="172"/>
      <c r="I31" s="172">
        <v>24500</v>
      </c>
      <c r="J31" s="161"/>
      <c r="K31" s="172">
        <v>18000</v>
      </c>
      <c r="L31" s="161"/>
      <c r="M31" s="167">
        <v>22500</v>
      </c>
      <c r="N31" s="164"/>
      <c r="O31" s="167">
        <v>24500</v>
      </c>
      <c r="P31" s="163"/>
      <c r="Q31" s="167">
        <v>20500</v>
      </c>
      <c r="R31" s="42"/>
      <c r="S31" s="42"/>
      <c r="T31" s="44"/>
      <c r="U31" s="34">
        <f>+Q31+O31+M31+K31+I31+G31+E31+C31</f>
        <v>450000</v>
      </c>
      <c r="V31" s="196"/>
      <c r="W31" s="6"/>
    </row>
    <row r="32" spans="1:23" ht="15.6">
      <c r="A32" s="40"/>
      <c r="B32" s="158" t="s">
        <v>261</v>
      </c>
      <c r="C32" s="172">
        <v>146000</v>
      </c>
      <c r="D32" s="173"/>
      <c r="E32" s="172">
        <v>178000</v>
      </c>
      <c r="F32" s="172"/>
      <c r="G32" s="172">
        <v>16000</v>
      </c>
      <c r="H32" s="172"/>
      <c r="I32" s="172">
        <v>24500</v>
      </c>
      <c r="J32" s="161"/>
      <c r="K32" s="172">
        <v>18000</v>
      </c>
      <c r="L32" s="161"/>
      <c r="M32" s="167">
        <v>22500</v>
      </c>
      <c r="N32" s="164"/>
      <c r="O32" s="167">
        <v>24500</v>
      </c>
      <c r="P32" s="163"/>
      <c r="Q32" s="167">
        <v>20500</v>
      </c>
      <c r="R32" s="42"/>
      <c r="S32" s="42"/>
      <c r="T32" s="44"/>
      <c r="U32" s="34">
        <f>+Q32+O32+M32+K32+I32+G32+E32+C32</f>
        <v>450000</v>
      </c>
      <c r="V32" s="196"/>
      <c r="W32" s="6"/>
    </row>
    <row r="33" spans="1:23" ht="15.6">
      <c r="A33" s="40"/>
      <c r="B33" s="30" t="s">
        <v>262</v>
      </c>
      <c r="C33" s="162">
        <v>146000</v>
      </c>
      <c r="D33" s="162"/>
      <c r="E33" s="162">
        <v>178000</v>
      </c>
      <c r="F33" s="162"/>
      <c r="G33" s="162">
        <v>16000</v>
      </c>
      <c r="H33" s="162"/>
      <c r="I33" s="162">
        <v>24500</v>
      </c>
      <c r="J33" s="160"/>
      <c r="K33" s="162">
        <v>18000</v>
      </c>
      <c r="L33" s="160"/>
      <c r="M33" s="162">
        <v>22500</v>
      </c>
      <c r="N33" s="160"/>
      <c r="O33" s="162">
        <v>24500</v>
      </c>
      <c r="P33" s="162"/>
      <c r="Q33" s="162">
        <v>20500</v>
      </c>
      <c r="R33" s="42"/>
      <c r="S33" s="42"/>
      <c r="T33" s="44"/>
      <c r="U33" s="42">
        <f>+Q33+O33+M33+K33+I33+G33+E33+C33</f>
        <v>450000</v>
      </c>
      <c r="V33" s="196"/>
      <c r="W33" s="6"/>
    </row>
    <row r="34" spans="1:23" ht="15.6">
      <c r="A34" s="40"/>
      <c r="B34" s="174" t="s">
        <v>149</v>
      </c>
      <c r="C34" s="175">
        <v>1</v>
      </c>
      <c r="D34" s="175"/>
      <c r="E34" s="175">
        <v>1</v>
      </c>
      <c r="F34" s="175"/>
      <c r="G34" s="175">
        <v>1</v>
      </c>
      <c r="H34" s="175"/>
      <c r="I34" s="175">
        <v>1</v>
      </c>
      <c r="J34" s="175"/>
      <c r="K34" s="175">
        <v>1</v>
      </c>
      <c r="L34" s="175"/>
      <c r="M34" s="175">
        <v>1</v>
      </c>
      <c r="N34" s="175"/>
      <c r="O34" s="175">
        <v>1</v>
      </c>
      <c r="P34" s="175"/>
      <c r="Q34" s="175">
        <v>1</v>
      </c>
      <c r="R34" s="176"/>
      <c r="S34" s="42"/>
      <c r="T34" s="44"/>
      <c r="U34" s="42"/>
      <c r="V34" s="196"/>
      <c r="W34" s="6"/>
    </row>
    <row r="35" spans="1:23" ht="15.6">
      <c r="A35" s="40"/>
      <c r="B35" s="174" t="s">
        <v>150</v>
      </c>
      <c r="C35" s="175">
        <v>1</v>
      </c>
      <c r="D35" s="175"/>
      <c r="E35" s="175">
        <v>1</v>
      </c>
      <c r="F35" s="175"/>
      <c r="G35" s="175">
        <v>1</v>
      </c>
      <c r="H35" s="175"/>
      <c r="I35" s="175">
        <v>1</v>
      </c>
      <c r="J35" s="175"/>
      <c r="K35" s="175">
        <v>1</v>
      </c>
      <c r="L35" s="175"/>
      <c r="M35" s="175">
        <v>1</v>
      </c>
      <c r="N35" s="175"/>
      <c r="O35" s="175">
        <v>1</v>
      </c>
      <c r="P35" s="175"/>
      <c r="Q35" s="175">
        <v>1</v>
      </c>
      <c r="R35" s="176"/>
      <c r="S35" s="42"/>
      <c r="T35" s="44"/>
      <c r="U35" s="42"/>
      <c r="V35" s="196"/>
      <c r="W35" s="6"/>
    </row>
    <row r="36" spans="1:23" ht="15.6">
      <c r="A36" s="25"/>
      <c r="B36" s="26" t="s">
        <v>153</v>
      </c>
      <c r="C36" s="157" t="s">
        <v>157</v>
      </c>
      <c r="D36" s="157"/>
      <c r="E36" s="157" t="s">
        <v>157</v>
      </c>
      <c r="F36" s="157"/>
      <c r="G36" s="157" t="s">
        <v>158</v>
      </c>
      <c r="H36" s="157"/>
      <c r="I36" s="157" t="s">
        <v>158</v>
      </c>
      <c r="J36" s="157"/>
      <c r="K36" s="157" t="s">
        <v>159</v>
      </c>
      <c r="L36" s="184"/>
      <c r="M36" s="157" t="s">
        <v>160</v>
      </c>
      <c r="N36" s="158"/>
      <c r="O36" s="157" t="s">
        <v>161</v>
      </c>
      <c r="P36" s="157"/>
      <c r="Q36" s="157" t="s">
        <v>162</v>
      </c>
      <c r="R36" s="157"/>
      <c r="S36" s="157"/>
      <c r="T36" s="158"/>
      <c r="U36" s="29"/>
      <c r="V36" s="196"/>
      <c r="W36" s="6"/>
    </row>
    <row r="37" spans="1:23" ht="15.6">
      <c r="A37" s="25"/>
      <c r="B37" s="26" t="s">
        <v>151</v>
      </c>
      <c r="C37" s="185">
        <v>5.7631300000000003E-2</v>
      </c>
      <c r="D37" s="185"/>
      <c r="E37" s="185">
        <v>3.977E-2</v>
      </c>
      <c r="F37" s="185"/>
      <c r="G37" s="185">
        <v>5.87313E-2</v>
      </c>
      <c r="H37" s="185"/>
      <c r="I37" s="185">
        <v>4.0869999999999997E-2</v>
      </c>
      <c r="J37" s="185"/>
      <c r="K37" s="185">
        <v>6.1431300000000001E-2</v>
      </c>
      <c r="L37" s="185"/>
      <c r="M37" s="185">
        <v>4.3270000000000003E-2</v>
      </c>
      <c r="N37" s="185"/>
      <c r="O37" s="185">
        <v>6.4931299999999997E-2</v>
      </c>
      <c r="P37" s="185"/>
      <c r="Q37" s="185">
        <v>4.657E-2</v>
      </c>
      <c r="R37" s="186"/>
      <c r="S37" s="185"/>
      <c r="T37" s="158"/>
      <c r="U37" s="33"/>
      <c r="V37" s="196"/>
      <c r="W37" s="6"/>
    </row>
    <row r="38" spans="1:23" ht="15.6">
      <c r="A38" s="25"/>
      <c r="B38" s="26" t="s">
        <v>152</v>
      </c>
      <c r="C38" s="185">
        <v>5.3406299999999997E-2</v>
      </c>
      <c r="D38" s="185"/>
      <c r="E38" s="185">
        <v>3.7139999999999999E-2</v>
      </c>
      <c r="F38" s="185"/>
      <c r="G38" s="185">
        <v>5.4506300000000001E-2</v>
      </c>
      <c r="H38" s="185"/>
      <c r="I38" s="185">
        <v>3.8240000000000003E-2</v>
      </c>
      <c r="J38" s="185"/>
      <c r="K38" s="185">
        <v>5.7206300000000002E-2</v>
      </c>
      <c r="L38" s="185"/>
      <c r="M38" s="185">
        <v>4.0640000000000003E-2</v>
      </c>
      <c r="N38" s="185"/>
      <c r="O38" s="185">
        <v>6.0706299999999998E-2</v>
      </c>
      <c r="P38" s="185"/>
      <c r="Q38" s="185">
        <v>4.394E-2</v>
      </c>
      <c r="R38" s="186"/>
      <c r="S38" s="185"/>
      <c r="T38" s="158"/>
      <c r="U38" s="29"/>
      <c r="V38" s="196"/>
      <c r="W38" s="6"/>
    </row>
    <row r="39" spans="1:23" ht="15.6">
      <c r="A39" s="25"/>
      <c r="B39" s="26" t="s">
        <v>263</v>
      </c>
      <c r="C39" s="157" t="s">
        <v>157</v>
      </c>
      <c r="D39" s="185"/>
      <c r="E39" s="185" t="s">
        <v>198</v>
      </c>
      <c r="F39" s="185"/>
      <c r="G39" s="157" t="s">
        <v>158</v>
      </c>
      <c r="H39" s="185"/>
      <c r="I39" s="185" t="s">
        <v>225</v>
      </c>
      <c r="J39" s="185"/>
      <c r="K39" s="157" t="s">
        <v>159</v>
      </c>
      <c r="L39" s="185"/>
      <c r="M39" s="185" t="s">
        <v>199</v>
      </c>
      <c r="N39" s="185"/>
      <c r="O39" s="157" t="s">
        <v>161</v>
      </c>
      <c r="P39" s="185"/>
      <c r="Q39" s="185" t="s">
        <v>200</v>
      </c>
      <c r="R39" s="186"/>
      <c r="S39" s="185"/>
      <c r="T39" s="158"/>
      <c r="U39" s="29"/>
      <c r="V39" s="196"/>
      <c r="W39" s="6"/>
    </row>
    <row r="40" spans="1:23" ht="15.6">
      <c r="A40" s="25"/>
      <c r="B40" s="26" t="s">
        <v>264</v>
      </c>
      <c r="C40" s="185">
        <f>+C37</f>
        <v>5.7631300000000003E-2</v>
      </c>
      <c r="D40" s="185"/>
      <c r="E40" s="185">
        <v>5.79193E-2</v>
      </c>
      <c r="F40" s="185"/>
      <c r="G40" s="185">
        <f>+G37</f>
        <v>5.87313E-2</v>
      </c>
      <c r="H40" s="185"/>
      <c r="I40" s="185">
        <v>5.9097799999999999E-2</v>
      </c>
      <c r="J40" s="185"/>
      <c r="K40" s="185">
        <f>+K37</f>
        <v>6.1431300000000001E-2</v>
      </c>
      <c r="L40" s="184"/>
      <c r="M40" s="185">
        <v>6.1711500000000002E-2</v>
      </c>
      <c r="N40" s="184"/>
      <c r="O40" s="185">
        <f>+O37</f>
        <v>6.4931299999999997E-2</v>
      </c>
      <c r="P40" s="185"/>
      <c r="Q40" s="185">
        <v>6.53445E-2</v>
      </c>
      <c r="R40" s="186"/>
      <c r="S40" s="185"/>
      <c r="T40" s="158"/>
      <c r="U40" s="45">
        <f>SUMPRODUCT(C40:Q40,C31:Q31)/U31</f>
        <v>5.8969007444444443E-2</v>
      </c>
      <c r="V40" s="196"/>
      <c r="W40" s="6"/>
    </row>
    <row r="41" spans="1:23" ht="15.6">
      <c r="A41" s="25"/>
      <c r="B41" s="26" t="s">
        <v>265</v>
      </c>
      <c r="C41" s="185">
        <f>+C38</f>
        <v>5.3406299999999997E-2</v>
      </c>
      <c r="D41" s="185"/>
      <c r="E41" s="185">
        <v>5.36943E-2</v>
      </c>
      <c r="F41" s="185"/>
      <c r="G41" s="185">
        <f>+G38</f>
        <v>5.4506300000000001E-2</v>
      </c>
      <c r="H41" s="185"/>
      <c r="I41" s="185">
        <v>5.4872799999999999E-2</v>
      </c>
      <c r="J41" s="185"/>
      <c r="K41" s="185">
        <f>+K38</f>
        <v>5.7206300000000002E-2</v>
      </c>
      <c r="L41" s="184"/>
      <c r="M41" s="185">
        <v>5.7486500000000003E-2</v>
      </c>
      <c r="N41" s="184"/>
      <c r="O41" s="185">
        <f>+O38</f>
        <v>6.0706299999999998E-2</v>
      </c>
      <c r="P41" s="185"/>
      <c r="Q41" s="185">
        <v>6.11195E-2</v>
      </c>
      <c r="R41" s="186"/>
      <c r="S41" s="185"/>
      <c r="T41" s="158"/>
      <c r="U41" s="29"/>
      <c r="V41" s="196"/>
      <c r="W41" s="6"/>
    </row>
    <row r="42" spans="1:23" ht="15.6">
      <c r="A42" s="25"/>
      <c r="B42" s="26" t="s">
        <v>17</v>
      </c>
      <c r="C42" s="187">
        <v>39918</v>
      </c>
      <c r="D42" s="187"/>
      <c r="E42" s="187">
        <v>39918</v>
      </c>
      <c r="F42" s="187"/>
      <c r="G42" s="187">
        <v>39918</v>
      </c>
      <c r="H42" s="187"/>
      <c r="I42" s="187">
        <v>39918</v>
      </c>
      <c r="J42" s="187"/>
      <c r="K42" s="187">
        <v>39918</v>
      </c>
      <c r="L42" s="187"/>
      <c r="M42" s="187">
        <v>39918</v>
      </c>
      <c r="N42" s="187"/>
      <c r="O42" s="187">
        <v>39918</v>
      </c>
      <c r="P42" s="187"/>
      <c r="Q42" s="187">
        <v>39918</v>
      </c>
      <c r="R42" s="157"/>
      <c r="S42" s="157"/>
      <c r="T42" s="158"/>
      <c r="U42" s="29"/>
      <c r="V42" s="196"/>
      <c r="W42" s="6"/>
    </row>
    <row r="43" spans="1:23" ht="15.6">
      <c r="A43" s="25"/>
      <c r="B43" s="26" t="s">
        <v>18</v>
      </c>
      <c r="C43" s="46">
        <v>40283</v>
      </c>
      <c r="D43" s="51"/>
      <c r="E43" s="46">
        <v>40283</v>
      </c>
      <c r="F43" s="51"/>
      <c r="G43" s="46">
        <v>40283</v>
      </c>
      <c r="H43" s="51"/>
      <c r="I43" s="46">
        <v>40283</v>
      </c>
      <c r="J43" s="51"/>
      <c r="K43" s="46">
        <v>40283</v>
      </c>
      <c r="L43" s="51"/>
      <c r="M43" s="46">
        <v>40283</v>
      </c>
      <c r="N43" s="51"/>
      <c r="O43" s="46">
        <v>40283</v>
      </c>
      <c r="P43" s="46"/>
      <c r="Q43" s="46">
        <v>40283</v>
      </c>
      <c r="R43" s="33"/>
      <c r="S43" s="33"/>
      <c r="T43" s="29"/>
      <c r="U43" s="29"/>
      <c r="V43" s="196"/>
      <c r="W43" s="6"/>
    </row>
    <row r="44" spans="1:23" ht="15.6">
      <c r="A44" s="25"/>
      <c r="B44" s="26" t="s">
        <v>154</v>
      </c>
      <c r="C44" s="33" t="s">
        <v>163</v>
      </c>
      <c r="D44" s="33"/>
      <c r="E44" s="33" t="s">
        <v>163</v>
      </c>
      <c r="F44" s="33"/>
      <c r="G44" s="33" t="s">
        <v>164</v>
      </c>
      <c r="H44" s="33"/>
      <c r="I44" s="33" t="s">
        <v>164</v>
      </c>
      <c r="J44" s="33"/>
      <c r="K44" s="33" t="s">
        <v>106</v>
      </c>
      <c r="L44" s="33"/>
      <c r="M44" s="33" t="s">
        <v>165</v>
      </c>
      <c r="N44" s="33"/>
      <c r="O44" s="33" t="s">
        <v>166</v>
      </c>
      <c r="P44" s="33"/>
      <c r="Q44" s="33" t="s">
        <v>167</v>
      </c>
      <c r="R44" s="33"/>
      <c r="S44" s="33"/>
      <c r="T44" s="29"/>
      <c r="U44" s="29"/>
      <c r="V44" s="196"/>
      <c r="W44" s="6"/>
    </row>
    <row r="45" spans="1:23" ht="15.6">
      <c r="A45" s="25"/>
      <c r="B45" s="26" t="s">
        <v>266</v>
      </c>
      <c r="C45" s="33" t="s">
        <v>163</v>
      </c>
      <c r="D45" s="26"/>
      <c r="E45" s="33" t="s">
        <v>228</v>
      </c>
      <c r="F45" s="26"/>
      <c r="G45" s="33" t="s">
        <v>164</v>
      </c>
      <c r="H45" s="26"/>
      <c r="I45" s="33" t="s">
        <v>226</v>
      </c>
      <c r="J45" s="26"/>
      <c r="K45" s="33" t="s">
        <v>106</v>
      </c>
      <c r="L45" s="26"/>
      <c r="M45" s="33" t="s">
        <v>227</v>
      </c>
      <c r="N45" s="26"/>
      <c r="O45" s="33" t="s">
        <v>166</v>
      </c>
      <c r="P45" s="33"/>
      <c r="Q45" s="33" t="s">
        <v>229</v>
      </c>
      <c r="R45" s="33"/>
      <c r="S45" s="33"/>
      <c r="T45" s="29"/>
      <c r="U45" s="29"/>
      <c r="V45" s="196"/>
      <c r="W45" s="6"/>
    </row>
    <row r="46" spans="1:23" ht="15.6">
      <c r="A46" s="25"/>
      <c r="B46" s="26"/>
      <c r="C46" s="26"/>
      <c r="D46" s="26"/>
      <c r="E46" s="26"/>
      <c r="F46" s="26"/>
      <c r="G46" s="26"/>
      <c r="H46" s="26"/>
      <c r="I46" s="26"/>
      <c r="J46" s="26"/>
      <c r="K46" s="26"/>
      <c r="L46" s="26"/>
      <c r="M46" s="47"/>
      <c r="N46" s="47"/>
      <c r="O46" s="26"/>
      <c r="P46" s="47"/>
      <c r="Q46" s="47"/>
      <c r="R46" s="47"/>
      <c r="S46" s="47"/>
      <c r="T46" s="47"/>
      <c r="U46" s="47"/>
      <c r="V46" s="196"/>
      <c r="W46" s="6"/>
    </row>
    <row r="47" spans="1:23" ht="15.6">
      <c r="A47" s="25"/>
      <c r="B47" s="26" t="s">
        <v>201</v>
      </c>
      <c r="C47" s="26"/>
      <c r="D47" s="26"/>
      <c r="E47" s="26"/>
      <c r="F47" s="26"/>
      <c r="G47" s="26"/>
      <c r="H47" s="26"/>
      <c r="I47" s="26"/>
      <c r="J47" s="26"/>
      <c r="K47" s="26"/>
      <c r="L47" s="26"/>
      <c r="M47" s="26"/>
      <c r="N47" s="26"/>
      <c r="O47" s="26"/>
      <c r="P47" s="26"/>
      <c r="Q47" s="26"/>
      <c r="R47" s="26"/>
      <c r="S47" s="26"/>
      <c r="T47" s="26"/>
      <c r="U47" s="45">
        <f>SUM(G31:Q31)/(C31+E31)</f>
        <v>0.3888888888888889</v>
      </c>
      <c r="V47" s="196"/>
      <c r="W47" s="6"/>
    </row>
    <row r="48" spans="1:23" ht="15.6">
      <c r="A48" s="25"/>
      <c r="B48" s="26" t="s">
        <v>202</v>
      </c>
      <c r="C48" s="26"/>
      <c r="D48" s="26"/>
      <c r="E48" s="26"/>
      <c r="F48" s="26"/>
      <c r="G48" s="26"/>
      <c r="H48" s="26"/>
      <c r="I48" s="26"/>
      <c r="J48" s="26"/>
      <c r="K48" s="26"/>
      <c r="L48" s="26"/>
      <c r="M48" s="26"/>
      <c r="N48" s="26"/>
      <c r="O48" s="26"/>
      <c r="P48" s="26"/>
      <c r="Q48" s="26"/>
      <c r="R48" s="26"/>
      <c r="S48" s="26"/>
      <c r="T48" s="26"/>
      <c r="U48" s="45">
        <f>SUM(F33:Q33)/(C33+E33)</f>
        <v>0.3888888888888889</v>
      </c>
      <c r="V48" s="196"/>
      <c r="W48" s="6"/>
    </row>
    <row r="49" spans="1:23" ht="15.6">
      <c r="A49" s="25"/>
      <c r="B49" s="26" t="s">
        <v>203</v>
      </c>
      <c r="C49" s="26"/>
      <c r="D49" s="26"/>
      <c r="E49" s="26"/>
      <c r="F49" s="26"/>
      <c r="G49" s="26"/>
      <c r="H49" s="26"/>
      <c r="I49" s="26"/>
      <c r="J49" s="26"/>
      <c r="K49" s="26"/>
      <c r="L49" s="26"/>
      <c r="M49" s="26"/>
      <c r="N49" s="26"/>
      <c r="O49" s="26"/>
      <c r="P49" s="26"/>
      <c r="Q49" s="26"/>
      <c r="R49" s="26"/>
      <c r="S49" s="33" t="s">
        <v>95</v>
      </c>
      <c r="T49" s="33" t="s">
        <v>117</v>
      </c>
      <c r="U49" s="34">
        <v>99000</v>
      </c>
      <c r="V49" s="196"/>
      <c r="W49" s="6"/>
    </row>
    <row r="50" spans="1:23" ht="15.6">
      <c r="A50" s="25"/>
      <c r="B50" s="26"/>
      <c r="C50" s="26"/>
      <c r="D50" s="26"/>
      <c r="E50" s="26"/>
      <c r="F50" s="26"/>
      <c r="G50" s="26"/>
      <c r="H50" s="26"/>
      <c r="I50" s="26"/>
      <c r="J50" s="26"/>
      <c r="K50" s="26"/>
      <c r="L50" s="26"/>
      <c r="M50" s="26"/>
      <c r="N50" s="26"/>
      <c r="O50" s="26"/>
      <c r="P50" s="26"/>
      <c r="Q50" s="26"/>
      <c r="R50" s="26"/>
      <c r="S50" s="26" t="s">
        <v>213</v>
      </c>
      <c r="T50" s="26"/>
      <c r="U50" s="48"/>
      <c r="V50" s="196"/>
      <c r="W50" s="6"/>
    </row>
    <row r="51" spans="1:23" ht="15.6">
      <c r="A51" s="25"/>
      <c r="B51" s="26" t="s">
        <v>19</v>
      </c>
      <c r="C51" s="26"/>
      <c r="D51" s="26"/>
      <c r="E51" s="26"/>
      <c r="F51" s="26"/>
      <c r="G51" s="26"/>
      <c r="H51" s="26"/>
      <c r="I51" s="26"/>
      <c r="J51" s="26"/>
      <c r="K51" s="26"/>
      <c r="L51" s="26"/>
      <c r="M51" s="26"/>
      <c r="N51" s="26"/>
      <c r="O51" s="26"/>
      <c r="P51" s="26"/>
      <c r="Q51" s="26"/>
      <c r="R51" s="26"/>
      <c r="S51" s="33"/>
      <c r="T51" s="33"/>
      <c r="U51" s="33" t="s">
        <v>118</v>
      </c>
      <c r="V51" s="196"/>
      <c r="W51" s="6"/>
    </row>
    <row r="52" spans="1:23" ht="15.6">
      <c r="A52" s="40"/>
      <c r="B52" s="30" t="s">
        <v>20</v>
      </c>
      <c r="C52" s="30"/>
      <c r="D52" s="30"/>
      <c r="E52" s="30"/>
      <c r="F52" s="30"/>
      <c r="G52" s="30"/>
      <c r="H52" s="30"/>
      <c r="I52" s="30"/>
      <c r="J52" s="30"/>
      <c r="K52" s="30"/>
      <c r="L52" s="30"/>
      <c r="M52" s="30"/>
      <c r="N52" s="30"/>
      <c r="O52" s="30"/>
      <c r="P52" s="30"/>
      <c r="Q52" s="30"/>
      <c r="R52" s="30"/>
      <c r="S52" s="49"/>
      <c r="T52" s="49"/>
      <c r="U52" s="50">
        <v>39188</v>
      </c>
      <c r="V52" s="198"/>
      <c r="W52" s="6"/>
    </row>
    <row r="53" spans="1:23" ht="15.6">
      <c r="A53" s="25"/>
      <c r="B53" s="26" t="s">
        <v>155</v>
      </c>
      <c r="C53" s="26"/>
      <c r="D53" s="26"/>
      <c r="E53" s="26"/>
      <c r="F53" s="26"/>
      <c r="G53" s="26"/>
      <c r="H53" s="26"/>
      <c r="I53" s="26"/>
      <c r="J53" s="26"/>
      <c r="K53" s="26"/>
      <c r="L53" s="26"/>
      <c r="M53" s="26"/>
      <c r="N53" s="26"/>
      <c r="O53" s="26"/>
      <c r="P53" s="26"/>
      <c r="Q53" s="29"/>
      <c r="R53" s="26">
        <f>U53-S53+1</f>
        <v>91</v>
      </c>
      <c r="S53" s="52">
        <v>39006</v>
      </c>
      <c r="T53" s="53"/>
      <c r="U53" s="52">
        <v>39096</v>
      </c>
      <c r="V53" s="196"/>
      <c r="W53" s="6"/>
    </row>
    <row r="54" spans="1:23" ht="15.6">
      <c r="A54" s="25"/>
      <c r="B54" s="26" t="s">
        <v>156</v>
      </c>
      <c r="C54" s="26"/>
      <c r="D54" s="26"/>
      <c r="E54" s="26"/>
      <c r="F54" s="26"/>
      <c r="G54" s="26"/>
      <c r="H54" s="26"/>
      <c r="I54" s="26"/>
      <c r="J54" s="26"/>
      <c r="K54" s="26"/>
      <c r="L54" s="26"/>
      <c r="M54" s="26"/>
      <c r="N54" s="26"/>
      <c r="O54" s="26"/>
      <c r="P54" s="26"/>
      <c r="Q54" s="29"/>
      <c r="R54" s="26">
        <f>U54-S54+1</f>
        <v>91</v>
      </c>
      <c r="S54" s="52">
        <v>39097</v>
      </c>
      <c r="T54" s="53"/>
      <c r="U54" s="52">
        <v>39187</v>
      </c>
      <c r="V54" s="196"/>
      <c r="W54" s="6"/>
    </row>
    <row r="55" spans="1:23" ht="15.6">
      <c r="A55" s="25"/>
      <c r="B55" s="26" t="s">
        <v>21</v>
      </c>
      <c r="C55" s="26"/>
      <c r="D55" s="26"/>
      <c r="E55" s="26"/>
      <c r="F55" s="26"/>
      <c r="G55" s="26"/>
      <c r="H55" s="26"/>
      <c r="I55" s="26"/>
      <c r="J55" s="26"/>
      <c r="K55" s="26"/>
      <c r="L55" s="26"/>
      <c r="M55" s="26"/>
      <c r="N55" s="26"/>
      <c r="O55" s="26"/>
      <c r="P55" s="26"/>
      <c r="Q55" s="26"/>
      <c r="R55" s="26"/>
      <c r="S55" s="52"/>
      <c r="T55" s="53"/>
      <c r="U55" s="52" t="s">
        <v>119</v>
      </c>
      <c r="V55" s="196"/>
      <c r="W55" s="6"/>
    </row>
    <row r="56" spans="1:23" ht="15.6">
      <c r="A56" s="25"/>
      <c r="B56" s="26" t="s">
        <v>22</v>
      </c>
      <c r="C56" s="26"/>
      <c r="D56" s="26"/>
      <c r="E56" s="26"/>
      <c r="F56" s="26"/>
      <c r="G56" s="26"/>
      <c r="H56" s="26"/>
      <c r="I56" s="26"/>
      <c r="J56" s="26"/>
      <c r="K56" s="26"/>
      <c r="L56" s="26"/>
      <c r="M56" s="26"/>
      <c r="N56" s="26"/>
      <c r="O56" s="26"/>
      <c r="P56" s="26"/>
      <c r="Q56" s="26"/>
      <c r="R56" s="26"/>
      <c r="S56" s="52"/>
      <c r="T56" s="53"/>
      <c r="U56" s="52">
        <v>39174</v>
      </c>
      <c r="V56" s="196"/>
      <c r="W56" s="6"/>
    </row>
    <row r="57" spans="1:23" ht="15.6">
      <c r="A57" s="25"/>
      <c r="B57" s="26"/>
      <c r="C57" s="26"/>
      <c r="D57" s="26"/>
      <c r="E57" s="26"/>
      <c r="F57" s="26"/>
      <c r="G57" s="26"/>
      <c r="H57" s="26"/>
      <c r="I57" s="26"/>
      <c r="J57" s="26"/>
      <c r="K57" s="26"/>
      <c r="L57" s="26"/>
      <c r="M57" s="26"/>
      <c r="N57" s="26"/>
      <c r="O57" s="26"/>
      <c r="P57" s="26"/>
      <c r="Q57" s="26"/>
      <c r="R57" s="26"/>
      <c r="S57" s="26"/>
      <c r="T57" s="26"/>
      <c r="U57" s="54"/>
      <c r="V57" s="196"/>
      <c r="W57" s="6"/>
    </row>
    <row r="58" spans="1:23" ht="15.6">
      <c r="A58" s="7"/>
      <c r="B58" s="9"/>
      <c r="C58" s="9"/>
      <c r="D58" s="9"/>
      <c r="E58" s="9"/>
      <c r="F58" s="9"/>
      <c r="G58" s="9"/>
      <c r="H58" s="9"/>
      <c r="I58" s="9"/>
      <c r="J58" s="9"/>
      <c r="K58" s="9"/>
      <c r="L58" s="9"/>
      <c r="M58" s="9"/>
      <c r="N58" s="9"/>
      <c r="O58" s="9"/>
      <c r="P58" s="9"/>
      <c r="Q58" s="9"/>
      <c r="R58" s="9"/>
      <c r="S58" s="9"/>
      <c r="T58" s="9"/>
      <c r="U58" s="55"/>
      <c r="V58" s="194"/>
      <c r="W58" s="6"/>
    </row>
    <row r="59" spans="1:23" ht="16.2" thickBot="1">
      <c r="A59" s="130"/>
      <c r="B59" s="131" t="s">
        <v>243</v>
      </c>
      <c r="C59" s="132"/>
      <c r="D59" s="132"/>
      <c r="E59" s="132"/>
      <c r="F59" s="132"/>
      <c r="G59" s="132"/>
      <c r="H59" s="132"/>
      <c r="I59" s="132"/>
      <c r="J59" s="132"/>
      <c r="K59" s="132"/>
      <c r="L59" s="132"/>
      <c r="M59" s="132"/>
      <c r="N59" s="132"/>
      <c r="O59" s="132"/>
      <c r="P59" s="132"/>
      <c r="Q59" s="132"/>
      <c r="R59" s="132"/>
      <c r="S59" s="132"/>
      <c r="T59" s="132"/>
      <c r="U59" s="133"/>
      <c r="V59" s="134"/>
      <c r="W59" s="6"/>
    </row>
    <row r="60" spans="1:23" ht="15.6">
      <c r="A60" s="2"/>
      <c r="B60" s="5" t="s">
        <v>237</v>
      </c>
      <c r="C60" s="5"/>
      <c r="D60" s="5"/>
      <c r="E60" s="5"/>
      <c r="F60" s="5"/>
      <c r="G60" s="5"/>
      <c r="H60" s="5"/>
      <c r="I60" s="5"/>
      <c r="J60" s="5"/>
      <c r="K60" s="5"/>
      <c r="L60" s="5"/>
      <c r="M60" s="5"/>
      <c r="N60" s="5"/>
      <c r="O60" s="5"/>
      <c r="P60" s="5"/>
      <c r="Q60" s="5"/>
      <c r="R60" s="5"/>
      <c r="S60" s="5"/>
      <c r="T60" s="5"/>
      <c r="U60" s="56"/>
      <c r="V60" s="193"/>
      <c r="W60" s="6"/>
    </row>
    <row r="61" spans="1:23" ht="15.6">
      <c r="A61" s="7"/>
      <c r="B61" s="57" t="s">
        <v>23</v>
      </c>
      <c r="C61" s="13"/>
      <c r="D61" s="13"/>
      <c r="E61" s="13"/>
      <c r="F61" s="13"/>
      <c r="G61" s="13"/>
      <c r="H61" s="13"/>
      <c r="I61" s="13"/>
      <c r="J61" s="13"/>
      <c r="K61" s="13"/>
      <c r="L61" s="13"/>
      <c r="M61" s="9"/>
      <c r="N61" s="9"/>
      <c r="O61" s="9"/>
      <c r="P61" s="9"/>
      <c r="Q61" s="9"/>
      <c r="R61" s="9"/>
      <c r="S61" s="9"/>
      <c r="T61" s="9"/>
      <c r="U61" s="58"/>
      <c r="V61" s="194"/>
      <c r="W61" s="6"/>
    </row>
    <row r="62" spans="1:23" ht="15.6">
      <c r="A62" s="7"/>
      <c r="B62" s="13"/>
      <c r="C62" s="13"/>
      <c r="D62" s="13"/>
      <c r="E62" s="13"/>
      <c r="F62" s="13"/>
      <c r="G62" s="13"/>
      <c r="H62" s="13"/>
      <c r="I62" s="13"/>
      <c r="J62" s="13"/>
      <c r="K62" s="13"/>
      <c r="L62" s="13"/>
      <c r="M62" s="9"/>
      <c r="N62" s="9"/>
      <c r="O62" s="9"/>
      <c r="P62" s="9"/>
      <c r="Q62" s="9"/>
      <c r="R62" s="9"/>
      <c r="S62" s="9"/>
      <c r="T62" s="9"/>
      <c r="U62" s="58"/>
      <c r="V62" s="194"/>
      <c r="W62" s="6"/>
    </row>
    <row r="63" spans="1:23" s="151" customFormat="1" ht="46.8">
      <c r="A63" s="145"/>
      <c r="B63" s="146"/>
      <c r="C63" s="147"/>
      <c r="D63" s="147"/>
      <c r="E63" s="147"/>
      <c r="F63" s="147"/>
      <c r="G63" s="147"/>
      <c r="H63" s="147"/>
      <c r="I63" s="147"/>
      <c r="J63" s="147"/>
      <c r="K63" s="147" t="s">
        <v>197</v>
      </c>
      <c r="L63" s="147"/>
      <c r="M63" s="147" t="s">
        <v>98</v>
      </c>
      <c r="N63" s="147"/>
      <c r="O63" s="147" t="s">
        <v>107</v>
      </c>
      <c r="P63" s="147"/>
      <c r="Q63" s="147" t="s">
        <v>111</v>
      </c>
      <c r="R63" s="147"/>
      <c r="S63" s="147" t="s">
        <v>113</v>
      </c>
      <c r="T63" s="147"/>
      <c r="U63" s="148" t="s">
        <v>120</v>
      </c>
      <c r="V63" s="199"/>
      <c r="W63" s="150"/>
    </row>
    <row r="64" spans="1:23" ht="15.6">
      <c r="A64" s="25"/>
      <c r="B64" s="26" t="s">
        <v>24</v>
      </c>
      <c r="C64" s="59"/>
      <c r="D64" s="59"/>
      <c r="E64" s="59"/>
      <c r="F64" s="59"/>
      <c r="G64" s="59"/>
      <c r="H64" s="59"/>
      <c r="I64" s="59"/>
      <c r="J64" s="59"/>
      <c r="K64" s="59">
        <f>265+63566+3306</f>
        <v>67137</v>
      </c>
      <c r="L64" s="59"/>
      <c r="M64" s="59">
        <v>43841</v>
      </c>
      <c r="N64" s="59"/>
      <c r="O64" s="59">
        <f>11+4335+107+605+1</f>
        <v>5059</v>
      </c>
      <c r="P64" s="59"/>
      <c r="Q64" s="59">
        <v>2823</v>
      </c>
      <c r="R64" s="59"/>
      <c r="S64" s="59">
        <v>0</v>
      </c>
      <c r="T64" s="59"/>
      <c r="U64" s="60">
        <f>+M64-O64+Q64-S64</f>
        <v>41605</v>
      </c>
      <c r="V64" s="196"/>
      <c r="W64" s="6"/>
    </row>
    <row r="65" spans="1:24" ht="15.6">
      <c r="A65" s="25"/>
      <c r="B65" s="26" t="s">
        <v>25</v>
      </c>
      <c r="C65" s="59"/>
      <c r="D65" s="59"/>
      <c r="E65" s="59"/>
      <c r="F65" s="59"/>
      <c r="G65" s="59"/>
      <c r="H65" s="59"/>
      <c r="I65" s="59"/>
      <c r="J65" s="59"/>
      <c r="K65" s="59"/>
      <c r="L65" s="59"/>
      <c r="M65" s="59"/>
      <c r="N65" s="59"/>
      <c r="O65" s="59"/>
      <c r="P65" s="59"/>
      <c r="Q65" s="59">
        <v>0</v>
      </c>
      <c r="R65" s="59"/>
      <c r="S65" s="59">
        <v>0</v>
      </c>
      <c r="T65" s="59"/>
      <c r="U65" s="60">
        <f>M65-O65</f>
        <v>0</v>
      </c>
      <c r="V65" s="196"/>
      <c r="W65" s="6"/>
    </row>
    <row r="66" spans="1:24" ht="15.6">
      <c r="A66" s="25"/>
      <c r="B66" s="26"/>
      <c r="C66" s="59"/>
      <c r="D66" s="59"/>
      <c r="E66" s="59"/>
      <c r="F66" s="59"/>
      <c r="G66" s="59"/>
      <c r="H66" s="59"/>
      <c r="I66" s="59"/>
      <c r="J66" s="59"/>
      <c r="K66" s="59"/>
      <c r="L66" s="59"/>
      <c r="M66" s="59"/>
      <c r="N66" s="59"/>
      <c r="O66" s="59"/>
      <c r="P66" s="59"/>
      <c r="Q66" s="59"/>
      <c r="R66" s="59"/>
      <c r="S66" s="59"/>
      <c r="T66" s="59"/>
      <c r="U66" s="60"/>
      <c r="V66" s="196"/>
      <c r="W66" s="6"/>
    </row>
    <row r="67" spans="1:24" ht="15.6">
      <c r="A67" s="25"/>
      <c r="B67" s="26" t="s">
        <v>26</v>
      </c>
      <c r="C67" s="59"/>
      <c r="D67" s="59"/>
      <c r="E67" s="59"/>
      <c r="F67" s="59"/>
      <c r="G67" s="59"/>
      <c r="H67" s="59"/>
      <c r="I67" s="59"/>
      <c r="J67" s="59"/>
      <c r="K67" s="59">
        <v>24470</v>
      </c>
      <c r="L67" s="59"/>
      <c r="M67" s="59">
        <v>40997</v>
      </c>
      <c r="N67" s="59"/>
      <c r="O67" s="59">
        <f>15108+43</f>
        <v>15151</v>
      </c>
      <c r="P67" s="59"/>
      <c r="Q67" s="59">
        <v>15669</v>
      </c>
      <c r="R67" s="59"/>
      <c r="S67" s="59">
        <f>SUM(S64:S66)</f>
        <v>0</v>
      </c>
      <c r="T67" s="59"/>
      <c r="U67" s="60">
        <f>+M67-O67+Q67-S67</f>
        <v>41515</v>
      </c>
      <c r="V67" s="196"/>
      <c r="W67" s="6"/>
    </row>
    <row r="68" spans="1:24" ht="15.6">
      <c r="A68" s="25"/>
      <c r="B68" s="26" t="s">
        <v>25</v>
      </c>
      <c r="C68" s="59"/>
      <c r="D68" s="59"/>
      <c r="E68" s="59"/>
      <c r="F68" s="59"/>
      <c r="G68" s="59"/>
      <c r="H68" s="59"/>
      <c r="I68" s="59"/>
      <c r="J68" s="59"/>
      <c r="K68" s="59"/>
      <c r="L68" s="59"/>
      <c r="M68" s="59"/>
      <c r="N68" s="59"/>
      <c r="O68" s="59"/>
      <c r="P68" s="59"/>
      <c r="Q68" s="59">
        <v>0</v>
      </c>
      <c r="R68" s="59"/>
      <c r="S68" s="59">
        <v>0</v>
      </c>
      <c r="T68" s="59"/>
      <c r="U68" s="61"/>
      <c r="V68" s="196"/>
      <c r="W68" s="6"/>
    </row>
    <row r="69" spans="1:24" ht="15.6">
      <c r="A69" s="25"/>
      <c r="B69" s="62"/>
      <c r="C69" s="59"/>
      <c r="D69" s="59"/>
      <c r="E69" s="59"/>
      <c r="F69" s="59"/>
      <c r="G69" s="59"/>
      <c r="H69" s="59"/>
      <c r="I69" s="59"/>
      <c r="J69" s="59"/>
      <c r="K69" s="59"/>
      <c r="L69" s="59"/>
      <c r="M69" s="59"/>
      <c r="N69" s="59"/>
      <c r="O69" s="63"/>
      <c r="P69" s="59"/>
      <c r="Q69" s="59"/>
      <c r="R69" s="59"/>
      <c r="S69" s="59"/>
      <c r="T69" s="59"/>
      <c r="U69" s="61"/>
      <c r="V69" s="196"/>
      <c r="W69" s="6"/>
    </row>
    <row r="70" spans="1:24" ht="15.6">
      <c r="A70" s="25"/>
      <c r="B70" s="26" t="s">
        <v>27</v>
      </c>
      <c r="C70" s="59"/>
      <c r="D70" s="59"/>
      <c r="E70" s="59"/>
      <c r="F70" s="59"/>
      <c r="G70" s="59"/>
      <c r="H70" s="59"/>
      <c r="I70" s="59"/>
      <c r="J70" s="59"/>
      <c r="K70" s="59">
        <v>220072</v>
      </c>
      <c r="L70" s="59"/>
      <c r="M70" s="59">
        <v>181842</v>
      </c>
      <c r="N70" s="59"/>
      <c r="O70" s="59">
        <f>20131+404</f>
        <v>20535</v>
      </c>
      <c r="P70" s="59"/>
      <c r="Q70" s="59">
        <f>22197+383</f>
        <v>22580</v>
      </c>
      <c r="R70" s="59"/>
      <c r="S70" s="59">
        <v>0</v>
      </c>
      <c r="T70" s="59"/>
      <c r="U70" s="60">
        <f>+M70-O70+Q70-S70</f>
        <v>183887</v>
      </c>
      <c r="V70" s="196"/>
      <c r="W70" s="6"/>
    </row>
    <row r="71" spans="1:24" ht="15.6">
      <c r="A71" s="25"/>
      <c r="B71" s="26" t="s">
        <v>25</v>
      </c>
      <c r="C71" s="59"/>
      <c r="D71" s="59"/>
      <c r="E71" s="59"/>
      <c r="F71" s="59"/>
      <c r="G71" s="59"/>
      <c r="H71" s="59"/>
      <c r="I71" s="59"/>
      <c r="J71" s="59"/>
      <c r="K71" s="59"/>
      <c r="L71" s="59"/>
      <c r="M71" s="59"/>
      <c r="N71" s="59"/>
      <c r="O71" s="59"/>
      <c r="P71" s="59"/>
      <c r="Q71" s="59">
        <v>0</v>
      </c>
      <c r="R71" s="59"/>
      <c r="S71" s="59">
        <v>0</v>
      </c>
      <c r="T71" s="59"/>
      <c r="U71" s="60">
        <f>M71-O71+Q71-S71</f>
        <v>0</v>
      </c>
      <c r="V71" s="196"/>
      <c r="W71" s="6"/>
    </row>
    <row r="72" spans="1:24" ht="15.6">
      <c r="A72" s="25"/>
      <c r="B72" s="26"/>
      <c r="C72" s="59"/>
      <c r="D72" s="59"/>
      <c r="E72" s="59"/>
      <c r="F72" s="59"/>
      <c r="G72" s="59"/>
      <c r="H72" s="59"/>
      <c r="I72" s="59"/>
      <c r="J72" s="59"/>
      <c r="K72" s="59"/>
      <c r="L72" s="59"/>
      <c r="M72" s="59"/>
      <c r="N72" s="59"/>
      <c r="O72" s="59"/>
      <c r="P72" s="59"/>
      <c r="Q72" s="59"/>
      <c r="R72" s="59"/>
      <c r="S72" s="59"/>
      <c r="T72" s="59"/>
      <c r="U72" s="60"/>
      <c r="V72" s="196"/>
      <c r="W72" s="6"/>
    </row>
    <row r="73" spans="1:24" ht="15.6">
      <c r="A73" s="25"/>
      <c r="B73" s="26" t="s">
        <v>28</v>
      </c>
      <c r="C73" s="59"/>
      <c r="D73" s="59"/>
      <c r="E73" s="59"/>
      <c r="F73" s="59"/>
      <c r="G73" s="59"/>
      <c r="H73" s="59"/>
      <c r="I73" s="59"/>
      <c r="J73" s="59"/>
      <c r="K73" s="59">
        <v>138321</v>
      </c>
      <c r="L73" s="59"/>
      <c r="M73" s="59">
        <v>132062</v>
      </c>
      <c r="N73" s="59"/>
      <c r="O73" s="59">
        <f>1320+17119</f>
        <v>18439</v>
      </c>
      <c r="P73" s="59"/>
      <c r="Q73" s="59">
        <v>15744</v>
      </c>
      <c r="R73" s="59"/>
      <c r="S73" s="59">
        <v>0</v>
      </c>
      <c r="T73" s="59"/>
      <c r="U73" s="60">
        <f>+M73-O73+Q73-S73</f>
        <v>129367</v>
      </c>
      <c r="V73" s="196"/>
      <c r="W73" s="6"/>
    </row>
    <row r="74" spans="1:24" ht="15.6">
      <c r="A74" s="25"/>
      <c r="B74" s="26" t="s">
        <v>25</v>
      </c>
      <c r="C74" s="59"/>
      <c r="D74" s="59"/>
      <c r="E74" s="59"/>
      <c r="F74" s="59"/>
      <c r="G74" s="59"/>
      <c r="H74" s="59"/>
      <c r="I74" s="59"/>
      <c r="J74" s="59"/>
      <c r="K74" s="59"/>
      <c r="L74" s="59"/>
      <c r="M74" s="59"/>
      <c r="N74" s="59"/>
      <c r="O74" s="59"/>
      <c r="P74" s="59"/>
      <c r="Q74" s="59">
        <v>0</v>
      </c>
      <c r="R74" s="59"/>
      <c r="S74" s="59">
        <v>0</v>
      </c>
      <c r="T74" s="59"/>
      <c r="U74" s="60"/>
      <c r="V74" s="196"/>
      <c r="W74" s="6"/>
    </row>
    <row r="75" spans="1:24" ht="15.6">
      <c r="A75" s="25"/>
      <c r="B75" s="59"/>
      <c r="C75" s="59"/>
      <c r="D75" s="59"/>
      <c r="E75" s="59"/>
      <c r="F75" s="59"/>
      <c r="G75" s="59"/>
      <c r="H75" s="59"/>
      <c r="I75" s="59"/>
      <c r="J75" s="59"/>
      <c r="K75" s="59"/>
      <c r="L75" s="59"/>
      <c r="M75" s="59"/>
      <c r="N75" s="59"/>
      <c r="O75" s="59"/>
      <c r="P75" s="59"/>
      <c r="Q75" s="59"/>
      <c r="R75" s="59"/>
      <c r="S75" s="59"/>
      <c r="T75" s="59"/>
      <c r="U75" s="60"/>
      <c r="V75" s="196"/>
      <c r="W75" s="6"/>
    </row>
    <row r="76" spans="1:24" ht="15.6">
      <c r="A76" s="25"/>
      <c r="B76" s="26" t="s">
        <v>29</v>
      </c>
      <c r="C76" s="59"/>
      <c r="D76" s="59"/>
      <c r="E76" s="59"/>
      <c r="F76" s="59"/>
      <c r="G76" s="59"/>
      <c r="H76" s="59"/>
      <c r="I76" s="59"/>
      <c r="J76" s="59"/>
      <c r="K76" s="59">
        <f>SUM(K64:K73)</f>
        <v>450000</v>
      </c>
      <c r="L76" s="59"/>
      <c r="M76" s="59">
        <f>SUM(M64:M73)</f>
        <v>398742</v>
      </c>
      <c r="N76" s="59"/>
      <c r="O76" s="59">
        <f>SUM(O64:O74)</f>
        <v>59184</v>
      </c>
      <c r="P76" s="59"/>
      <c r="Q76" s="59">
        <f>SUM(Q64:Q74)</f>
        <v>56816</v>
      </c>
      <c r="R76" s="59"/>
      <c r="S76" s="59">
        <f>SUM(S71:S75)</f>
        <v>0</v>
      </c>
      <c r="T76" s="59"/>
      <c r="U76" s="59">
        <f>SUM(U64:U74)</f>
        <v>396374</v>
      </c>
      <c r="V76" s="196"/>
      <c r="W76" s="6"/>
      <c r="X76" s="182"/>
    </row>
    <row r="77" spans="1:24" ht="15.6">
      <c r="A77" s="25"/>
      <c r="B77" s="26"/>
      <c r="C77" s="59"/>
      <c r="D77" s="59"/>
      <c r="E77" s="59"/>
      <c r="F77" s="59"/>
      <c r="G77" s="59"/>
      <c r="H77" s="59"/>
      <c r="I77" s="59"/>
      <c r="J77" s="59"/>
      <c r="K77" s="59"/>
      <c r="L77" s="59"/>
      <c r="M77" s="59"/>
      <c r="N77" s="59"/>
      <c r="O77" s="59"/>
      <c r="P77" s="59"/>
      <c r="Q77" s="59"/>
      <c r="R77" s="59"/>
      <c r="S77" s="59"/>
      <c r="T77" s="59"/>
      <c r="U77" s="61"/>
      <c r="V77" s="196"/>
      <c r="W77" s="6"/>
    </row>
    <row r="78" spans="1:24" ht="15.6">
      <c r="A78" s="25"/>
      <c r="B78" s="26" t="s">
        <v>214</v>
      </c>
      <c r="C78" s="59"/>
      <c r="D78" s="59"/>
      <c r="E78" s="59"/>
      <c r="F78" s="59"/>
      <c r="G78" s="59"/>
      <c r="H78" s="59"/>
      <c r="I78" s="59"/>
      <c r="J78" s="59"/>
      <c r="K78" s="59">
        <v>0</v>
      </c>
      <c r="L78" s="59"/>
      <c r="M78" s="59">
        <v>-7060</v>
      </c>
      <c r="N78" s="59"/>
      <c r="O78" s="59">
        <v>627</v>
      </c>
      <c r="P78" s="59"/>
      <c r="Q78" s="59"/>
      <c r="R78" s="59"/>
      <c r="S78" s="59"/>
      <c r="T78" s="59"/>
      <c r="U78" s="60">
        <f>+M78-O78</f>
        <v>-7687</v>
      </c>
      <c r="V78" s="196"/>
      <c r="W78" s="6"/>
    </row>
    <row r="79" spans="1:24" ht="15.6">
      <c r="A79" s="25"/>
      <c r="B79" s="26" t="s">
        <v>30</v>
      </c>
      <c r="C79" s="59"/>
      <c r="D79" s="59"/>
      <c r="E79" s="59"/>
      <c r="F79" s="59"/>
      <c r="G79" s="59"/>
      <c r="H79" s="59"/>
      <c r="I79" s="59"/>
      <c r="J79" s="59"/>
      <c r="K79" s="59">
        <v>0</v>
      </c>
      <c r="L79" s="59"/>
      <c r="M79" s="59">
        <v>58318</v>
      </c>
      <c r="N79" s="59"/>
      <c r="O79" s="59">
        <f>SUM(O76:O78)</f>
        <v>59811</v>
      </c>
      <c r="P79" s="59"/>
      <c r="Q79" s="59">
        <f>-Q76</f>
        <v>-56816</v>
      </c>
      <c r="R79" s="59"/>
      <c r="S79" s="59"/>
      <c r="T79" s="59"/>
      <c r="U79" s="61">
        <f>+M79+O79+Q79</f>
        <v>61313</v>
      </c>
      <c r="V79" s="196"/>
      <c r="W79" s="6"/>
      <c r="X79" s="182"/>
    </row>
    <row r="80" spans="1:24" ht="15.6">
      <c r="A80" s="25"/>
      <c r="B80" s="26" t="s">
        <v>31</v>
      </c>
      <c r="C80" s="59"/>
      <c r="D80" s="59"/>
      <c r="E80" s="59"/>
      <c r="F80" s="59"/>
      <c r="G80" s="59"/>
      <c r="H80" s="59"/>
      <c r="I80" s="59"/>
      <c r="J80" s="59"/>
      <c r="K80" s="59">
        <v>0</v>
      </c>
      <c r="L80" s="59"/>
      <c r="M80" s="59">
        <v>0</v>
      </c>
      <c r="N80" s="59"/>
      <c r="O80" s="59"/>
      <c r="P80" s="59"/>
      <c r="Q80" s="59">
        <v>0</v>
      </c>
      <c r="R80" s="59"/>
      <c r="S80" s="59"/>
      <c r="T80" s="59"/>
      <c r="U80" s="61">
        <f>Q80+M80</f>
        <v>0</v>
      </c>
      <c r="V80" s="196"/>
      <c r="W80" s="6"/>
    </row>
    <row r="81" spans="1:24" ht="15.6">
      <c r="A81" s="25"/>
      <c r="B81" s="26" t="s">
        <v>16</v>
      </c>
      <c r="C81" s="61"/>
      <c r="D81" s="61"/>
      <c r="E81" s="61"/>
      <c r="F81" s="61"/>
      <c r="G81" s="61"/>
      <c r="H81" s="61"/>
      <c r="I81" s="61"/>
      <c r="J81" s="61"/>
      <c r="K81" s="61">
        <f>SUM(K76:K80)</f>
        <v>450000</v>
      </c>
      <c r="L81" s="61"/>
      <c r="M81" s="61">
        <f>SUM(M76:M80)</f>
        <v>450000</v>
      </c>
      <c r="N81" s="59"/>
      <c r="O81" s="59">
        <f>O79-O80</f>
        <v>59811</v>
      </c>
      <c r="P81" s="59"/>
      <c r="Q81" s="59"/>
      <c r="R81" s="59"/>
      <c r="S81" s="59"/>
      <c r="T81" s="59"/>
      <c r="U81" s="61">
        <f>SUM(U76:U80)</f>
        <v>450000</v>
      </c>
      <c r="V81" s="196"/>
      <c r="W81" s="6"/>
    </row>
    <row r="82" spans="1:24" ht="15.6">
      <c r="A82" s="25"/>
      <c r="B82" s="59"/>
      <c r="C82" s="26"/>
      <c r="D82" s="26"/>
      <c r="E82" s="26"/>
      <c r="F82" s="26"/>
      <c r="G82" s="26"/>
      <c r="H82" s="26"/>
      <c r="I82" s="26"/>
      <c r="J82" s="26"/>
      <c r="K82" s="26"/>
      <c r="L82" s="26"/>
      <c r="M82" s="26"/>
      <c r="N82" s="26"/>
      <c r="O82" s="26"/>
      <c r="P82" s="26"/>
      <c r="Q82" s="26"/>
      <c r="R82" s="26"/>
      <c r="S82" s="33"/>
      <c r="T82" s="26"/>
      <c r="U82" s="33"/>
      <c r="V82" s="196"/>
      <c r="W82" s="6"/>
    </row>
    <row r="83" spans="1:24" ht="15.6">
      <c r="A83" s="7"/>
      <c r="B83" s="57" t="s">
        <v>32</v>
      </c>
      <c r="C83" s="14"/>
      <c r="D83" s="14"/>
      <c r="E83" s="14"/>
      <c r="F83" s="14"/>
      <c r="G83" s="14"/>
      <c r="H83" s="14"/>
      <c r="I83" s="14"/>
      <c r="J83" s="14"/>
      <c r="K83" s="14"/>
      <c r="L83" s="14"/>
      <c r="M83" s="14"/>
      <c r="N83" s="14"/>
      <c r="O83" s="14"/>
      <c r="P83" s="14"/>
      <c r="Q83" s="14"/>
      <c r="R83" s="17"/>
      <c r="S83" s="17"/>
      <c r="T83" s="17"/>
      <c r="U83" s="17" t="s">
        <v>121</v>
      </c>
      <c r="V83" s="200"/>
      <c r="W83" s="6"/>
    </row>
    <row r="84" spans="1:24" ht="15.6">
      <c r="A84" s="25"/>
      <c r="B84" s="26" t="s">
        <v>33</v>
      </c>
      <c r="C84" s="26"/>
      <c r="D84" s="26"/>
      <c r="E84" s="26"/>
      <c r="F84" s="26"/>
      <c r="G84" s="26"/>
      <c r="H84" s="26"/>
      <c r="I84" s="26"/>
      <c r="J84" s="26"/>
      <c r="K84" s="26"/>
      <c r="L84" s="26"/>
      <c r="M84" s="26"/>
      <c r="N84" s="26"/>
      <c r="O84" s="59"/>
      <c r="P84" s="26"/>
      <c r="Q84" s="26"/>
      <c r="R84" s="26"/>
      <c r="S84" s="59"/>
      <c r="T84" s="26"/>
      <c r="U84" s="60">
        <v>110375</v>
      </c>
      <c r="V84" s="196"/>
      <c r="W84" s="6"/>
    </row>
    <row r="85" spans="1:24" ht="15.6">
      <c r="A85" s="25"/>
      <c r="B85" s="26" t="s">
        <v>34</v>
      </c>
      <c r="C85" s="47"/>
      <c r="D85" s="47"/>
      <c r="E85" s="47"/>
      <c r="F85" s="47"/>
      <c r="G85" s="47"/>
      <c r="H85" s="47"/>
      <c r="I85" s="47"/>
      <c r="J85" s="47"/>
      <c r="K85" s="47"/>
      <c r="L85" s="47"/>
      <c r="M85" s="51"/>
      <c r="N85" s="26"/>
      <c r="O85" s="26"/>
      <c r="P85" s="26"/>
      <c r="Q85" s="26"/>
      <c r="R85" s="26"/>
      <c r="S85" s="59"/>
      <c r="T85" s="26"/>
      <c r="U85" s="60">
        <f>1552-50+400+86-2-21-25</f>
        <v>1940</v>
      </c>
      <c r="V85" s="196"/>
      <c r="W85" s="6"/>
    </row>
    <row r="86" spans="1:24" ht="15.6">
      <c r="A86" s="25"/>
      <c r="B86" s="26" t="s">
        <v>230</v>
      </c>
      <c r="C86" s="26"/>
      <c r="D86" s="26"/>
      <c r="E86" s="26"/>
      <c r="F86" s="26"/>
      <c r="G86" s="26"/>
      <c r="H86" s="26"/>
      <c r="I86" s="26"/>
      <c r="J86" s="26"/>
      <c r="K86" s="26"/>
      <c r="L86" s="26"/>
      <c r="M86" s="26"/>
      <c r="N86" s="26"/>
      <c r="O86" s="26"/>
      <c r="P86" s="26"/>
      <c r="Q86" s="26"/>
      <c r="R86" s="26"/>
      <c r="S86" s="59"/>
      <c r="T86" s="26"/>
      <c r="U86" s="60">
        <v>0</v>
      </c>
      <c r="V86" s="196"/>
      <c r="W86" s="6"/>
      <c r="X86" s="64"/>
    </row>
    <row r="87" spans="1:24" ht="15.6">
      <c r="A87" s="25"/>
      <c r="B87" s="26" t="s">
        <v>231</v>
      </c>
      <c r="C87" s="26"/>
      <c r="D87" s="26"/>
      <c r="E87" s="26"/>
      <c r="F87" s="26"/>
      <c r="G87" s="26"/>
      <c r="H87" s="26"/>
      <c r="I87" s="26"/>
      <c r="J87" s="26"/>
      <c r="K87" s="26"/>
      <c r="L87" s="26"/>
      <c r="M87" s="26"/>
      <c r="N87" s="26"/>
      <c r="O87" s="26"/>
      <c r="P87" s="26"/>
      <c r="Q87" s="26"/>
      <c r="R87" s="26"/>
      <c r="S87" s="59"/>
      <c r="T87" s="26"/>
      <c r="U87" s="60">
        <v>0</v>
      </c>
      <c r="V87" s="196"/>
      <c r="W87" s="6"/>
      <c r="X87" s="64"/>
    </row>
    <row r="88" spans="1:24" ht="15.6">
      <c r="A88" s="25"/>
      <c r="B88" s="26" t="s">
        <v>35</v>
      </c>
      <c r="C88" s="26"/>
      <c r="D88" s="26"/>
      <c r="E88" s="26"/>
      <c r="F88" s="26"/>
      <c r="G88" s="26"/>
      <c r="H88" s="26"/>
      <c r="I88" s="26"/>
      <c r="J88" s="26"/>
      <c r="K88" s="26"/>
      <c r="L88" s="26"/>
      <c r="M88" s="26"/>
      <c r="N88" s="26"/>
      <c r="O88" s="26"/>
      <c r="P88" s="26"/>
      <c r="Q88" s="26"/>
      <c r="R88" s="26"/>
      <c r="S88" s="59"/>
      <c r="T88" s="26"/>
      <c r="U88" s="60">
        <f>SUM(U84:U87)</f>
        <v>112315</v>
      </c>
      <c r="V88" s="196"/>
      <c r="W88" s="6"/>
      <c r="X88" s="64"/>
    </row>
    <row r="89" spans="1:24" ht="15.6">
      <c r="A89" s="25"/>
      <c r="B89" s="26"/>
      <c r="C89" s="26"/>
      <c r="D89" s="26"/>
      <c r="E89" s="26"/>
      <c r="F89" s="26"/>
      <c r="G89" s="26"/>
      <c r="H89" s="26"/>
      <c r="I89" s="26"/>
      <c r="J89" s="26"/>
      <c r="K89" s="26"/>
      <c r="L89" s="26"/>
      <c r="M89" s="26"/>
      <c r="N89" s="26"/>
      <c r="O89" s="26"/>
      <c r="P89" s="26"/>
      <c r="Q89" s="26"/>
      <c r="R89" s="26"/>
      <c r="S89" s="59"/>
      <c r="T89" s="26"/>
      <c r="U89" s="61"/>
      <c r="V89" s="196"/>
      <c r="W89" s="6"/>
    </row>
    <row r="90" spans="1:24" ht="15.6">
      <c r="A90" s="25"/>
      <c r="B90" s="152" t="s">
        <v>36</v>
      </c>
      <c r="C90" s="65"/>
      <c r="D90" s="65"/>
      <c r="E90" s="65"/>
      <c r="F90" s="65"/>
      <c r="G90" s="65"/>
      <c r="H90" s="65"/>
      <c r="I90" s="65"/>
      <c r="J90" s="65"/>
      <c r="K90" s="65"/>
      <c r="L90" s="65"/>
      <c r="M90" s="26"/>
      <c r="N90" s="26"/>
      <c r="O90" s="26"/>
      <c r="P90" s="26"/>
      <c r="Q90" s="26"/>
      <c r="R90" s="26"/>
      <c r="S90" s="59"/>
      <c r="T90" s="26"/>
      <c r="U90" s="60"/>
      <c r="V90" s="196"/>
      <c r="W90" s="6"/>
      <c r="X90" s="64"/>
    </row>
    <row r="91" spans="1:24" ht="15.6">
      <c r="A91" s="25">
        <v>1</v>
      </c>
      <c r="B91" s="26" t="s">
        <v>37</v>
      </c>
      <c r="C91" s="26"/>
      <c r="D91" s="26"/>
      <c r="E91" s="26"/>
      <c r="F91" s="26"/>
      <c r="G91" s="26"/>
      <c r="H91" s="26"/>
      <c r="I91" s="26"/>
      <c r="J91" s="26"/>
      <c r="K91" s="26"/>
      <c r="L91" s="26"/>
      <c r="M91" s="26"/>
      <c r="N91" s="26"/>
      <c r="O91" s="26"/>
      <c r="P91" s="26"/>
      <c r="Q91" s="26"/>
      <c r="R91" s="26"/>
      <c r="S91" s="26"/>
      <c r="T91" s="26"/>
      <c r="U91" s="60">
        <v>-2</v>
      </c>
      <c r="V91" s="196"/>
      <c r="W91" s="6"/>
    </row>
    <row r="92" spans="1:24" ht="15.6">
      <c r="A92" s="25">
        <f>A91+1</f>
        <v>2</v>
      </c>
      <c r="B92" s="26" t="s">
        <v>168</v>
      </c>
      <c r="C92" s="26"/>
      <c r="D92" s="26"/>
      <c r="E92" s="26"/>
      <c r="F92" s="26"/>
      <c r="G92" s="26"/>
      <c r="H92" s="26"/>
      <c r="I92" s="26"/>
      <c r="J92" s="26"/>
      <c r="K92" s="26"/>
      <c r="L92" s="26"/>
      <c r="M92" s="26"/>
      <c r="N92" s="26"/>
      <c r="O92" s="26"/>
      <c r="P92" s="26"/>
      <c r="Q92" s="26"/>
      <c r="R92" s="26"/>
      <c r="S92" s="26"/>
      <c r="T92" s="26"/>
      <c r="U92" s="60">
        <f>-386-168-11</f>
        <v>-565</v>
      </c>
      <c r="V92" s="196"/>
      <c r="W92" s="6"/>
      <c r="X92" s="64"/>
    </row>
    <row r="93" spans="1:24" ht="15.6">
      <c r="A93" s="25">
        <v>3</v>
      </c>
      <c r="B93" s="26" t="s">
        <v>38</v>
      </c>
      <c r="C93" s="26"/>
      <c r="D93" s="26"/>
      <c r="E93" s="26"/>
      <c r="F93" s="26"/>
      <c r="G93" s="26"/>
      <c r="H93" s="26"/>
      <c r="I93" s="26"/>
      <c r="J93" s="26"/>
      <c r="K93" s="26"/>
      <c r="L93" s="26"/>
      <c r="M93" s="26"/>
      <c r="N93" s="26"/>
      <c r="O93" s="26"/>
      <c r="P93" s="26"/>
      <c r="Q93" s="26"/>
      <c r="R93" s="26"/>
      <c r="S93" s="26"/>
      <c r="T93" s="26"/>
      <c r="U93" s="60">
        <v>-401</v>
      </c>
      <c r="V93" s="196"/>
      <c r="W93" s="6"/>
      <c r="X93" s="64"/>
    </row>
    <row r="94" spans="1:24" ht="15.6">
      <c r="A94" s="177" t="s">
        <v>190</v>
      </c>
      <c r="B94" s="26" t="s">
        <v>169</v>
      </c>
      <c r="C94" s="26"/>
      <c r="D94" s="26"/>
      <c r="E94" s="26"/>
      <c r="F94" s="26"/>
      <c r="G94" s="26"/>
      <c r="H94" s="26"/>
      <c r="I94" s="26"/>
      <c r="J94" s="26"/>
      <c r="K94" s="26"/>
      <c r="L94" s="26"/>
      <c r="M94" s="26"/>
      <c r="N94" s="26"/>
      <c r="O94" s="26"/>
      <c r="P94" s="26"/>
      <c r="Q94" s="26"/>
      <c r="R94" s="26"/>
      <c r="S94" s="26"/>
      <c r="T94" s="26"/>
      <c r="U94" s="60">
        <v>-2098</v>
      </c>
      <c r="V94" s="196"/>
      <c r="W94" s="6"/>
      <c r="X94" s="64"/>
    </row>
    <row r="95" spans="1:24" ht="15.6">
      <c r="A95" s="177" t="s">
        <v>191</v>
      </c>
      <c r="B95" s="26" t="s">
        <v>170</v>
      </c>
      <c r="C95" s="26"/>
      <c r="D95" s="26"/>
      <c r="E95" s="26"/>
      <c r="F95" s="26"/>
      <c r="G95" s="26"/>
      <c r="H95" s="26"/>
      <c r="I95" s="26"/>
      <c r="J95" s="26"/>
      <c r="K95" s="26"/>
      <c r="L95" s="26"/>
      <c r="M95" s="26"/>
      <c r="N95" s="26"/>
      <c r="O95" s="26"/>
      <c r="P95" s="26"/>
      <c r="Q95" s="26"/>
      <c r="R95" s="26"/>
      <c r="S95" s="26"/>
      <c r="T95" s="26"/>
      <c r="U95" s="60">
        <v>-2570</v>
      </c>
      <c r="V95" s="196"/>
      <c r="W95" s="6"/>
      <c r="X95" s="182"/>
    </row>
    <row r="96" spans="1:24" ht="15.6">
      <c r="A96" s="25">
        <v>5</v>
      </c>
      <c r="B96" s="26" t="s">
        <v>171</v>
      </c>
      <c r="C96" s="26"/>
      <c r="D96" s="26"/>
      <c r="E96" s="26"/>
      <c r="F96" s="26"/>
      <c r="G96" s="26"/>
      <c r="H96" s="26"/>
      <c r="I96" s="26"/>
      <c r="J96" s="26"/>
      <c r="K96" s="26"/>
      <c r="L96" s="26"/>
      <c r="M96" s="26"/>
      <c r="N96" s="26"/>
      <c r="O96" s="26"/>
      <c r="P96" s="26"/>
      <c r="Q96" s="26"/>
      <c r="R96" s="26"/>
      <c r="S96" s="26"/>
      <c r="T96" s="26"/>
      <c r="U96" s="60">
        <v>-7</v>
      </c>
      <c r="V96" s="196"/>
      <c r="W96" s="6"/>
    </row>
    <row r="97" spans="1:24" ht="15.6">
      <c r="A97" s="177" t="s">
        <v>174</v>
      </c>
      <c r="B97" s="26" t="s">
        <v>172</v>
      </c>
      <c r="C97" s="26"/>
      <c r="D97" s="26"/>
      <c r="E97" s="26"/>
      <c r="F97" s="26"/>
      <c r="G97" s="26"/>
      <c r="H97" s="26"/>
      <c r="I97" s="26"/>
      <c r="J97" s="26"/>
      <c r="K97" s="26"/>
      <c r="L97" s="26"/>
      <c r="M97" s="26"/>
      <c r="N97" s="26"/>
      <c r="O97" s="26"/>
      <c r="P97" s="26"/>
      <c r="Q97" s="26"/>
      <c r="R97" s="26"/>
      <c r="S97" s="26"/>
      <c r="T97" s="26"/>
      <c r="U97" s="60">
        <v>-234</v>
      </c>
      <c r="V97" s="196"/>
      <c r="W97" s="6"/>
      <c r="X97" s="182"/>
    </row>
    <row r="98" spans="1:24" ht="15.6">
      <c r="A98" s="177" t="s">
        <v>176</v>
      </c>
      <c r="B98" s="26" t="s">
        <v>173</v>
      </c>
      <c r="C98" s="26"/>
      <c r="D98" s="26"/>
      <c r="E98" s="26"/>
      <c r="F98" s="26"/>
      <c r="G98" s="26"/>
      <c r="H98" s="26"/>
      <c r="I98" s="26"/>
      <c r="J98" s="26"/>
      <c r="K98" s="26"/>
      <c r="L98" s="26"/>
      <c r="M98" s="26"/>
      <c r="N98" s="26"/>
      <c r="O98" s="26"/>
      <c r="P98" s="26"/>
      <c r="Q98" s="26"/>
      <c r="R98" s="26"/>
      <c r="S98" s="26"/>
      <c r="T98" s="26"/>
      <c r="U98" s="60">
        <v>-361</v>
      </c>
      <c r="V98" s="196"/>
      <c r="W98" s="6"/>
      <c r="X98" s="182"/>
    </row>
    <row r="99" spans="1:24" ht="15.6">
      <c r="A99" s="177" t="s">
        <v>178</v>
      </c>
      <c r="B99" s="26" t="s">
        <v>175</v>
      </c>
      <c r="C99" s="26"/>
      <c r="D99" s="26"/>
      <c r="E99" s="26"/>
      <c r="F99" s="26"/>
      <c r="G99" s="26"/>
      <c r="H99" s="26"/>
      <c r="I99" s="26"/>
      <c r="J99" s="26"/>
      <c r="K99" s="26"/>
      <c r="L99" s="26"/>
      <c r="M99" s="26"/>
      <c r="N99" s="26"/>
      <c r="O99" s="26"/>
      <c r="P99" s="26"/>
      <c r="Q99" s="26"/>
      <c r="R99" s="26"/>
      <c r="S99" s="26"/>
      <c r="T99" s="26"/>
      <c r="U99" s="60">
        <v>-276</v>
      </c>
      <c r="V99" s="196"/>
      <c r="W99" s="6"/>
      <c r="X99" s="182"/>
    </row>
    <row r="100" spans="1:24" ht="15.6">
      <c r="A100" s="177" t="s">
        <v>180</v>
      </c>
      <c r="B100" s="26" t="s">
        <v>177</v>
      </c>
      <c r="C100" s="26"/>
      <c r="D100" s="26"/>
      <c r="E100" s="26"/>
      <c r="F100" s="26"/>
      <c r="G100" s="26"/>
      <c r="H100" s="26"/>
      <c r="I100" s="26"/>
      <c r="J100" s="26"/>
      <c r="K100" s="26"/>
      <c r="L100" s="26"/>
      <c r="M100" s="26"/>
      <c r="N100" s="26"/>
      <c r="O100" s="26"/>
      <c r="P100" s="26"/>
      <c r="Q100" s="26"/>
      <c r="R100" s="26"/>
      <c r="S100" s="26"/>
      <c r="T100" s="26"/>
      <c r="U100" s="60">
        <v>-346</v>
      </c>
      <c r="V100" s="196"/>
      <c r="W100" s="6"/>
      <c r="X100" s="182"/>
    </row>
    <row r="101" spans="1:24" ht="15.6">
      <c r="A101" s="177" t="s">
        <v>192</v>
      </c>
      <c r="B101" s="26" t="s">
        <v>179</v>
      </c>
      <c r="C101" s="26"/>
      <c r="D101" s="26"/>
      <c r="E101" s="26"/>
      <c r="F101" s="26"/>
      <c r="G101" s="26"/>
      <c r="H101" s="26"/>
      <c r="I101" s="26"/>
      <c r="J101" s="26"/>
      <c r="K101" s="26"/>
      <c r="L101" s="26"/>
      <c r="M101" s="26"/>
      <c r="N101" s="26"/>
      <c r="O101" s="26"/>
      <c r="P101" s="26"/>
      <c r="Q101" s="26"/>
      <c r="R101" s="26"/>
      <c r="S101" s="26"/>
      <c r="T101" s="26"/>
      <c r="U101" s="60">
        <v>-397</v>
      </c>
      <c r="V101" s="196"/>
      <c r="W101" s="6"/>
      <c r="X101" s="182"/>
    </row>
    <row r="102" spans="1:24" ht="15.6">
      <c r="A102" s="177" t="s">
        <v>193</v>
      </c>
      <c r="B102" s="26" t="s">
        <v>181</v>
      </c>
      <c r="C102" s="26"/>
      <c r="D102" s="26"/>
      <c r="E102" s="26"/>
      <c r="F102" s="26"/>
      <c r="G102" s="26"/>
      <c r="H102" s="26"/>
      <c r="I102" s="26"/>
      <c r="J102" s="26"/>
      <c r="K102" s="26"/>
      <c r="L102" s="26"/>
      <c r="M102" s="26"/>
      <c r="N102" s="26"/>
      <c r="O102" s="26"/>
      <c r="P102" s="26"/>
      <c r="Q102" s="26"/>
      <c r="R102" s="26"/>
      <c r="S102" s="26"/>
      <c r="T102" s="26"/>
      <c r="U102" s="60">
        <v>-334</v>
      </c>
      <c r="V102" s="196"/>
      <c r="W102" s="6"/>
      <c r="X102" s="182"/>
    </row>
    <row r="103" spans="1:24" ht="15.6">
      <c r="A103" s="25">
        <v>9</v>
      </c>
      <c r="B103" s="26" t="s">
        <v>182</v>
      </c>
      <c r="C103" s="26"/>
      <c r="D103" s="26"/>
      <c r="E103" s="26"/>
      <c r="F103" s="26"/>
      <c r="G103" s="26"/>
      <c r="H103" s="26"/>
      <c r="I103" s="26"/>
      <c r="J103" s="26"/>
      <c r="K103" s="26"/>
      <c r="L103" s="26"/>
      <c r="M103" s="26"/>
      <c r="N103" s="26"/>
      <c r="O103" s="26"/>
      <c r="P103" s="26"/>
      <c r="Q103" s="26"/>
      <c r="R103" s="26"/>
      <c r="S103" s="26"/>
      <c r="T103" s="26"/>
      <c r="U103" s="60">
        <f>+S220-U32</f>
        <v>-61313</v>
      </c>
      <c r="V103" s="196"/>
      <c r="W103" s="6"/>
      <c r="X103" s="182"/>
    </row>
    <row r="104" spans="1:24" ht="15.6">
      <c r="A104" s="25">
        <v>10</v>
      </c>
      <c r="B104" s="26" t="s">
        <v>234</v>
      </c>
      <c r="C104" s="26"/>
      <c r="D104" s="26"/>
      <c r="E104" s="26"/>
      <c r="F104" s="26"/>
      <c r="G104" s="26"/>
      <c r="H104" s="26"/>
      <c r="I104" s="26"/>
      <c r="J104" s="26"/>
      <c r="K104" s="26"/>
      <c r="L104" s="26"/>
      <c r="M104" s="26"/>
      <c r="N104" s="26"/>
      <c r="O104" s="26"/>
      <c r="P104" s="26"/>
      <c r="Q104" s="26"/>
      <c r="R104" s="26"/>
      <c r="S104" s="26"/>
      <c r="T104" s="26"/>
      <c r="U104" s="60">
        <v>-40500</v>
      </c>
      <c r="V104" s="196"/>
      <c r="W104" s="6"/>
      <c r="X104" s="64"/>
    </row>
    <row r="105" spans="1:24" ht="15.6">
      <c r="A105" s="25">
        <v>11</v>
      </c>
      <c r="B105" s="26" t="s">
        <v>183</v>
      </c>
      <c r="C105" s="26"/>
      <c r="D105" s="26"/>
      <c r="E105" s="26"/>
      <c r="F105" s="26"/>
      <c r="G105" s="26"/>
      <c r="H105" s="26"/>
      <c r="I105" s="26"/>
      <c r="J105" s="26"/>
      <c r="K105" s="26"/>
      <c r="L105" s="26"/>
      <c r="M105" s="26"/>
      <c r="N105" s="26"/>
      <c r="O105" s="26"/>
      <c r="P105" s="26"/>
      <c r="Q105" s="26"/>
      <c r="R105" s="26"/>
      <c r="S105" s="26"/>
      <c r="T105" s="26"/>
      <c r="U105" s="60">
        <v>0</v>
      </c>
      <c r="V105" s="196"/>
      <c r="W105" s="6"/>
      <c r="X105" s="64"/>
    </row>
    <row r="106" spans="1:24" ht="15.6">
      <c r="A106" s="25">
        <v>12</v>
      </c>
      <c r="B106" s="26" t="s">
        <v>184</v>
      </c>
      <c r="C106" s="26"/>
      <c r="D106" s="26"/>
      <c r="E106" s="26"/>
      <c r="F106" s="26"/>
      <c r="G106" s="26"/>
      <c r="H106" s="26"/>
      <c r="I106" s="26"/>
      <c r="J106" s="26"/>
      <c r="K106" s="26"/>
      <c r="L106" s="26"/>
      <c r="M106" s="26"/>
      <c r="N106" s="26"/>
      <c r="O106" s="26"/>
      <c r="P106" s="26"/>
      <c r="Q106" s="26"/>
      <c r="R106" s="26"/>
      <c r="S106" s="26"/>
      <c r="T106" s="26"/>
      <c r="U106" s="60">
        <v>-434</v>
      </c>
      <c r="V106" s="196"/>
      <c r="W106" s="6"/>
      <c r="X106" s="182"/>
    </row>
    <row r="107" spans="1:24" ht="15.6">
      <c r="A107" s="25">
        <v>13</v>
      </c>
      <c r="B107" s="26" t="s">
        <v>40</v>
      </c>
      <c r="C107" s="26"/>
      <c r="D107" s="26"/>
      <c r="E107" s="26"/>
      <c r="F107" s="26"/>
      <c r="G107" s="26"/>
      <c r="H107" s="26"/>
      <c r="I107" s="26"/>
      <c r="J107" s="26"/>
      <c r="K107" s="26"/>
      <c r="L107" s="26"/>
      <c r="M107" s="26"/>
      <c r="N107" s="26"/>
      <c r="O107" s="26"/>
      <c r="P107" s="26"/>
      <c r="Q107" s="26"/>
      <c r="R107" s="26"/>
      <c r="S107" s="26"/>
      <c r="T107" s="26"/>
      <c r="U107" s="60">
        <f>-SUM(U88:U106)</f>
        <v>-2477</v>
      </c>
      <c r="V107" s="196"/>
      <c r="W107" s="6"/>
      <c r="X107" s="182"/>
    </row>
    <row r="108" spans="1:24" ht="15.6">
      <c r="A108" s="25"/>
      <c r="B108" s="29"/>
      <c r="C108" s="26"/>
      <c r="D108" s="26"/>
      <c r="E108" s="26"/>
      <c r="F108" s="26"/>
      <c r="G108" s="26"/>
      <c r="H108" s="26"/>
      <c r="I108" s="26"/>
      <c r="J108" s="26"/>
      <c r="K108" s="26"/>
      <c r="L108" s="26"/>
      <c r="M108" s="26"/>
      <c r="N108" s="26"/>
      <c r="O108" s="26"/>
      <c r="P108" s="26"/>
      <c r="Q108" s="26"/>
      <c r="R108" s="26"/>
      <c r="S108" s="59"/>
      <c r="T108" s="59"/>
      <c r="U108" s="59"/>
      <c r="V108" s="196"/>
      <c r="W108" s="6"/>
      <c r="X108" s="182"/>
    </row>
    <row r="109" spans="1:24" ht="15.6">
      <c r="A109" s="7"/>
      <c r="B109" s="12"/>
      <c r="C109" s="9"/>
      <c r="D109" s="9"/>
      <c r="E109" s="9"/>
      <c r="F109" s="9"/>
      <c r="G109" s="9"/>
      <c r="H109" s="9"/>
      <c r="I109" s="9"/>
      <c r="J109" s="9"/>
      <c r="K109" s="9"/>
      <c r="L109" s="9"/>
      <c r="M109" s="9"/>
      <c r="N109" s="9"/>
      <c r="O109" s="9"/>
      <c r="P109" s="9"/>
      <c r="Q109" s="9"/>
      <c r="R109" s="9"/>
      <c r="S109" s="66"/>
      <c r="T109" s="66"/>
      <c r="U109" s="66"/>
      <c r="V109" s="194"/>
      <c r="W109" s="6"/>
    </row>
    <row r="110" spans="1:24" ht="16.2" thickBot="1">
      <c r="A110" s="130"/>
      <c r="B110" s="131" t="str">
        <f>+B59</f>
        <v>PPAF3 INVESTOR REPORT QUARTER ENDING MARCH 2007</v>
      </c>
      <c r="C110" s="132"/>
      <c r="D110" s="132"/>
      <c r="E110" s="132"/>
      <c r="F110" s="132"/>
      <c r="G110" s="132"/>
      <c r="H110" s="132"/>
      <c r="I110" s="132"/>
      <c r="J110" s="132"/>
      <c r="K110" s="132"/>
      <c r="L110" s="132"/>
      <c r="M110" s="132"/>
      <c r="N110" s="132"/>
      <c r="O110" s="132"/>
      <c r="P110" s="132"/>
      <c r="Q110" s="132"/>
      <c r="R110" s="132"/>
      <c r="S110" s="135"/>
      <c r="T110" s="135"/>
      <c r="U110" s="135"/>
      <c r="V110" s="134"/>
      <c r="W110" s="6"/>
    </row>
    <row r="111" spans="1:24" ht="15.6">
      <c r="A111" s="2"/>
      <c r="B111" s="5"/>
      <c r="C111" s="5"/>
      <c r="D111" s="5"/>
      <c r="E111" s="5"/>
      <c r="F111" s="5"/>
      <c r="G111" s="5"/>
      <c r="H111" s="5"/>
      <c r="I111" s="5"/>
      <c r="J111" s="5"/>
      <c r="K111" s="5"/>
      <c r="L111" s="5"/>
      <c r="M111" s="5"/>
      <c r="N111" s="5"/>
      <c r="O111" s="5"/>
      <c r="P111" s="5"/>
      <c r="Q111" s="5"/>
      <c r="R111" s="5"/>
      <c r="S111" s="67"/>
      <c r="T111" s="67"/>
      <c r="U111" s="67"/>
      <c r="V111" s="193"/>
      <c r="W111" s="6"/>
    </row>
    <row r="112" spans="1:24" ht="15.6">
      <c r="A112" s="68"/>
      <c r="B112" s="69" t="s">
        <v>41</v>
      </c>
      <c r="C112" s="70"/>
      <c r="D112" s="70"/>
      <c r="E112" s="70"/>
      <c r="F112" s="70"/>
      <c r="G112" s="70"/>
      <c r="H112" s="70"/>
      <c r="I112" s="70"/>
      <c r="J112" s="70"/>
      <c r="K112" s="70"/>
      <c r="L112" s="70"/>
      <c r="M112" s="70"/>
      <c r="N112" s="70"/>
      <c r="O112" s="70"/>
      <c r="P112" s="70"/>
      <c r="Q112" s="70"/>
      <c r="R112" s="70"/>
      <c r="S112" s="70"/>
      <c r="T112" s="70"/>
      <c r="U112" s="71"/>
      <c r="V112" s="201"/>
      <c r="W112" s="6"/>
    </row>
    <row r="113" spans="1:23" ht="15.6">
      <c r="A113" s="68"/>
      <c r="B113" s="70"/>
      <c r="C113" s="70"/>
      <c r="D113" s="70"/>
      <c r="E113" s="70"/>
      <c r="F113" s="70"/>
      <c r="G113" s="70"/>
      <c r="H113" s="70"/>
      <c r="I113" s="70"/>
      <c r="J113" s="70"/>
      <c r="K113" s="70"/>
      <c r="L113" s="70"/>
      <c r="M113" s="70"/>
      <c r="N113" s="70"/>
      <c r="O113" s="70"/>
      <c r="P113" s="70"/>
      <c r="Q113" s="70"/>
      <c r="R113" s="70"/>
      <c r="S113" s="70"/>
      <c r="T113" s="70"/>
      <c r="U113" s="71"/>
      <c r="V113" s="202"/>
      <c r="W113" s="6"/>
    </row>
    <row r="114" spans="1:23" ht="15.6">
      <c r="A114" s="7"/>
      <c r="B114" s="153" t="s">
        <v>42</v>
      </c>
      <c r="C114" s="13"/>
      <c r="D114" s="13"/>
      <c r="E114" s="13"/>
      <c r="F114" s="13"/>
      <c r="G114" s="13"/>
      <c r="H114" s="13"/>
      <c r="I114" s="13"/>
      <c r="J114" s="13"/>
      <c r="K114" s="13"/>
      <c r="L114" s="13"/>
      <c r="M114" s="9"/>
      <c r="N114" s="9"/>
      <c r="O114" s="9"/>
      <c r="P114" s="9"/>
      <c r="Q114" s="9"/>
      <c r="R114" s="9"/>
      <c r="S114" s="9"/>
      <c r="T114" s="9"/>
      <c r="U114" s="58"/>
      <c r="V114" s="194"/>
      <c r="W114" s="6"/>
    </row>
    <row r="115" spans="1:23" ht="15.6">
      <c r="A115" s="25"/>
      <c r="B115" s="26" t="s">
        <v>43</v>
      </c>
      <c r="C115" s="26"/>
      <c r="D115" s="26"/>
      <c r="E115" s="26"/>
      <c r="F115" s="26"/>
      <c r="G115" s="26"/>
      <c r="H115" s="26"/>
      <c r="I115" s="26"/>
      <c r="J115" s="26"/>
      <c r="K115" s="26"/>
      <c r="L115" s="26"/>
      <c r="M115" s="26"/>
      <c r="N115" s="26"/>
      <c r="O115" s="26"/>
      <c r="P115" s="26"/>
      <c r="Q115" s="26"/>
      <c r="R115" s="26"/>
      <c r="S115" s="26"/>
      <c r="T115" s="26"/>
      <c r="U115" s="60">
        <v>40500</v>
      </c>
      <c r="V115" s="196"/>
      <c r="W115" s="6"/>
    </row>
    <row r="116" spans="1:23" ht="15.6">
      <c r="A116" s="25"/>
      <c r="B116" s="26" t="s">
        <v>240</v>
      </c>
      <c r="C116" s="26"/>
      <c r="D116" s="26"/>
      <c r="E116" s="26"/>
      <c r="F116" s="26"/>
      <c r="G116" s="26"/>
      <c r="H116" s="26"/>
      <c r="I116" s="26"/>
      <c r="J116" s="26"/>
      <c r="K116" s="26"/>
      <c r="L116" s="26"/>
      <c r="M116" s="26"/>
      <c r="N116" s="26"/>
      <c r="O116" s="26"/>
      <c r="P116" s="26"/>
      <c r="Q116" s="26"/>
      <c r="R116" s="26"/>
      <c r="S116" s="26"/>
      <c r="T116" s="26"/>
      <c r="U116" s="60">
        <v>40500</v>
      </c>
      <c r="V116" s="196"/>
      <c r="W116" s="6"/>
    </row>
    <row r="117" spans="1:23" ht="15.6">
      <c r="A117" s="25"/>
      <c r="B117" s="26" t="s">
        <v>241</v>
      </c>
      <c r="C117" s="26"/>
      <c r="D117" s="26"/>
      <c r="E117" s="26"/>
      <c r="F117" s="26"/>
      <c r="G117" s="26"/>
      <c r="H117" s="26"/>
      <c r="I117" s="26"/>
      <c r="J117" s="26"/>
      <c r="K117" s="26"/>
      <c r="L117" s="26"/>
      <c r="M117" s="26"/>
      <c r="N117" s="26"/>
      <c r="O117" s="26"/>
      <c r="P117" s="26"/>
      <c r="Q117" s="26"/>
      <c r="R117" s="26"/>
      <c r="S117" s="26"/>
      <c r="T117" s="26"/>
      <c r="U117" s="60">
        <v>0</v>
      </c>
      <c r="V117" s="196"/>
      <c r="W117" s="6"/>
    </row>
    <row r="118" spans="1:23" ht="15.6">
      <c r="A118" s="25"/>
      <c r="B118" s="26" t="s">
        <v>209</v>
      </c>
      <c r="C118" s="26"/>
      <c r="D118" s="26"/>
      <c r="E118" s="26"/>
      <c r="F118" s="26"/>
      <c r="G118" s="26"/>
      <c r="H118" s="26"/>
      <c r="I118" s="26"/>
      <c r="J118" s="26"/>
      <c r="K118" s="26"/>
      <c r="L118" s="26"/>
      <c r="M118" s="26"/>
      <c r="N118" s="26"/>
      <c r="O118" s="26"/>
      <c r="P118" s="26"/>
      <c r="Q118" s="26"/>
      <c r="R118" s="26"/>
      <c r="S118" s="26"/>
      <c r="T118" s="26"/>
      <c r="U118" s="60">
        <v>0</v>
      </c>
      <c r="V118" s="196"/>
      <c r="W118" s="6"/>
    </row>
    <row r="119" spans="1:23" ht="15.6">
      <c r="A119" s="25"/>
      <c r="B119" s="26" t="s">
        <v>210</v>
      </c>
      <c r="C119" s="26"/>
      <c r="D119" s="26"/>
      <c r="E119" s="26"/>
      <c r="F119" s="26"/>
      <c r="G119" s="26"/>
      <c r="H119" s="26"/>
      <c r="I119" s="26"/>
      <c r="J119" s="26"/>
      <c r="K119" s="26"/>
      <c r="L119" s="26"/>
      <c r="M119" s="26"/>
      <c r="N119" s="26"/>
      <c r="O119" s="26"/>
      <c r="P119" s="26"/>
      <c r="Q119" s="26"/>
      <c r="R119" s="26"/>
      <c r="S119" s="26"/>
      <c r="T119" s="26"/>
      <c r="U119" s="60">
        <v>0</v>
      </c>
      <c r="V119" s="196"/>
      <c r="W119" s="6"/>
    </row>
    <row r="120" spans="1:23" ht="15.6">
      <c r="A120" s="25"/>
      <c r="B120" s="26" t="s">
        <v>211</v>
      </c>
      <c r="C120" s="26"/>
      <c r="D120" s="26"/>
      <c r="E120" s="26"/>
      <c r="F120" s="26"/>
      <c r="G120" s="26"/>
      <c r="H120" s="26"/>
      <c r="I120" s="26"/>
      <c r="J120" s="26"/>
      <c r="K120" s="26"/>
      <c r="L120" s="26"/>
      <c r="M120" s="26"/>
      <c r="N120" s="26"/>
      <c r="O120" s="26"/>
      <c r="P120" s="26"/>
      <c r="Q120" s="26"/>
      <c r="R120" s="26"/>
      <c r="S120" s="26"/>
      <c r="T120" s="26"/>
      <c r="U120" s="60">
        <v>0</v>
      </c>
      <c r="V120" s="196"/>
      <c r="W120" s="6"/>
    </row>
    <row r="121" spans="1:23" ht="15.6">
      <c r="A121" s="25"/>
      <c r="B121" s="26" t="s">
        <v>212</v>
      </c>
      <c r="C121" s="26"/>
      <c r="D121" s="26"/>
      <c r="E121" s="26"/>
      <c r="F121" s="26"/>
      <c r="G121" s="26"/>
      <c r="H121" s="26"/>
      <c r="I121" s="26"/>
      <c r="J121" s="26"/>
      <c r="K121" s="26"/>
      <c r="L121" s="26"/>
      <c r="M121" s="26"/>
      <c r="N121" s="26"/>
      <c r="O121" s="26"/>
      <c r="P121" s="26"/>
      <c r="Q121" s="26"/>
      <c r="R121" s="26"/>
      <c r="S121" s="26"/>
      <c r="T121" s="26"/>
      <c r="U121" s="60">
        <v>0</v>
      </c>
      <c r="V121" s="196"/>
      <c r="W121" s="6"/>
    </row>
    <row r="122" spans="1:23" ht="15.6">
      <c r="A122" s="25"/>
      <c r="B122" s="26" t="s">
        <v>242</v>
      </c>
      <c r="C122" s="26"/>
      <c r="D122" s="26"/>
      <c r="E122" s="26"/>
      <c r="F122" s="26"/>
      <c r="G122" s="26"/>
      <c r="H122" s="26"/>
      <c r="I122" s="26"/>
      <c r="J122" s="26"/>
      <c r="K122" s="26"/>
      <c r="L122" s="26"/>
      <c r="M122" s="26"/>
      <c r="N122" s="26"/>
      <c r="O122" s="26"/>
      <c r="P122" s="26"/>
      <c r="Q122" s="26"/>
      <c r="R122" s="26"/>
      <c r="S122" s="26"/>
      <c r="T122" s="26"/>
      <c r="U122" s="60">
        <v>0</v>
      </c>
      <c r="V122" s="196"/>
      <c r="W122" s="6"/>
    </row>
    <row r="123" spans="1:23" ht="15.6">
      <c r="A123" s="25"/>
      <c r="B123" s="26" t="s">
        <v>45</v>
      </c>
      <c r="C123" s="26"/>
      <c r="D123" s="26"/>
      <c r="E123" s="26"/>
      <c r="F123" s="26"/>
      <c r="G123" s="26"/>
      <c r="H123" s="26"/>
      <c r="I123" s="26"/>
      <c r="J123" s="26"/>
      <c r="K123" s="26"/>
      <c r="L123" s="26"/>
      <c r="M123" s="26"/>
      <c r="N123" s="26"/>
      <c r="O123" s="26"/>
      <c r="P123" s="26"/>
      <c r="Q123" s="26"/>
      <c r="R123" s="26"/>
      <c r="S123" s="26"/>
      <c r="T123" s="26"/>
      <c r="U123" s="60">
        <f>SUM(U116:U122)</f>
        <v>40500</v>
      </c>
      <c r="V123" s="196"/>
      <c r="W123" s="6"/>
    </row>
    <row r="124" spans="1:23" ht="15.6">
      <c r="A124" s="25"/>
      <c r="B124" s="26"/>
      <c r="C124" s="26"/>
      <c r="D124" s="26"/>
      <c r="E124" s="26"/>
      <c r="F124" s="26"/>
      <c r="G124" s="26"/>
      <c r="H124" s="26"/>
      <c r="I124" s="26"/>
      <c r="J124" s="26"/>
      <c r="K124" s="26"/>
      <c r="L124" s="26"/>
      <c r="M124" s="26"/>
      <c r="N124" s="26"/>
      <c r="O124" s="26"/>
      <c r="P124" s="26"/>
      <c r="Q124" s="26"/>
      <c r="R124" s="26"/>
      <c r="S124" s="26"/>
      <c r="T124" s="26"/>
      <c r="U124" s="73"/>
      <c r="V124" s="196"/>
      <c r="W124" s="6"/>
    </row>
    <row r="125" spans="1:23" ht="15.6">
      <c r="A125" s="7"/>
      <c r="B125" s="153" t="s">
        <v>46</v>
      </c>
      <c r="C125" s="13"/>
      <c r="D125" s="13"/>
      <c r="E125" s="13"/>
      <c r="F125" s="13"/>
      <c r="G125" s="13"/>
      <c r="H125" s="13"/>
      <c r="I125" s="13"/>
      <c r="J125" s="13"/>
      <c r="K125" s="13"/>
      <c r="L125" s="13"/>
      <c r="M125" s="9"/>
      <c r="N125" s="9"/>
      <c r="O125" s="9"/>
      <c r="P125" s="188"/>
      <c r="Q125" s="9"/>
      <c r="R125" s="9"/>
      <c r="S125" s="9"/>
      <c r="T125" s="9"/>
      <c r="U125" s="75"/>
      <c r="V125" s="194"/>
      <c r="W125" s="6"/>
    </row>
    <row r="126" spans="1:23" ht="15.6">
      <c r="A126" s="7"/>
      <c r="B126" s="13"/>
      <c r="C126" s="17" t="s">
        <v>185</v>
      </c>
      <c r="D126" s="17"/>
      <c r="E126" s="17" t="s">
        <v>99</v>
      </c>
      <c r="F126" s="17"/>
      <c r="G126" s="17" t="s">
        <v>102</v>
      </c>
      <c r="H126" s="17"/>
      <c r="I126" s="17" t="s">
        <v>108</v>
      </c>
      <c r="J126" s="17"/>
      <c r="K126" s="17"/>
      <c r="L126" s="17"/>
      <c r="M126" s="17"/>
      <c r="N126" s="17"/>
      <c r="O126" s="17"/>
      <c r="P126" s="188"/>
      <c r="Q126" s="188"/>
      <c r="R126" s="9"/>
      <c r="S126" s="9"/>
      <c r="T126" s="9"/>
      <c r="U126" s="75"/>
      <c r="V126" s="194"/>
      <c r="W126" s="6"/>
    </row>
    <row r="127" spans="1:23" ht="15.6">
      <c r="A127" s="25"/>
      <c r="B127" s="26" t="s">
        <v>122</v>
      </c>
      <c r="C127" s="59">
        <f>+N200-'Dec 06'!N200</f>
        <v>489</v>
      </c>
      <c r="D127" s="26"/>
      <c r="E127" s="59">
        <f>+S200-'Dec 06'!S200</f>
        <v>53</v>
      </c>
      <c r="F127" s="26"/>
      <c r="G127" s="59">
        <f>+N213-'Dec 06'!N213</f>
        <v>-15</v>
      </c>
      <c r="H127" s="26"/>
      <c r="I127" s="59">
        <f>+S213-'Dec 06'!S213</f>
        <v>99</v>
      </c>
      <c r="J127" s="26"/>
      <c r="K127" s="26"/>
      <c r="L127" s="26"/>
      <c r="M127" s="26"/>
      <c r="N127" s="26"/>
      <c r="O127" s="26"/>
      <c r="P127" s="189"/>
      <c r="Q127" s="189"/>
      <c r="R127" s="26"/>
      <c r="S127" s="26"/>
      <c r="T127" s="26"/>
      <c r="U127" s="60">
        <f>SUM(C127:I127)</f>
        <v>626</v>
      </c>
      <c r="V127" s="196"/>
      <c r="W127" s="6"/>
    </row>
    <row r="128" spans="1:23" ht="15.6">
      <c r="A128" s="25"/>
      <c r="B128" s="26" t="s">
        <v>47</v>
      </c>
      <c r="C128" s="26">
        <v>605</v>
      </c>
      <c r="D128" s="26"/>
      <c r="E128" s="26">
        <v>0</v>
      </c>
      <c r="F128" s="26"/>
      <c r="G128" s="26">
        <v>404</v>
      </c>
      <c r="H128" s="26"/>
      <c r="I128" s="59">
        <v>1320</v>
      </c>
      <c r="J128" s="26"/>
      <c r="K128" s="26"/>
      <c r="L128" s="26"/>
      <c r="M128" s="26"/>
      <c r="N128" s="26"/>
      <c r="O128" s="26"/>
      <c r="P128" s="189"/>
      <c r="Q128" s="189"/>
      <c r="R128" s="26"/>
      <c r="S128" s="26"/>
      <c r="T128" s="26"/>
      <c r="U128" s="60">
        <f>SUM(C128:I128)</f>
        <v>2329</v>
      </c>
      <c r="V128" s="196"/>
      <c r="W128" s="6"/>
    </row>
    <row r="129" spans="1:25" ht="15.6">
      <c r="A129" s="25"/>
      <c r="B129" s="26" t="s">
        <v>48</v>
      </c>
      <c r="C129" s="26"/>
      <c r="D129" s="26"/>
      <c r="E129" s="26"/>
      <c r="F129" s="26"/>
      <c r="G129" s="26"/>
      <c r="H129" s="26"/>
      <c r="I129" s="26"/>
      <c r="J129" s="26"/>
      <c r="K129" s="26"/>
      <c r="L129" s="26"/>
      <c r="M129" s="26"/>
      <c r="N129" s="26"/>
      <c r="O129" s="26"/>
      <c r="P129" s="26"/>
      <c r="Q129" s="26"/>
      <c r="R129" s="26"/>
      <c r="S129" s="26"/>
      <c r="T129" s="26"/>
      <c r="U129" s="60">
        <f>SUM(U127:U128)</f>
        <v>2955</v>
      </c>
      <c r="V129" s="196"/>
      <c r="W129" s="6"/>
    </row>
    <row r="130" spans="1:25" ht="15.6">
      <c r="A130" s="7"/>
      <c r="B130" s="153" t="s">
        <v>49</v>
      </c>
      <c r="C130" s="13"/>
      <c r="D130" s="13"/>
      <c r="E130" s="13"/>
      <c r="F130" s="13"/>
      <c r="G130" s="13"/>
      <c r="H130" s="13"/>
      <c r="I130" s="13"/>
      <c r="J130" s="13"/>
      <c r="K130" s="13"/>
      <c r="L130" s="13"/>
      <c r="M130" s="9"/>
      <c r="N130" s="9"/>
      <c r="O130" s="9"/>
      <c r="P130" s="9"/>
      <c r="Q130" s="9"/>
      <c r="R130" s="9"/>
      <c r="S130" s="9"/>
      <c r="T130" s="9"/>
      <c r="U130" s="58"/>
      <c r="V130" s="194"/>
      <c r="W130" s="6"/>
    </row>
    <row r="131" spans="1:25" ht="15.6">
      <c r="A131" s="25"/>
      <c r="B131" s="26" t="s">
        <v>50</v>
      </c>
      <c r="C131" s="77"/>
      <c r="D131" s="77"/>
      <c r="E131" s="77"/>
      <c r="F131" s="77"/>
      <c r="G131" s="77"/>
      <c r="H131" s="77"/>
      <c r="I131" s="77"/>
      <c r="J131" s="77"/>
      <c r="K131" s="77"/>
      <c r="L131" s="77"/>
      <c r="M131" s="26"/>
      <c r="N131" s="26"/>
      <c r="O131" s="26"/>
      <c r="P131" s="26"/>
      <c r="Q131" s="26"/>
      <c r="R131" s="26"/>
      <c r="S131" s="26"/>
      <c r="T131" s="26"/>
      <c r="U131" s="60">
        <f>U76+U78</f>
        <v>388687</v>
      </c>
      <c r="V131" s="196"/>
      <c r="W131" s="6"/>
      <c r="X131" s="182"/>
    </row>
    <row r="132" spans="1:25" ht="15.6">
      <c r="A132" s="25"/>
      <c r="B132" s="26" t="s">
        <v>51</v>
      </c>
      <c r="C132" s="77"/>
      <c r="D132" s="77"/>
      <c r="E132" s="77"/>
      <c r="F132" s="77"/>
      <c r="G132" s="77"/>
      <c r="H132" s="77"/>
      <c r="I132" s="77"/>
      <c r="J132" s="77"/>
      <c r="K132" s="77"/>
      <c r="L132" s="77"/>
      <c r="M132" s="26"/>
      <c r="N132" s="26"/>
      <c r="O132" s="26"/>
      <c r="P132" s="26"/>
      <c r="Q132" s="26"/>
      <c r="R132" s="26"/>
      <c r="S132" s="26"/>
      <c r="T132" s="26"/>
      <c r="U132" s="60">
        <f>U79</f>
        <v>61313</v>
      </c>
      <c r="V132" s="196"/>
      <c r="W132" s="6"/>
      <c r="Y132" s="182"/>
    </row>
    <row r="133" spans="1:25" ht="15.6">
      <c r="A133" s="25"/>
      <c r="B133" s="26" t="s">
        <v>52</v>
      </c>
      <c r="C133" s="77"/>
      <c r="D133" s="77"/>
      <c r="E133" s="77"/>
      <c r="F133" s="77"/>
      <c r="G133" s="77"/>
      <c r="H133" s="77"/>
      <c r="I133" s="77"/>
      <c r="J133" s="77"/>
      <c r="K133" s="77"/>
      <c r="L133" s="77"/>
      <c r="M133" s="26"/>
      <c r="N133" s="26"/>
      <c r="O133" s="26"/>
      <c r="P133" s="26"/>
      <c r="Q133" s="26"/>
      <c r="R133" s="26"/>
      <c r="S133" s="26"/>
      <c r="T133" s="26"/>
      <c r="U133" s="60">
        <f>+U131+U132</f>
        <v>450000</v>
      </c>
      <c r="V133" s="196"/>
      <c r="W133" s="6"/>
    </row>
    <row r="134" spans="1:25" ht="15.6">
      <c r="A134" s="25"/>
      <c r="B134" s="26" t="s">
        <v>53</v>
      </c>
      <c r="C134" s="77"/>
      <c r="D134" s="77"/>
      <c r="E134" s="77"/>
      <c r="F134" s="77"/>
      <c r="G134" s="77"/>
      <c r="H134" s="77"/>
      <c r="I134" s="77"/>
      <c r="J134" s="77"/>
      <c r="K134" s="77"/>
      <c r="L134" s="77"/>
      <c r="M134" s="26"/>
      <c r="N134" s="26"/>
      <c r="O134" s="26"/>
      <c r="P134" s="26"/>
      <c r="Q134" s="26"/>
      <c r="R134" s="26"/>
      <c r="S134" s="26"/>
      <c r="T134" s="26"/>
      <c r="U134" s="60">
        <f>U81</f>
        <v>450000</v>
      </c>
      <c r="V134" s="196"/>
      <c r="W134" s="6"/>
      <c r="X134" s="64"/>
    </row>
    <row r="135" spans="1:25" ht="15.6">
      <c r="A135" s="25"/>
      <c r="B135" s="26"/>
      <c r="C135" s="26"/>
      <c r="D135" s="26"/>
      <c r="E135" s="26"/>
      <c r="F135" s="26"/>
      <c r="G135" s="26"/>
      <c r="H135" s="26"/>
      <c r="I135" s="26"/>
      <c r="J135" s="26"/>
      <c r="K135" s="26"/>
      <c r="L135" s="26"/>
      <c r="M135" s="26"/>
      <c r="N135" s="26"/>
      <c r="O135" s="26"/>
      <c r="P135" s="26"/>
      <c r="Q135" s="26"/>
      <c r="R135" s="26"/>
      <c r="S135" s="26"/>
      <c r="T135" s="26"/>
      <c r="U135" s="78"/>
      <c r="V135" s="196"/>
      <c r="W135" s="6"/>
    </row>
    <row r="136" spans="1:25" ht="15.6">
      <c r="A136" s="7"/>
      <c r="B136" s="153" t="s">
        <v>54</v>
      </c>
      <c r="C136" s="141"/>
      <c r="D136" s="141"/>
      <c r="E136" s="141"/>
      <c r="F136" s="141"/>
      <c r="G136" s="141"/>
      <c r="H136" s="141"/>
      <c r="I136" s="141"/>
      <c r="J136" s="141"/>
      <c r="K136" s="141"/>
      <c r="L136" s="141"/>
      <c r="M136" s="141"/>
      <c r="N136" s="141"/>
      <c r="O136" s="141"/>
      <c r="P136" s="141"/>
      <c r="Q136" s="142" t="s">
        <v>112</v>
      </c>
      <c r="R136" s="154"/>
      <c r="S136" s="142" t="s">
        <v>114</v>
      </c>
      <c r="T136" s="141"/>
      <c r="U136" s="155" t="s">
        <v>90</v>
      </c>
      <c r="V136" s="194"/>
      <c r="W136" s="6"/>
    </row>
    <row r="137" spans="1:25" ht="15.6">
      <c r="A137" s="25"/>
      <c r="B137" s="26" t="s">
        <v>55</v>
      </c>
      <c r="C137" s="26"/>
      <c r="D137" s="26"/>
      <c r="E137" s="26"/>
      <c r="F137" s="26"/>
      <c r="G137" s="26"/>
      <c r="H137" s="26"/>
      <c r="I137" s="26"/>
      <c r="J137" s="26"/>
      <c r="K137" s="26"/>
      <c r="L137" s="26"/>
      <c r="M137" s="26"/>
      <c r="N137" s="26"/>
      <c r="O137" s="26"/>
      <c r="P137" s="26"/>
      <c r="Q137" s="60">
        <v>0</v>
      </c>
      <c r="R137" s="26"/>
      <c r="S137" s="79" t="s">
        <v>115</v>
      </c>
      <c r="T137" s="26"/>
      <c r="U137" s="60">
        <f>Q137</f>
        <v>0</v>
      </c>
      <c r="V137" s="196"/>
      <c r="W137" s="6"/>
    </row>
    <row r="138" spans="1:25" ht="15.6">
      <c r="A138" s="25"/>
      <c r="B138" s="26" t="s">
        <v>56</v>
      </c>
      <c r="C138" s="26"/>
      <c r="D138" s="26"/>
      <c r="E138" s="26"/>
      <c r="F138" s="26"/>
      <c r="G138" s="26"/>
      <c r="H138" s="26"/>
      <c r="I138" s="26"/>
      <c r="J138" s="26"/>
      <c r="K138" s="26"/>
      <c r="L138" s="26"/>
      <c r="M138" s="26"/>
      <c r="N138" s="26"/>
      <c r="O138" s="26"/>
      <c r="P138" s="26"/>
      <c r="Q138" s="60">
        <f>+'Dec 06'!Q140</f>
        <v>1706</v>
      </c>
      <c r="R138" s="26"/>
      <c r="S138" s="79" t="s">
        <v>115</v>
      </c>
      <c r="T138" s="26"/>
      <c r="U138" s="60">
        <f>Q138</f>
        <v>1706</v>
      </c>
      <c r="V138" s="196"/>
      <c r="W138" s="6"/>
    </row>
    <row r="139" spans="1:25" ht="15.6">
      <c r="A139" s="25"/>
      <c r="B139" s="26" t="s">
        <v>57</v>
      </c>
      <c r="C139" s="26"/>
      <c r="D139" s="26"/>
      <c r="E139" s="26"/>
      <c r="F139" s="26"/>
      <c r="G139" s="26"/>
      <c r="H139" s="26"/>
      <c r="I139" s="26"/>
      <c r="J139" s="26"/>
      <c r="K139" s="26"/>
      <c r="L139" s="26"/>
      <c r="M139" s="26"/>
      <c r="N139" s="26"/>
      <c r="O139" s="26"/>
      <c r="P139" s="26"/>
      <c r="Q139" s="60">
        <v>383</v>
      </c>
      <c r="R139" s="26"/>
      <c r="S139" s="79" t="s">
        <v>115</v>
      </c>
      <c r="T139" s="26"/>
      <c r="U139" s="60">
        <f>Q139</f>
        <v>383</v>
      </c>
      <c r="V139" s="196"/>
      <c r="W139" s="6"/>
    </row>
    <row r="140" spans="1:25" ht="15.6">
      <c r="A140" s="25"/>
      <c r="B140" s="26" t="s">
        <v>58</v>
      </c>
      <c r="C140" s="26"/>
      <c r="D140" s="26"/>
      <c r="E140" s="26"/>
      <c r="F140" s="26"/>
      <c r="G140" s="26"/>
      <c r="H140" s="26"/>
      <c r="I140" s="26"/>
      <c r="J140" s="26"/>
      <c r="K140" s="26"/>
      <c r="L140" s="26"/>
      <c r="M140" s="26"/>
      <c r="N140" s="26"/>
      <c r="O140" s="26"/>
      <c r="P140" s="26"/>
      <c r="Q140" s="60">
        <f>SUM(Q138:Q139)</f>
        <v>2089</v>
      </c>
      <c r="R140" s="26"/>
      <c r="S140" s="79" t="s">
        <v>115</v>
      </c>
      <c r="T140" s="26"/>
      <c r="U140" s="60">
        <f>Q140</f>
        <v>2089</v>
      </c>
      <c r="V140" s="196"/>
      <c r="W140" s="6"/>
    </row>
    <row r="141" spans="1:25" ht="15.6">
      <c r="A141" s="25"/>
      <c r="B141" s="26" t="s">
        <v>215</v>
      </c>
      <c r="C141" s="26"/>
      <c r="D141" s="26"/>
      <c r="E141" s="26"/>
      <c r="F141" s="26"/>
      <c r="G141" s="26"/>
      <c r="H141" s="26"/>
      <c r="I141" s="26"/>
      <c r="J141" s="26"/>
      <c r="K141" s="26"/>
      <c r="L141" s="26"/>
      <c r="M141" s="26"/>
      <c r="N141" s="26"/>
      <c r="O141" s="26"/>
      <c r="P141" s="26"/>
      <c r="Q141" s="60"/>
      <c r="R141" s="26"/>
      <c r="S141" s="79"/>
      <c r="T141" s="26"/>
      <c r="U141" s="60"/>
      <c r="V141" s="196"/>
      <c r="W141" s="6"/>
    </row>
    <row r="142" spans="1:25" ht="15.6">
      <c r="A142" s="25"/>
      <c r="B142" s="26"/>
      <c r="C142" s="26"/>
      <c r="D142" s="26"/>
      <c r="E142" s="26"/>
      <c r="F142" s="26"/>
      <c r="G142" s="26"/>
      <c r="H142" s="26"/>
      <c r="I142" s="26"/>
      <c r="J142" s="26"/>
      <c r="K142" s="26"/>
      <c r="L142" s="26"/>
      <c r="M142" s="26"/>
      <c r="N142" s="26"/>
      <c r="O142" s="26"/>
      <c r="P142" s="26"/>
      <c r="Q142" s="26"/>
      <c r="R142" s="26"/>
      <c r="S142" s="26"/>
      <c r="T142" s="26"/>
      <c r="U142" s="26"/>
      <c r="V142" s="196"/>
      <c r="W142" s="6"/>
    </row>
    <row r="143" spans="1:25" ht="15.6">
      <c r="A143" s="25"/>
      <c r="B143" s="29"/>
      <c r="C143" s="29"/>
      <c r="D143" s="29"/>
      <c r="E143" s="29"/>
      <c r="F143" s="29"/>
      <c r="G143" s="29"/>
      <c r="H143" s="29"/>
      <c r="I143" s="29"/>
      <c r="J143" s="29"/>
      <c r="K143" s="29"/>
      <c r="L143" s="29"/>
      <c r="M143" s="29"/>
      <c r="N143" s="29"/>
      <c r="O143" s="29"/>
      <c r="P143" s="29"/>
      <c r="Q143" s="29"/>
      <c r="R143" s="29"/>
      <c r="S143" s="29"/>
      <c r="T143" s="29"/>
      <c r="U143" s="29"/>
      <c r="V143" s="203"/>
      <c r="W143" s="6"/>
    </row>
    <row r="144" spans="1:25" ht="15.6">
      <c r="A144" s="80"/>
      <c r="B144" s="57" t="s">
        <v>59</v>
      </c>
      <c r="C144" s="81"/>
      <c r="D144" s="81"/>
      <c r="E144" s="81"/>
      <c r="F144" s="81"/>
      <c r="G144" s="81"/>
      <c r="H144" s="81"/>
      <c r="I144" s="81"/>
      <c r="J144" s="81"/>
      <c r="K144" s="81"/>
      <c r="L144" s="81"/>
      <c r="M144" s="81"/>
      <c r="N144" s="81"/>
      <c r="O144" s="81"/>
      <c r="P144" s="19"/>
      <c r="Q144" s="19"/>
      <c r="R144" s="19"/>
      <c r="S144" s="19">
        <v>39171</v>
      </c>
      <c r="T144" s="15"/>
      <c r="U144" s="15"/>
      <c r="V144" s="194"/>
      <c r="W144" s="6"/>
    </row>
    <row r="145" spans="1:23" ht="15.6">
      <c r="A145" s="82"/>
      <c r="B145" s="83" t="s">
        <v>60</v>
      </c>
      <c r="C145" s="84"/>
      <c r="D145" s="84"/>
      <c r="E145" s="84"/>
      <c r="F145" s="84"/>
      <c r="G145" s="84"/>
      <c r="H145" s="84"/>
      <c r="I145" s="84"/>
      <c r="J145" s="84"/>
      <c r="K145" s="84"/>
      <c r="L145" s="84"/>
      <c r="M145" s="84"/>
      <c r="N145" s="84"/>
      <c r="O145" s="84"/>
      <c r="P145" s="85"/>
      <c r="Q145" s="85"/>
      <c r="R145" s="85"/>
      <c r="S145" s="86">
        <v>0.10630000000000001</v>
      </c>
      <c r="T145" s="26"/>
      <c r="U145" s="26"/>
      <c r="V145" s="196"/>
      <c r="W145" s="6"/>
    </row>
    <row r="146" spans="1:23" ht="15.6">
      <c r="A146" s="82"/>
      <c r="B146" s="83" t="s">
        <v>61</v>
      </c>
      <c r="C146" s="84"/>
      <c r="D146" s="84"/>
      <c r="E146" s="84"/>
      <c r="F146" s="84"/>
      <c r="G146" s="84"/>
      <c r="H146" s="84"/>
      <c r="I146" s="84"/>
      <c r="J146" s="84"/>
      <c r="K146" s="84"/>
      <c r="L146" s="84"/>
      <c r="M146" s="84"/>
      <c r="N146" s="84"/>
      <c r="O146" s="84"/>
      <c r="P146" s="85"/>
      <c r="Q146" s="85"/>
      <c r="R146" s="85"/>
      <c r="S146" s="86">
        <v>5.2200000000000003E-2</v>
      </c>
      <c r="T146" s="86"/>
      <c r="U146" s="26"/>
      <c r="V146" s="196"/>
      <c r="W146" s="6"/>
    </row>
    <row r="147" spans="1:23" ht="15.6">
      <c r="A147" s="82"/>
      <c r="B147" s="83" t="s">
        <v>62</v>
      </c>
      <c r="C147" s="84"/>
      <c r="D147" s="84"/>
      <c r="E147" s="84"/>
      <c r="F147" s="84"/>
      <c r="G147" s="84"/>
      <c r="H147" s="84"/>
      <c r="I147" s="84"/>
      <c r="J147" s="84"/>
      <c r="K147" s="84"/>
      <c r="L147" s="84"/>
      <c r="M147" s="84"/>
      <c r="N147" s="84"/>
      <c r="O147" s="84"/>
      <c r="P147" s="85"/>
      <c r="Q147" s="85"/>
      <c r="R147" s="85"/>
      <c r="S147" s="86">
        <f>S145-S146</f>
        <v>5.4100000000000002E-2</v>
      </c>
      <c r="T147" s="26"/>
      <c r="U147" s="26"/>
      <c r="V147" s="196"/>
      <c r="W147" s="6"/>
    </row>
    <row r="148" spans="1:23" ht="15.6">
      <c r="A148" s="82"/>
      <c r="B148" s="83" t="s">
        <v>63</v>
      </c>
      <c r="C148" s="84"/>
      <c r="D148" s="84"/>
      <c r="E148" s="84"/>
      <c r="F148" s="84"/>
      <c r="G148" s="84"/>
      <c r="H148" s="84"/>
      <c r="I148" s="84"/>
      <c r="J148" s="84"/>
      <c r="K148" s="84"/>
      <c r="L148" s="84"/>
      <c r="M148" s="84"/>
      <c r="N148" s="84"/>
      <c r="O148" s="84"/>
      <c r="P148" s="85"/>
      <c r="Q148" s="85"/>
      <c r="R148" s="85"/>
      <c r="S148" s="86">
        <v>0.10288</v>
      </c>
      <c r="T148" s="26"/>
      <c r="U148" s="26"/>
      <c r="V148" s="196"/>
      <c r="W148" s="6"/>
    </row>
    <row r="149" spans="1:23" ht="15.6">
      <c r="A149" s="82"/>
      <c r="B149" s="83" t="s">
        <v>64</v>
      </c>
      <c r="C149" s="84"/>
      <c r="D149" s="84"/>
      <c r="E149" s="84"/>
      <c r="F149" s="84"/>
      <c r="G149" s="84"/>
      <c r="H149" s="84"/>
      <c r="I149" s="84"/>
      <c r="J149" s="84"/>
      <c r="K149" s="84"/>
      <c r="L149" s="84"/>
      <c r="M149" s="84"/>
      <c r="N149" s="84"/>
      <c r="O149" s="84"/>
      <c r="P149" s="85"/>
      <c r="Q149" s="85"/>
      <c r="R149" s="85"/>
      <c r="S149" s="86">
        <f>+U40</f>
        <v>5.8969007444444443E-2</v>
      </c>
      <c r="T149" s="26"/>
      <c r="U149" s="26"/>
      <c r="V149" s="196"/>
      <c r="W149" s="6"/>
    </row>
    <row r="150" spans="1:23" ht="15.6">
      <c r="A150" s="82"/>
      <c r="B150" s="83" t="s">
        <v>65</v>
      </c>
      <c r="C150" s="84"/>
      <c r="D150" s="84"/>
      <c r="E150" s="84"/>
      <c r="F150" s="84"/>
      <c r="G150" s="84"/>
      <c r="H150" s="84"/>
      <c r="I150" s="84"/>
      <c r="J150" s="84"/>
      <c r="K150" s="84"/>
      <c r="L150" s="84"/>
      <c r="M150" s="84"/>
      <c r="N150" s="84"/>
      <c r="O150" s="84"/>
      <c r="P150" s="85"/>
      <c r="Q150" s="85"/>
      <c r="R150" s="85"/>
      <c r="S150" s="86">
        <f>S148-S149</f>
        <v>4.3910992555555556E-2</v>
      </c>
      <c r="T150" s="26"/>
      <c r="U150" s="26"/>
      <c r="V150" s="196"/>
      <c r="W150" s="6"/>
    </row>
    <row r="151" spans="1:23" ht="15.6">
      <c r="A151" s="82"/>
      <c r="B151" s="83" t="s">
        <v>204</v>
      </c>
      <c r="C151" s="84"/>
      <c r="D151" s="84"/>
      <c r="E151" s="84"/>
      <c r="F151" s="84"/>
      <c r="G151" s="84"/>
      <c r="H151" s="84"/>
      <c r="I151" s="84"/>
      <c r="J151" s="84"/>
      <c r="K151" s="84"/>
      <c r="L151" s="84"/>
      <c r="M151" s="84"/>
      <c r="N151" s="84"/>
      <c r="O151" s="84"/>
      <c r="P151" s="85"/>
      <c r="Q151" s="85"/>
      <c r="R151" s="85"/>
      <c r="S151" s="183">
        <v>49780</v>
      </c>
      <c r="T151" s="26"/>
      <c r="U151" s="26"/>
      <c r="V151" s="196"/>
      <c r="W151" s="6"/>
    </row>
    <row r="152" spans="1:23" ht="15.6">
      <c r="A152" s="82"/>
      <c r="B152" s="83" t="s">
        <v>205</v>
      </c>
      <c r="C152" s="84"/>
      <c r="D152" s="84"/>
      <c r="E152" s="84"/>
      <c r="F152" s="84"/>
      <c r="G152" s="84"/>
      <c r="H152" s="84"/>
      <c r="I152" s="84"/>
      <c r="J152" s="84"/>
      <c r="K152" s="84"/>
      <c r="L152" s="84"/>
      <c r="M152" s="84"/>
      <c r="N152" s="84"/>
      <c r="O152" s="84"/>
      <c r="P152" s="85"/>
      <c r="Q152" s="85"/>
      <c r="R152" s="85"/>
      <c r="S152" s="183">
        <v>49780</v>
      </c>
      <c r="T152" s="26"/>
      <c r="U152" s="26"/>
      <c r="V152" s="196"/>
      <c r="W152" s="6"/>
    </row>
    <row r="153" spans="1:23" ht="15.6">
      <c r="A153" s="82"/>
      <c r="B153" s="83" t="s">
        <v>206</v>
      </c>
      <c r="C153" s="84"/>
      <c r="D153" s="84"/>
      <c r="E153" s="84"/>
      <c r="F153" s="84"/>
      <c r="G153" s="84"/>
      <c r="H153" s="84"/>
      <c r="I153" s="84"/>
      <c r="J153" s="84"/>
      <c r="K153" s="84"/>
      <c r="L153" s="84"/>
      <c r="M153" s="84"/>
      <c r="N153" s="84"/>
      <c r="O153" s="84"/>
      <c r="P153" s="85"/>
      <c r="Q153" s="85"/>
      <c r="R153" s="85"/>
      <c r="S153" s="183">
        <v>49780</v>
      </c>
      <c r="T153" s="26"/>
      <c r="U153" s="26"/>
      <c r="V153" s="196"/>
      <c r="W153" s="6"/>
    </row>
    <row r="154" spans="1:23" ht="15.6">
      <c r="A154" s="82"/>
      <c r="B154" s="83" t="s">
        <v>207</v>
      </c>
      <c r="C154" s="84"/>
      <c r="D154" s="84"/>
      <c r="E154" s="84"/>
      <c r="F154" s="84"/>
      <c r="G154" s="84"/>
      <c r="H154" s="84"/>
      <c r="I154" s="84"/>
      <c r="J154" s="84"/>
      <c r="K154" s="84"/>
      <c r="L154" s="84"/>
      <c r="M154" s="84"/>
      <c r="N154" s="84"/>
      <c r="O154" s="84"/>
      <c r="P154" s="85"/>
      <c r="Q154" s="85"/>
      <c r="R154" s="85"/>
      <c r="S154" s="183">
        <v>49780</v>
      </c>
      <c r="T154" s="26"/>
      <c r="U154" s="26"/>
      <c r="V154" s="196"/>
      <c r="W154" s="6"/>
    </row>
    <row r="155" spans="1:23" ht="15.6">
      <c r="A155" s="82"/>
      <c r="B155" s="83" t="s">
        <v>221</v>
      </c>
      <c r="C155" s="84"/>
      <c r="D155" s="84"/>
      <c r="E155" s="84"/>
      <c r="F155" s="84"/>
      <c r="G155" s="84"/>
      <c r="H155" s="84"/>
      <c r="I155" s="84"/>
      <c r="J155" s="84"/>
      <c r="K155" s="84"/>
      <c r="L155" s="84"/>
      <c r="M155" s="84"/>
      <c r="N155" s="84"/>
      <c r="O155" s="84"/>
      <c r="P155" s="85"/>
      <c r="Q155" s="85"/>
      <c r="R155" s="85"/>
      <c r="S155" s="87">
        <v>111.34</v>
      </c>
      <c r="T155" s="26"/>
      <c r="U155" s="26"/>
      <c r="V155" s="196"/>
      <c r="W155" s="6"/>
    </row>
    <row r="156" spans="1:23" ht="15.6">
      <c r="A156" s="82"/>
      <c r="B156" s="83" t="s">
        <v>222</v>
      </c>
      <c r="C156" s="84"/>
      <c r="D156" s="84"/>
      <c r="E156" s="84"/>
      <c r="F156" s="84"/>
      <c r="G156" s="84"/>
      <c r="H156" s="84"/>
      <c r="I156" s="84"/>
      <c r="J156" s="84"/>
      <c r="K156" s="84"/>
      <c r="L156" s="84"/>
      <c r="M156" s="84"/>
      <c r="N156" s="84"/>
      <c r="O156" s="84"/>
      <c r="P156" s="85"/>
      <c r="Q156" s="85"/>
      <c r="R156" s="85"/>
      <c r="S156" s="87">
        <v>110.51</v>
      </c>
      <c r="T156" s="26"/>
      <c r="U156" s="26"/>
      <c r="V156" s="196"/>
      <c r="W156" s="6"/>
    </row>
    <row r="157" spans="1:23" ht="15.6">
      <c r="A157" s="82" t="s">
        <v>223</v>
      </c>
      <c r="B157" s="83" t="s">
        <v>66</v>
      </c>
      <c r="C157" s="84"/>
      <c r="D157" s="84"/>
      <c r="E157" s="84"/>
      <c r="F157" s="84"/>
      <c r="G157" s="84"/>
      <c r="H157" s="84"/>
      <c r="I157" s="84"/>
      <c r="J157" s="84"/>
      <c r="K157" s="84"/>
      <c r="L157" s="84"/>
      <c r="M157" s="84"/>
      <c r="N157" s="84"/>
      <c r="O157" s="84"/>
      <c r="P157" s="85"/>
      <c r="Q157" s="85"/>
      <c r="R157" s="85"/>
      <c r="S157" s="86">
        <v>0.1268</v>
      </c>
      <c r="T157" s="26"/>
      <c r="U157" s="26"/>
      <c r="V157" s="196"/>
      <c r="W157" s="6"/>
    </row>
    <row r="158" spans="1:23" ht="15.6">
      <c r="A158" s="82"/>
      <c r="B158" s="83" t="s">
        <v>67</v>
      </c>
      <c r="C158" s="84"/>
      <c r="D158" s="84"/>
      <c r="E158" s="84"/>
      <c r="F158" s="84"/>
      <c r="G158" s="84"/>
      <c r="H158" s="84"/>
      <c r="I158" s="84"/>
      <c r="J158" s="84"/>
      <c r="K158" s="84"/>
      <c r="L158" s="84"/>
      <c r="M158" s="84"/>
      <c r="N158" s="84"/>
      <c r="O158" s="84"/>
      <c r="P158" s="85"/>
      <c r="Q158" s="85"/>
      <c r="R158" s="85"/>
      <c r="S158" s="86">
        <v>0.41310000000000002</v>
      </c>
      <c r="T158" s="26"/>
      <c r="U158" s="26"/>
      <c r="V158" s="196"/>
      <c r="W158" s="6"/>
    </row>
    <row r="159" spans="1:23" ht="15.6">
      <c r="A159" s="82"/>
      <c r="B159" s="83"/>
      <c r="C159" s="83"/>
      <c r="D159" s="83"/>
      <c r="E159" s="83"/>
      <c r="F159" s="83"/>
      <c r="G159" s="83"/>
      <c r="H159" s="83"/>
      <c r="I159" s="83"/>
      <c r="J159" s="83"/>
      <c r="K159" s="83"/>
      <c r="L159" s="83"/>
      <c r="M159" s="83"/>
      <c r="N159" s="83"/>
      <c r="O159" s="83"/>
      <c r="P159" s="26"/>
      <c r="Q159" s="26"/>
      <c r="R159" s="33"/>
      <c r="S159" s="88"/>
      <c r="T159" s="26"/>
      <c r="U159" s="89"/>
      <c r="V159" s="196"/>
      <c r="W159" s="6"/>
    </row>
    <row r="160" spans="1:23" ht="15.6">
      <c r="A160" s="80"/>
      <c r="B160" s="90"/>
      <c r="C160" s="90"/>
      <c r="D160" s="90"/>
      <c r="E160" s="90"/>
      <c r="F160" s="90"/>
      <c r="G160" s="90"/>
      <c r="H160" s="90"/>
      <c r="I160" s="90"/>
      <c r="J160" s="90"/>
      <c r="K160" s="90"/>
      <c r="L160" s="90"/>
      <c r="M160" s="90"/>
      <c r="N160" s="90"/>
      <c r="O160" s="90"/>
      <c r="P160" s="9"/>
      <c r="Q160" s="9"/>
      <c r="R160" s="20"/>
      <c r="S160" s="91"/>
      <c r="T160" s="9"/>
      <c r="U160" s="92"/>
      <c r="V160" s="194"/>
      <c r="W160" s="6"/>
    </row>
    <row r="161" spans="1:23" ht="16.2" thickBot="1">
      <c r="A161" s="136"/>
      <c r="B161" s="131" t="str">
        <f>+B110</f>
        <v>PPAF3 INVESTOR REPORT QUARTER ENDING MARCH 2007</v>
      </c>
      <c r="C161" s="137"/>
      <c r="D161" s="137"/>
      <c r="E161" s="137"/>
      <c r="F161" s="137"/>
      <c r="G161" s="137"/>
      <c r="H161" s="137"/>
      <c r="I161" s="137"/>
      <c r="J161" s="137"/>
      <c r="K161" s="137"/>
      <c r="L161" s="137"/>
      <c r="M161" s="137"/>
      <c r="N161" s="137"/>
      <c r="O161" s="137"/>
      <c r="P161" s="132"/>
      <c r="Q161" s="132"/>
      <c r="R161" s="138"/>
      <c r="S161" s="139"/>
      <c r="T161" s="132"/>
      <c r="U161" s="140"/>
      <c r="V161" s="134"/>
      <c r="W161" s="6"/>
    </row>
    <row r="162" spans="1:23" ht="15.6">
      <c r="A162" s="93"/>
      <c r="B162" s="94" t="s">
        <v>68</v>
      </c>
      <c r="C162" s="95"/>
      <c r="D162" s="95"/>
      <c r="E162" s="95"/>
      <c r="F162" s="95"/>
      <c r="G162" s="95"/>
      <c r="H162" s="95"/>
      <c r="I162" s="95"/>
      <c r="J162" s="95"/>
      <c r="K162" s="95"/>
      <c r="L162" s="95"/>
      <c r="M162" s="96"/>
      <c r="N162" s="95"/>
      <c r="O162" s="96"/>
      <c r="P162" s="95"/>
      <c r="Q162" s="96"/>
      <c r="R162" s="95" t="s">
        <v>94</v>
      </c>
      <c r="S162" s="96" t="s">
        <v>116</v>
      </c>
      <c r="T162" s="97"/>
      <c r="U162" s="97"/>
      <c r="V162" s="193"/>
      <c r="W162" s="6"/>
    </row>
    <row r="163" spans="1:23" ht="15.6">
      <c r="A163" s="98"/>
      <c r="B163" s="83" t="s">
        <v>216</v>
      </c>
      <c r="C163" s="61"/>
      <c r="D163" s="61"/>
      <c r="E163" s="61"/>
      <c r="F163" s="61"/>
      <c r="G163" s="61"/>
      <c r="H163" s="61"/>
      <c r="I163" s="61"/>
      <c r="J163" s="61"/>
      <c r="K163" s="61"/>
      <c r="L163" s="61"/>
      <c r="M163" s="61"/>
      <c r="N163" s="61"/>
      <c r="O163" s="26"/>
      <c r="P163" s="26"/>
      <c r="Q163" s="26"/>
      <c r="R163" s="59">
        <v>536</v>
      </c>
      <c r="S163" s="60">
        <v>16369</v>
      </c>
      <c r="T163" s="60"/>
      <c r="U163" s="89"/>
      <c r="V163" s="204"/>
      <c r="W163" s="6"/>
    </row>
    <row r="164" spans="1:23" ht="15.6">
      <c r="A164" s="98"/>
      <c r="B164" s="83" t="s">
        <v>217</v>
      </c>
      <c r="C164" s="61"/>
      <c r="D164" s="61"/>
      <c r="E164" s="61"/>
      <c r="F164" s="61"/>
      <c r="G164" s="61"/>
      <c r="H164" s="61"/>
      <c r="I164" s="61"/>
      <c r="J164" s="61"/>
      <c r="K164" s="61"/>
      <c r="L164" s="61"/>
      <c r="M164" s="61"/>
      <c r="N164" s="61"/>
      <c r="O164" s="26"/>
      <c r="P164" s="26"/>
      <c r="Q164" s="26"/>
      <c r="R164" s="26">
        <v>102</v>
      </c>
      <c r="S164" s="60">
        <v>1264</v>
      </c>
      <c r="T164" s="60"/>
      <c r="U164" s="89"/>
      <c r="V164" s="204"/>
      <c r="W164" s="6"/>
    </row>
    <row r="165" spans="1:23" ht="15.6">
      <c r="A165" s="98"/>
      <c r="B165" s="83" t="s">
        <v>218</v>
      </c>
      <c r="C165" s="61"/>
      <c r="D165" s="61"/>
      <c r="E165" s="61"/>
      <c r="F165" s="61"/>
      <c r="G165" s="61"/>
      <c r="H165" s="61"/>
      <c r="I165" s="61"/>
      <c r="J165" s="61"/>
      <c r="K165" s="61"/>
      <c r="L165" s="61"/>
      <c r="M165" s="61"/>
      <c r="N165" s="61"/>
      <c r="O165" s="26"/>
      <c r="P165" s="26"/>
      <c r="Q165" s="26"/>
      <c r="R165" s="26">
        <v>296</v>
      </c>
      <c r="S165" s="60">
        <v>405</v>
      </c>
      <c r="T165" s="60"/>
      <c r="U165" s="89"/>
      <c r="V165" s="204"/>
      <c r="W165" s="6"/>
    </row>
    <row r="166" spans="1:23" ht="15.6">
      <c r="A166" s="98"/>
      <c r="B166" s="83" t="s">
        <v>219</v>
      </c>
      <c r="C166" s="61"/>
      <c r="D166" s="61"/>
      <c r="E166" s="61"/>
      <c r="F166" s="61"/>
      <c r="G166" s="61"/>
      <c r="H166" s="61"/>
      <c r="I166" s="61"/>
      <c r="J166" s="61"/>
      <c r="K166" s="61"/>
      <c r="L166" s="61"/>
      <c r="M166" s="61"/>
      <c r="N166" s="61"/>
      <c r="O166" s="26"/>
      <c r="P166" s="26"/>
      <c r="Q166" s="26"/>
      <c r="R166" s="26">
        <v>554</v>
      </c>
      <c r="S166" s="60">
        <v>3299</v>
      </c>
      <c r="T166" s="60"/>
      <c r="U166" s="89"/>
      <c r="V166" s="204"/>
      <c r="W166" s="6"/>
    </row>
    <row r="167" spans="1:23" ht="15.6">
      <c r="A167" s="98"/>
      <c r="B167" s="83" t="s">
        <v>90</v>
      </c>
      <c r="C167" s="61"/>
      <c r="D167" s="61"/>
      <c r="E167" s="61"/>
      <c r="F167" s="61"/>
      <c r="G167" s="61"/>
      <c r="H167" s="61"/>
      <c r="I167" s="61"/>
      <c r="J167" s="61"/>
      <c r="K167" s="61"/>
      <c r="L167" s="61"/>
      <c r="M167" s="61"/>
      <c r="N167" s="61"/>
      <c r="O167" s="26"/>
      <c r="P167" s="26"/>
      <c r="Q167" s="26"/>
      <c r="R167" s="59">
        <f>SUM(R163:R166)</f>
        <v>1488</v>
      </c>
      <c r="S167" s="60">
        <f>SUM(S163:S166)</f>
        <v>21337</v>
      </c>
      <c r="T167" s="60"/>
      <c r="U167" s="89"/>
      <c r="V167" s="204"/>
      <c r="W167" s="6"/>
    </row>
    <row r="168" spans="1:23" ht="15.6">
      <c r="A168" s="98"/>
      <c r="B168" s="83"/>
      <c r="C168" s="61"/>
      <c r="D168" s="61"/>
      <c r="E168" s="61"/>
      <c r="F168" s="61"/>
      <c r="G168" s="61"/>
      <c r="H168" s="61"/>
      <c r="I168" s="61"/>
      <c r="J168" s="61"/>
      <c r="K168" s="61"/>
      <c r="L168" s="61"/>
      <c r="M168" s="61"/>
      <c r="N168" s="61"/>
      <c r="O168" s="26"/>
      <c r="P168" s="26"/>
      <c r="Q168" s="26"/>
      <c r="R168" s="26"/>
      <c r="S168" s="60"/>
      <c r="T168" s="60"/>
      <c r="U168" s="89"/>
      <c r="V168" s="204"/>
      <c r="W168" s="6"/>
    </row>
    <row r="169" spans="1:23" ht="15.6">
      <c r="A169" s="98"/>
      <c r="B169" s="83" t="s">
        <v>220</v>
      </c>
      <c r="C169" s="61"/>
      <c r="D169" s="61"/>
      <c r="E169" s="61"/>
      <c r="F169" s="61"/>
      <c r="G169" s="61"/>
      <c r="H169" s="61"/>
      <c r="I169" s="61"/>
      <c r="J169" s="61"/>
      <c r="K169" s="61"/>
      <c r="L169" s="61"/>
      <c r="M169" s="61"/>
      <c r="N169" s="61"/>
      <c r="O169" s="26"/>
      <c r="P169" s="26"/>
      <c r="Q169" s="26"/>
      <c r="R169" s="26">
        <v>40</v>
      </c>
      <c r="S169" s="60">
        <v>579</v>
      </c>
      <c r="T169" s="60"/>
      <c r="U169" s="89"/>
      <c r="V169" s="204"/>
      <c r="W169" s="6"/>
    </row>
    <row r="170" spans="1:23" ht="15.6">
      <c r="A170" s="98"/>
      <c r="B170" s="83" t="s">
        <v>224</v>
      </c>
      <c r="C170" s="61"/>
      <c r="D170" s="61"/>
      <c r="E170" s="61"/>
      <c r="F170" s="61"/>
      <c r="G170" s="61"/>
      <c r="H170" s="61"/>
      <c r="I170" s="61"/>
      <c r="J170" s="61"/>
      <c r="K170" s="61"/>
      <c r="L170" s="61"/>
      <c r="M170" s="61"/>
      <c r="N170" s="61"/>
      <c r="O170" s="26"/>
      <c r="P170" s="26"/>
      <c r="Q170" s="26"/>
      <c r="R170" s="26">
        <v>14</v>
      </c>
      <c r="S170" s="60">
        <v>399</v>
      </c>
      <c r="T170" s="60"/>
      <c r="U170" s="89"/>
      <c r="V170" s="204"/>
      <c r="W170" s="6"/>
    </row>
    <row r="171" spans="1:23" ht="15.6">
      <c r="A171" s="98"/>
      <c r="B171" s="156" t="s">
        <v>69</v>
      </c>
      <c r="C171" s="61"/>
      <c r="D171" s="61"/>
      <c r="E171" s="61"/>
      <c r="F171" s="61"/>
      <c r="G171" s="61"/>
      <c r="H171" s="61"/>
      <c r="I171" s="61"/>
      <c r="J171" s="61"/>
      <c r="K171" s="61"/>
      <c r="L171" s="61"/>
      <c r="M171" s="61"/>
      <c r="N171" s="61"/>
      <c r="O171" s="26"/>
      <c r="P171" s="26"/>
      <c r="Q171" s="26"/>
      <c r="R171" s="26"/>
      <c r="S171" s="60">
        <v>0</v>
      </c>
      <c r="T171" s="26"/>
      <c r="U171" s="89"/>
      <c r="V171" s="204"/>
      <c r="W171" s="6"/>
    </row>
    <row r="172" spans="1:23" ht="15.6">
      <c r="A172" s="98"/>
      <c r="B172" s="156" t="s">
        <v>70</v>
      </c>
      <c r="C172" s="61"/>
      <c r="D172" s="61"/>
      <c r="E172" s="61"/>
      <c r="F172" s="61"/>
      <c r="G172" s="61"/>
      <c r="H172" s="61"/>
      <c r="I172" s="61"/>
      <c r="J172" s="61"/>
      <c r="K172" s="61"/>
      <c r="L172" s="61"/>
      <c r="M172" s="61"/>
      <c r="N172" s="61"/>
      <c r="O172" s="26"/>
      <c r="P172" s="26"/>
      <c r="Q172" s="26"/>
      <c r="R172" s="26"/>
      <c r="S172" s="60">
        <f>Q76</f>
        <v>56816</v>
      </c>
      <c r="T172" s="26"/>
      <c r="U172" s="89"/>
      <c r="V172" s="204"/>
      <c r="W172" s="6"/>
    </row>
    <row r="173" spans="1:23" ht="15.6">
      <c r="A173" s="101"/>
      <c r="B173" s="156" t="s">
        <v>71</v>
      </c>
      <c r="C173" s="61"/>
      <c r="D173" s="61"/>
      <c r="E173" s="61"/>
      <c r="F173" s="61"/>
      <c r="G173" s="61"/>
      <c r="H173" s="61"/>
      <c r="I173" s="61"/>
      <c r="J173" s="61"/>
      <c r="K173" s="61"/>
      <c r="L173" s="61"/>
      <c r="M173" s="83"/>
      <c r="N173" s="83"/>
      <c r="O173" s="83"/>
      <c r="P173" s="26"/>
      <c r="Q173" s="26"/>
      <c r="R173" s="26"/>
      <c r="S173" s="102"/>
      <c r="T173" s="26"/>
      <c r="U173" s="89"/>
      <c r="V173" s="205"/>
      <c r="W173" s="6"/>
    </row>
    <row r="174" spans="1:23" ht="15.6">
      <c r="A174" s="98"/>
      <c r="B174" s="83" t="s">
        <v>72</v>
      </c>
      <c r="C174" s="61"/>
      <c r="D174" s="61"/>
      <c r="E174" s="61"/>
      <c r="F174" s="61"/>
      <c r="G174" s="61"/>
      <c r="H174" s="61"/>
      <c r="I174" s="61"/>
      <c r="J174" s="61"/>
      <c r="K174" s="61"/>
      <c r="L174" s="61"/>
      <c r="M174" s="61"/>
      <c r="N174" s="61"/>
      <c r="O174" s="61"/>
      <c r="P174" s="26"/>
      <c r="Q174" s="26"/>
      <c r="R174" s="26"/>
      <c r="S174" s="60">
        <f>U129</f>
        <v>2955</v>
      </c>
      <c r="T174" s="26"/>
      <c r="U174" s="89"/>
      <c r="V174" s="205"/>
      <c r="W174" s="6"/>
    </row>
    <row r="175" spans="1:23" ht="15.6">
      <c r="A175" s="98"/>
      <c r="B175" s="83" t="s">
        <v>73</v>
      </c>
      <c r="C175" s="61"/>
      <c r="D175" s="61"/>
      <c r="E175" s="61"/>
      <c r="F175" s="61"/>
      <c r="G175" s="61"/>
      <c r="H175" s="61"/>
      <c r="I175" s="61"/>
      <c r="J175" s="61"/>
      <c r="K175" s="61"/>
      <c r="L175" s="61"/>
      <c r="M175" s="61"/>
      <c r="N175" s="61"/>
      <c r="O175" s="61"/>
      <c r="P175" s="26"/>
      <c r="Q175" s="26"/>
      <c r="R175" s="26"/>
      <c r="S175" s="60">
        <f>+'Dec 06'!S175+S174</f>
        <v>31968</v>
      </c>
      <c r="T175" s="26"/>
      <c r="U175" s="89"/>
      <c r="V175" s="205"/>
      <c r="W175" s="6"/>
    </row>
    <row r="176" spans="1:23" ht="15.6">
      <c r="A176" s="98"/>
      <c r="B176" s="83" t="s">
        <v>74</v>
      </c>
      <c r="C176" s="61"/>
      <c r="D176" s="61"/>
      <c r="E176" s="61"/>
      <c r="F176" s="61"/>
      <c r="G176" s="61"/>
      <c r="H176" s="61"/>
      <c r="I176" s="61"/>
      <c r="J176" s="61"/>
      <c r="K176" s="61"/>
      <c r="L176" s="61"/>
      <c r="M176" s="61"/>
      <c r="N176" s="61"/>
      <c r="O176" s="61"/>
      <c r="P176" s="26"/>
      <c r="Q176" s="26"/>
      <c r="R176" s="26"/>
      <c r="S176" s="60">
        <f>'Dec 06'!S176+576</f>
        <v>4186</v>
      </c>
      <c r="T176" s="26"/>
      <c r="U176" s="89"/>
      <c r="V176" s="205"/>
      <c r="W176" s="6"/>
    </row>
    <row r="177" spans="1:23" ht="15.6">
      <c r="A177" s="98"/>
      <c r="B177" s="83"/>
      <c r="C177" s="61"/>
      <c r="D177" s="61"/>
      <c r="E177" s="61"/>
      <c r="F177" s="61"/>
      <c r="G177" s="61"/>
      <c r="H177" s="61"/>
      <c r="I177" s="61"/>
      <c r="J177" s="61"/>
      <c r="K177" s="61"/>
      <c r="L177" s="61"/>
      <c r="M177" s="61"/>
      <c r="N177" s="61"/>
      <c r="O177" s="61"/>
      <c r="P177" s="26"/>
      <c r="Q177" s="26"/>
      <c r="R177" s="26"/>
      <c r="S177" s="60"/>
      <c r="T177" s="26"/>
      <c r="U177" s="89"/>
      <c r="V177" s="205"/>
      <c r="W177" s="6"/>
    </row>
    <row r="178" spans="1:23" ht="15.6">
      <c r="A178" s="101"/>
      <c r="B178" s="156" t="s">
        <v>259</v>
      </c>
      <c r="C178" s="61"/>
      <c r="D178" s="61"/>
      <c r="E178" s="61"/>
      <c r="F178" s="61"/>
      <c r="G178" s="61"/>
      <c r="H178" s="61"/>
      <c r="I178" s="61"/>
      <c r="J178" s="61"/>
      <c r="K178" s="61"/>
      <c r="L178" s="61"/>
      <c r="M178" s="83"/>
      <c r="N178" s="83"/>
      <c r="O178" s="83"/>
      <c r="P178" s="26"/>
      <c r="Q178" s="26"/>
      <c r="R178" s="26"/>
      <c r="S178" s="79"/>
      <c r="T178" s="26"/>
      <c r="U178" s="89"/>
      <c r="V178" s="205"/>
      <c r="W178" s="6"/>
    </row>
    <row r="179" spans="1:23" ht="15.6">
      <c r="A179" s="101"/>
      <c r="B179" s="83" t="s">
        <v>254</v>
      </c>
      <c r="C179" s="61"/>
      <c r="D179" s="61"/>
      <c r="E179" s="61"/>
      <c r="F179" s="61"/>
      <c r="G179" s="61"/>
      <c r="H179" s="61"/>
      <c r="I179" s="61"/>
      <c r="J179" s="61"/>
      <c r="K179" s="61"/>
      <c r="L179" s="61"/>
      <c r="M179" s="83"/>
      <c r="N179" s="83"/>
      <c r="O179" s="83"/>
      <c r="P179" s="26"/>
      <c r="Q179" s="26"/>
      <c r="R179" s="26"/>
      <c r="S179" s="79">
        <v>6</v>
      </c>
      <c r="T179" s="26"/>
      <c r="U179" s="89"/>
      <c r="V179" s="205"/>
      <c r="W179" s="6"/>
    </row>
    <row r="180" spans="1:23" ht="15.6">
      <c r="A180" s="98"/>
      <c r="B180" s="83" t="s">
        <v>75</v>
      </c>
      <c r="C180" s="61"/>
      <c r="D180" s="61"/>
      <c r="E180" s="61"/>
      <c r="F180" s="61"/>
      <c r="G180" s="61"/>
      <c r="H180" s="61"/>
      <c r="I180" s="61"/>
      <c r="J180" s="61"/>
      <c r="K180" s="61"/>
      <c r="L180" s="61"/>
      <c r="M180" s="104"/>
      <c r="N180" s="104"/>
      <c r="O180" s="105"/>
      <c r="P180" s="26"/>
      <c r="Q180" s="26"/>
      <c r="R180" s="26"/>
      <c r="S180" s="191">
        <v>10.81</v>
      </c>
      <c r="T180" s="26"/>
      <c r="U180" s="89"/>
      <c r="V180" s="205"/>
      <c r="W180" s="6"/>
    </row>
    <row r="181" spans="1:23" ht="15.6">
      <c r="A181" s="98"/>
      <c r="B181" s="83" t="s">
        <v>76</v>
      </c>
      <c r="C181" s="61"/>
      <c r="D181" s="61"/>
      <c r="E181" s="61"/>
      <c r="F181" s="61"/>
      <c r="G181" s="61"/>
      <c r="H181" s="61"/>
      <c r="I181" s="61"/>
      <c r="J181" s="61"/>
      <c r="K181" s="61"/>
      <c r="L181" s="61"/>
      <c r="M181" s="104"/>
      <c r="N181" s="104"/>
      <c r="O181" s="105"/>
      <c r="P181" s="26"/>
      <c r="Q181" s="26"/>
      <c r="R181" s="26"/>
      <c r="S181" s="191">
        <v>196.67</v>
      </c>
      <c r="T181" s="26"/>
      <c r="U181" s="89"/>
      <c r="V181" s="205"/>
      <c r="W181" s="6"/>
    </row>
    <row r="182" spans="1:23" ht="15.6">
      <c r="A182" s="98"/>
      <c r="B182" s="83"/>
      <c r="C182" s="61"/>
      <c r="D182" s="61"/>
      <c r="E182" s="61"/>
      <c r="F182" s="61"/>
      <c r="G182" s="61"/>
      <c r="H182" s="61"/>
      <c r="I182" s="61"/>
      <c r="J182" s="61"/>
      <c r="K182" s="61"/>
      <c r="L182" s="61"/>
      <c r="M182" s="106"/>
      <c r="N182" s="104"/>
      <c r="O182" s="105"/>
      <c r="P182" s="26"/>
      <c r="Q182" s="26"/>
      <c r="R182" s="26"/>
      <c r="S182" s="79"/>
      <c r="T182" s="26"/>
      <c r="U182" s="89"/>
      <c r="V182" s="205"/>
      <c r="W182" s="6"/>
    </row>
    <row r="183" spans="1:23" ht="15.6">
      <c r="A183" s="98"/>
      <c r="B183" s="156" t="s">
        <v>77</v>
      </c>
      <c r="C183" s="61"/>
      <c r="D183" s="61"/>
      <c r="E183" s="61"/>
      <c r="F183" s="61"/>
      <c r="G183" s="61"/>
      <c r="H183" s="61"/>
      <c r="I183" s="61"/>
      <c r="J183" s="61"/>
      <c r="K183" s="61"/>
      <c r="L183" s="61"/>
      <c r="M183" s="61"/>
      <c r="N183" s="106"/>
      <c r="O183" s="104"/>
      <c r="P183" s="105"/>
      <c r="Q183" s="26"/>
      <c r="R183" s="33"/>
      <c r="S183" s="33"/>
      <c r="T183" s="107"/>
      <c r="U183" s="33"/>
      <c r="V183" s="206"/>
      <c r="W183" s="6"/>
    </row>
    <row r="184" spans="1:23" ht="15.6">
      <c r="A184" s="98"/>
      <c r="B184" s="83" t="s">
        <v>78</v>
      </c>
      <c r="C184" s="61"/>
      <c r="D184" s="61"/>
      <c r="E184" s="61"/>
      <c r="F184" s="61"/>
      <c r="G184" s="61"/>
      <c r="H184" s="61"/>
      <c r="I184" s="61"/>
      <c r="J184" s="61"/>
      <c r="K184" s="61"/>
      <c r="L184" s="61"/>
      <c r="M184" s="61"/>
      <c r="N184" s="106"/>
      <c r="O184" s="104"/>
      <c r="P184" s="105"/>
      <c r="Q184" s="26"/>
      <c r="R184" s="33"/>
      <c r="S184" s="108">
        <v>100</v>
      </c>
      <c r="T184" s="108"/>
      <c r="U184" s="33"/>
      <c r="V184" s="206"/>
      <c r="W184" s="6"/>
    </row>
    <row r="185" spans="1:23" ht="15.6">
      <c r="A185" s="98"/>
      <c r="B185" s="83" t="s">
        <v>75</v>
      </c>
      <c r="C185" s="61"/>
      <c r="D185" s="61"/>
      <c r="E185" s="61"/>
      <c r="F185" s="61"/>
      <c r="G185" s="61"/>
      <c r="H185" s="61"/>
      <c r="I185" s="61"/>
      <c r="J185" s="61"/>
      <c r="K185" s="61"/>
      <c r="L185" s="61"/>
      <c r="M185" s="61"/>
      <c r="N185" s="106"/>
      <c r="O185" s="104"/>
      <c r="P185" s="105"/>
      <c r="Q185" s="26"/>
      <c r="R185" s="33"/>
      <c r="S185" s="108">
        <v>5.14</v>
      </c>
      <c r="T185" s="108"/>
      <c r="U185" s="33"/>
      <c r="V185" s="206"/>
      <c r="W185" s="6"/>
    </row>
    <row r="186" spans="1:23" ht="15.6">
      <c r="A186" s="98"/>
      <c r="B186" s="83" t="s">
        <v>79</v>
      </c>
      <c r="C186" s="61"/>
      <c r="D186" s="61"/>
      <c r="E186" s="61"/>
      <c r="F186" s="61"/>
      <c r="G186" s="61"/>
      <c r="H186" s="61"/>
      <c r="I186" s="61"/>
      <c r="J186" s="61"/>
      <c r="K186" s="61"/>
      <c r="L186" s="61"/>
      <c r="M186" s="61"/>
      <c r="N186" s="106"/>
      <c r="O186" s="104"/>
      <c r="P186" s="105"/>
      <c r="Q186" s="26"/>
      <c r="R186" s="33"/>
      <c r="S186" s="108">
        <v>64.180000000000007</v>
      </c>
      <c r="T186" s="108"/>
      <c r="U186" s="33"/>
      <c r="V186" s="206"/>
      <c r="W186" s="6"/>
    </row>
    <row r="187" spans="1:23" ht="15.6">
      <c r="A187" s="98"/>
      <c r="B187" s="83"/>
      <c r="C187" s="61"/>
      <c r="D187" s="61"/>
      <c r="E187" s="61"/>
      <c r="F187" s="61"/>
      <c r="G187" s="61"/>
      <c r="H187" s="61"/>
      <c r="I187" s="61"/>
      <c r="J187" s="61"/>
      <c r="K187" s="61"/>
      <c r="L187" s="61"/>
      <c r="M187" s="106"/>
      <c r="N187" s="104"/>
      <c r="O187" s="105"/>
      <c r="P187" s="26"/>
      <c r="Q187" s="26"/>
      <c r="R187" s="26"/>
      <c r="S187" s="79"/>
      <c r="T187" s="26"/>
      <c r="U187" s="89"/>
      <c r="V187" s="205"/>
      <c r="W187" s="6"/>
    </row>
    <row r="188" spans="1:23" ht="17.399999999999999">
      <c r="A188" s="98"/>
      <c r="B188" s="180" t="s">
        <v>196</v>
      </c>
      <c r="C188" s="61"/>
      <c r="D188" s="61"/>
      <c r="E188" s="61"/>
      <c r="F188" s="61"/>
      <c r="G188" s="61"/>
      <c r="H188" s="61"/>
      <c r="I188" s="61"/>
      <c r="J188" s="61"/>
      <c r="K188" s="181" t="s">
        <v>195</v>
      </c>
      <c r="L188" s="61"/>
      <c r="M188" s="106"/>
      <c r="N188" s="104"/>
      <c r="O188" s="105"/>
      <c r="P188" s="26"/>
      <c r="Q188" s="26"/>
      <c r="R188" s="26"/>
      <c r="S188" s="79"/>
      <c r="T188" s="26"/>
      <c r="U188" s="89"/>
      <c r="V188" s="205"/>
      <c r="W188" s="6"/>
    </row>
    <row r="189" spans="1:23" ht="15.6">
      <c r="A189" s="25"/>
      <c r="B189" s="109" t="s">
        <v>80</v>
      </c>
      <c r="C189" s="110"/>
      <c r="D189" s="110"/>
      <c r="E189" s="110"/>
      <c r="F189" s="110"/>
      <c r="G189" s="110"/>
      <c r="H189" s="110"/>
      <c r="I189" s="110"/>
      <c r="J189" s="110"/>
      <c r="K189" s="110"/>
      <c r="L189" s="110"/>
      <c r="M189" s="111"/>
      <c r="N189" s="110"/>
      <c r="O189" s="111"/>
      <c r="P189" s="110"/>
      <c r="Q189" s="111"/>
      <c r="R189" s="110"/>
      <c r="S189" s="111"/>
      <c r="T189" s="110"/>
      <c r="U189" s="112"/>
      <c r="V189" s="205"/>
      <c r="W189" s="6"/>
    </row>
    <row r="190" spans="1:23" ht="15.6">
      <c r="A190" s="25"/>
      <c r="B190" s="30"/>
      <c r="C190" s="189"/>
      <c r="D190" s="189"/>
      <c r="E190" s="189"/>
      <c r="F190" s="189"/>
      <c r="G190" s="189"/>
      <c r="H190" s="189"/>
      <c r="I190" s="189"/>
      <c r="J190" s="189"/>
      <c r="K190" s="189"/>
      <c r="L190" s="189"/>
      <c r="M190" s="109" t="s">
        <v>100</v>
      </c>
      <c r="N190" s="110"/>
      <c r="O190" s="111"/>
      <c r="P190" s="110"/>
      <c r="Q190" s="109" t="s">
        <v>26</v>
      </c>
      <c r="R190" s="110"/>
      <c r="S190" s="111"/>
      <c r="T190" s="110"/>
      <c r="U190" s="112"/>
      <c r="V190" s="205"/>
      <c r="W190" s="6"/>
    </row>
    <row r="191" spans="1:23" ht="15.6">
      <c r="A191" s="25"/>
      <c r="B191" s="189"/>
      <c r="C191" s="111"/>
      <c r="D191" s="111"/>
      <c r="E191" s="111"/>
      <c r="F191" s="111"/>
      <c r="G191" s="111"/>
      <c r="H191" s="111"/>
      <c r="I191" s="111"/>
      <c r="J191" s="111"/>
      <c r="K191" s="111"/>
      <c r="L191" s="111" t="s">
        <v>94</v>
      </c>
      <c r="M191" s="110" t="s">
        <v>101</v>
      </c>
      <c r="N191" s="111" t="s">
        <v>103</v>
      </c>
      <c r="O191" s="110" t="s">
        <v>101</v>
      </c>
      <c r="P191" s="110"/>
      <c r="Q191" s="111" t="s">
        <v>94</v>
      </c>
      <c r="R191" s="110" t="s">
        <v>101</v>
      </c>
      <c r="S191" s="111" t="s">
        <v>103</v>
      </c>
      <c r="T191" s="110" t="s">
        <v>101</v>
      </c>
      <c r="U191" s="112"/>
      <c r="V191" s="205"/>
      <c r="W191" s="6"/>
    </row>
    <row r="192" spans="1:23" ht="15.6">
      <c r="A192" s="25"/>
      <c r="B192" s="61" t="s">
        <v>81</v>
      </c>
      <c r="C192" s="113"/>
      <c r="D192" s="113"/>
      <c r="E192" s="113"/>
      <c r="F192" s="113"/>
      <c r="G192" s="113"/>
      <c r="H192" s="113"/>
      <c r="I192" s="113"/>
      <c r="J192" s="113"/>
      <c r="K192" s="113"/>
      <c r="L192" s="113">
        <v>7553</v>
      </c>
      <c r="M192" s="86">
        <f t="shared" ref="M192:M198" si="0">+L192/$L$199</f>
        <v>0.88942534149788033</v>
      </c>
      <c r="N192" s="113">
        <v>30642</v>
      </c>
      <c r="O192" s="86">
        <f t="shared" ref="O192:O198" si="1">N192/$N$199</f>
        <v>0.85673544707263882</v>
      </c>
      <c r="P192" s="110"/>
      <c r="Q192" s="113">
        <v>35906</v>
      </c>
      <c r="R192" s="86">
        <f t="shared" ref="R192:R198" si="2">+Q192/$Q$199</f>
        <v>0.98369907673762358</v>
      </c>
      <c r="S192" s="113">
        <v>40326</v>
      </c>
      <c r="T192" s="86">
        <f t="shared" ref="T192:T198" si="3">+S192/$S$199</f>
        <v>0.98202805376972535</v>
      </c>
      <c r="U192" s="112"/>
      <c r="V192" s="205"/>
      <c r="W192" s="6"/>
    </row>
    <row r="193" spans="1:24" ht="15.6">
      <c r="A193" s="25"/>
      <c r="B193" s="61" t="s">
        <v>82</v>
      </c>
      <c r="C193" s="113"/>
      <c r="D193" s="113"/>
      <c r="E193" s="113"/>
      <c r="F193" s="113"/>
      <c r="G193" s="113"/>
      <c r="H193" s="113"/>
      <c r="I193" s="113"/>
      <c r="J193" s="113"/>
      <c r="K193" s="113"/>
      <c r="L193" s="113">
        <v>118</v>
      </c>
      <c r="M193" s="86">
        <f t="shared" si="0"/>
        <v>1.3895430993876589E-2</v>
      </c>
      <c r="N193" s="113">
        <v>548</v>
      </c>
      <c r="O193" s="86">
        <f t="shared" si="1"/>
        <v>1.5321814013308729E-2</v>
      </c>
      <c r="P193" s="110"/>
      <c r="Q193" s="113">
        <v>77</v>
      </c>
      <c r="R193" s="86">
        <f t="shared" si="2"/>
        <v>2.1095312457192952E-3</v>
      </c>
      <c r="S193" s="113">
        <v>73</v>
      </c>
      <c r="T193" s="86">
        <f t="shared" si="3"/>
        <v>1.7777128384960062E-3</v>
      </c>
      <c r="U193" s="112"/>
      <c r="V193" s="205"/>
      <c r="W193" s="6"/>
    </row>
    <row r="194" spans="1:24" ht="15.6">
      <c r="A194" s="25"/>
      <c r="B194" s="61" t="s">
        <v>83</v>
      </c>
      <c r="C194" s="113"/>
      <c r="D194" s="113"/>
      <c r="E194" s="113"/>
      <c r="F194" s="113"/>
      <c r="G194" s="113"/>
      <c r="H194" s="113"/>
      <c r="I194" s="113"/>
      <c r="J194" s="113"/>
      <c r="K194" s="113"/>
      <c r="L194" s="113">
        <v>94</v>
      </c>
      <c r="M194" s="86">
        <f t="shared" si="0"/>
        <v>1.1069241639189827E-2</v>
      </c>
      <c r="N194" s="113">
        <v>467</v>
      </c>
      <c r="O194" s="86">
        <f t="shared" si="1"/>
        <v>1.3057093328859811E-2</v>
      </c>
      <c r="P194" s="110"/>
      <c r="Q194" s="113">
        <v>80</v>
      </c>
      <c r="R194" s="86">
        <f t="shared" si="2"/>
        <v>2.191720774773294E-3</v>
      </c>
      <c r="S194" s="113">
        <v>79</v>
      </c>
      <c r="T194" s="86">
        <f t="shared" si="3"/>
        <v>1.9238262224819792E-3</v>
      </c>
      <c r="U194" s="112"/>
      <c r="V194" s="205"/>
      <c r="W194" s="6"/>
    </row>
    <row r="195" spans="1:24" ht="15.6">
      <c r="A195" s="25"/>
      <c r="B195" s="61" t="s">
        <v>186</v>
      </c>
      <c r="C195" s="113"/>
      <c r="D195" s="113"/>
      <c r="E195" s="113"/>
      <c r="F195" s="113"/>
      <c r="G195" s="113"/>
      <c r="H195" s="113"/>
      <c r="I195" s="113"/>
      <c r="J195" s="113"/>
      <c r="K195" s="113"/>
      <c r="L195" s="113">
        <v>107</v>
      </c>
      <c r="M195" s="86">
        <f t="shared" si="0"/>
        <v>1.2600094206311823E-2</v>
      </c>
      <c r="N195" s="113">
        <v>503</v>
      </c>
      <c r="O195" s="86">
        <f t="shared" si="1"/>
        <v>1.4063635855281552E-2</v>
      </c>
      <c r="P195" s="110"/>
      <c r="Q195" s="113">
        <v>63</v>
      </c>
      <c r="R195" s="86">
        <f t="shared" si="2"/>
        <v>1.725980110133969E-3</v>
      </c>
      <c r="S195" s="113">
        <v>79</v>
      </c>
      <c r="T195" s="86">
        <f t="shared" si="3"/>
        <v>1.9238262224819792E-3</v>
      </c>
      <c r="U195" s="112"/>
      <c r="V195" s="205"/>
      <c r="W195" s="6"/>
    </row>
    <row r="196" spans="1:24" ht="15.6">
      <c r="A196" s="25"/>
      <c r="B196" s="61" t="s">
        <v>187</v>
      </c>
      <c r="C196" s="113"/>
      <c r="D196" s="113"/>
      <c r="E196" s="113"/>
      <c r="F196" s="113"/>
      <c r="G196" s="113"/>
      <c r="H196" s="113"/>
      <c r="I196" s="113"/>
      <c r="J196" s="113"/>
      <c r="K196" s="113"/>
      <c r="L196" s="113">
        <v>80</v>
      </c>
      <c r="M196" s="86">
        <f t="shared" si="0"/>
        <v>9.4206311822892137E-3</v>
      </c>
      <c r="N196" s="113">
        <v>392</v>
      </c>
      <c r="O196" s="86">
        <f t="shared" si="1"/>
        <v>1.096012973214785E-2</v>
      </c>
      <c r="P196" s="110"/>
      <c r="Q196" s="113">
        <v>57</v>
      </c>
      <c r="R196" s="86">
        <f t="shared" si="2"/>
        <v>1.561601052025972E-3</v>
      </c>
      <c r="S196" s="113">
        <v>73</v>
      </c>
      <c r="T196" s="86">
        <f t="shared" si="3"/>
        <v>1.7777128384960062E-3</v>
      </c>
      <c r="U196" s="112"/>
      <c r="V196" s="205"/>
      <c r="W196" s="6"/>
    </row>
    <row r="197" spans="1:24" ht="15.6">
      <c r="A197" s="25"/>
      <c r="B197" s="61" t="s">
        <v>188</v>
      </c>
      <c r="C197" s="113"/>
      <c r="D197" s="113"/>
      <c r="E197" s="113"/>
      <c r="F197" s="113"/>
      <c r="G197" s="113"/>
      <c r="H197" s="113"/>
      <c r="I197" s="113"/>
      <c r="J197" s="113"/>
      <c r="K197" s="113"/>
      <c r="L197" s="113">
        <v>77</v>
      </c>
      <c r="M197" s="86">
        <f t="shared" si="0"/>
        <v>9.0673575129533671E-3</v>
      </c>
      <c r="N197" s="113">
        <v>351</v>
      </c>
      <c r="O197" s="86">
        <f t="shared" si="1"/>
        <v>9.8137896326119783E-3</v>
      </c>
      <c r="P197" s="110"/>
      <c r="Q197" s="113">
        <v>50</v>
      </c>
      <c r="R197" s="86">
        <f t="shared" si="2"/>
        <v>1.3698254842333087E-3</v>
      </c>
      <c r="S197" s="113">
        <v>72</v>
      </c>
      <c r="T197" s="86">
        <f t="shared" si="3"/>
        <v>1.7533606078316774E-3</v>
      </c>
      <c r="U197" s="112"/>
      <c r="V197" s="205"/>
      <c r="W197" s="6"/>
    </row>
    <row r="198" spans="1:24" ht="15.6">
      <c r="A198" s="25"/>
      <c r="B198" s="61" t="s">
        <v>189</v>
      </c>
      <c r="C198" s="113"/>
      <c r="D198" s="113"/>
      <c r="E198" s="113"/>
      <c r="F198" s="113"/>
      <c r="G198" s="113"/>
      <c r="H198" s="113"/>
      <c r="I198" s="113"/>
      <c r="J198" s="113"/>
      <c r="K198" s="113"/>
      <c r="L198" s="113">
        <v>463</v>
      </c>
      <c r="M198" s="86">
        <f t="shared" si="0"/>
        <v>5.4521902967498821E-2</v>
      </c>
      <c r="N198" s="113">
        <v>2863</v>
      </c>
      <c r="O198" s="86">
        <f t="shared" si="1"/>
        <v>8.0048090365151259E-2</v>
      </c>
      <c r="P198" s="110"/>
      <c r="Q198" s="113">
        <v>268</v>
      </c>
      <c r="R198" s="86">
        <f t="shared" si="2"/>
        <v>7.3422645954905347E-3</v>
      </c>
      <c r="S198" s="113">
        <v>362</v>
      </c>
      <c r="T198" s="86">
        <f t="shared" si="3"/>
        <v>8.8155075004870444E-3</v>
      </c>
      <c r="U198" s="112"/>
      <c r="V198" s="205"/>
      <c r="W198" s="6"/>
    </row>
    <row r="199" spans="1:24" ht="15.6">
      <c r="A199" s="25"/>
      <c r="B199" s="61" t="s">
        <v>84</v>
      </c>
      <c r="C199" s="113"/>
      <c r="D199" s="113"/>
      <c r="E199" s="113"/>
      <c r="F199" s="113"/>
      <c r="G199" s="113"/>
      <c r="H199" s="113"/>
      <c r="I199" s="113"/>
      <c r="J199" s="113"/>
      <c r="K199" s="113"/>
      <c r="L199" s="113">
        <f>SUM(L192:L198)</f>
        <v>8492</v>
      </c>
      <c r="M199" s="86">
        <f>SUM(M192:M198)</f>
        <v>1</v>
      </c>
      <c r="N199" s="113">
        <f>SUM(N192:N198)</f>
        <v>35766</v>
      </c>
      <c r="O199" s="86">
        <f>SUM(O192:O198)</f>
        <v>1</v>
      </c>
      <c r="P199" s="110"/>
      <c r="Q199" s="113">
        <f>SUM(Q192:Q198)</f>
        <v>36501</v>
      </c>
      <c r="R199" s="86">
        <f>SUM(R192:R198)</f>
        <v>0.99999999999999989</v>
      </c>
      <c r="S199" s="113">
        <f>SUM(S192:S198)</f>
        <v>41064</v>
      </c>
      <c r="T199" s="86">
        <f>SUM(T192:T198)</f>
        <v>1.0000000000000002</v>
      </c>
      <c r="U199" s="112"/>
      <c r="V199" s="205"/>
      <c r="W199" s="6"/>
      <c r="X199" s="64"/>
    </row>
    <row r="200" spans="1:24" ht="15.6">
      <c r="A200" s="25"/>
      <c r="B200" s="61" t="s">
        <v>85</v>
      </c>
      <c r="C200" s="113"/>
      <c r="D200" s="113"/>
      <c r="E200" s="113"/>
      <c r="F200" s="113"/>
      <c r="G200" s="113"/>
      <c r="H200" s="113"/>
      <c r="I200" s="113"/>
      <c r="J200" s="113"/>
      <c r="K200" s="113"/>
      <c r="L200" s="113">
        <v>801</v>
      </c>
      <c r="M200" s="114"/>
      <c r="N200" s="113">
        <v>5839</v>
      </c>
      <c r="O200" s="114"/>
      <c r="P200" s="110"/>
      <c r="Q200" s="113">
        <v>269</v>
      </c>
      <c r="R200" s="114"/>
      <c r="S200" s="113">
        <v>450</v>
      </c>
      <c r="T200" s="114"/>
      <c r="U200" s="112"/>
      <c r="V200" s="205"/>
      <c r="W200" s="6"/>
      <c r="X200" s="64"/>
    </row>
    <row r="201" spans="1:24" ht="15.6">
      <c r="A201" s="25"/>
      <c r="B201" s="61" t="s">
        <v>86</v>
      </c>
      <c r="C201" s="113"/>
      <c r="D201" s="113"/>
      <c r="E201" s="113"/>
      <c r="F201" s="113"/>
      <c r="G201" s="113"/>
      <c r="H201" s="113"/>
      <c r="I201" s="113"/>
      <c r="J201" s="113"/>
      <c r="K201" s="113"/>
      <c r="L201" s="113">
        <f>SUM(L199:L200)</f>
        <v>9293</v>
      </c>
      <c r="M201" s="189"/>
      <c r="N201" s="113">
        <f>SUM(N199:N200)</f>
        <v>41605</v>
      </c>
      <c r="O201" s="115"/>
      <c r="P201" s="189"/>
      <c r="Q201" s="113">
        <f>SUM(Q199:Q200)</f>
        <v>36770</v>
      </c>
      <c r="R201" s="189"/>
      <c r="S201" s="113">
        <f>SUM(S199:S200)</f>
        <v>41514</v>
      </c>
      <c r="T201" s="189"/>
      <c r="U201" s="189"/>
      <c r="V201" s="205"/>
      <c r="W201" s="6"/>
      <c r="X201" s="64"/>
    </row>
    <row r="202" spans="1:24" ht="15.6">
      <c r="A202" s="25"/>
      <c r="B202" s="61"/>
      <c r="C202" s="113"/>
      <c r="D202" s="113"/>
      <c r="E202" s="113"/>
      <c r="F202" s="113"/>
      <c r="G202" s="113"/>
      <c r="H202" s="113"/>
      <c r="I202" s="113"/>
      <c r="J202" s="113"/>
      <c r="K202" s="113"/>
      <c r="L202" s="113"/>
      <c r="M202" s="115"/>
      <c r="N202" s="113"/>
      <c r="O202" s="115"/>
      <c r="P202" s="110"/>
      <c r="Q202" s="113"/>
      <c r="R202" s="115"/>
      <c r="S202" s="113"/>
      <c r="T202" s="115"/>
      <c r="U202" s="112"/>
      <c r="V202" s="205"/>
      <c r="W202" s="6"/>
    </row>
    <row r="203" spans="1:24" ht="15.6">
      <c r="A203" s="25"/>
      <c r="B203" s="61"/>
      <c r="C203" s="110"/>
      <c r="D203" s="110"/>
      <c r="E203" s="110"/>
      <c r="F203" s="110"/>
      <c r="G203" s="110"/>
      <c r="H203" s="110"/>
      <c r="I203" s="110"/>
      <c r="J203" s="110"/>
      <c r="K203" s="110"/>
      <c r="L203" s="110"/>
      <c r="M203" s="109" t="s">
        <v>27</v>
      </c>
      <c r="N203" s="110"/>
      <c r="O203" s="111"/>
      <c r="P203" s="110"/>
      <c r="Q203" s="109" t="s">
        <v>28</v>
      </c>
      <c r="R203" s="110"/>
      <c r="S203" s="111"/>
      <c r="T203" s="110"/>
      <c r="U203" s="112"/>
      <c r="V203" s="205"/>
      <c r="W203" s="6"/>
    </row>
    <row r="204" spans="1:24" ht="15.6">
      <c r="A204" s="25"/>
      <c r="B204" s="189"/>
      <c r="C204" s="111"/>
      <c r="D204" s="111"/>
      <c r="E204" s="111"/>
      <c r="F204" s="111"/>
      <c r="G204" s="111"/>
      <c r="H204" s="111"/>
      <c r="I204" s="111"/>
      <c r="J204" s="111"/>
      <c r="K204" s="111"/>
      <c r="L204" s="111" t="s">
        <v>94</v>
      </c>
      <c r="M204" s="110" t="s">
        <v>101</v>
      </c>
      <c r="N204" s="111" t="s">
        <v>103</v>
      </c>
      <c r="O204" s="110" t="s">
        <v>101</v>
      </c>
      <c r="P204" s="110"/>
      <c r="Q204" s="111" t="s">
        <v>94</v>
      </c>
      <c r="R204" s="110" t="s">
        <v>101</v>
      </c>
      <c r="S204" s="111" t="s">
        <v>103</v>
      </c>
      <c r="T204" s="110" t="s">
        <v>101</v>
      </c>
      <c r="U204" s="112"/>
      <c r="V204" s="205"/>
      <c r="W204" s="6"/>
    </row>
    <row r="205" spans="1:24" ht="15.6">
      <c r="A205" s="25"/>
      <c r="B205" s="61" t="s">
        <v>81</v>
      </c>
      <c r="C205" s="113"/>
      <c r="D205" s="113"/>
      <c r="E205" s="113"/>
      <c r="F205" s="113"/>
      <c r="G205" s="113"/>
      <c r="H205" s="113"/>
      <c r="I205" s="113"/>
      <c r="J205" s="113"/>
      <c r="K205" s="113"/>
      <c r="L205" s="113">
        <v>6005</v>
      </c>
      <c r="M205" s="86">
        <f t="shared" ref="M205:M211" si="4">+L205/$L$212</f>
        <v>0.91805534321969118</v>
      </c>
      <c r="N205" s="113">
        <v>166665</v>
      </c>
      <c r="O205" s="86">
        <f t="shared" ref="O205:O211" si="5">+N205/$N$212</f>
        <v>0.91056852825158163</v>
      </c>
      <c r="P205" s="110"/>
      <c r="Q205" s="113">
        <v>11801</v>
      </c>
      <c r="R205" s="86">
        <f t="shared" ref="R205:R211" si="6">Q205/$Q$212</f>
        <v>0.9780374606331842</v>
      </c>
      <c r="S205" s="113">
        <v>125929</v>
      </c>
      <c r="T205" s="86">
        <f t="shared" ref="T205:T211" si="7">+S205/$S$212</f>
        <v>0.97753506749571117</v>
      </c>
      <c r="U205" s="112"/>
      <c r="V205" s="205"/>
      <c r="W205" s="6"/>
    </row>
    <row r="206" spans="1:24" ht="15.6">
      <c r="A206" s="25"/>
      <c r="B206" s="61" t="s">
        <v>82</v>
      </c>
      <c r="C206" s="113"/>
      <c r="D206" s="113"/>
      <c r="E206" s="113"/>
      <c r="F206" s="113"/>
      <c r="G206" s="113"/>
      <c r="H206" s="113"/>
      <c r="I206" s="113"/>
      <c r="J206" s="113"/>
      <c r="K206" s="113"/>
      <c r="L206" s="113">
        <v>131</v>
      </c>
      <c r="M206" s="86">
        <f t="shared" si="4"/>
        <v>2.0027518728023237E-2</v>
      </c>
      <c r="N206" s="113">
        <v>3932</v>
      </c>
      <c r="O206" s="86">
        <f t="shared" si="5"/>
        <v>2.1482347541986736E-2</v>
      </c>
      <c r="P206" s="110"/>
      <c r="Q206" s="113">
        <v>112</v>
      </c>
      <c r="R206" s="86">
        <f t="shared" si="6"/>
        <v>9.2822807889938672E-3</v>
      </c>
      <c r="S206" s="113">
        <v>1051</v>
      </c>
      <c r="T206" s="86">
        <f t="shared" si="7"/>
        <v>8.1584810165886527E-3</v>
      </c>
      <c r="U206" s="112"/>
      <c r="V206" s="205"/>
      <c r="W206" s="6"/>
    </row>
    <row r="207" spans="1:24" ht="15.6">
      <c r="A207" s="25"/>
      <c r="B207" s="61" t="s">
        <v>83</v>
      </c>
      <c r="C207" s="113"/>
      <c r="D207" s="113"/>
      <c r="E207" s="113"/>
      <c r="F207" s="113"/>
      <c r="G207" s="113"/>
      <c r="H207" s="113"/>
      <c r="I207" s="113"/>
      <c r="J207" s="113"/>
      <c r="K207" s="113"/>
      <c r="L207" s="113">
        <v>110</v>
      </c>
      <c r="M207" s="86">
        <f t="shared" si="4"/>
        <v>1.6817000458645467E-2</v>
      </c>
      <c r="N207" s="113">
        <v>2943</v>
      </c>
      <c r="O207" s="86">
        <f t="shared" si="5"/>
        <v>1.6078979861665045E-2</v>
      </c>
      <c r="P207" s="110"/>
      <c r="Q207" s="113">
        <v>40</v>
      </c>
      <c r="R207" s="86">
        <f t="shared" si="6"/>
        <v>3.3151002817835241E-3</v>
      </c>
      <c r="S207" s="113">
        <v>284</v>
      </c>
      <c r="T207" s="86">
        <f t="shared" si="7"/>
        <v>2.2045752699440318E-3</v>
      </c>
      <c r="U207" s="112"/>
      <c r="V207" s="205"/>
      <c r="W207" s="6"/>
    </row>
    <row r="208" spans="1:24" ht="15.6">
      <c r="A208" s="25"/>
      <c r="B208" s="61" t="s">
        <v>186</v>
      </c>
      <c r="C208" s="113"/>
      <c r="D208" s="113"/>
      <c r="E208" s="113"/>
      <c r="F208" s="113"/>
      <c r="G208" s="113"/>
      <c r="H208" s="113"/>
      <c r="I208" s="113"/>
      <c r="J208" s="113"/>
      <c r="K208" s="113"/>
      <c r="L208" s="113">
        <v>67</v>
      </c>
      <c r="M208" s="86">
        <f t="shared" si="4"/>
        <v>1.0243082097538603E-2</v>
      </c>
      <c r="N208" s="113">
        <v>2031</v>
      </c>
      <c r="O208" s="86">
        <f t="shared" si="5"/>
        <v>1.1096299048264258E-2</v>
      </c>
      <c r="P208" s="110"/>
      <c r="Q208" s="113">
        <v>24</v>
      </c>
      <c r="R208" s="86">
        <f t="shared" si="6"/>
        <v>1.9890601690701142E-3</v>
      </c>
      <c r="S208" s="113">
        <v>336</v>
      </c>
      <c r="T208" s="86">
        <f t="shared" si="7"/>
        <v>2.6082298968351926E-3</v>
      </c>
      <c r="U208" s="112"/>
      <c r="V208" s="205"/>
      <c r="W208" s="6"/>
    </row>
    <row r="209" spans="1:24" ht="15.6">
      <c r="A209" s="25"/>
      <c r="B209" s="61" t="s">
        <v>187</v>
      </c>
      <c r="C209" s="113"/>
      <c r="D209" s="113"/>
      <c r="E209" s="113"/>
      <c r="F209" s="113"/>
      <c r="G209" s="113"/>
      <c r="H209" s="113"/>
      <c r="I209" s="113"/>
      <c r="J209" s="113"/>
      <c r="K209" s="113"/>
      <c r="L209" s="113">
        <v>43</v>
      </c>
      <c r="M209" s="86">
        <f t="shared" si="4"/>
        <v>6.5739183611068647E-3</v>
      </c>
      <c r="N209" s="113">
        <v>1259</v>
      </c>
      <c r="O209" s="86">
        <f t="shared" si="5"/>
        <v>6.8785034474469226E-3</v>
      </c>
      <c r="P209" s="110"/>
      <c r="Q209" s="113">
        <v>22</v>
      </c>
      <c r="R209" s="86">
        <f t="shared" si="6"/>
        <v>1.8233051549809381E-3</v>
      </c>
      <c r="S209" s="113">
        <v>274</v>
      </c>
      <c r="T209" s="86">
        <f t="shared" si="7"/>
        <v>2.1269493801572702E-3</v>
      </c>
      <c r="U209" s="112"/>
      <c r="V209" s="205"/>
      <c r="W209" s="6"/>
    </row>
    <row r="210" spans="1:24" ht="15.6">
      <c r="A210" s="25"/>
      <c r="B210" s="61" t="s">
        <v>188</v>
      </c>
      <c r="C210" s="113"/>
      <c r="D210" s="113"/>
      <c r="E210" s="113"/>
      <c r="F210" s="113"/>
      <c r="G210" s="113"/>
      <c r="H210" s="113"/>
      <c r="I210" s="113"/>
      <c r="J210" s="113"/>
      <c r="K210" s="113"/>
      <c r="L210" s="113">
        <v>44</v>
      </c>
      <c r="M210" s="86">
        <f t="shared" si="4"/>
        <v>6.7268001834581868E-3</v>
      </c>
      <c r="N210" s="113">
        <v>1427</v>
      </c>
      <c r="O210" s="86">
        <f t="shared" si="5"/>
        <v>7.7963657025470678E-3</v>
      </c>
      <c r="P210" s="110"/>
      <c r="Q210" s="113">
        <v>14</v>
      </c>
      <c r="R210" s="86">
        <f t="shared" si="6"/>
        <v>1.1602850986242334E-3</v>
      </c>
      <c r="S210" s="113">
        <v>183</v>
      </c>
      <c r="T210" s="86">
        <f t="shared" si="7"/>
        <v>1.4205537830977387E-3</v>
      </c>
      <c r="U210" s="112"/>
      <c r="V210" s="205"/>
      <c r="W210" s="6"/>
    </row>
    <row r="211" spans="1:24" ht="15.6">
      <c r="A211" s="25"/>
      <c r="B211" s="61" t="s">
        <v>189</v>
      </c>
      <c r="C211" s="113"/>
      <c r="D211" s="113"/>
      <c r="E211" s="113"/>
      <c r="F211" s="113"/>
      <c r="G211" s="113"/>
      <c r="H211" s="113"/>
      <c r="I211" s="113"/>
      <c r="J211" s="113"/>
      <c r="K211" s="113"/>
      <c r="L211" s="113">
        <v>141</v>
      </c>
      <c r="M211" s="86">
        <f t="shared" si="4"/>
        <v>2.1556336951536463E-2</v>
      </c>
      <c r="N211" s="113">
        <v>4777</v>
      </c>
      <c r="O211" s="86">
        <f t="shared" si="5"/>
        <v>2.6098976146508298E-2</v>
      </c>
      <c r="P211" s="110"/>
      <c r="Q211" s="113">
        <v>53</v>
      </c>
      <c r="R211" s="86">
        <f t="shared" si="6"/>
        <v>4.3925078733631695E-3</v>
      </c>
      <c r="S211" s="113">
        <v>766</v>
      </c>
      <c r="T211" s="86">
        <f t="shared" si="7"/>
        <v>5.9461431576659446E-3</v>
      </c>
      <c r="U211" s="112"/>
      <c r="V211" s="205"/>
      <c r="W211" s="6"/>
    </row>
    <row r="212" spans="1:24" ht="15.6">
      <c r="A212" s="25"/>
      <c r="B212" s="61" t="str">
        <f>B199</f>
        <v>Total Performing  Assets</v>
      </c>
      <c r="C212" s="113"/>
      <c r="D212" s="113"/>
      <c r="E212" s="113"/>
      <c r="F212" s="113"/>
      <c r="G212" s="113"/>
      <c r="H212" s="113"/>
      <c r="I212" s="113"/>
      <c r="J212" s="113"/>
      <c r="K212" s="113"/>
      <c r="L212" s="113">
        <f>SUM(L205:L211)</f>
        <v>6541</v>
      </c>
      <c r="M212" s="86">
        <f>SUM(M205:M211)</f>
        <v>0.99999999999999989</v>
      </c>
      <c r="N212" s="113">
        <f>SUM(N205:N211)</f>
        <v>183034</v>
      </c>
      <c r="O212" s="86">
        <f>SUM(O205:O211)</f>
        <v>0.99999999999999989</v>
      </c>
      <c r="P212" s="110"/>
      <c r="Q212" s="113">
        <f>SUM(Q205:Q211)</f>
        <v>12066</v>
      </c>
      <c r="R212" s="86">
        <f>SUM(R205:R211)</f>
        <v>1</v>
      </c>
      <c r="S212" s="113">
        <f>SUM(S205:S211)</f>
        <v>128823</v>
      </c>
      <c r="T212" s="86">
        <f>SUM(T205:T211)</f>
        <v>0.99999999999999989</v>
      </c>
      <c r="U212" s="112"/>
      <c r="V212" s="205"/>
      <c r="W212" s="6"/>
    </row>
    <row r="213" spans="1:24" ht="15.6">
      <c r="A213" s="25"/>
      <c r="B213" s="61" t="s">
        <v>85</v>
      </c>
      <c r="C213" s="113"/>
      <c r="D213" s="113"/>
      <c r="E213" s="113"/>
      <c r="F213" s="113"/>
      <c r="G213" s="113"/>
      <c r="H213" s="113"/>
      <c r="I213" s="113"/>
      <c r="J213" s="113"/>
      <c r="K213" s="113"/>
      <c r="L213" s="113">
        <v>27</v>
      </c>
      <c r="M213" s="116"/>
      <c r="N213" s="113">
        <v>853</v>
      </c>
      <c r="O213" s="114"/>
      <c r="P213" s="110"/>
      <c r="Q213" s="113">
        <v>46</v>
      </c>
      <c r="R213" s="116"/>
      <c r="S213" s="113">
        <v>545</v>
      </c>
      <c r="T213" s="116"/>
      <c r="U213" s="112"/>
      <c r="V213" s="205"/>
      <c r="W213" s="6"/>
    </row>
    <row r="214" spans="1:24" ht="15.6">
      <c r="A214" s="25"/>
      <c r="B214" s="61" t="s">
        <v>86</v>
      </c>
      <c r="C214" s="113"/>
      <c r="D214" s="113"/>
      <c r="E214" s="113"/>
      <c r="F214" s="113"/>
      <c r="G214" s="113"/>
      <c r="H214" s="113"/>
      <c r="I214" s="113"/>
      <c r="J214" s="113"/>
      <c r="K214" s="113"/>
      <c r="L214" s="113">
        <f>SUM(L212:L213)</f>
        <v>6568</v>
      </c>
      <c r="M214" s="189"/>
      <c r="N214" s="113">
        <f>SUM(N212:N213)</f>
        <v>183887</v>
      </c>
      <c r="O214" s="86"/>
      <c r="P214" s="189"/>
      <c r="Q214" s="113">
        <f>SUM(Q212:Q213)</f>
        <v>12112</v>
      </c>
      <c r="R214" s="189"/>
      <c r="S214" s="113">
        <f>SUM(S212:S213)</f>
        <v>129368</v>
      </c>
      <c r="T214" s="189"/>
      <c r="U214" s="189"/>
      <c r="V214" s="190"/>
    </row>
    <row r="215" spans="1:24" ht="15.6">
      <c r="A215" s="25"/>
      <c r="B215" s="61"/>
      <c r="C215" s="110"/>
      <c r="D215" s="110"/>
      <c r="E215" s="110"/>
      <c r="F215" s="110"/>
      <c r="G215" s="110"/>
      <c r="H215" s="110"/>
      <c r="I215" s="110"/>
      <c r="J215" s="110"/>
      <c r="K215" s="110"/>
      <c r="L215" s="110"/>
      <c r="M215" s="111"/>
      <c r="N215" s="110"/>
      <c r="O215" s="111"/>
      <c r="P215" s="110"/>
      <c r="Q215" s="117"/>
      <c r="R215" s="110"/>
      <c r="S215" s="113"/>
      <c r="T215" s="110"/>
      <c r="U215" s="112"/>
      <c r="V215" s="205"/>
      <c r="W215" s="6"/>
    </row>
    <row r="216" spans="1:24" ht="15.6">
      <c r="A216" s="25"/>
      <c r="B216" s="61" t="s">
        <v>86</v>
      </c>
      <c r="C216" s="110"/>
      <c r="D216" s="110"/>
      <c r="E216" s="110"/>
      <c r="F216" s="110"/>
      <c r="G216" s="110"/>
      <c r="H216" s="110"/>
      <c r="I216" s="110"/>
      <c r="J216" s="110"/>
      <c r="K216" s="110"/>
      <c r="L216" s="110"/>
      <c r="M216" s="111"/>
      <c r="N216" s="110"/>
      <c r="O216" s="111"/>
      <c r="P216" s="110"/>
      <c r="Q216" s="117"/>
      <c r="R216" s="116"/>
      <c r="S216" s="113">
        <f>N201+S201+N214+S214</f>
        <v>396374</v>
      </c>
      <c r="T216" s="115"/>
      <c r="U216" s="112"/>
      <c r="V216" s="205"/>
      <c r="W216" s="6"/>
      <c r="X216" s="182"/>
    </row>
    <row r="217" spans="1:24" ht="15.6">
      <c r="A217" s="25"/>
      <c r="B217" s="61"/>
      <c r="C217" s="110"/>
      <c r="D217" s="110"/>
      <c r="E217" s="110"/>
      <c r="F217" s="110"/>
      <c r="G217" s="110"/>
      <c r="H217" s="110"/>
      <c r="I217" s="110"/>
      <c r="J217" s="110"/>
      <c r="K217" s="110"/>
      <c r="L217" s="110"/>
      <c r="M217" s="111"/>
      <c r="N217" s="110"/>
      <c r="O217" s="111"/>
      <c r="P217" s="110"/>
      <c r="Q217" s="111"/>
      <c r="R217" s="110"/>
      <c r="S217" s="113"/>
      <c r="T217" s="116"/>
      <c r="U217" s="112"/>
      <c r="V217" s="205"/>
      <c r="W217" s="6"/>
    </row>
    <row r="218" spans="1:24" ht="15.6">
      <c r="A218" s="25"/>
      <c r="B218" s="118" t="s">
        <v>87</v>
      </c>
      <c r="C218" s="110"/>
      <c r="D218" s="110"/>
      <c r="E218" s="110"/>
      <c r="F218" s="110"/>
      <c r="G218" s="110"/>
      <c r="H218" s="110"/>
      <c r="I218" s="110"/>
      <c r="J218" s="110"/>
      <c r="K218" s="110"/>
      <c r="L218" s="110"/>
      <c r="M218" s="111"/>
      <c r="N218" s="110"/>
      <c r="O218" s="111"/>
      <c r="P218" s="110"/>
      <c r="Q218" s="111"/>
      <c r="R218" s="110"/>
      <c r="S218" s="113"/>
      <c r="T218" s="110"/>
      <c r="U218" s="112"/>
      <c r="V218" s="205"/>
      <c r="W218" s="6"/>
    </row>
    <row r="219" spans="1:24" ht="15.6">
      <c r="A219" s="25"/>
      <c r="B219" s="61"/>
      <c r="C219" s="110"/>
      <c r="D219" s="110"/>
      <c r="E219" s="110"/>
      <c r="F219" s="110"/>
      <c r="G219" s="110"/>
      <c r="H219" s="110"/>
      <c r="I219" s="110"/>
      <c r="J219" s="110"/>
      <c r="K219" s="110"/>
      <c r="L219" s="110"/>
      <c r="M219" s="111"/>
      <c r="N219" s="110"/>
      <c r="O219" s="111"/>
      <c r="P219" s="110"/>
      <c r="Q219" s="111"/>
      <c r="R219" s="110"/>
      <c r="S219" s="113"/>
      <c r="T219" s="110"/>
      <c r="U219" s="112"/>
      <c r="V219" s="205"/>
      <c r="W219" s="6"/>
    </row>
    <row r="220" spans="1:24" ht="15.6">
      <c r="A220" s="25"/>
      <c r="B220" s="61" t="s">
        <v>88</v>
      </c>
      <c r="C220" s="110"/>
      <c r="D220" s="110"/>
      <c r="E220" s="110"/>
      <c r="F220" s="110"/>
      <c r="G220" s="110"/>
      <c r="H220" s="110"/>
      <c r="I220" s="110"/>
      <c r="J220" s="110"/>
      <c r="K220" s="110"/>
      <c r="L220" s="110"/>
      <c r="M220" s="111"/>
      <c r="N220" s="110"/>
      <c r="O220" s="111"/>
      <c r="P220" s="110"/>
      <c r="Q220" s="111"/>
      <c r="R220" s="110"/>
      <c r="S220" s="113">
        <f>+N199+S199+N212+S212</f>
        <v>388687</v>
      </c>
      <c r="T220" s="110"/>
      <c r="U220" s="112"/>
      <c r="V220" s="205"/>
      <c r="W220" s="6"/>
      <c r="X220" s="182"/>
    </row>
    <row r="221" spans="1:24" ht="15.6">
      <c r="A221" s="25"/>
      <c r="B221" s="61" t="s">
        <v>89</v>
      </c>
      <c r="C221" s="110"/>
      <c r="D221" s="110"/>
      <c r="E221" s="110"/>
      <c r="F221" s="110"/>
      <c r="G221" s="110"/>
      <c r="H221" s="110"/>
      <c r="I221" s="110"/>
      <c r="J221" s="110"/>
      <c r="K221" s="110"/>
      <c r="L221" s="110"/>
      <c r="M221" s="111"/>
      <c r="N221" s="110"/>
      <c r="O221" s="111"/>
      <c r="P221" s="110"/>
      <c r="Q221" s="111"/>
      <c r="R221" s="110"/>
      <c r="S221" s="113">
        <f>-U103</f>
        <v>61313</v>
      </c>
      <c r="T221" s="110"/>
      <c r="U221" s="112"/>
      <c r="V221" s="205"/>
      <c r="W221" s="119"/>
    </row>
    <row r="222" spans="1:24" ht="15.6">
      <c r="A222" s="25"/>
      <c r="B222" s="61" t="s">
        <v>90</v>
      </c>
      <c r="C222" s="110"/>
      <c r="D222" s="110"/>
      <c r="E222" s="110"/>
      <c r="F222" s="110"/>
      <c r="G222" s="110"/>
      <c r="H222" s="110"/>
      <c r="I222" s="110"/>
      <c r="J222" s="110"/>
      <c r="K222" s="110"/>
      <c r="L222" s="110"/>
      <c r="M222" s="111"/>
      <c r="N222" s="110"/>
      <c r="O222" s="111"/>
      <c r="P222" s="110"/>
      <c r="Q222" s="111"/>
      <c r="R222" s="110"/>
      <c r="S222" s="113">
        <f>SUM(S220:S221)</f>
        <v>450000</v>
      </c>
      <c r="T222" s="110"/>
      <c r="U222" s="112"/>
      <c r="V222" s="205"/>
      <c r="W222" s="6"/>
    </row>
    <row r="223" spans="1:24" ht="15.6">
      <c r="A223" s="25"/>
      <c r="B223" s="61"/>
      <c r="C223" s="110"/>
      <c r="D223" s="110"/>
      <c r="E223" s="110"/>
      <c r="F223" s="110"/>
      <c r="G223" s="110"/>
      <c r="H223" s="110"/>
      <c r="I223" s="110"/>
      <c r="J223" s="110"/>
      <c r="K223" s="110"/>
      <c r="L223" s="110"/>
      <c r="M223" s="111"/>
      <c r="N223" s="110"/>
      <c r="O223" s="111"/>
      <c r="P223" s="110"/>
      <c r="Q223" s="111"/>
      <c r="R223" s="110"/>
      <c r="S223" s="113"/>
      <c r="T223" s="110"/>
      <c r="U223" s="112"/>
      <c r="V223" s="205"/>
      <c r="W223" s="6"/>
    </row>
    <row r="224" spans="1:24" ht="15.6">
      <c r="A224" s="25"/>
      <c r="B224" s="61" t="s">
        <v>91</v>
      </c>
      <c r="C224" s="110"/>
      <c r="D224" s="110"/>
      <c r="E224" s="110"/>
      <c r="F224" s="110"/>
      <c r="G224" s="110"/>
      <c r="H224" s="110"/>
      <c r="I224" s="110"/>
      <c r="J224" s="110"/>
      <c r="K224" s="110"/>
      <c r="L224" s="110"/>
      <c r="M224" s="111"/>
      <c r="N224" s="110"/>
      <c r="O224" s="111"/>
      <c r="P224" s="110"/>
      <c r="Q224" s="111"/>
      <c r="R224" s="110"/>
      <c r="S224" s="113">
        <f>U33</f>
        <v>450000</v>
      </c>
      <c r="T224" s="110"/>
      <c r="U224" s="112"/>
      <c r="V224" s="205"/>
      <c r="W224" s="6"/>
    </row>
    <row r="225" spans="1:23" ht="15.6">
      <c r="A225" s="25"/>
      <c r="B225" s="61"/>
      <c r="C225" s="110"/>
      <c r="D225" s="110"/>
      <c r="E225" s="110"/>
      <c r="F225" s="110"/>
      <c r="G225" s="110"/>
      <c r="H225" s="110"/>
      <c r="I225" s="110"/>
      <c r="J225" s="110"/>
      <c r="K225" s="110"/>
      <c r="L225" s="110"/>
      <c r="M225" s="111"/>
      <c r="N225" s="110"/>
      <c r="O225" s="111"/>
      <c r="P225" s="110"/>
      <c r="Q225" s="111"/>
      <c r="R225" s="110"/>
      <c r="S225" s="113"/>
      <c r="T225" s="110"/>
      <c r="U225" s="112"/>
      <c r="V225" s="205"/>
      <c r="W225" s="6"/>
    </row>
    <row r="226" spans="1:23" ht="15.6">
      <c r="A226" s="25"/>
      <c r="B226" s="61" t="s">
        <v>92</v>
      </c>
      <c r="C226" s="110"/>
      <c r="D226" s="110"/>
      <c r="E226" s="110"/>
      <c r="F226" s="110"/>
      <c r="G226" s="110"/>
      <c r="H226" s="110"/>
      <c r="I226" s="110"/>
      <c r="J226" s="110"/>
      <c r="K226" s="110"/>
      <c r="L226" s="110"/>
      <c r="M226" s="111"/>
      <c r="N226" s="110"/>
      <c r="O226" s="111"/>
      <c r="P226" s="110"/>
      <c r="Q226" s="111"/>
      <c r="R226" s="110"/>
      <c r="S226" s="113">
        <f>S222/S224</f>
        <v>1</v>
      </c>
      <c r="T226" s="110"/>
      <c r="U226" s="112"/>
      <c r="V226" s="205"/>
      <c r="W226" s="6"/>
    </row>
    <row r="227" spans="1:23" ht="15.6">
      <c r="A227" s="25"/>
      <c r="B227" s="26"/>
      <c r="C227" s="26"/>
      <c r="D227" s="26"/>
      <c r="E227" s="26"/>
      <c r="F227" s="26"/>
      <c r="G227" s="26"/>
      <c r="H227" s="26"/>
      <c r="I227" s="26"/>
      <c r="J227" s="26"/>
      <c r="K227" s="26"/>
      <c r="L227" s="26"/>
      <c r="M227" s="33"/>
      <c r="N227" s="26"/>
      <c r="O227" s="26"/>
      <c r="P227" s="26"/>
      <c r="Q227" s="59"/>
      <c r="R227" s="120"/>
      <c r="S227" s="60"/>
      <c r="T227" s="120"/>
      <c r="U227" s="89"/>
      <c r="V227" s="196"/>
      <c r="W227" s="6"/>
    </row>
    <row r="228" spans="1:23" ht="15.6">
      <c r="A228" s="121"/>
      <c r="B228" s="30" t="s">
        <v>127</v>
      </c>
      <c r="C228" s="122"/>
      <c r="D228" s="122"/>
      <c r="E228" s="122"/>
      <c r="F228" s="122"/>
      <c r="G228" s="122"/>
      <c r="H228" s="122"/>
      <c r="I228" s="122"/>
      <c r="J228" s="122"/>
      <c r="K228" s="122"/>
      <c r="L228" s="122"/>
      <c r="M228" s="110"/>
      <c r="N228" s="112"/>
      <c r="O228" s="30"/>
      <c r="P228" s="123"/>
      <c r="Q228" s="123"/>
      <c r="R228" s="123"/>
      <c r="S228" s="124"/>
      <c r="T228" s="29"/>
      <c r="U228" s="29"/>
      <c r="V228" s="203"/>
      <c r="W228" s="6"/>
    </row>
    <row r="229" spans="1:23" ht="15.6">
      <c r="A229" s="125"/>
      <c r="B229" s="13" t="s">
        <v>128</v>
      </c>
      <c r="C229" s="126"/>
      <c r="D229" s="126"/>
      <c r="E229" s="126"/>
      <c r="F229" s="126"/>
      <c r="G229" s="126"/>
      <c r="H229" s="126"/>
      <c r="I229" s="126"/>
      <c r="J229" s="126"/>
      <c r="K229" s="126"/>
      <c r="L229" s="126"/>
      <c r="M229" s="127"/>
      <c r="N229" s="13"/>
      <c r="O229" s="13"/>
      <c r="P229" s="126"/>
      <c r="Q229" s="126"/>
      <c r="R229" s="12"/>
      <c r="S229" s="12"/>
      <c r="T229" s="12"/>
      <c r="U229" s="12"/>
      <c r="V229" s="207"/>
      <c r="W229" s="6"/>
    </row>
    <row r="230" spans="1:23" ht="15.6">
      <c r="A230" s="125"/>
      <c r="B230" s="13" t="s">
        <v>246</v>
      </c>
      <c r="C230" s="126"/>
      <c r="D230" s="126"/>
      <c r="E230" s="126"/>
      <c r="F230" s="126"/>
      <c r="G230" s="126"/>
      <c r="H230" s="126"/>
      <c r="I230" s="126"/>
      <c r="J230" s="126"/>
      <c r="K230" s="126"/>
      <c r="L230" s="126"/>
      <c r="M230" s="127"/>
      <c r="N230" s="13"/>
      <c r="O230" s="13"/>
      <c r="P230" s="126"/>
      <c r="Q230" s="126"/>
      <c r="R230" s="12"/>
      <c r="S230" s="12"/>
      <c r="T230" s="12"/>
      <c r="U230" s="12"/>
      <c r="V230" s="207"/>
      <c r="W230" s="6"/>
    </row>
    <row r="231" spans="1:23" ht="15.6">
      <c r="A231" s="125"/>
      <c r="B231" s="13" t="s">
        <v>129</v>
      </c>
      <c r="C231" s="126"/>
      <c r="D231" s="126"/>
      <c r="E231" s="126"/>
      <c r="F231" s="126"/>
      <c r="G231" s="126"/>
      <c r="H231" s="126"/>
      <c r="I231" s="126"/>
      <c r="J231" s="126"/>
      <c r="K231" s="126"/>
      <c r="L231" s="126"/>
      <c r="M231" s="127"/>
      <c r="N231" s="13"/>
      <c r="O231" s="13"/>
      <c r="P231" s="126"/>
      <c r="Q231" s="126"/>
      <c r="R231" s="12"/>
      <c r="S231" s="12"/>
      <c r="T231" s="12"/>
      <c r="U231" s="12"/>
      <c r="V231" s="207"/>
      <c r="W231" s="6"/>
    </row>
    <row r="232" spans="1:23" ht="15.6">
      <c r="A232" s="125"/>
      <c r="B232" s="13"/>
      <c r="C232" s="126"/>
      <c r="D232" s="126"/>
      <c r="E232" s="126"/>
      <c r="F232" s="126"/>
      <c r="G232" s="126"/>
      <c r="H232" s="126"/>
      <c r="I232" s="126"/>
      <c r="J232" s="126"/>
      <c r="K232" s="126"/>
      <c r="L232" s="126"/>
      <c r="M232" s="127"/>
      <c r="N232" s="13"/>
      <c r="O232" s="13"/>
      <c r="P232" s="126"/>
      <c r="Q232" s="126"/>
      <c r="R232" s="12"/>
      <c r="S232" s="12"/>
      <c r="T232" s="12"/>
      <c r="U232" s="12"/>
      <c r="V232" s="207"/>
      <c r="W232" s="6"/>
    </row>
    <row r="233" spans="1:23" ht="15.6">
      <c r="A233" s="125"/>
      <c r="B233" s="13"/>
      <c r="C233" s="126"/>
      <c r="D233" s="126"/>
      <c r="E233" s="126"/>
      <c r="F233" s="126"/>
      <c r="G233" s="126"/>
      <c r="H233" s="126"/>
      <c r="I233" s="126"/>
      <c r="J233" s="126"/>
      <c r="K233" s="126"/>
      <c r="L233" s="126"/>
      <c r="M233" s="127"/>
      <c r="N233" s="13"/>
      <c r="O233" s="13"/>
      <c r="P233" s="126"/>
      <c r="Q233" s="126"/>
      <c r="R233" s="12"/>
      <c r="S233" s="12"/>
      <c r="T233" s="12"/>
      <c r="U233" s="12"/>
      <c r="V233" s="207"/>
      <c r="W233" s="6"/>
    </row>
    <row r="234" spans="1:23" ht="16.2" thickBot="1">
      <c r="A234" s="125"/>
      <c r="B234" s="13" t="str">
        <f>+B161</f>
        <v>PPAF3 INVESTOR REPORT QUARTER ENDING MARCH 2007</v>
      </c>
      <c r="C234" s="126"/>
      <c r="D234" s="126"/>
      <c r="E234" s="126"/>
      <c r="F234" s="126"/>
      <c r="G234" s="126"/>
      <c r="H234" s="126"/>
      <c r="I234" s="126"/>
      <c r="J234" s="126"/>
      <c r="K234" s="126"/>
      <c r="L234" s="126"/>
      <c r="M234" s="127"/>
      <c r="N234" s="13"/>
      <c r="O234" s="13"/>
      <c r="P234" s="126"/>
      <c r="Q234" s="126"/>
      <c r="R234" s="12"/>
      <c r="S234" s="12"/>
      <c r="T234" s="12"/>
      <c r="U234" s="12"/>
      <c r="V234" s="208"/>
      <c r="W234" s="6"/>
    </row>
    <row r="235" spans="1:23">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row>
  </sheetData>
  <phoneticPr fontId="0" type="noConversion"/>
  <hyperlinks>
    <hyperlink ref="I9" r:id="rId1"/>
    <hyperlink ref="K188"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16383" man="1"/>
    <brk id="110" max="16383" man="1"/>
    <brk id="161" max="21" man="1"/>
    <brk id="240" man="1"/>
  </rowBreaks>
  <colBreaks count="1" manualBreakCount="1">
    <brk id="23" max="1048575"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18"/>
  </sheetPr>
  <dimension ref="A1:Y235"/>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 t="s">
        <v>223</v>
      </c>
      <c r="B1" s="3" t="s">
        <v>123</v>
      </c>
      <c r="C1" s="4"/>
      <c r="D1" s="4"/>
      <c r="E1" s="4"/>
      <c r="F1" s="4"/>
      <c r="G1" s="4"/>
      <c r="H1" s="4"/>
      <c r="I1" s="4"/>
      <c r="J1" s="4"/>
      <c r="K1" s="4"/>
      <c r="L1" s="4"/>
      <c r="M1" s="5"/>
      <c r="N1" s="5"/>
      <c r="O1" s="5"/>
      <c r="P1" s="5"/>
      <c r="Q1" s="5"/>
      <c r="R1" s="5"/>
      <c r="S1" s="5"/>
      <c r="T1" s="5"/>
      <c r="U1" s="5"/>
      <c r="V1" s="193"/>
      <c r="W1" s="6"/>
    </row>
    <row r="2" spans="1:23" ht="15.6">
      <c r="A2" s="7"/>
      <c r="B2" s="8"/>
      <c r="C2" s="8"/>
      <c r="D2" s="8"/>
      <c r="E2" s="8"/>
      <c r="F2" s="8"/>
      <c r="G2" s="8"/>
      <c r="H2" s="8"/>
      <c r="I2" s="8"/>
      <c r="J2" s="8"/>
      <c r="K2" s="8"/>
      <c r="L2" s="8"/>
      <c r="M2" s="9"/>
      <c r="N2" s="9"/>
      <c r="O2" s="9"/>
      <c r="P2" s="9"/>
      <c r="Q2" s="9"/>
      <c r="R2" s="9"/>
      <c r="S2" s="9"/>
      <c r="T2" s="9"/>
      <c r="U2" s="9"/>
      <c r="V2" s="194"/>
      <c r="W2" s="6"/>
    </row>
    <row r="3" spans="1:23" ht="15.6">
      <c r="A3" s="10"/>
      <c r="B3" s="141" t="s">
        <v>125</v>
      </c>
      <c r="C3" s="9"/>
      <c r="D3" s="9"/>
      <c r="E3" s="9"/>
      <c r="F3" s="9"/>
      <c r="G3" s="9"/>
      <c r="H3" s="9"/>
      <c r="I3" s="9"/>
      <c r="J3" s="9"/>
      <c r="K3" s="9"/>
      <c r="L3" s="9"/>
      <c r="M3" s="9"/>
      <c r="N3" s="9"/>
      <c r="O3" s="9"/>
      <c r="P3" s="9"/>
      <c r="Q3" s="9"/>
      <c r="R3" s="9"/>
      <c r="S3" s="9"/>
      <c r="T3" s="9"/>
      <c r="U3" s="9"/>
      <c r="V3" s="194"/>
      <c r="W3" s="6"/>
    </row>
    <row r="4" spans="1:23" ht="15.6">
      <c r="A4" s="7"/>
      <c r="B4" s="8"/>
      <c r="C4" s="8"/>
      <c r="D4" s="8"/>
      <c r="E4" s="8"/>
      <c r="F4" s="8"/>
      <c r="G4" s="8"/>
      <c r="H4" s="8"/>
      <c r="I4" s="8"/>
      <c r="J4" s="8"/>
      <c r="K4" s="8"/>
      <c r="L4" s="8"/>
      <c r="M4" s="9"/>
      <c r="N4" s="9"/>
      <c r="O4" s="9"/>
      <c r="P4" s="9"/>
      <c r="Q4" s="9"/>
      <c r="R4" s="9"/>
      <c r="S4" s="9"/>
      <c r="T4" s="9"/>
      <c r="U4" s="9"/>
      <c r="V4" s="194"/>
      <c r="W4" s="6"/>
    </row>
    <row r="5" spans="1:23" ht="16.2">
      <c r="A5" s="7"/>
      <c r="B5" s="192" t="s">
        <v>0</v>
      </c>
      <c r="C5" s="11"/>
      <c r="D5" s="11"/>
      <c r="E5" s="11"/>
      <c r="F5" s="11"/>
      <c r="G5" s="11"/>
      <c r="H5" s="11"/>
      <c r="I5" s="11"/>
      <c r="J5" s="11"/>
      <c r="K5" s="11"/>
      <c r="L5" s="11"/>
      <c r="M5" s="9"/>
      <c r="N5" s="9"/>
      <c r="O5" s="9"/>
      <c r="P5" s="9"/>
      <c r="Q5" s="9"/>
      <c r="R5" s="9"/>
      <c r="S5" s="9"/>
      <c r="T5" s="9"/>
      <c r="U5" s="9"/>
      <c r="V5" s="194"/>
      <c r="W5" s="6"/>
    </row>
    <row r="6" spans="1:23" ht="16.2">
      <c r="A6" s="7"/>
      <c r="B6" s="192" t="s">
        <v>1</v>
      </c>
      <c r="C6" s="11"/>
      <c r="D6" s="11"/>
      <c r="E6" s="11"/>
      <c r="F6" s="11"/>
      <c r="G6" s="11"/>
      <c r="H6" s="11"/>
      <c r="I6" s="11"/>
      <c r="J6" s="11"/>
      <c r="K6" s="11"/>
      <c r="L6" s="11"/>
      <c r="M6" s="9"/>
      <c r="N6" s="9"/>
      <c r="O6" s="9"/>
      <c r="P6" s="9"/>
      <c r="Q6" s="9"/>
      <c r="R6" s="9"/>
      <c r="S6" s="9"/>
      <c r="T6" s="9"/>
      <c r="U6" s="9"/>
      <c r="V6" s="194"/>
      <c r="W6" s="6"/>
    </row>
    <row r="7" spans="1:23" ht="16.2">
      <c r="A7" s="7"/>
      <c r="B7" s="192" t="s">
        <v>2</v>
      </c>
      <c r="C7" s="11"/>
      <c r="D7" s="11"/>
      <c r="E7" s="11"/>
      <c r="F7" s="11"/>
      <c r="G7" s="11"/>
      <c r="H7" s="11"/>
      <c r="I7" s="11"/>
      <c r="J7" s="11"/>
      <c r="K7" s="11"/>
      <c r="L7" s="11"/>
      <c r="M7" s="9"/>
      <c r="N7" s="9"/>
      <c r="O7" s="9"/>
      <c r="P7" s="9"/>
      <c r="Q7" s="9"/>
      <c r="R7" s="9"/>
      <c r="S7" s="9"/>
      <c r="T7" s="9"/>
      <c r="U7" s="9"/>
      <c r="V7" s="194"/>
      <c r="W7" s="6"/>
    </row>
    <row r="8" spans="1:23" ht="16.2">
      <c r="A8" s="7"/>
      <c r="B8" s="12"/>
      <c r="C8" s="11"/>
      <c r="D8" s="11"/>
      <c r="E8" s="11"/>
      <c r="F8" s="11"/>
      <c r="G8" s="11"/>
      <c r="H8" s="11"/>
      <c r="I8" s="11"/>
      <c r="J8" s="11"/>
      <c r="K8" s="11"/>
      <c r="L8" s="11"/>
      <c r="M8" s="9"/>
      <c r="N8" s="9"/>
      <c r="O8" s="9"/>
      <c r="P8" s="9"/>
      <c r="Q8" s="9"/>
      <c r="R8" s="9"/>
      <c r="S8" s="9"/>
      <c r="T8" s="9"/>
      <c r="U8" s="9"/>
      <c r="V8" s="194"/>
      <c r="W8" s="6"/>
    </row>
    <row r="9" spans="1:23" ht="18">
      <c r="A9" s="7"/>
      <c r="B9" s="178" t="s">
        <v>194</v>
      </c>
      <c r="C9" s="11"/>
      <c r="D9" s="11"/>
      <c r="E9" s="11"/>
      <c r="F9" s="11"/>
      <c r="G9" s="11"/>
      <c r="H9" s="11"/>
      <c r="I9" s="179" t="s">
        <v>195</v>
      </c>
      <c r="J9" s="11"/>
      <c r="K9" s="11"/>
      <c r="L9" s="11"/>
      <c r="M9" s="9"/>
      <c r="N9" s="9"/>
      <c r="O9" s="9"/>
      <c r="P9" s="9"/>
      <c r="Q9" s="9"/>
      <c r="R9" s="9"/>
      <c r="S9" s="9"/>
      <c r="T9" s="9"/>
      <c r="U9" s="9"/>
      <c r="V9" s="194"/>
      <c r="W9" s="6"/>
    </row>
    <row r="10" spans="1:23" ht="16.2">
      <c r="A10" s="7"/>
      <c r="B10" s="11"/>
      <c r="C10" s="11"/>
      <c r="D10" s="11"/>
      <c r="E10" s="11"/>
      <c r="F10" s="11"/>
      <c r="G10" s="11"/>
      <c r="H10" s="11"/>
      <c r="I10" s="11"/>
      <c r="J10" s="11"/>
      <c r="K10" s="11"/>
      <c r="L10" s="11"/>
      <c r="M10" s="13"/>
      <c r="N10" s="13"/>
      <c r="O10" s="9"/>
      <c r="P10" s="9"/>
      <c r="Q10" s="9"/>
      <c r="R10" s="9"/>
      <c r="S10" s="9"/>
      <c r="T10" s="9"/>
      <c r="U10" s="9"/>
      <c r="V10" s="194"/>
      <c r="W10" s="6"/>
    </row>
    <row r="11" spans="1:23" ht="15.6">
      <c r="A11" s="7"/>
      <c r="B11" s="13" t="s">
        <v>3</v>
      </c>
      <c r="C11" s="13"/>
      <c r="D11" s="13"/>
      <c r="E11" s="13"/>
      <c r="F11" s="13"/>
      <c r="G11" s="13"/>
      <c r="H11" s="13"/>
      <c r="I11" s="13"/>
      <c r="J11" s="13"/>
      <c r="K11" s="13"/>
      <c r="L11" s="13"/>
      <c r="M11" s="9"/>
      <c r="N11" s="9"/>
      <c r="O11" s="9"/>
      <c r="P11" s="9"/>
      <c r="Q11" s="9"/>
      <c r="R11" s="9"/>
      <c r="S11" s="9"/>
      <c r="T11" s="9"/>
      <c r="U11" s="9"/>
      <c r="V11" s="194"/>
      <c r="W11" s="6"/>
    </row>
    <row r="12" spans="1:23" ht="16.2" thickBot="1">
      <c r="A12" s="7"/>
      <c r="B12" s="13"/>
      <c r="C12" s="13"/>
      <c r="D12" s="13"/>
      <c r="E12" s="13"/>
      <c r="F12" s="13"/>
      <c r="G12" s="13"/>
      <c r="H12" s="13"/>
      <c r="I12" s="13"/>
      <c r="J12" s="13"/>
      <c r="K12" s="13"/>
      <c r="L12" s="13"/>
      <c r="M12" s="9"/>
      <c r="N12" s="9"/>
      <c r="O12" s="9"/>
      <c r="P12" s="9"/>
      <c r="Q12" s="9"/>
      <c r="R12" s="9"/>
      <c r="S12" s="9"/>
      <c r="T12" s="9"/>
      <c r="U12" s="9"/>
      <c r="V12" s="194"/>
      <c r="W12" s="6"/>
    </row>
    <row r="13" spans="1:23" ht="15.6">
      <c r="A13" s="2"/>
      <c r="B13" s="5"/>
      <c r="C13" s="5"/>
      <c r="D13" s="5"/>
      <c r="E13" s="5"/>
      <c r="F13" s="5"/>
      <c r="G13" s="5"/>
      <c r="H13" s="5"/>
      <c r="I13" s="5"/>
      <c r="J13" s="5"/>
      <c r="K13" s="5"/>
      <c r="L13" s="5"/>
      <c r="M13" s="5"/>
      <c r="N13" s="5"/>
      <c r="O13" s="5"/>
      <c r="P13" s="5"/>
      <c r="Q13" s="5"/>
      <c r="R13" s="5"/>
      <c r="S13" s="5"/>
      <c r="T13" s="5"/>
      <c r="U13" s="5"/>
      <c r="V13" s="193"/>
      <c r="W13" s="6"/>
    </row>
    <row r="14" spans="1:23" ht="15.6">
      <c r="A14" s="7"/>
      <c r="B14" s="14" t="s">
        <v>4</v>
      </c>
      <c r="C14" s="14"/>
      <c r="D14" s="14"/>
      <c r="E14" s="14"/>
      <c r="F14" s="14"/>
      <c r="G14" s="14"/>
      <c r="H14" s="14"/>
      <c r="I14" s="14"/>
      <c r="J14" s="14"/>
      <c r="K14" s="14"/>
      <c r="L14" s="14"/>
      <c r="M14" s="15"/>
      <c r="N14" s="15"/>
      <c r="O14" s="15"/>
      <c r="P14" s="15"/>
      <c r="Q14" s="15"/>
      <c r="R14" s="15"/>
      <c r="S14" s="15"/>
      <c r="T14" s="15"/>
      <c r="U14" s="16" t="s">
        <v>126</v>
      </c>
      <c r="V14" s="194"/>
      <c r="W14" s="6"/>
    </row>
    <row r="15" spans="1:23" ht="15.6">
      <c r="A15" s="7"/>
      <c r="B15" s="14" t="s">
        <v>5</v>
      </c>
      <c r="C15" s="14"/>
      <c r="D15" s="14"/>
      <c r="E15" s="14"/>
      <c r="F15" s="14"/>
      <c r="G15" s="14"/>
      <c r="H15" s="14"/>
      <c r="I15" s="14"/>
      <c r="J15" s="14"/>
      <c r="K15" s="14"/>
      <c r="L15" s="14"/>
      <c r="M15" s="17" t="s">
        <v>93</v>
      </c>
      <c r="N15" s="18">
        <v>0.1492</v>
      </c>
      <c r="O15" s="17" t="s">
        <v>99</v>
      </c>
      <c r="P15" s="18">
        <v>5.4399999999999997E-2</v>
      </c>
      <c r="Q15" s="17" t="s">
        <v>102</v>
      </c>
      <c r="R15" s="18">
        <v>0.48899999999999999</v>
      </c>
      <c r="S15" s="17" t="s">
        <v>108</v>
      </c>
      <c r="T15" s="18">
        <v>0.30740000000000001</v>
      </c>
      <c r="U15" s="16"/>
      <c r="V15" s="195"/>
      <c r="W15" s="6"/>
    </row>
    <row r="16" spans="1:23" ht="15.6">
      <c r="A16" s="7"/>
      <c r="B16" s="14" t="s">
        <v>6</v>
      </c>
      <c r="C16" s="14"/>
      <c r="D16" s="14"/>
      <c r="E16" s="14"/>
      <c r="F16" s="14"/>
      <c r="G16" s="14"/>
      <c r="H16" s="14"/>
      <c r="I16" s="14"/>
      <c r="J16" s="14"/>
      <c r="K16" s="14"/>
      <c r="L16" s="14"/>
      <c r="M16" s="17" t="s">
        <v>93</v>
      </c>
      <c r="N16" s="18">
        <f>+N199/S222</f>
        <v>7.6455555555555554E-2</v>
      </c>
      <c r="O16" s="17" t="s">
        <v>99</v>
      </c>
      <c r="P16" s="18">
        <f>+S199/S222</f>
        <v>9.2417777777777779E-2</v>
      </c>
      <c r="Q16" s="17" t="s">
        <v>102</v>
      </c>
      <c r="R16" s="18">
        <f>+N212/S222</f>
        <v>0.39843555555555554</v>
      </c>
      <c r="S16" s="17" t="s">
        <v>108</v>
      </c>
      <c r="T16" s="18">
        <f>+S212/S222</f>
        <v>0.28694666666666668</v>
      </c>
      <c r="U16" s="16"/>
      <c r="V16" s="195"/>
      <c r="W16" s="6"/>
    </row>
    <row r="17" spans="1:23" ht="15.6">
      <c r="A17" s="7"/>
      <c r="B17" s="14" t="s">
        <v>7</v>
      </c>
      <c r="C17" s="14"/>
      <c r="D17" s="14"/>
      <c r="E17" s="14"/>
      <c r="F17" s="14"/>
      <c r="G17" s="14"/>
      <c r="H17" s="14"/>
      <c r="I17" s="14"/>
      <c r="J17" s="14"/>
      <c r="K17" s="14"/>
      <c r="L17" s="14"/>
      <c r="M17" s="15"/>
      <c r="N17" s="15"/>
      <c r="O17" s="15"/>
      <c r="P17" s="15"/>
      <c r="Q17" s="15"/>
      <c r="R17" s="15"/>
      <c r="S17" s="15"/>
      <c r="T17" s="15"/>
      <c r="U17" s="19">
        <v>38491</v>
      </c>
      <c r="V17" s="194"/>
      <c r="W17" s="6"/>
    </row>
    <row r="18" spans="1:23" ht="15.6">
      <c r="A18" s="7"/>
      <c r="B18" s="14" t="s">
        <v>8</v>
      </c>
      <c r="C18" s="14"/>
      <c r="D18" s="14"/>
      <c r="E18" s="14"/>
      <c r="F18" s="14"/>
      <c r="G18" s="14"/>
      <c r="H18" s="14"/>
      <c r="I18" s="14"/>
      <c r="J18" s="14"/>
      <c r="K18" s="14"/>
      <c r="L18" s="14"/>
      <c r="M18" s="15"/>
      <c r="N18" s="15"/>
      <c r="O18" s="15"/>
      <c r="P18" s="15"/>
      <c r="Q18" s="15"/>
      <c r="R18" s="15"/>
      <c r="S18" s="15"/>
      <c r="T18" s="15"/>
      <c r="U18" s="19">
        <v>39286</v>
      </c>
      <c r="V18" s="194"/>
      <c r="W18" s="6"/>
    </row>
    <row r="19" spans="1:23" ht="15.6">
      <c r="A19" s="7"/>
      <c r="B19" s="9"/>
      <c r="C19" s="9"/>
      <c r="D19" s="9"/>
      <c r="E19" s="9"/>
      <c r="F19" s="9"/>
      <c r="G19" s="9"/>
      <c r="H19" s="9"/>
      <c r="I19" s="9"/>
      <c r="J19" s="9"/>
      <c r="K19" s="9"/>
      <c r="L19" s="9"/>
      <c r="M19" s="9"/>
      <c r="N19" s="9"/>
      <c r="O19" s="9"/>
      <c r="P19" s="9"/>
      <c r="Q19" s="9"/>
      <c r="R19" s="9"/>
      <c r="S19" s="9"/>
      <c r="T19" s="9"/>
      <c r="U19" s="20"/>
      <c r="V19" s="194"/>
      <c r="W19" s="6"/>
    </row>
    <row r="20" spans="1:23" ht="15.6">
      <c r="A20" s="7"/>
      <c r="B20" s="21" t="s">
        <v>9</v>
      </c>
      <c r="C20" s="9"/>
      <c r="D20" s="9"/>
      <c r="E20" s="9"/>
      <c r="F20" s="9"/>
      <c r="G20" s="9"/>
      <c r="H20" s="9"/>
      <c r="I20" s="9"/>
      <c r="J20" s="9"/>
      <c r="K20" s="9"/>
      <c r="L20" s="9"/>
      <c r="M20" s="9"/>
      <c r="N20" s="9"/>
      <c r="O20" s="9"/>
      <c r="P20" s="9"/>
      <c r="Q20" s="9"/>
      <c r="R20" s="9"/>
      <c r="S20" s="20"/>
      <c r="T20" s="9"/>
      <c r="U20" s="12"/>
      <c r="V20" s="194"/>
      <c r="W20" s="6"/>
    </row>
    <row r="21" spans="1:23" ht="15.6">
      <c r="A21" s="7"/>
      <c r="B21" s="9"/>
      <c r="C21" s="9"/>
      <c r="D21" s="9"/>
      <c r="E21" s="9"/>
      <c r="F21" s="9"/>
      <c r="G21" s="9"/>
      <c r="H21" s="9"/>
      <c r="I21" s="9"/>
      <c r="J21" s="9"/>
      <c r="K21" s="9"/>
      <c r="L21" s="9"/>
      <c r="M21" s="9"/>
      <c r="N21" s="9"/>
      <c r="O21" s="9"/>
      <c r="P21" s="9"/>
      <c r="Q21" s="9"/>
      <c r="R21" s="9"/>
      <c r="S21" s="9"/>
      <c r="T21" s="9"/>
      <c r="U21" s="22"/>
      <c r="V21" s="194"/>
      <c r="W21" s="6"/>
    </row>
    <row r="22" spans="1:23" ht="15.6">
      <c r="A22" s="7"/>
      <c r="B22" s="9"/>
      <c r="C22" s="142" t="s">
        <v>130</v>
      </c>
      <c r="D22" s="142"/>
      <c r="E22" s="142" t="s">
        <v>131</v>
      </c>
      <c r="F22" s="142"/>
      <c r="G22" s="142" t="s">
        <v>132</v>
      </c>
      <c r="H22" s="142"/>
      <c r="I22" s="142" t="s">
        <v>133</v>
      </c>
      <c r="J22" s="142"/>
      <c r="K22" s="142" t="s">
        <v>134</v>
      </c>
      <c r="L22" s="142"/>
      <c r="M22" s="144" t="s">
        <v>135</v>
      </c>
      <c r="N22" s="144"/>
      <c r="O22" s="144" t="s">
        <v>136</v>
      </c>
      <c r="P22" s="144"/>
      <c r="Q22" s="144" t="s">
        <v>137</v>
      </c>
      <c r="R22" s="23"/>
      <c r="S22" s="24"/>
      <c r="T22" s="12"/>
      <c r="U22" s="12"/>
      <c r="V22" s="194"/>
      <c r="W22" s="6"/>
    </row>
    <row r="23" spans="1:23" ht="15.6">
      <c r="A23" s="25"/>
      <c r="B23" s="26" t="s">
        <v>10</v>
      </c>
      <c r="C23" s="157" t="s">
        <v>96</v>
      </c>
      <c r="D23" s="157"/>
      <c r="E23" s="157" t="s">
        <v>96</v>
      </c>
      <c r="F23" s="157"/>
      <c r="G23" s="157" t="s">
        <v>138</v>
      </c>
      <c r="H23" s="157"/>
      <c r="I23" s="157" t="s">
        <v>138</v>
      </c>
      <c r="J23" s="157"/>
      <c r="K23" s="157" t="s">
        <v>104</v>
      </c>
      <c r="L23" s="143"/>
      <c r="M23" s="28" t="s">
        <v>104</v>
      </c>
      <c r="N23" s="28"/>
      <c r="O23" s="28" t="s">
        <v>109</v>
      </c>
      <c r="P23" s="28"/>
      <c r="Q23" s="28" t="s">
        <v>109</v>
      </c>
      <c r="R23" s="28"/>
      <c r="S23" s="28"/>
      <c r="T23" s="29"/>
      <c r="U23" s="29"/>
      <c r="V23" s="196"/>
      <c r="W23" s="6"/>
    </row>
    <row r="24" spans="1:23" ht="15.6">
      <c r="A24" s="25"/>
      <c r="B24" s="26" t="s">
        <v>11</v>
      </c>
      <c r="C24" s="157" t="s">
        <v>97</v>
      </c>
      <c r="D24" s="157"/>
      <c r="E24" s="157" t="s">
        <v>97</v>
      </c>
      <c r="F24" s="157"/>
      <c r="G24" s="157" t="s">
        <v>139</v>
      </c>
      <c r="H24" s="157"/>
      <c r="I24" s="157" t="s">
        <v>139</v>
      </c>
      <c r="J24" s="157"/>
      <c r="K24" s="157" t="s">
        <v>105</v>
      </c>
      <c r="L24" s="27"/>
      <c r="M24" s="28" t="s">
        <v>105</v>
      </c>
      <c r="N24" s="28"/>
      <c r="O24" s="28" t="s">
        <v>110</v>
      </c>
      <c r="P24" s="28"/>
      <c r="Q24" s="28" t="s">
        <v>110</v>
      </c>
      <c r="R24" s="28"/>
      <c r="S24" s="28"/>
      <c r="T24" s="29"/>
      <c r="U24" s="29"/>
      <c r="V24" s="196"/>
      <c r="W24" s="6"/>
    </row>
    <row r="25" spans="1:23" ht="15.6">
      <c r="A25" s="25"/>
      <c r="B25" s="30" t="s">
        <v>12</v>
      </c>
      <c r="C25" s="110" t="s">
        <v>96</v>
      </c>
      <c r="D25" s="110"/>
      <c r="E25" s="110" t="s">
        <v>96</v>
      </c>
      <c r="F25" s="110"/>
      <c r="G25" s="110" t="s">
        <v>138</v>
      </c>
      <c r="H25" s="110"/>
      <c r="I25" s="110" t="s">
        <v>138</v>
      </c>
      <c r="J25" s="30"/>
      <c r="K25" s="110" t="s">
        <v>104</v>
      </c>
      <c r="L25" s="30"/>
      <c r="M25" s="31" t="s">
        <v>104</v>
      </c>
      <c r="N25" s="28"/>
      <c r="O25" s="31" t="s">
        <v>109</v>
      </c>
      <c r="P25" s="28"/>
      <c r="Q25" s="31" t="s">
        <v>109</v>
      </c>
      <c r="R25" s="31"/>
      <c r="S25" s="31"/>
      <c r="T25" s="32"/>
      <c r="U25" s="29"/>
      <c r="V25" s="196"/>
      <c r="W25" s="6"/>
    </row>
    <row r="26" spans="1:23" ht="15.6">
      <c r="A26" s="25"/>
      <c r="B26" s="30" t="s">
        <v>13</v>
      </c>
      <c r="C26" s="110" t="s">
        <v>97</v>
      </c>
      <c r="D26" s="110"/>
      <c r="E26" s="110" t="s">
        <v>97</v>
      </c>
      <c r="F26" s="110"/>
      <c r="G26" s="110" t="s">
        <v>139</v>
      </c>
      <c r="H26" s="110"/>
      <c r="I26" s="110" t="s">
        <v>139</v>
      </c>
      <c r="J26" s="30"/>
      <c r="K26" s="110" t="s">
        <v>105</v>
      </c>
      <c r="L26" s="30"/>
      <c r="M26" s="31" t="s">
        <v>105</v>
      </c>
      <c r="N26" s="28"/>
      <c r="O26" s="31" t="s">
        <v>110</v>
      </c>
      <c r="P26" s="28"/>
      <c r="Q26" s="31" t="s">
        <v>110</v>
      </c>
      <c r="R26" s="31"/>
      <c r="S26" s="31"/>
      <c r="T26" s="32"/>
      <c r="U26" s="29"/>
      <c r="V26" s="196"/>
      <c r="W26" s="6"/>
    </row>
    <row r="27" spans="1:23" ht="15.6">
      <c r="A27" s="25"/>
      <c r="B27" s="26" t="s">
        <v>14</v>
      </c>
      <c r="C27" s="33" t="s">
        <v>140</v>
      </c>
      <c r="D27" s="26"/>
      <c r="E27" s="33" t="s">
        <v>141</v>
      </c>
      <c r="F27" s="26"/>
      <c r="G27" s="33" t="s">
        <v>142</v>
      </c>
      <c r="H27" s="26"/>
      <c r="I27" s="33" t="s">
        <v>258</v>
      </c>
      <c r="J27" s="26"/>
      <c r="K27" s="33" t="s">
        <v>143</v>
      </c>
      <c r="L27" s="26"/>
      <c r="M27" s="26" t="s">
        <v>144</v>
      </c>
      <c r="N27" s="28"/>
      <c r="O27" s="26" t="s">
        <v>145</v>
      </c>
      <c r="P27" s="28"/>
      <c r="Q27" s="26" t="s">
        <v>146</v>
      </c>
      <c r="R27" s="28"/>
      <c r="S27" s="33"/>
      <c r="T27" s="29"/>
      <c r="U27" s="29"/>
      <c r="V27" s="196"/>
      <c r="W27" s="6"/>
    </row>
    <row r="28" spans="1:23" ht="15.6">
      <c r="A28" s="25"/>
      <c r="B28" s="26" t="s">
        <v>147</v>
      </c>
      <c r="C28" s="168">
        <v>146000</v>
      </c>
      <c r="D28" s="33"/>
      <c r="E28" s="165">
        <v>259500</v>
      </c>
      <c r="F28" s="33"/>
      <c r="G28" s="168">
        <v>16000</v>
      </c>
      <c r="H28" s="33"/>
      <c r="I28" s="165">
        <v>35500</v>
      </c>
      <c r="J28" s="26"/>
      <c r="K28" s="168">
        <v>18000</v>
      </c>
      <c r="L28" s="26"/>
      <c r="M28" s="165">
        <v>33000</v>
      </c>
      <c r="N28" s="35"/>
      <c r="O28" s="34">
        <v>24500</v>
      </c>
      <c r="P28" s="34"/>
      <c r="Q28" s="165">
        <v>30000</v>
      </c>
      <c r="R28" s="34"/>
      <c r="S28" s="34"/>
      <c r="T28" s="36"/>
      <c r="U28" s="34"/>
      <c r="V28" s="197"/>
      <c r="W28" s="6"/>
    </row>
    <row r="29" spans="1:23" ht="15.6">
      <c r="A29" s="25"/>
      <c r="B29" s="26" t="s">
        <v>15</v>
      </c>
      <c r="C29" s="168">
        <v>146000</v>
      </c>
      <c r="D29" s="169"/>
      <c r="E29" s="165">
        <v>259500</v>
      </c>
      <c r="F29" s="169"/>
      <c r="G29" s="168">
        <v>16000</v>
      </c>
      <c r="H29" s="169"/>
      <c r="I29" s="165">
        <v>35500</v>
      </c>
      <c r="J29" s="38"/>
      <c r="K29" s="168">
        <v>18000</v>
      </c>
      <c r="L29" s="38"/>
      <c r="M29" s="165">
        <v>33000</v>
      </c>
      <c r="N29" s="35"/>
      <c r="O29" s="34">
        <v>24500</v>
      </c>
      <c r="P29" s="34"/>
      <c r="Q29" s="165">
        <v>30000</v>
      </c>
      <c r="R29" s="39"/>
      <c r="S29" s="34"/>
      <c r="T29" s="36"/>
      <c r="U29" s="34"/>
      <c r="V29" s="197"/>
      <c r="W29" s="6"/>
    </row>
    <row r="30" spans="1:23" ht="15.6">
      <c r="A30" s="40"/>
      <c r="B30" s="30" t="s">
        <v>148</v>
      </c>
      <c r="C30" s="162">
        <v>146000</v>
      </c>
      <c r="D30" s="170"/>
      <c r="E30" s="171">
        <v>259500</v>
      </c>
      <c r="F30" s="170"/>
      <c r="G30" s="162">
        <v>16000</v>
      </c>
      <c r="H30" s="170"/>
      <c r="I30" s="171">
        <v>35500</v>
      </c>
      <c r="J30" s="159"/>
      <c r="K30" s="162">
        <v>18000</v>
      </c>
      <c r="L30" s="41"/>
      <c r="M30" s="166">
        <v>33000</v>
      </c>
      <c r="N30" s="43"/>
      <c r="O30" s="42">
        <v>24500</v>
      </c>
      <c r="P30" s="42"/>
      <c r="Q30" s="166">
        <v>30000</v>
      </c>
      <c r="R30" s="42"/>
      <c r="S30" s="42"/>
      <c r="T30" s="44"/>
      <c r="U30" s="42"/>
      <c r="V30" s="196"/>
      <c r="W30" s="6"/>
    </row>
    <row r="31" spans="1:23" ht="15.6">
      <c r="A31" s="40"/>
      <c r="B31" s="158" t="s">
        <v>260</v>
      </c>
      <c r="C31" s="172">
        <v>146000</v>
      </c>
      <c r="D31" s="173"/>
      <c r="E31" s="172">
        <v>178000</v>
      </c>
      <c r="F31" s="172"/>
      <c r="G31" s="172">
        <v>16000</v>
      </c>
      <c r="H31" s="172"/>
      <c r="I31" s="172">
        <v>24500</v>
      </c>
      <c r="J31" s="161"/>
      <c r="K31" s="172">
        <v>18000</v>
      </c>
      <c r="L31" s="161"/>
      <c r="M31" s="167">
        <v>22500</v>
      </c>
      <c r="N31" s="164"/>
      <c r="O31" s="167">
        <v>24500</v>
      </c>
      <c r="P31" s="163"/>
      <c r="Q31" s="167">
        <v>20500</v>
      </c>
      <c r="R31" s="42"/>
      <c r="S31" s="42"/>
      <c r="T31" s="44"/>
      <c r="U31" s="34">
        <f>+Q31+O31+M31+K31+I31+G31+E31+C31</f>
        <v>450000</v>
      </c>
      <c r="V31" s="196"/>
      <c r="W31" s="6"/>
    </row>
    <row r="32" spans="1:23" ht="15.6">
      <c r="A32" s="40"/>
      <c r="B32" s="158" t="s">
        <v>261</v>
      </c>
      <c r="C32" s="172">
        <v>146000</v>
      </c>
      <c r="D32" s="173"/>
      <c r="E32" s="172">
        <v>178000</v>
      </c>
      <c r="F32" s="172"/>
      <c r="G32" s="172">
        <v>16000</v>
      </c>
      <c r="H32" s="172"/>
      <c r="I32" s="172">
        <v>24500</v>
      </c>
      <c r="J32" s="161"/>
      <c r="K32" s="172">
        <v>18000</v>
      </c>
      <c r="L32" s="161"/>
      <c r="M32" s="167">
        <v>22500</v>
      </c>
      <c r="N32" s="164"/>
      <c r="O32" s="167">
        <v>24500</v>
      </c>
      <c r="P32" s="163"/>
      <c r="Q32" s="167">
        <v>20500</v>
      </c>
      <c r="R32" s="42"/>
      <c r="S32" s="42"/>
      <c r="T32" s="44"/>
      <c r="U32" s="34">
        <f>+Q32+O32+M32+K32+I32+G32+E32+C32</f>
        <v>450000</v>
      </c>
      <c r="V32" s="196"/>
      <c r="W32" s="6"/>
    </row>
    <row r="33" spans="1:23" ht="15.6">
      <c r="A33" s="40"/>
      <c r="B33" s="30" t="s">
        <v>262</v>
      </c>
      <c r="C33" s="162">
        <v>146000</v>
      </c>
      <c r="D33" s="162"/>
      <c r="E33" s="162">
        <v>178000</v>
      </c>
      <c r="F33" s="162"/>
      <c r="G33" s="162">
        <v>16000</v>
      </c>
      <c r="H33" s="162"/>
      <c r="I33" s="162">
        <v>24500</v>
      </c>
      <c r="J33" s="160"/>
      <c r="K33" s="162">
        <v>18000</v>
      </c>
      <c r="L33" s="160"/>
      <c r="M33" s="162">
        <v>22500</v>
      </c>
      <c r="N33" s="160"/>
      <c r="O33" s="162">
        <v>24500</v>
      </c>
      <c r="P33" s="162"/>
      <c r="Q33" s="162">
        <v>20500</v>
      </c>
      <c r="R33" s="42"/>
      <c r="S33" s="42"/>
      <c r="T33" s="44"/>
      <c r="U33" s="42">
        <f>+Q33+O33+M33+K33+I33+G33+E33+C33</f>
        <v>450000</v>
      </c>
      <c r="V33" s="196"/>
      <c r="W33" s="6"/>
    </row>
    <row r="34" spans="1:23" ht="15.6">
      <c r="A34" s="40"/>
      <c r="B34" s="174" t="s">
        <v>149</v>
      </c>
      <c r="C34" s="175">
        <v>1</v>
      </c>
      <c r="D34" s="175"/>
      <c r="E34" s="175">
        <v>1</v>
      </c>
      <c r="F34" s="175"/>
      <c r="G34" s="175">
        <v>1</v>
      </c>
      <c r="H34" s="175"/>
      <c r="I34" s="175">
        <v>1</v>
      </c>
      <c r="J34" s="175"/>
      <c r="K34" s="175">
        <v>1</v>
      </c>
      <c r="L34" s="175"/>
      <c r="M34" s="175">
        <v>1</v>
      </c>
      <c r="N34" s="175"/>
      <c r="O34" s="175">
        <v>1</v>
      </c>
      <c r="P34" s="175"/>
      <c r="Q34" s="175">
        <v>1</v>
      </c>
      <c r="R34" s="176"/>
      <c r="S34" s="42"/>
      <c r="T34" s="44"/>
      <c r="U34" s="42"/>
      <c r="V34" s="196"/>
      <c r="W34" s="6"/>
    </row>
    <row r="35" spans="1:23" ht="15.6">
      <c r="A35" s="40"/>
      <c r="B35" s="174" t="s">
        <v>150</v>
      </c>
      <c r="C35" s="175">
        <v>1</v>
      </c>
      <c r="D35" s="175"/>
      <c r="E35" s="175">
        <v>1</v>
      </c>
      <c r="F35" s="175"/>
      <c r="G35" s="175">
        <v>1</v>
      </c>
      <c r="H35" s="175"/>
      <c r="I35" s="175">
        <v>1</v>
      </c>
      <c r="J35" s="175"/>
      <c r="K35" s="175">
        <v>1</v>
      </c>
      <c r="L35" s="175"/>
      <c r="M35" s="175">
        <v>1</v>
      </c>
      <c r="N35" s="175"/>
      <c r="O35" s="175">
        <v>1</v>
      </c>
      <c r="P35" s="175"/>
      <c r="Q35" s="175">
        <v>1</v>
      </c>
      <c r="R35" s="176"/>
      <c r="S35" s="42"/>
      <c r="T35" s="44"/>
      <c r="U35" s="42"/>
      <c r="V35" s="196"/>
      <c r="W35" s="6"/>
    </row>
    <row r="36" spans="1:23" ht="15.6">
      <c r="A36" s="25"/>
      <c r="B36" s="26" t="s">
        <v>153</v>
      </c>
      <c r="C36" s="157" t="s">
        <v>157</v>
      </c>
      <c r="D36" s="157"/>
      <c r="E36" s="157" t="s">
        <v>157</v>
      </c>
      <c r="F36" s="157"/>
      <c r="G36" s="157" t="s">
        <v>158</v>
      </c>
      <c r="H36" s="157"/>
      <c r="I36" s="157" t="s">
        <v>158</v>
      </c>
      <c r="J36" s="157"/>
      <c r="K36" s="157" t="s">
        <v>159</v>
      </c>
      <c r="L36" s="184"/>
      <c r="M36" s="157" t="s">
        <v>160</v>
      </c>
      <c r="N36" s="158"/>
      <c r="O36" s="157" t="s">
        <v>161</v>
      </c>
      <c r="P36" s="157"/>
      <c r="Q36" s="157" t="s">
        <v>162</v>
      </c>
      <c r="R36" s="157"/>
      <c r="S36" s="157"/>
      <c r="T36" s="158"/>
      <c r="U36" s="29"/>
      <c r="V36" s="196"/>
      <c r="W36" s="6"/>
    </row>
    <row r="37" spans="1:23" ht="15.6">
      <c r="A37" s="25"/>
      <c r="B37" s="26" t="s">
        <v>151</v>
      </c>
      <c r="C37" s="185">
        <v>5.8200000000000002E-2</v>
      </c>
      <c r="D37" s="185"/>
      <c r="E37" s="185">
        <v>4.1880000000000001E-2</v>
      </c>
      <c r="F37" s="185"/>
      <c r="G37" s="185">
        <v>5.9299999999999999E-2</v>
      </c>
      <c r="H37" s="185"/>
      <c r="I37" s="185">
        <v>4.2979999999999997E-2</v>
      </c>
      <c r="J37" s="185"/>
      <c r="K37" s="185">
        <v>6.2E-2</v>
      </c>
      <c r="L37" s="185"/>
      <c r="M37" s="185">
        <v>4.5379999999999997E-2</v>
      </c>
      <c r="N37" s="185"/>
      <c r="O37" s="185">
        <v>6.5500000000000003E-2</v>
      </c>
      <c r="P37" s="185"/>
      <c r="Q37" s="185">
        <v>4.8680000000000001E-2</v>
      </c>
      <c r="R37" s="186"/>
      <c r="S37" s="185"/>
      <c r="T37" s="158"/>
      <c r="U37" s="33"/>
      <c r="V37" s="196"/>
      <c r="W37" s="6"/>
    </row>
    <row r="38" spans="1:23" ht="15.6">
      <c r="A38" s="25"/>
      <c r="B38" s="26" t="s">
        <v>152</v>
      </c>
      <c r="C38" s="185">
        <v>5.7631300000000003E-2</v>
      </c>
      <c r="D38" s="185"/>
      <c r="E38" s="185">
        <v>3.977E-2</v>
      </c>
      <c r="F38" s="185"/>
      <c r="G38" s="185">
        <v>5.87313E-2</v>
      </c>
      <c r="H38" s="185"/>
      <c r="I38" s="185">
        <v>4.0869999999999997E-2</v>
      </c>
      <c r="J38" s="185"/>
      <c r="K38" s="185">
        <v>6.1431300000000001E-2</v>
      </c>
      <c r="L38" s="185"/>
      <c r="M38" s="185">
        <v>4.3270000000000003E-2</v>
      </c>
      <c r="N38" s="185"/>
      <c r="O38" s="185">
        <v>6.4931299999999997E-2</v>
      </c>
      <c r="P38" s="185"/>
      <c r="Q38" s="185">
        <v>4.657E-2</v>
      </c>
      <c r="R38" s="186"/>
      <c r="S38" s="185"/>
      <c r="T38" s="158"/>
      <c r="U38" s="29"/>
      <c r="V38" s="196"/>
      <c r="W38" s="6"/>
    </row>
    <row r="39" spans="1:23" ht="15.6">
      <c r="A39" s="25"/>
      <c r="B39" s="26" t="s">
        <v>263</v>
      </c>
      <c r="C39" s="157" t="s">
        <v>157</v>
      </c>
      <c r="D39" s="185"/>
      <c r="E39" s="185" t="s">
        <v>198</v>
      </c>
      <c r="F39" s="185"/>
      <c r="G39" s="157" t="s">
        <v>158</v>
      </c>
      <c r="H39" s="185"/>
      <c r="I39" s="185" t="s">
        <v>225</v>
      </c>
      <c r="J39" s="185"/>
      <c r="K39" s="157" t="s">
        <v>159</v>
      </c>
      <c r="L39" s="185"/>
      <c r="M39" s="185" t="s">
        <v>199</v>
      </c>
      <c r="N39" s="185"/>
      <c r="O39" s="157" t="s">
        <v>161</v>
      </c>
      <c r="P39" s="185"/>
      <c r="Q39" s="185" t="s">
        <v>200</v>
      </c>
      <c r="R39" s="186"/>
      <c r="S39" s="185"/>
      <c r="T39" s="158"/>
      <c r="U39" s="29"/>
      <c r="V39" s="196"/>
      <c r="W39" s="6"/>
    </row>
    <row r="40" spans="1:23" ht="15.6">
      <c r="A40" s="25"/>
      <c r="B40" s="26" t="s">
        <v>264</v>
      </c>
      <c r="C40" s="185">
        <f>+C37</f>
        <v>5.8200000000000002E-2</v>
      </c>
      <c r="D40" s="185"/>
      <c r="E40" s="185">
        <v>5.8487999999999998E-2</v>
      </c>
      <c r="F40" s="185"/>
      <c r="G40" s="185">
        <f>+G37</f>
        <v>5.9299999999999999E-2</v>
      </c>
      <c r="H40" s="185"/>
      <c r="I40" s="185">
        <v>5.9666499999999997E-2</v>
      </c>
      <c r="J40" s="185"/>
      <c r="K40" s="185">
        <f>+K37</f>
        <v>6.2E-2</v>
      </c>
      <c r="L40" s="184"/>
      <c r="M40" s="185">
        <v>6.2280200000000001E-2</v>
      </c>
      <c r="N40" s="184"/>
      <c r="O40" s="185">
        <f>+O37</f>
        <v>6.5500000000000003E-2</v>
      </c>
      <c r="P40" s="185"/>
      <c r="Q40" s="185">
        <v>6.5913200000000005E-2</v>
      </c>
      <c r="R40" s="186"/>
      <c r="S40" s="185"/>
      <c r="T40" s="158"/>
      <c r="U40" s="45">
        <f>SUMPRODUCT(C40:Q40,C31:Q31)/U31</f>
        <v>5.9537707444444435E-2</v>
      </c>
      <c r="V40" s="196"/>
      <c r="W40" s="6"/>
    </row>
    <row r="41" spans="1:23" ht="15.6">
      <c r="A41" s="25"/>
      <c r="B41" s="26" t="s">
        <v>265</v>
      </c>
      <c r="C41" s="185">
        <f>+C38</f>
        <v>5.7631300000000003E-2</v>
      </c>
      <c r="D41" s="185"/>
      <c r="E41" s="185">
        <v>5.79193E-2</v>
      </c>
      <c r="F41" s="185"/>
      <c r="G41" s="185">
        <f>+G38</f>
        <v>5.87313E-2</v>
      </c>
      <c r="H41" s="185"/>
      <c r="I41" s="185">
        <v>5.9097799999999999E-2</v>
      </c>
      <c r="J41" s="185"/>
      <c r="K41" s="185">
        <f>+K38</f>
        <v>6.1431300000000001E-2</v>
      </c>
      <c r="L41" s="184"/>
      <c r="M41" s="185">
        <v>6.1711500000000002E-2</v>
      </c>
      <c r="N41" s="184"/>
      <c r="O41" s="185">
        <f>+O38</f>
        <v>6.4931299999999997E-2</v>
      </c>
      <c r="P41" s="185"/>
      <c r="Q41" s="185">
        <v>6.53445E-2</v>
      </c>
      <c r="R41" s="186"/>
      <c r="S41" s="185"/>
      <c r="T41" s="158"/>
      <c r="U41" s="29"/>
      <c r="V41" s="196"/>
      <c r="W41" s="6"/>
    </row>
    <row r="42" spans="1:23" ht="15.6">
      <c r="A42" s="25"/>
      <c r="B42" s="26" t="s">
        <v>17</v>
      </c>
      <c r="C42" s="187">
        <v>39918</v>
      </c>
      <c r="D42" s="187"/>
      <c r="E42" s="187">
        <v>39918</v>
      </c>
      <c r="F42" s="187"/>
      <c r="G42" s="187">
        <v>39918</v>
      </c>
      <c r="H42" s="187"/>
      <c r="I42" s="187">
        <v>39918</v>
      </c>
      <c r="J42" s="187"/>
      <c r="K42" s="187">
        <v>39918</v>
      </c>
      <c r="L42" s="187"/>
      <c r="M42" s="187">
        <v>39918</v>
      </c>
      <c r="N42" s="187"/>
      <c r="O42" s="187">
        <v>39918</v>
      </c>
      <c r="P42" s="187"/>
      <c r="Q42" s="187">
        <v>39918</v>
      </c>
      <c r="R42" s="157"/>
      <c r="S42" s="157"/>
      <c r="T42" s="158"/>
      <c r="U42" s="29"/>
      <c r="V42" s="196"/>
      <c r="W42" s="6"/>
    </row>
    <row r="43" spans="1:23" ht="15.6">
      <c r="A43" s="25"/>
      <c r="B43" s="26" t="s">
        <v>18</v>
      </c>
      <c r="C43" s="46">
        <v>40283</v>
      </c>
      <c r="D43" s="51"/>
      <c r="E43" s="46">
        <v>40283</v>
      </c>
      <c r="F43" s="51"/>
      <c r="G43" s="46">
        <v>40283</v>
      </c>
      <c r="H43" s="51"/>
      <c r="I43" s="46">
        <v>40283</v>
      </c>
      <c r="J43" s="51"/>
      <c r="K43" s="46">
        <v>40283</v>
      </c>
      <c r="L43" s="51"/>
      <c r="M43" s="46">
        <v>40283</v>
      </c>
      <c r="N43" s="51"/>
      <c r="O43" s="46">
        <v>40283</v>
      </c>
      <c r="P43" s="46"/>
      <c r="Q43" s="46">
        <v>40283</v>
      </c>
      <c r="R43" s="33"/>
      <c r="S43" s="33"/>
      <c r="T43" s="29"/>
      <c r="U43" s="29"/>
      <c r="V43" s="196"/>
      <c r="W43" s="6"/>
    </row>
    <row r="44" spans="1:23" ht="15.6">
      <c r="A44" s="25"/>
      <c r="B44" s="26" t="s">
        <v>154</v>
      </c>
      <c r="C44" s="33" t="s">
        <v>163</v>
      </c>
      <c r="D44" s="33"/>
      <c r="E44" s="33" t="s">
        <v>163</v>
      </c>
      <c r="F44" s="33"/>
      <c r="G44" s="33" t="s">
        <v>164</v>
      </c>
      <c r="H44" s="33"/>
      <c r="I44" s="33" t="s">
        <v>164</v>
      </c>
      <c r="J44" s="33"/>
      <c r="K44" s="33" t="s">
        <v>106</v>
      </c>
      <c r="L44" s="33"/>
      <c r="M44" s="33" t="s">
        <v>165</v>
      </c>
      <c r="N44" s="33"/>
      <c r="O44" s="33" t="s">
        <v>166</v>
      </c>
      <c r="P44" s="33"/>
      <c r="Q44" s="33" t="s">
        <v>167</v>
      </c>
      <c r="R44" s="33"/>
      <c r="S44" s="33"/>
      <c r="T44" s="29"/>
      <c r="U44" s="29"/>
      <c r="V44" s="196"/>
      <c r="W44" s="6"/>
    </row>
    <row r="45" spans="1:23" ht="15.6">
      <c r="A45" s="25"/>
      <c r="B45" s="26" t="s">
        <v>266</v>
      </c>
      <c r="C45" s="33" t="s">
        <v>163</v>
      </c>
      <c r="D45" s="26"/>
      <c r="E45" s="33" t="s">
        <v>228</v>
      </c>
      <c r="F45" s="26"/>
      <c r="G45" s="33" t="s">
        <v>164</v>
      </c>
      <c r="H45" s="26"/>
      <c r="I45" s="33" t="s">
        <v>226</v>
      </c>
      <c r="J45" s="26"/>
      <c r="K45" s="33" t="s">
        <v>106</v>
      </c>
      <c r="L45" s="26"/>
      <c r="M45" s="33" t="s">
        <v>227</v>
      </c>
      <c r="N45" s="26"/>
      <c r="O45" s="33" t="s">
        <v>166</v>
      </c>
      <c r="P45" s="33"/>
      <c r="Q45" s="33" t="s">
        <v>229</v>
      </c>
      <c r="R45" s="33"/>
      <c r="S45" s="33"/>
      <c r="T45" s="29"/>
      <c r="U45" s="29"/>
      <c r="V45" s="196"/>
      <c r="W45" s="6"/>
    </row>
    <row r="46" spans="1:23" ht="15.6">
      <c r="A46" s="25"/>
      <c r="B46" s="26"/>
      <c r="C46" s="26"/>
      <c r="D46" s="26"/>
      <c r="E46" s="26"/>
      <c r="F46" s="26"/>
      <c r="G46" s="26"/>
      <c r="H46" s="26"/>
      <c r="I46" s="26"/>
      <c r="J46" s="26"/>
      <c r="K46" s="26"/>
      <c r="L46" s="26"/>
      <c r="M46" s="47"/>
      <c r="N46" s="47"/>
      <c r="O46" s="26"/>
      <c r="P46" s="47"/>
      <c r="Q46" s="47"/>
      <c r="R46" s="47"/>
      <c r="S46" s="47"/>
      <c r="T46" s="47"/>
      <c r="U46" s="47"/>
      <c r="V46" s="196"/>
      <c r="W46" s="6"/>
    </row>
    <row r="47" spans="1:23" ht="15.6">
      <c r="A47" s="25"/>
      <c r="B47" s="26" t="s">
        <v>201</v>
      </c>
      <c r="C47" s="26"/>
      <c r="D47" s="26"/>
      <c r="E47" s="26"/>
      <c r="F47" s="26"/>
      <c r="G47" s="26"/>
      <c r="H47" s="26"/>
      <c r="I47" s="26"/>
      <c r="J47" s="26"/>
      <c r="K47" s="26"/>
      <c r="L47" s="26"/>
      <c r="M47" s="26"/>
      <c r="N47" s="26"/>
      <c r="O47" s="26"/>
      <c r="P47" s="26"/>
      <c r="Q47" s="26"/>
      <c r="R47" s="26"/>
      <c r="S47" s="26"/>
      <c r="T47" s="26"/>
      <c r="U47" s="45">
        <f>SUM(G31:Q31)/(C31+E31)</f>
        <v>0.3888888888888889</v>
      </c>
      <c r="V47" s="196"/>
      <c r="W47" s="6"/>
    </row>
    <row r="48" spans="1:23" ht="15.6">
      <c r="A48" s="25"/>
      <c r="B48" s="26" t="s">
        <v>202</v>
      </c>
      <c r="C48" s="26"/>
      <c r="D48" s="26"/>
      <c r="E48" s="26"/>
      <c r="F48" s="26"/>
      <c r="G48" s="26"/>
      <c r="H48" s="26"/>
      <c r="I48" s="26"/>
      <c r="J48" s="26"/>
      <c r="K48" s="26"/>
      <c r="L48" s="26"/>
      <c r="M48" s="26"/>
      <c r="N48" s="26"/>
      <c r="O48" s="26"/>
      <c r="P48" s="26"/>
      <c r="Q48" s="26"/>
      <c r="R48" s="26"/>
      <c r="S48" s="26"/>
      <c r="T48" s="26"/>
      <c r="U48" s="45">
        <f>SUM(F33:Q33)/(C33+E33)</f>
        <v>0.3888888888888889</v>
      </c>
      <c r="V48" s="196"/>
      <c r="W48" s="6"/>
    </row>
    <row r="49" spans="1:23" ht="15.6">
      <c r="A49" s="25"/>
      <c r="B49" s="26" t="s">
        <v>203</v>
      </c>
      <c r="C49" s="26"/>
      <c r="D49" s="26"/>
      <c r="E49" s="26"/>
      <c r="F49" s="26"/>
      <c r="G49" s="26"/>
      <c r="H49" s="26"/>
      <c r="I49" s="26"/>
      <c r="J49" s="26"/>
      <c r="K49" s="26"/>
      <c r="L49" s="26"/>
      <c r="M49" s="26"/>
      <c r="N49" s="26"/>
      <c r="O49" s="26"/>
      <c r="P49" s="26"/>
      <c r="Q49" s="26"/>
      <c r="R49" s="26"/>
      <c r="S49" s="33" t="s">
        <v>95</v>
      </c>
      <c r="T49" s="33" t="s">
        <v>117</v>
      </c>
      <c r="U49" s="34">
        <v>99000</v>
      </c>
      <c r="V49" s="196"/>
      <c r="W49" s="6"/>
    </row>
    <row r="50" spans="1:23" ht="15.6">
      <c r="A50" s="25"/>
      <c r="B50" s="26"/>
      <c r="C50" s="26"/>
      <c r="D50" s="26"/>
      <c r="E50" s="26"/>
      <c r="F50" s="26"/>
      <c r="G50" s="26"/>
      <c r="H50" s="26"/>
      <c r="I50" s="26"/>
      <c r="J50" s="26"/>
      <c r="K50" s="26"/>
      <c r="L50" s="26"/>
      <c r="M50" s="26"/>
      <c r="N50" s="26"/>
      <c r="O50" s="26"/>
      <c r="P50" s="26"/>
      <c r="Q50" s="26"/>
      <c r="R50" s="26"/>
      <c r="S50" s="26" t="s">
        <v>213</v>
      </c>
      <c r="T50" s="26"/>
      <c r="U50" s="48"/>
      <c r="V50" s="196"/>
      <c r="W50" s="6"/>
    </row>
    <row r="51" spans="1:23" ht="15.6">
      <c r="A51" s="25"/>
      <c r="B51" s="26" t="s">
        <v>19</v>
      </c>
      <c r="C51" s="26"/>
      <c r="D51" s="26"/>
      <c r="E51" s="26"/>
      <c r="F51" s="26"/>
      <c r="G51" s="26"/>
      <c r="H51" s="26"/>
      <c r="I51" s="26"/>
      <c r="J51" s="26"/>
      <c r="K51" s="26"/>
      <c r="L51" s="26"/>
      <c r="M51" s="26"/>
      <c r="N51" s="26"/>
      <c r="O51" s="26"/>
      <c r="P51" s="26"/>
      <c r="Q51" s="26"/>
      <c r="R51" s="26"/>
      <c r="S51" s="33"/>
      <c r="T51" s="33"/>
      <c r="U51" s="33" t="s">
        <v>118</v>
      </c>
      <c r="V51" s="196"/>
      <c r="W51" s="6"/>
    </row>
    <row r="52" spans="1:23" ht="15.6">
      <c r="A52" s="40"/>
      <c r="B52" s="30" t="s">
        <v>20</v>
      </c>
      <c r="C52" s="30"/>
      <c r="D52" s="30"/>
      <c r="E52" s="30"/>
      <c r="F52" s="30"/>
      <c r="G52" s="30"/>
      <c r="H52" s="30"/>
      <c r="I52" s="30"/>
      <c r="J52" s="30"/>
      <c r="K52" s="30"/>
      <c r="L52" s="30"/>
      <c r="M52" s="30"/>
      <c r="N52" s="30"/>
      <c r="O52" s="30"/>
      <c r="P52" s="30"/>
      <c r="Q52" s="30"/>
      <c r="R52" s="30"/>
      <c r="S52" s="49"/>
      <c r="T52" s="49"/>
      <c r="U52" s="50">
        <v>39279</v>
      </c>
      <c r="V52" s="198"/>
      <c r="W52" s="6"/>
    </row>
    <row r="53" spans="1:23" ht="15.6">
      <c r="A53" s="25"/>
      <c r="B53" s="26" t="s">
        <v>155</v>
      </c>
      <c r="C53" s="26"/>
      <c r="D53" s="26"/>
      <c r="E53" s="26"/>
      <c r="F53" s="26"/>
      <c r="G53" s="26"/>
      <c r="H53" s="26"/>
      <c r="I53" s="26"/>
      <c r="J53" s="26"/>
      <c r="K53" s="26"/>
      <c r="L53" s="26"/>
      <c r="M53" s="26"/>
      <c r="N53" s="26"/>
      <c r="O53" s="26"/>
      <c r="P53" s="26"/>
      <c r="Q53" s="29"/>
      <c r="R53" s="26">
        <f>U53-S53+1</f>
        <v>91</v>
      </c>
      <c r="S53" s="52">
        <v>39097</v>
      </c>
      <c r="T53" s="53"/>
      <c r="U53" s="52">
        <v>39187</v>
      </c>
      <c r="V53" s="196"/>
      <c r="W53" s="6"/>
    </row>
    <row r="54" spans="1:23" ht="15.6">
      <c r="A54" s="25"/>
      <c r="B54" s="26" t="s">
        <v>156</v>
      </c>
      <c r="C54" s="26"/>
      <c r="D54" s="26"/>
      <c r="E54" s="26"/>
      <c r="F54" s="26"/>
      <c r="G54" s="26"/>
      <c r="H54" s="26"/>
      <c r="I54" s="26"/>
      <c r="J54" s="26"/>
      <c r="K54" s="26"/>
      <c r="L54" s="26"/>
      <c r="M54" s="26"/>
      <c r="N54" s="26"/>
      <c r="O54" s="26"/>
      <c r="P54" s="26"/>
      <c r="Q54" s="29"/>
      <c r="R54" s="26">
        <f>U54-S54+1</f>
        <v>91</v>
      </c>
      <c r="S54" s="52">
        <v>39188</v>
      </c>
      <c r="T54" s="53"/>
      <c r="U54" s="52">
        <v>39278</v>
      </c>
      <c r="V54" s="196"/>
      <c r="W54" s="6"/>
    </row>
    <row r="55" spans="1:23" ht="15.6">
      <c r="A55" s="25"/>
      <c r="B55" s="26" t="s">
        <v>21</v>
      </c>
      <c r="C55" s="26"/>
      <c r="D55" s="26"/>
      <c r="E55" s="26"/>
      <c r="F55" s="26"/>
      <c r="G55" s="26"/>
      <c r="H55" s="26"/>
      <c r="I55" s="26"/>
      <c r="J55" s="26"/>
      <c r="K55" s="26"/>
      <c r="L55" s="26"/>
      <c r="M55" s="26"/>
      <c r="N55" s="26"/>
      <c r="O55" s="26"/>
      <c r="P55" s="26"/>
      <c r="Q55" s="26"/>
      <c r="R55" s="26"/>
      <c r="S55" s="52"/>
      <c r="T55" s="53"/>
      <c r="U55" s="52" t="s">
        <v>119</v>
      </c>
      <c r="V55" s="196"/>
      <c r="W55" s="6"/>
    </row>
    <row r="56" spans="1:23" ht="15.6">
      <c r="A56" s="25"/>
      <c r="B56" s="26" t="s">
        <v>22</v>
      </c>
      <c r="C56" s="26"/>
      <c r="D56" s="26"/>
      <c r="E56" s="26"/>
      <c r="F56" s="26"/>
      <c r="G56" s="26"/>
      <c r="H56" s="26"/>
      <c r="I56" s="26"/>
      <c r="J56" s="26"/>
      <c r="K56" s="26"/>
      <c r="L56" s="26"/>
      <c r="M56" s="26"/>
      <c r="N56" s="26"/>
      <c r="O56" s="26"/>
      <c r="P56" s="26"/>
      <c r="Q56" s="26"/>
      <c r="R56" s="26"/>
      <c r="S56" s="52"/>
      <c r="T56" s="53"/>
      <c r="U56" s="52">
        <v>39265</v>
      </c>
      <c r="V56" s="196"/>
      <c r="W56" s="6"/>
    </row>
    <row r="57" spans="1:23" ht="15.6">
      <c r="A57" s="25"/>
      <c r="B57" s="26"/>
      <c r="C57" s="26"/>
      <c r="D57" s="26"/>
      <c r="E57" s="26"/>
      <c r="F57" s="26"/>
      <c r="G57" s="26"/>
      <c r="H57" s="26"/>
      <c r="I57" s="26"/>
      <c r="J57" s="26"/>
      <c r="K57" s="26"/>
      <c r="L57" s="26"/>
      <c r="M57" s="26"/>
      <c r="N57" s="26"/>
      <c r="O57" s="26"/>
      <c r="P57" s="26"/>
      <c r="Q57" s="26"/>
      <c r="R57" s="26"/>
      <c r="S57" s="26"/>
      <c r="T57" s="26"/>
      <c r="U57" s="54"/>
      <c r="V57" s="196"/>
      <c r="W57" s="6"/>
    </row>
    <row r="58" spans="1:23" ht="15.6">
      <c r="A58" s="7"/>
      <c r="B58" s="9"/>
      <c r="C58" s="9"/>
      <c r="D58" s="9"/>
      <c r="E58" s="9"/>
      <c r="F58" s="9"/>
      <c r="G58" s="9"/>
      <c r="H58" s="9"/>
      <c r="I58" s="9"/>
      <c r="J58" s="9"/>
      <c r="K58" s="9"/>
      <c r="L58" s="9"/>
      <c r="M58" s="9"/>
      <c r="N58" s="9"/>
      <c r="O58" s="9"/>
      <c r="P58" s="9"/>
      <c r="Q58" s="9"/>
      <c r="R58" s="9"/>
      <c r="S58" s="9"/>
      <c r="T58" s="9"/>
      <c r="U58" s="55"/>
      <c r="V58" s="194"/>
      <c r="W58" s="6"/>
    </row>
    <row r="59" spans="1:23" ht="16.2" thickBot="1">
      <c r="A59" s="130"/>
      <c r="B59" s="131" t="s">
        <v>244</v>
      </c>
      <c r="C59" s="132"/>
      <c r="D59" s="132"/>
      <c r="E59" s="132"/>
      <c r="F59" s="132"/>
      <c r="G59" s="132"/>
      <c r="H59" s="132"/>
      <c r="I59" s="132"/>
      <c r="J59" s="132"/>
      <c r="K59" s="132"/>
      <c r="L59" s="132"/>
      <c r="M59" s="132"/>
      <c r="N59" s="132"/>
      <c r="O59" s="132"/>
      <c r="P59" s="132"/>
      <c r="Q59" s="132"/>
      <c r="R59" s="132"/>
      <c r="S59" s="132"/>
      <c r="T59" s="132"/>
      <c r="U59" s="133"/>
      <c r="V59" s="134"/>
      <c r="W59" s="6"/>
    </row>
    <row r="60" spans="1:23" ht="15.6">
      <c r="A60" s="2"/>
      <c r="B60" s="5" t="s">
        <v>237</v>
      </c>
      <c r="C60" s="5"/>
      <c r="D60" s="5"/>
      <c r="E60" s="5"/>
      <c r="F60" s="5"/>
      <c r="G60" s="5"/>
      <c r="H60" s="5"/>
      <c r="I60" s="5"/>
      <c r="J60" s="5"/>
      <c r="K60" s="5"/>
      <c r="L60" s="5"/>
      <c r="M60" s="5"/>
      <c r="N60" s="5"/>
      <c r="O60" s="5"/>
      <c r="P60" s="5"/>
      <c r="Q60" s="5"/>
      <c r="R60" s="5"/>
      <c r="S60" s="5"/>
      <c r="T60" s="5"/>
      <c r="U60" s="56"/>
      <c r="V60" s="193"/>
      <c r="W60" s="6"/>
    </row>
    <row r="61" spans="1:23" ht="15.6">
      <c r="A61" s="7"/>
      <c r="B61" s="57" t="s">
        <v>23</v>
      </c>
      <c r="C61" s="13"/>
      <c r="D61" s="13"/>
      <c r="E61" s="13"/>
      <c r="F61" s="13"/>
      <c r="G61" s="13"/>
      <c r="H61" s="13"/>
      <c r="I61" s="13"/>
      <c r="J61" s="13"/>
      <c r="K61" s="13"/>
      <c r="L61" s="13"/>
      <c r="M61" s="9"/>
      <c r="N61" s="9"/>
      <c r="O61" s="9"/>
      <c r="P61" s="9"/>
      <c r="Q61" s="9"/>
      <c r="R61" s="9"/>
      <c r="S61" s="9"/>
      <c r="T61" s="9"/>
      <c r="U61" s="58"/>
      <c r="V61" s="194"/>
      <c r="W61" s="6"/>
    </row>
    <row r="62" spans="1:23" ht="15.6">
      <c r="A62" s="7"/>
      <c r="B62" s="13"/>
      <c r="C62" s="13"/>
      <c r="D62" s="13"/>
      <c r="E62" s="13"/>
      <c r="F62" s="13"/>
      <c r="G62" s="13"/>
      <c r="H62" s="13"/>
      <c r="I62" s="13"/>
      <c r="J62" s="13"/>
      <c r="K62" s="13"/>
      <c r="L62" s="13"/>
      <c r="M62" s="9"/>
      <c r="N62" s="9"/>
      <c r="O62" s="9"/>
      <c r="P62" s="9"/>
      <c r="Q62" s="9"/>
      <c r="R62" s="9"/>
      <c r="S62" s="9"/>
      <c r="T62" s="9"/>
      <c r="U62" s="58"/>
      <c r="V62" s="194"/>
      <c r="W62" s="6"/>
    </row>
    <row r="63" spans="1:23" s="151" customFormat="1" ht="46.8">
      <c r="A63" s="145"/>
      <c r="B63" s="146"/>
      <c r="C63" s="147"/>
      <c r="D63" s="147"/>
      <c r="E63" s="147"/>
      <c r="F63" s="147"/>
      <c r="G63" s="147"/>
      <c r="H63" s="147"/>
      <c r="I63" s="147"/>
      <c r="J63" s="147"/>
      <c r="K63" s="147" t="s">
        <v>197</v>
      </c>
      <c r="L63" s="147"/>
      <c r="M63" s="147" t="s">
        <v>98</v>
      </c>
      <c r="N63" s="147"/>
      <c r="O63" s="147" t="s">
        <v>107</v>
      </c>
      <c r="P63" s="147"/>
      <c r="Q63" s="147" t="s">
        <v>111</v>
      </c>
      <c r="R63" s="147"/>
      <c r="S63" s="147" t="s">
        <v>113</v>
      </c>
      <c r="T63" s="147"/>
      <c r="U63" s="148" t="s">
        <v>120</v>
      </c>
      <c r="V63" s="199"/>
      <c r="W63" s="150"/>
    </row>
    <row r="64" spans="1:23" ht="15.6">
      <c r="A64" s="25"/>
      <c r="B64" s="26" t="s">
        <v>24</v>
      </c>
      <c r="C64" s="59"/>
      <c r="D64" s="59"/>
      <c r="E64" s="59"/>
      <c r="F64" s="59"/>
      <c r="G64" s="59"/>
      <c r="H64" s="59"/>
      <c r="I64" s="59"/>
      <c r="J64" s="59"/>
      <c r="K64" s="59">
        <f>265+63566+3306</f>
        <v>67137</v>
      </c>
      <c r="L64" s="59"/>
      <c r="M64" s="59">
        <v>41605</v>
      </c>
      <c r="N64" s="59"/>
      <c r="O64" s="59">
        <f>13+3919+75+706-1</f>
        <v>4712</v>
      </c>
      <c r="P64" s="59"/>
      <c r="Q64" s="59">
        <v>3987</v>
      </c>
      <c r="R64" s="59"/>
      <c r="S64" s="59">
        <v>0</v>
      </c>
      <c r="T64" s="59"/>
      <c r="U64" s="60">
        <f>+M64-O64+Q64-S64</f>
        <v>40880</v>
      </c>
      <c r="V64" s="196"/>
      <c r="W64" s="6"/>
    </row>
    <row r="65" spans="1:24" ht="15.6">
      <c r="A65" s="25"/>
      <c r="B65" s="26" t="s">
        <v>25</v>
      </c>
      <c r="C65" s="59"/>
      <c r="D65" s="59"/>
      <c r="E65" s="59"/>
      <c r="F65" s="59"/>
      <c r="G65" s="59"/>
      <c r="H65" s="59"/>
      <c r="I65" s="59"/>
      <c r="J65" s="59"/>
      <c r="K65" s="59"/>
      <c r="L65" s="59"/>
      <c r="M65" s="59"/>
      <c r="N65" s="59"/>
      <c r="O65" s="59"/>
      <c r="P65" s="59"/>
      <c r="Q65" s="59">
        <v>0</v>
      </c>
      <c r="R65" s="59"/>
      <c r="S65" s="59">
        <v>0</v>
      </c>
      <c r="T65" s="59"/>
      <c r="U65" s="60">
        <f>M65-O65</f>
        <v>0</v>
      </c>
      <c r="V65" s="196"/>
      <c r="W65" s="6"/>
    </row>
    <row r="66" spans="1:24" ht="15.6">
      <c r="A66" s="25"/>
      <c r="B66" s="26"/>
      <c r="C66" s="59"/>
      <c r="D66" s="59"/>
      <c r="E66" s="59"/>
      <c r="F66" s="59"/>
      <c r="G66" s="59"/>
      <c r="H66" s="59"/>
      <c r="I66" s="59"/>
      <c r="J66" s="59"/>
      <c r="K66" s="59"/>
      <c r="L66" s="59"/>
      <c r="M66" s="59"/>
      <c r="N66" s="59"/>
      <c r="O66" s="59"/>
      <c r="P66" s="59"/>
      <c r="Q66" s="59"/>
      <c r="R66" s="59"/>
      <c r="S66" s="59"/>
      <c r="T66" s="59"/>
      <c r="U66" s="60"/>
      <c r="V66" s="196"/>
      <c r="W66" s="6"/>
    </row>
    <row r="67" spans="1:24" ht="15.6">
      <c r="A67" s="25"/>
      <c r="B67" s="26" t="s">
        <v>26</v>
      </c>
      <c r="C67" s="59"/>
      <c r="D67" s="59"/>
      <c r="E67" s="59"/>
      <c r="F67" s="59"/>
      <c r="G67" s="59"/>
      <c r="H67" s="59"/>
      <c r="I67" s="59"/>
      <c r="J67" s="59"/>
      <c r="K67" s="59">
        <v>24470</v>
      </c>
      <c r="L67" s="59"/>
      <c r="M67" s="59">
        <v>41515</v>
      </c>
      <c r="N67" s="59"/>
      <c r="O67" s="59">
        <f>15143-7</f>
        <v>15136</v>
      </c>
      <c r="P67" s="59"/>
      <c r="Q67" s="59">
        <v>15710</v>
      </c>
      <c r="R67" s="59"/>
      <c r="S67" s="59">
        <f>SUM(S64:S66)</f>
        <v>0</v>
      </c>
      <c r="T67" s="59"/>
      <c r="U67" s="60">
        <f>+M67-O67+Q67-S67</f>
        <v>42089</v>
      </c>
      <c r="V67" s="196"/>
      <c r="W67" s="6"/>
    </row>
    <row r="68" spans="1:24" ht="15.6">
      <c r="A68" s="25"/>
      <c r="B68" s="26" t="s">
        <v>25</v>
      </c>
      <c r="C68" s="59"/>
      <c r="D68" s="59"/>
      <c r="E68" s="59"/>
      <c r="F68" s="59"/>
      <c r="G68" s="59"/>
      <c r="H68" s="59"/>
      <c r="I68" s="59"/>
      <c r="J68" s="59"/>
      <c r="K68" s="59"/>
      <c r="L68" s="59"/>
      <c r="M68" s="59"/>
      <c r="N68" s="59"/>
      <c r="O68" s="59"/>
      <c r="P68" s="59"/>
      <c r="Q68" s="59">
        <v>0</v>
      </c>
      <c r="R68" s="59"/>
      <c r="S68" s="59">
        <v>0</v>
      </c>
      <c r="T68" s="59"/>
      <c r="U68" s="61"/>
      <c r="V68" s="196"/>
      <c r="W68" s="6"/>
    </row>
    <row r="69" spans="1:24" ht="15.6">
      <c r="A69" s="25"/>
      <c r="B69" s="62"/>
      <c r="C69" s="59"/>
      <c r="D69" s="59"/>
      <c r="E69" s="59"/>
      <c r="F69" s="59"/>
      <c r="G69" s="59"/>
      <c r="H69" s="59"/>
      <c r="I69" s="59"/>
      <c r="J69" s="59"/>
      <c r="K69" s="59"/>
      <c r="L69" s="59"/>
      <c r="M69" s="59"/>
      <c r="N69" s="59"/>
      <c r="O69" s="63"/>
      <c r="P69" s="59"/>
      <c r="Q69" s="59"/>
      <c r="R69" s="59"/>
      <c r="S69" s="59"/>
      <c r="T69" s="59"/>
      <c r="U69" s="61"/>
      <c r="V69" s="196"/>
      <c r="W69" s="6"/>
    </row>
    <row r="70" spans="1:24" ht="15.6">
      <c r="A70" s="25"/>
      <c r="B70" s="26" t="s">
        <v>27</v>
      </c>
      <c r="C70" s="59"/>
      <c r="D70" s="59"/>
      <c r="E70" s="59"/>
      <c r="F70" s="59"/>
      <c r="G70" s="59"/>
      <c r="H70" s="59"/>
      <c r="I70" s="59"/>
      <c r="J70" s="59"/>
      <c r="K70" s="59">
        <v>220072</v>
      </c>
      <c r="L70" s="59"/>
      <c r="M70" s="59">
        <v>183887</v>
      </c>
      <c r="N70" s="59"/>
      <c r="O70" s="59">
        <f>20309+210+453</f>
        <v>20972</v>
      </c>
      <c r="P70" s="59"/>
      <c r="Q70" s="59">
        <f>17227+413</f>
        <v>17640</v>
      </c>
      <c r="R70" s="59"/>
      <c r="S70" s="59">
        <v>0</v>
      </c>
      <c r="T70" s="59"/>
      <c r="U70" s="60">
        <f>+M70-O70+Q70-S70</f>
        <v>180555</v>
      </c>
      <c r="V70" s="196"/>
      <c r="W70" s="6"/>
    </row>
    <row r="71" spans="1:24" ht="15.6">
      <c r="A71" s="25"/>
      <c r="B71" s="26" t="s">
        <v>25</v>
      </c>
      <c r="C71" s="59"/>
      <c r="D71" s="59"/>
      <c r="E71" s="59"/>
      <c r="F71" s="59"/>
      <c r="G71" s="59"/>
      <c r="H71" s="59"/>
      <c r="I71" s="59"/>
      <c r="J71" s="59"/>
      <c r="K71" s="59"/>
      <c r="L71" s="59"/>
      <c r="M71" s="59"/>
      <c r="N71" s="59"/>
      <c r="O71" s="59"/>
      <c r="P71" s="59"/>
      <c r="Q71" s="59">
        <v>0</v>
      </c>
      <c r="R71" s="59"/>
      <c r="S71" s="59">
        <v>0</v>
      </c>
      <c r="T71" s="59"/>
      <c r="U71" s="60">
        <f>M71-O71+Q71-S71</f>
        <v>0</v>
      </c>
      <c r="V71" s="196"/>
      <c r="W71" s="6"/>
    </row>
    <row r="72" spans="1:24" ht="15.6">
      <c r="A72" s="25"/>
      <c r="B72" s="26"/>
      <c r="C72" s="59"/>
      <c r="D72" s="59"/>
      <c r="E72" s="59"/>
      <c r="F72" s="59"/>
      <c r="G72" s="59"/>
      <c r="H72" s="59"/>
      <c r="I72" s="59"/>
      <c r="J72" s="59"/>
      <c r="K72" s="59"/>
      <c r="L72" s="59"/>
      <c r="M72" s="59"/>
      <c r="N72" s="59"/>
      <c r="O72" s="59"/>
      <c r="P72" s="59"/>
      <c r="Q72" s="59"/>
      <c r="R72" s="59"/>
      <c r="S72" s="59"/>
      <c r="T72" s="59"/>
      <c r="U72" s="60"/>
      <c r="V72" s="196"/>
      <c r="W72" s="6"/>
    </row>
    <row r="73" spans="1:24" ht="15.6">
      <c r="A73" s="25"/>
      <c r="B73" s="26" t="s">
        <v>28</v>
      </c>
      <c r="C73" s="59"/>
      <c r="D73" s="59"/>
      <c r="E73" s="59"/>
      <c r="F73" s="59"/>
      <c r="G73" s="59"/>
      <c r="H73" s="59"/>
      <c r="I73" s="59"/>
      <c r="J73" s="59"/>
      <c r="K73" s="59">
        <v>138321</v>
      </c>
      <c r="L73" s="59"/>
      <c r="M73" s="59">
        <v>129367</v>
      </c>
      <c r="N73" s="59"/>
      <c r="O73" s="59">
        <f>18175+45+836</f>
        <v>19056</v>
      </c>
      <c r="P73" s="59"/>
      <c r="Q73" s="59">
        <v>19220</v>
      </c>
      <c r="R73" s="59"/>
      <c r="S73" s="59">
        <v>0</v>
      </c>
      <c r="T73" s="59"/>
      <c r="U73" s="60">
        <f>+M73-O73+Q73-S73</f>
        <v>129531</v>
      </c>
      <c r="V73" s="196"/>
      <c r="W73" s="6"/>
    </row>
    <row r="74" spans="1:24" ht="15.6">
      <c r="A74" s="25"/>
      <c r="B74" s="26" t="s">
        <v>25</v>
      </c>
      <c r="C74" s="59"/>
      <c r="D74" s="59"/>
      <c r="E74" s="59"/>
      <c r="F74" s="59"/>
      <c r="G74" s="59"/>
      <c r="H74" s="59"/>
      <c r="I74" s="59"/>
      <c r="J74" s="59"/>
      <c r="K74" s="59"/>
      <c r="L74" s="59"/>
      <c r="M74" s="59"/>
      <c r="N74" s="59"/>
      <c r="O74" s="59"/>
      <c r="P74" s="59"/>
      <c r="Q74" s="59">
        <v>0</v>
      </c>
      <c r="R74" s="59"/>
      <c r="S74" s="59">
        <v>0</v>
      </c>
      <c r="T74" s="59"/>
      <c r="U74" s="60"/>
      <c r="V74" s="196"/>
      <c r="W74" s="6"/>
    </row>
    <row r="75" spans="1:24" ht="15.6">
      <c r="A75" s="25"/>
      <c r="B75" s="59"/>
      <c r="C75" s="59"/>
      <c r="D75" s="59"/>
      <c r="E75" s="59"/>
      <c r="F75" s="59"/>
      <c r="G75" s="59"/>
      <c r="H75" s="59"/>
      <c r="I75" s="59"/>
      <c r="J75" s="59"/>
      <c r="K75" s="59"/>
      <c r="L75" s="59"/>
      <c r="M75" s="59"/>
      <c r="N75" s="59"/>
      <c r="O75" s="59"/>
      <c r="P75" s="59"/>
      <c r="Q75" s="59"/>
      <c r="R75" s="59"/>
      <c r="S75" s="59"/>
      <c r="T75" s="59"/>
      <c r="U75" s="60"/>
      <c r="V75" s="196"/>
      <c r="W75" s="6"/>
    </row>
    <row r="76" spans="1:24" ht="15.6">
      <c r="A76" s="25"/>
      <c r="B76" s="26" t="s">
        <v>29</v>
      </c>
      <c r="C76" s="59"/>
      <c r="D76" s="59"/>
      <c r="E76" s="59"/>
      <c r="F76" s="59"/>
      <c r="G76" s="59"/>
      <c r="H76" s="59"/>
      <c r="I76" s="59"/>
      <c r="J76" s="59"/>
      <c r="K76" s="59">
        <f>SUM(K64:K73)</f>
        <v>450000</v>
      </c>
      <c r="L76" s="59"/>
      <c r="M76" s="59">
        <f>SUM(M64:M73)</f>
        <v>396374</v>
      </c>
      <c r="N76" s="59"/>
      <c r="O76" s="59">
        <f>SUM(O64:O74)</f>
        <v>59876</v>
      </c>
      <c r="P76" s="59"/>
      <c r="Q76" s="59">
        <f>SUM(Q64:Q74)</f>
        <v>56557</v>
      </c>
      <c r="R76" s="59"/>
      <c r="S76" s="59">
        <f>SUM(S71:S75)</f>
        <v>0</v>
      </c>
      <c r="T76" s="59"/>
      <c r="U76" s="59">
        <f>SUM(U64:U74)</f>
        <v>393055</v>
      </c>
      <c r="V76" s="196"/>
      <c r="W76" s="6"/>
      <c r="X76" s="182"/>
    </row>
    <row r="77" spans="1:24" ht="15.6">
      <c r="A77" s="25"/>
      <c r="B77" s="26"/>
      <c r="C77" s="59"/>
      <c r="D77" s="59"/>
      <c r="E77" s="59"/>
      <c r="F77" s="59"/>
      <c r="G77" s="59"/>
      <c r="H77" s="59"/>
      <c r="I77" s="59"/>
      <c r="J77" s="59"/>
      <c r="K77" s="59"/>
      <c r="L77" s="59"/>
      <c r="M77" s="59"/>
      <c r="N77" s="59"/>
      <c r="O77" s="59"/>
      <c r="P77" s="59"/>
      <c r="Q77" s="59"/>
      <c r="R77" s="59"/>
      <c r="S77" s="59"/>
      <c r="T77" s="59"/>
      <c r="U77" s="61"/>
      <c r="V77" s="196"/>
      <c r="W77" s="6"/>
    </row>
    <row r="78" spans="1:24" ht="15.6">
      <c r="A78" s="25"/>
      <c r="B78" s="26" t="s">
        <v>214</v>
      </c>
      <c r="C78" s="59"/>
      <c r="D78" s="59"/>
      <c r="E78" s="59"/>
      <c r="F78" s="59"/>
      <c r="G78" s="59"/>
      <c r="H78" s="59"/>
      <c r="I78" s="59"/>
      <c r="J78" s="59"/>
      <c r="K78" s="59">
        <v>0</v>
      </c>
      <c r="L78" s="59"/>
      <c r="M78" s="59">
        <v>-7687</v>
      </c>
      <c r="N78" s="59"/>
      <c r="O78" s="59">
        <v>953</v>
      </c>
      <c r="P78" s="59"/>
      <c r="Q78" s="59"/>
      <c r="R78" s="59"/>
      <c r="S78" s="59"/>
      <c r="T78" s="59"/>
      <c r="U78" s="60">
        <f>+M78-O78</f>
        <v>-8640</v>
      </c>
      <c r="V78" s="196"/>
      <c r="W78" s="6"/>
    </row>
    <row r="79" spans="1:24" ht="15.6">
      <c r="A79" s="25"/>
      <c r="B79" s="26" t="s">
        <v>30</v>
      </c>
      <c r="C79" s="59"/>
      <c r="D79" s="59"/>
      <c r="E79" s="59"/>
      <c r="F79" s="59"/>
      <c r="G79" s="59"/>
      <c r="H79" s="59"/>
      <c r="I79" s="59"/>
      <c r="J79" s="59"/>
      <c r="K79" s="59">
        <v>0</v>
      </c>
      <c r="L79" s="59"/>
      <c r="M79" s="59">
        <v>61313</v>
      </c>
      <c r="N79" s="59"/>
      <c r="O79" s="59">
        <f>SUM(O76:O78)</f>
        <v>60829</v>
      </c>
      <c r="P79" s="59"/>
      <c r="Q79" s="59">
        <f>-Q76</f>
        <v>-56557</v>
      </c>
      <c r="R79" s="59"/>
      <c r="S79" s="59"/>
      <c r="T79" s="59"/>
      <c r="U79" s="61">
        <f>+M79+O79+Q79</f>
        <v>65585</v>
      </c>
      <c r="V79" s="196"/>
      <c r="W79" s="6"/>
      <c r="X79" s="182"/>
    </row>
    <row r="80" spans="1:24" ht="15.6">
      <c r="A80" s="25"/>
      <c r="B80" s="26" t="s">
        <v>31</v>
      </c>
      <c r="C80" s="59"/>
      <c r="D80" s="59"/>
      <c r="E80" s="59"/>
      <c r="F80" s="59"/>
      <c r="G80" s="59"/>
      <c r="H80" s="59"/>
      <c r="I80" s="59"/>
      <c r="J80" s="59"/>
      <c r="K80" s="59">
        <v>0</v>
      </c>
      <c r="L80" s="59"/>
      <c r="M80" s="59">
        <v>0</v>
      </c>
      <c r="N80" s="59"/>
      <c r="O80" s="59"/>
      <c r="P80" s="59"/>
      <c r="Q80" s="59">
        <v>0</v>
      </c>
      <c r="R80" s="59"/>
      <c r="S80" s="59"/>
      <c r="T80" s="59"/>
      <c r="U80" s="61">
        <f>Q80+M80</f>
        <v>0</v>
      </c>
      <c r="V80" s="196"/>
      <c r="W80" s="6"/>
    </row>
    <row r="81" spans="1:24" ht="15.6">
      <c r="A81" s="25"/>
      <c r="B81" s="26" t="s">
        <v>16</v>
      </c>
      <c r="C81" s="61"/>
      <c r="D81" s="61"/>
      <c r="E81" s="61"/>
      <c r="F81" s="61"/>
      <c r="G81" s="61"/>
      <c r="H81" s="61"/>
      <c r="I81" s="61"/>
      <c r="J81" s="61"/>
      <c r="K81" s="61">
        <f>SUM(K76:K80)</f>
        <v>450000</v>
      </c>
      <c r="L81" s="61"/>
      <c r="M81" s="61">
        <f>SUM(M76:M80)</f>
        <v>450000</v>
      </c>
      <c r="N81" s="59"/>
      <c r="O81" s="59">
        <f>O79-O80</f>
        <v>60829</v>
      </c>
      <c r="P81" s="59"/>
      <c r="Q81" s="59"/>
      <c r="R81" s="59"/>
      <c r="S81" s="59"/>
      <c r="T81" s="59"/>
      <c r="U81" s="61">
        <f>SUM(U76:U80)</f>
        <v>450000</v>
      </c>
      <c r="V81" s="196"/>
      <c r="W81" s="6"/>
    </row>
    <row r="82" spans="1:24" ht="15.6">
      <c r="A82" s="25"/>
      <c r="B82" s="59"/>
      <c r="C82" s="26"/>
      <c r="D82" s="26"/>
      <c r="E82" s="26"/>
      <c r="F82" s="26"/>
      <c r="G82" s="26"/>
      <c r="H82" s="26"/>
      <c r="I82" s="26"/>
      <c r="J82" s="26"/>
      <c r="K82" s="26"/>
      <c r="L82" s="26"/>
      <c r="M82" s="26"/>
      <c r="N82" s="26"/>
      <c r="O82" s="26"/>
      <c r="P82" s="26"/>
      <c r="Q82" s="26"/>
      <c r="R82" s="26"/>
      <c r="S82" s="33"/>
      <c r="T82" s="26"/>
      <c r="U82" s="33"/>
      <c r="V82" s="196"/>
      <c r="W82" s="6"/>
    </row>
    <row r="83" spans="1:24" ht="15.6">
      <c r="A83" s="7"/>
      <c r="B83" s="57" t="s">
        <v>32</v>
      </c>
      <c r="C83" s="14"/>
      <c r="D83" s="14"/>
      <c r="E83" s="14"/>
      <c r="F83" s="14"/>
      <c r="G83" s="14"/>
      <c r="H83" s="14"/>
      <c r="I83" s="14"/>
      <c r="J83" s="14"/>
      <c r="K83" s="14"/>
      <c r="L83" s="14"/>
      <c r="M83" s="14"/>
      <c r="N83" s="14"/>
      <c r="O83" s="14"/>
      <c r="P83" s="14"/>
      <c r="Q83" s="14"/>
      <c r="R83" s="17"/>
      <c r="S83" s="17"/>
      <c r="T83" s="17"/>
      <c r="U83" s="17" t="s">
        <v>121</v>
      </c>
      <c r="V83" s="200"/>
      <c r="W83" s="6"/>
    </row>
    <row r="84" spans="1:24" ht="15.6">
      <c r="A84" s="25"/>
      <c r="B84" s="26" t="s">
        <v>33</v>
      </c>
      <c r="C84" s="26"/>
      <c r="D84" s="26"/>
      <c r="E84" s="26"/>
      <c r="F84" s="26"/>
      <c r="G84" s="26"/>
      <c r="H84" s="26"/>
      <c r="I84" s="26"/>
      <c r="J84" s="26"/>
      <c r="K84" s="26"/>
      <c r="L84" s="26"/>
      <c r="M84" s="26"/>
      <c r="N84" s="26"/>
      <c r="O84" s="59"/>
      <c r="P84" s="26"/>
      <c r="Q84" s="26"/>
      <c r="R84" s="26"/>
      <c r="S84" s="59"/>
      <c r="T84" s="26"/>
      <c r="U84" s="60">
        <v>113549</v>
      </c>
      <c r="V84" s="196"/>
      <c r="W84" s="6"/>
    </row>
    <row r="85" spans="1:24" ht="15.6">
      <c r="A85" s="25"/>
      <c r="B85" s="26" t="s">
        <v>34</v>
      </c>
      <c r="C85" s="47"/>
      <c r="D85" s="47"/>
      <c r="E85" s="47"/>
      <c r="F85" s="47"/>
      <c r="G85" s="47"/>
      <c r="H85" s="47"/>
      <c r="I85" s="47"/>
      <c r="J85" s="47"/>
      <c r="K85" s="47"/>
      <c r="L85" s="47"/>
      <c r="M85" s="51"/>
      <c r="N85" s="26"/>
      <c r="O85" s="26"/>
      <c r="P85" s="26"/>
      <c r="Q85" s="26"/>
      <c r="R85" s="26"/>
      <c r="S85" s="59"/>
      <c r="T85" s="26"/>
      <c r="U85" s="60">
        <f>1583+610+63-2-5-24-46</f>
        <v>2179</v>
      </c>
      <c r="V85" s="196"/>
      <c r="W85" s="6"/>
    </row>
    <row r="86" spans="1:24" ht="15.6">
      <c r="A86" s="25"/>
      <c r="B86" s="26" t="s">
        <v>230</v>
      </c>
      <c r="C86" s="26"/>
      <c r="D86" s="26"/>
      <c r="E86" s="26"/>
      <c r="F86" s="26"/>
      <c r="G86" s="26"/>
      <c r="H86" s="26"/>
      <c r="I86" s="26"/>
      <c r="J86" s="26"/>
      <c r="K86" s="26"/>
      <c r="L86" s="26"/>
      <c r="M86" s="26"/>
      <c r="N86" s="26"/>
      <c r="O86" s="26"/>
      <c r="P86" s="26"/>
      <c r="Q86" s="26"/>
      <c r="R86" s="26"/>
      <c r="S86" s="59"/>
      <c r="T86" s="26"/>
      <c r="U86" s="60">
        <v>0</v>
      </c>
      <c r="V86" s="196"/>
      <c r="W86" s="6"/>
      <c r="X86" s="64"/>
    </row>
    <row r="87" spans="1:24" ht="15.6">
      <c r="A87" s="25"/>
      <c r="B87" s="26" t="s">
        <v>231</v>
      </c>
      <c r="C87" s="26"/>
      <c r="D87" s="26"/>
      <c r="E87" s="26"/>
      <c r="F87" s="26"/>
      <c r="G87" s="26"/>
      <c r="H87" s="26"/>
      <c r="I87" s="26"/>
      <c r="J87" s="26"/>
      <c r="K87" s="26"/>
      <c r="L87" s="26"/>
      <c r="M87" s="26"/>
      <c r="N87" s="26"/>
      <c r="O87" s="26"/>
      <c r="P87" s="26"/>
      <c r="Q87" s="26"/>
      <c r="R87" s="26"/>
      <c r="S87" s="59"/>
      <c r="T87" s="26"/>
      <c r="U87" s="60">
        <v>0</v>
      </c>
      <c r="V87" s="196"/>
      <c r="W87" s="6"/>
      <c r="X87" s="64"/>
    </row>
    <row r="88" spans="1:24" ht="15.6">
      <c r="A88" s="25"/>
      <c r="B88" s="26" t="s">
        <v>35</v>
      </c>
      <c r="C88" s="26"/>
      <c r="D88" s="26"/>
      <c r="E88" s="26"/>
      <c r="F88" s="26"/>
      <c r="G88" s="26"/>
      <c r="H88" s="26"/>
      <c r="I88" s="26"/>
      <c r="J88" s="26"/>
      <c r="K88" s="26"/>
      <c r="L88" s="26"/>
      <c r="M88" s="26"/>
      <c r="N88" s="26"/>
      <c r="O88" s="26"/>
      <c r="P88" s="26"/>
      <c r="Q88" s="26"/>
      <c r="R88" s="26"/>
      <c r="S88" s="59"/>
      <c r="T88" s="26"/>
      <c r="U88" s="60">
        <f>SUM(U84:U87)</f>
        <v>115728</v>
      </c>
      <c r="V88" s="196"/>
      <c r="W88" s="6"/>
      <c r="X88" s="64"/>
    </row>
    <row r="89" spans="1:24" ht="15.6">
      <c r="A89" s="25"/>
      <c r="B89" s="26"/>
      <c r="C89" s="26"/>
      <c r="D89" s="26"/>
      <c r="E89" s="26"/>
      <c r="F89" s="26"/>
      <c r="G89" s="26"/>
      <c r="H89" s="26"/>
      <c r="I89" s="26"/>
      <c r="J89" s="26"/>
      <c r="K89" s="26"/>
      <c r="L89" s="26"/>
      <c r="M89" s="26"/>
      <c r="N89" s="26"/>
      <c r="O89" s="26"/>
      <c r="P89" s="26"/>
      <c r="Q89" s="26"/>
      <c r="R89" s="26"/>
      <c r="S89" s="59"/>
      <c r="T89" s="26"/>
      <c r="U89" s="61"/>
      <c r="V89" s="196"/>
      <c r="W89" s="6"/>
    </row>
    <row r="90" spans="1:24" ht="15.6">
      <c r="A90" s="25"/>
      <c r="B90" s="152" t="s">
        <v>36</v>
      </c>
      <c r="C90" s="65"/>
      <c r="D90" s="65"/>
      <c r="E90" s="65"/>
      <c r="F90" s="65"/>
      <c r="G90" s="65"/>
      <c r="H90" s="65"/>
      <c r="I90" s="65"/>
      <c r="J90" s="65"/>
      <c r="K90" s="65"/>
      <c r="L90" s="65"/>
      <c r="M90" s="26"/>
      <c r="N90" s="26"/>
      <c r="O90" s="26"/>
      <c r="P90" s="26"/>
      <c r="Q90" s="26"/>
      <c r="R90" s="26"/>
      <c r="S90" s="59"/>
      <c r="T90" s="26"/>
      <c r="U90" s="60"/>
      <c r="V90" s="196"/>
      <c r="W90" s="6"/>
      <c r="X90" s="64"/>
    </row>
    <row r="91" spans="1:24" ht="15.6">
      <c r="A91" s="25">
        <v>1</v>
      </c>
      <c r="B91" s="26" t="s">
        <v>37</v>
      </c>
      <c r="C91" s="26"/>
      <c r="D91" s="26"/>
      <c r="E91" s="26"/>
      <c r="F91" s="26"/>
      <c r="G91" s="26"/>
      <c r="H91" s="26"/>
      <c r="I91" s="26"/>
      <c r="J91" s="26"/>
      <c r="K91" s="26"/>
      <c r="L91" s="26"/>
      <c r="M91" s="26"/>
      <c r="N91" s="26"/>
      <c r="O91" s="26"/>
      <c r="P91" s="26"/>
      <c r="Q91" s="26"/>
      <c r="R91" s="26"/>
      <c r="S91" s="26"/>
      <c r="T91" s="26"/>
      <c r="U91" s="60">
        <v>-2</v>
      </c>
      <c r="V91" s="196"/>
      <c r="W91" s="6"/>
    </row>
    <row r="92" spans="1:24" ht="15.6">
      <c r="A92" s="25">
        <f>A91+1</f>
        <v>2</v>
      </c>
      <c r="B92" s="26" t="s">
        <v>168</v>
      </c>
      <c r="C92" s="26"/>
      <c r="D92" s="26"/>
      <c r="E92" s="26"/>
      <c r="F92" s="26"/>
      <c r="G92" s="26"/>
      <c r="H92" s="26"/>
      <c r="I92" s="26"/>
      <c r="J92" s="26"/>
      <c r="K92" s="26"/>
      <c r="L92" s="26"/>
      <c r="M92" s="26"/>
      <c r="N92" s="26"/>
      <c r="O92" s="26"/>
      <c r="P92" s="26"/>
      <c r="Q92" s="26"/>
      <c r="R92" s="26"/>
      <c r="S92" s="26"/>
      <c r="T92" s="26"/>
      <c r="U92" s="60">
        <f>-388-166-11</f>
        <v>-565</v>
      </c>
      <c r="V92" s="196"/>
      <c r="W92" s="6"/>
      <c r="X92" s="64"/>
    </row>
    <row r="93" spans="1:24" ht="15.6">
      <c r="A93" s="25">
        <v>3</v>
      </c>
      <c r="B93" s="26" t="s">
        <v>38</v>
      </c>
      <c r="C93" s="26"/>
      <c r="D93" s="26"/>
      <c r="E93" s="26"/>
      <c r="F93" s="26"/>
      <c r="G93" s="26"/>
      <c r="H93" s="26"/>
      <c r="I93" s="26"/>
      <c r="J93" s="26"/>
      <c r="K93" s="26"/>
      <c r="L93" s="26"/>
      <c r="M93" s="26"/>
      <c r="N93" s="26"/>
      <c r="O93" s="26"/>
      <c r="P93" s="26"/>
      <c r="Q93" s="26"/>
      <c r="R93" s="26"/>
      <c r="S93" s="26"/>
      <c r="T93" s="26"/>
      <c r="U93" s="60">
        <v>-354</v>
      </c>
      <c r="V93" s="196"/>
      <c r="W93" s="6"/>
      <c r="X93" s="64"/>
    </row>
    <row r="94" spans="1:24" ht="15.6">
      <c r="A94" s="177" t="s">
        <v>190</v>
      </c>
      <c r="B94" s="26" t="s">
        <v>169</v>
      </c>
      <c r="C94" s="26"/>
      <c r="D94" s="26"/>
      <c r="E94" s="26"/>
      <c r="F94" s="26"/>
      <c r="G94" s="26"/>
      <c r="H94" s="26"/>
      <c r="I94" s="26"/>
      <c r="J94" s="26"/>
      <c r="K94" s="26"/>
      <c r="L94" s="26"/>
      <c r="M94" s="26"/>
      <c r="N94" s="26"/>
      <c r="O94" s="26"/>
      <c r="P94" s="26"/>
      <c r="Q94" s="26"/>
      <c r="R94" s="26"/>
      <c r="S94" s="26"/>
      <c r="T94" s="26"/>
      <c r="U94" s="60">
        <v>-2118</v>
      </c>
      <c r="V94" s="196"/>
      <c r="W94" s="6"/>
      <c r="X94" s="64"/>
    </row>
    <row r="95" spans="1:24" ht="15.6">
      <c r="A95" s="177" t="s">
        <v>191</v>
      </c>
      <c r="B95" s="26" t="s">
        <v>170</v>
      </c>
      <c r="C95" s="26"/>
      <c r="D95" s="26"/>
      <c r="E95" s="26"/>
      <c r="F95" s="26"/>
      <c r="G95" s="26"/>
      <c r="H95" s="26"/>
      <c r="I95" s="26"/>
      <c r="J95" s="26"/>
      <c r="K95" s="26"/>
      <c r="L95" s="26"/>
      <c r="M95" s="26"/>
      <c r="N95" s="26"/>
      <c r="O95" s="26"/>
      <c r="P95" s="26"/>
      <c r="Q95" s="26"/>
      <c r="R95" s="26"/>
      <c r="S95" s="26"/>
      <c r="T95" s="26"/>
      <c r="U95" s="60">
        <v>-2596</v>
      </c>
      <c r="V95" s="196"/>
      <c r="W95" s="6"/>
      <c r="X95" s="182"/>
    </row>
    <row r="96" spans="1:24" ht="15.6">
      <c r="A96" s="25">
        <v>5</v>
      </c>
      <c r="B96" s="26" t="s">
        <v>171</v>
      </c>
      <c r="C96" s="26"/>
      <c r="D96" s="26"/>
      <c r="E96" s="26"/>
      <c r="F96" s="26"/>
      <c r="G96" s="26"/>
      <c r="H96" s="26"/>
      <c r="I96" s="26"/>
      <c r="J96" s="26"/>
      <c r="K96" s="26"/>
      <c r="L96" s="26"/>
      <c r="M96" s="26"/>
      <c r="N96" s="26"/>
      <c r="O96" s="26"/>
      <c r="P96" s="26"/>
      <c r="Q96" s="26"/>
      <c r="R96" s="26"/>
      <c r="S96" s="26"/>
      <c r="T96" s="26"/>
      <c r="U96" s="60">
        <v>-7</v>
      </c>
      <c r="V96" s="196"/>
      <c r="W96" s="6"/>
    </row>
    <row r="97" spans="1:24" ht="15.6">
      <c r="A97" s="177" t="s">
        <v>174</v>
      </c>
      <c r="B97" s="26" t="s">
        <v>172</v>
      </c>
      <c r="C97" s="26"/>
      <c r="D97" s="26"/>
      <c r="E97" s="26"/>
      <c r="F97" s="26"/>
      <c r="G97" s="26"/>
      <c r="H97" s="26"/>
      <c r="I97" s="26"/>
      <c r="J97" s="26"/>
      <c r="K97" s="26"/>
      <c r="L97" s="26"/>
      <c r="M97" s="26"/>
      <c r="N97" s="26"/>
      <c r="O97" s="26"/>
      <c r="P97" s="26"/>
      <c r="Q97" s="26"/>
      <c r="R97" s="26"/>
      <c r="S97" s="26"/>
      <c r="T97" s="26"/>
      <c r="U97" s="60">
        <v>-236</v>
      </c>
      <c r="V97" s="196"/>
      <c r="W97" s="6"/>
      <c r="X97" s="182"/>
    </row>
    <row r="98" spans="1:24" ht="15.6">
      <c r="A98" s="177" t="s">
        <v>176</v>
      </c>
      <c r="B98" s="26" t="s">
        <v>173</v>
      </c>
      <c r="C98" s="26"/>
      <c r="D98" s="26"/>
      <c r="E98" s="26"/>
      <c r="F98" s="26"/>
      <c r="G98" s="26"/>
      <c r="H98" s="26"/>
      <c r="I98" s="26"/>
      <c r="J98" s="26"/>
      <c r="K98" s="26"/>
      <c r="L98" s="26"/>
      <c r="M98" s="26"/>
      <c r="N98" s="26"/>
      <c r="O98" s="26"/>
      <c r="P98" s="26"/>
      <c r="Q98" s="26"/>
      <c r="R98" s="26"/>
      <c r="S98" s="26"/>
      <c r="T98" s="26"/>
      <c r="U98" s="60">
        <v>-365</v>
      </c>
      <c r="V98" s="196"/>
      <c r="W98" s="6"/>
      <c r="X98" s="182"/>
    </row>
    <row r="99" spans="1:24" ht="15.6">
      <c r="A99" s="177" t="s">
        <v>178</v>
      </c>
      <c r="B99" s="26" t="s">
        <v>175</v>
      </c>
      <c r="C99" s="26"/>
      <c r="D99" s="26"/>
      <c r="E99" s="26"/>
      <c r="F99" s="26"/>
      <c r="G99" s="26"/>
      <c r="H99" s="26"/>
      <c r="I99" s="26"/>
      <c r="J99" s="26"/>
      <c r="K99" s="26"/>
      <c r="L99" s="26"/>
      <c r="M99" s="26"/>
      <c r="N99" s="26"/>
      <c r="O99" s="26"/>
      <c r="P99" s="26"/>
      <c r="Q99" s="26"/>
      <c r="R99" s="26"/>
      <c r="S99" s="26"/>
      <c r="T99" s="26"/>
      <c r="U99" s="60">
        <v>-278</v>
      </c>
      <c r="V99" s="196"/>
      <c r="W99" s="6"/>
      <c r="X99" s="182"/>
    </row>
    <row r="100" spans="1:24" ht="15.6">
      <c r="A100" s="177" t="s">
        <v>180</v>
      </c>
      <c r="B100" s="26" t="s">
        <v>177</v>
      </c>
      <c r="C100" s="26"/>
      <c r="D100" s="26"/>
      <c r="E100" s="26"/>
      <c r="F100" s="26"/>
      <c r="G100" s="26"/>
      <c r="H100" s="26"/>
      <c r="I100" s="26"/>
      <c r="J100" s="26"/>
      <c r="K100" s="26"/>
      <c r="L100" s="26"/>
      <c r="M100" s="26"/>
      <c r="N100" s="26"/>
      <c r="O100" s="26"/>
      <c r="P100" s="26"/>
      <c r="Q100" s="26"/>
      <c r="R100" s="26"/>
      <c r="S100" s="26"/>
      <c r="T100" s="26"/>
      <c r="U100" s="60">
        <v>-349</v>
      </c>
      <c r="V100" s="196"/>
      <c r="W100" s="6"/>
      <c r="X100" s="182"/>
    </row>
    <row r="101" spans="1:24" ht="15.6">
      <c r="A101" s="177" t="s">
        <v>192</v>
      </c>
      <c r="B101" s="26" t="s">
        <v>179</v>
      </c>
      <c r="C101" s="26"/>
      <c r="D101" s="26"/>
      <c r="E101" s="26"/>
      <c r="F101" s="26"/>
      <c r="G101" s="26"/>
      <c r="H101" s="26"/>
      <c r="I101" s="26"/>
      <c r="J101" s="26"/>
      <c r="K101" s="26"/>
      <c r="L101" s="26"/>
      <c r="M101" s="26"/>
      <c r="N101" s="26"/>
      <c r="O101" s="26"/>
      <c r="P101" s="26"/>
      <c r="Q101" s="26"/>
      <c r="R101" s="26"/>
      <c r="S101" s="26"/>
      <c r="T101" s="26"/>
      <c r="U101" s="60">
        <v>-400</v>
      </c>
      <c r="V101" s="196"/>
      <c r="W101" s="6"/>
      <c r="X101" s="182"/>
    </row>
    <row r="102" spans="1:24" ht="15.6">
      <c r="A102" s="177" t="s">
        <v>193</v>
      </c>
      <c r="B102" s="26" t="s">
        <v>181</v>
      </c>
      <c r="C102" s="26"/>
      <c r="D102" s="26"/>
      <c r="E102" s="26"/>
      <c r="F102" s="26"/>
      <c r="G102" s="26"/>
      <c r="H102" s="26"/>
      <c r="I102" s="26"/>
      <c r="J102" s="26"/>
      <c r="K102" s="26"/>
      <c r="L102" s="26"/>
      <c r="M102" s="26"/>
      <c r="N102" s="26"/>
      <c r="O102" s="26"/>
      <c r="P102" s="26"/>
      <c r="Q102" s="26"/>
      <c r="R102" s="26"/>
      <c r="S102" s="26"/>
      <c r="T102" s="26"/>
      <c r="U102" s="60">
        <v>-337</v>
      </c>
      <c r="V102" s="196"/>
      <c r="W102" s="6"/>
      <c r="X102" s="182"/>
    </row>
    <row r="103" spans="1:24" ht="15.6">
      <c r="A103" s="25">
        <v>9</v>
      </c>
      <c r="B103" s="26" t="s">
        <v>182</v>
      </c>
      <c r="C103" s="26"/>
      <c r="D103" s="26"/>
      <c r="E103" s="26"/>
      <c r="F103" s="26"/>
      <c r="G103" s="26"/>
      <c r="H103" s="26"/>
      <c r="I103" s="26"/>
      <c r="J103" s="26"/>
      <c r="K103" s="26"/>
      <c r="L103" s="26"/>
      <c r="M103" s="26"/>
      <c r="N103" s="26"/>
      <c r="O103" s="26"/>
      <c r="P103" s="26"/>
      <c r="Q103" s="26"/>
      <c r="R103" s="26"/>
      <c r="S103" s="26"/>
      <c r="T103" s="26"/>
      <c r="U103" s="60">
        <f>+S220-U32</f>
        <v>-65585</v>
      </c>
      <c r="V103" s="196"/>
      <c r="W103" s="6"/>
      <c r="X103" s="182"/>
    </row>
    <row r="104" spans="1:24" ht="15.6">
      <c r="A104" s="25">
        <v>10</v>
      </c>
      <c r="B104" s="26" t="s">
        <v>234</v>
      </c>
      <c r="C104" s="26"/>
      <c r="D104" s="26"/>
      <c r="E104" s="26"/>
      <c r="F104" s="26"/>
      <c r="G104" s="26"/>
      <c r="H104" s="26"/>
      <c r="I104" s="26"/>
      <c r="J104" s="26"/>
      <c r="K104" s="26"/>
      <c r="L104" s="26"/>
      <c r="M104" s="26"/>
      <c r="N104" s="26"/>
      <c r="O104" s="26"/>
      <c r="P104" s="26"/>
      <c r="Q104" s="26"/>
      <c r="R104" s="26"/>
      <c r="S104" s="26"/>
      <c r="T104" s="26"/>
      <c r="U104" s="60">
        <v>-40500</v>
      </c>
      <c r="V104" s="196"/>
      <c r="W104" s="6"/>
      <c r="X104" s="64"/>
    </row>
    <row r="105" spans="1:24" ht="15.6">
      <c r="A105" s="25">
        <v>11</v>
      </c>
      <c r="B105" s="26" t="s">
        <v>183</v>
      </c>
      <c r="C105" s="26"/>
      <c r="D105" s="26"/>
      <c r="E105" s="26"/>
      <c r="F105" s="26"/>
      <c r="G105" s="26"/>
      <c r="H105" s="26"/>
      <c r="I105" s="26"/>
      <c r="J105" s="26"/>
      <c r="K105" s="26"/>
      <c r="L105" s="26"/>
      <c r="M105" s="26"/>
      <c r="N105" s="26"/>
      <c r="O105" s="26"/>
      <c r="P105" s="26"/>
      <c r="Q105" s="26"/>
      <c r="R105" s="26"/>
      <c r="S105" s="26"/>
      <c r="T105" s="26"/>
      <c r="U105" s="60">
        <v>0</v>
      </c>
      <c r="V105" s="196"/>
      <c r="W105" s="6"/>
      <c r="X105" s="64"/>
    </row>
    <row r="106" spans="1:24" ht="15.6">
      <c r="A106" s="25">
        <v>12</v>
      </c>
      <c r="B106" s="26" t="s">
        <v>184</v>
      </c>
      <c r="C106" s="26"/>
      <c r="D106" s="26"/>
      <c r="E106" s="26"/>
      <c r="F106" s="26"/>
      <c r="G106" s="26"/>
      <c r="H106" s="26"/>
      <c r="I106" s="26"/>
      <c r="J106" s="26"/>
      <c r="K106" s="26"/>
      <c r="L106" s="26"/>
      <c r="M106" s="26"/>
      <c r="N106" s="26"/>
      <c r="O106" s="26"/>
      <c r="P106" s="26"/>
      <c r="Q106" s="26"/>
      <c r="R106" s="26"/>
      <c r="S106" s="26"/>
      <c r="T106" s="26"/>
      <c r="U106" s="60">
        <v>-436</v>
      </c>
      <c r="V106" s="196"/>
      <c r="W106" s="6"/>
      <c r="X106" s="182"/>
    </row>
    <row r="107" spans="1:24" ht="15.6">
      <c r="A107" s="25">
        <v>13</v>
      </c>
      <c r="B107" s="26" t="s">
        <v>40</v>
      </c>
      <c r="C107" s="26"/>
      <c r="D107" s="26"/>
      <c r="E107" s="26"/>
      <c r="F107" s="26"/>
      <c r="G107" s="26"/>
      <c r="H107" s="26"/>
      <c r="I107" s="26"/>
      <c r="J107" s="26"/>
      <c r="K107" s="26"/>
      <c r="L107" s="26"/>
      <c r="M107" s="26"/>
      <c r="N107" s="26"/>
      <c r="O107" s="26"/>
      <c r="P107" s="26"/>
      <c r="Q107" s="26"/>
      <c r="R107" s="26"/>
      <c r="S107" s="26"/>
      <c r="T107" s="26"/>
      <c r="U107" s="60">
        <f>-SUM(U88:U106)</f>
        <v>-1600</v>
      </c>
      <c r="V107" s="196"/>
      <c r="W107" s="6"/>
      <c r="X107" s="182"/>
    </row>
    <row r="108" spans="1:24" ht="15.6">
      <c r="A108" s="25"/>
      <c r="B108" s="29"/>
      <c r="C108" s="26"/>
      <c r="D108" s="26"/>
      <c r="E108" s="26"/>
      <c r="F108" s="26"/>
      <c r="G108" s="26"/>
      <c r="H108" s="26"/>
      <c r="I108" s="26"/>
      <c r="J108" s="26"/>
      <c r="K108" s="26"/>
      <c r="L108" s="26"/>
      <c r="M108" s="26"/>
      <c r="N108" s="26"/>
      <c r="O108" s="26"/>
      <c r="P108" s="26"/>
      <c r="Q108" s="26"/>
      <c r="R108" s="26"/>
      <c r="S108" s="59"/>
      <c r="T108" s="59"/>
      <c r="U108" s="59"/>
      <c r="V108" s="196"/>
      <c r="W108" s="6"/>
      <c r="X108" s="182"/>
    </row>
    <row r="109" spans="1:24" ht="15.6">
      <c r="A109" s="7"/>
      <c r="B109" s="12"/>
      <c r="C109" s="9"/>
      <c r="D109" s="9"/>
      <c r="E109" s="9"/>
      <c r="F109" s="9"/>
      <c r="G109" s="9"/>
      <c r="H109" s="9"/>
      <c r="I109" s="9"/>
      <c r="J109" s="9"/>
      <c r="K109" s="9"/>
      <c r="L109" s="9"/>
      <c r="M109" s="9"/>
      <c r="N109" s="9"/>
      <c r="O109" s="9"/>
      <c r="P109" s="9"/>
      <c r="Q109" s="9"/>
      <c r="R109" s="9"/>
      <c r="S109" s="66"/>
      <c r="T109" s="66"/>
      <c r="U109" s="66"/>
      <c r="V109" s="194"/>
      <c r="W109" s="6"/>
    </row>
    <row r="110" spans="1:24" ht="16.2" thickBot="1">
      <c r="A110" s="130"/>
      <c r="B110" s="131" t="str">
        <f>+B59</f>
        <v>PPAF3 INVESTOR REPORT QUARTER ENDING JUNE 2007</v>
      </c>
      <c r="C110" s="132"/>
      <c r="D110" s="132"/>
      <c r="E110" s="132"/>
      <c r="F110" s="132"/>
      <c r="G110" s="132"/>
      <c r="H110" s="132"/>
      <c r="I110" s="132"/>
      <c r="J110" s="132"/>
      <c r="K110" s="132"/>
      <c r="L110" s="132"/>
      <c r="M110" s="132"/>
      <c r="N110" s="132"/>
      <c r="O110" s="132"/>
      <c r="P110" s="132"/>
      <c r="Q110" s="132"/>
      <c r="R110" s="132"/>
      <c r="S110" s="135"/>
      <c r="T110" s="135"/>
      <c r="U110" s="135"/>
      <c r="V110" s="134"/>
      <c r="W110" s="6"/>
    </row>
    <row r="111" spans="1:24" ht="15.6">
      <c r="A111" s="2"/>
      <c r="B111" s="5"/>
      <c r="C111" s="5"/>
      <c r="D111" s="5"/>
      <c r="E111" s="5"/>
      <c r="F111" s="5"/>
      <c r="G111" s="5"/>
      <c r="H111" s="5"/>
      <c r="I111" s="5"/>
      <c r="J111" s="5"/>
      <c r="K111" s="5"/>
      <c r="L111" s="5"/>
      <c r="M111" s="5"/>
      <c r="N111" s="5"/>
      <c r="O111" s="5"/>
      <c r="P111" s="5"/>
      <c r="Q111" s="5"/>
      <c r="R111" s="5"/>
      <c r="S111" s="67"/>
      <c r="T111" s="67"/>
      <c r="U111" s="67"/>
      <c r="V111" s="193"/>
      <c r="W111" s="6"/>
    </row>
    <row r="112" spans="1:24" ht="15.6">
      <c r="A112" s="68"/>
      <c r="B112" s="69" t="s">
        <v>41</v>
      </c>
      <c r="C112" s="70"/>
      <c r="D112" s="70"/>
      <c r="E112" s="70"/>
      <c r="F112" s="70"/>
      <c r="G112" s="70"/>
      <c r="H112" s="70"/>
      <c r="I112" s="70"/>
      <c r="J112" s="70"/>
      <c r="K112" s="70"/>
      <c r="L112" s="70"/>
      <c r="M112" s="70"/>
      <c r="N112" s="70"/>
      <c r="O112" s="70"/>
      <c r="P112" s="70"/>
      <c r="Q112" s="70"/>
      <c r="R112" s="70"/>
      <c r="S112" s="70"/>
      <c r="T112" s="70"/>
      <c r="U112" s="71"/>
      <c r="V112" s="201"/>
      <c r="W112" s="6"/>
    </row>
    <row r="113" spans="1:23" ht="15.6">
      <c r="A113" s="68"/>
      <c r="B113" s="70"/>
      <c r="C113" s="70"/>
      <c r="D113" s="70"/>
      <c r="E113" s="70"/>
      <c r="F113" s="70"/>
      <c r="G113" s="70"/>
      <c r="H113" s="70"/>
      <c r="I113" s="70"/>
      <c r="J113" s="70"/>
      <c r="K113" s="70"/>
      <c r="L113" s="70"/>
      <c r="M113" s="70"/>
      <c r="N113" s="70"/>
      <c r="O113" s="70"/>
      <c r="P113" s="70"/>
      <c r="Q113" s="70"/>
      <c r="R113" s="70"/>
      <c r="S113" s="70"/>
      <c r="T113" s="70"/>
      <c r="U113" s="71"/>
      <c r="V113" s="202"/>
      <c r="W113" s="6"/>
    </row>
    <row r="114" spans="1:23" ht="15.6">
      <c r="A114" s="7"/>
      <c r="B114" s="153" t="s">
        <v>42</v>
      </c>
      <c r="C114" s="13"/>
      <c r="D114" s="13"/>
      <c r="E114" s="13"/>
      <c r="F114" s="13"/>
      <c r="G114" s="13"/>
      <c r="H114" s="13"/>
      <c r="I114" s="13"/>
      <c r="J114" s="13"/>
      <c r="K114" s="13"/>
      <c r="L114" s="13"/>
      <c r="M114" s="9"/>
      <c r="N114" s="9"/>
      <c r="O114" s="9"/>
      <c r="P114" s="9"/>
      <c r="Q114" s="9"/>
      <c r="R114" s="9"/>
      <c r="S114" s="9"/>
      <c r="T114" s="9"/>
      <c r="U114" s="58"/>
      <c r="V114" s="194"/>
      <c r="W114" s="6"/>
    </row>
    <row r="115" spans="1:23" ht="15.6">
      <c r="A115" s="25"/>
      <c r="B115" s="26" t="s">
        <v>43</v>
      </c>
      <c r="C115" s="26"/>
      <c r="D115" s="26"/>
      <c r="E115" s="26"/>
      <c r="F115" s="26"/>
      <c r="G115" s="26"/>
      <c r="H115" s="26"/>
      <c r="I115" s="26"/>
      <c r="J115" s="26"/>
      <c r="K115" s="26"/>
      <c r="L115" s="26"/>
      <c r="M115" s="26"/>
      <c r="N115" s="26"/>
      <c r="O115" s="26"/>
      <c r="P115" s="26"/>
      <c r="Q115" s="26"/>
      <c r="R115" s="26"/>
      <c r="S115" s="26"/>
      <c r="T115" s="26"/>
      <c r="U115" s="60">
        <v>40500</v>
      </c>
      <c r="V115" s="196"/>
      <c r="W115" s="6"/>
    </row>
    <row r="116" spans="1:23" ht="15.6">
      <c r="A116" s="25"/>
      <c r="B116" s="26" t="s">
        <v>240</v>
      </c>
      <c r="C116" s="26"/>
      <c r="D116" s="26"/>
      <c r="E116" s="26"/>
      <c r="F116" s="26"/>
      <c r="G116" s="26"/>
      <c r="H116" s="26"/>
      <c r="I116" s="26"/>
      <c r="J116" s="26"/>
      <c r="K116" s="26"/>
      <c r="L116" s="26"/>
      <c r="M116" s="26"/>
      <c r="N116" s="26"/>
      <c r="O116" s="26"/>
      <c r="P116" s="26"/>
      <c r="Q116" s="26"/>
      <c r="R116" s="26"/>
      <c r="S116" s="26"/>
      <c r="T116" s="26"/>
      <c r="U116" s="60">
        <v>40500</v>
      </c>
      <c r="V116" s="196"/>
      <c r="W116" s="6"/>
    </row>
    <row r="117" spans="1:23" ht="15.6">
      <c r="A117" s="25"/>
      <c r="B117" s="26" t="s">
        <v>241</v>
      </c>
      <c r="C117" s="26"/>
      <c r="D117" s="26"/>
      <c r="E117" s="26"/>
      <c r="F117" s="26"/>
      <c r="G117" s="26"/>
      <c r="H117" s="26"/>
      <c r="I117" s="26"/>
      <c r="J117" s="26"/>
      <c r="K117" s="26"/>
      <c r="L117" s="26"/>
      <c r="M117" s="26"/>
      <c r="N117" s="26"/>
      <c r="O117" s="26"/>
      <c r="P117" s="26"/>
      <c r="Q117" s="26"/>
      <c r="R117" s="26"/>
      <c r="S117" s="26"/>
      <c r="T117" s="26"/>
      <c r="U117" s="60">
        <v>0</v>
      </c>
      <c r="V117" s="196"/>
      <c r="W117" s="6"/>
    </row>
    <row r="118" spans="1:23" ht="15.6">
      <c r="A118" s="25"/>
      <c r="B118" s="26" t="s">
        <v>209</v>
      </c>
      <c r="C118" s="26"/>
      <c r="D118" s="26"/>
      <c r="E118" s="26"/>
      <c r="F118" s="26"/>
      <c r="G118" s="26"/>
      <c r="H118" s="26"/>
      <c r="I118" s="26"/>
      <c r="J118" s="26"/>
      <c r="K118" s="26"/>
      <c r="L118" s="26"/>
      <c r="M118" s="26"/>
      <c r="N118" s="26"/>
      <c r="O118" s="26"/>
      <c r="P118" s="26"/>
      <c r="Q118" s="26"/>
      <c r="R118" s="26"/>
      <c r="S118" s="26"/>
      <c r="T118" s="26"/>
      <c r="U118" s="60">
        <v>0</v>
      </c>
      <c r="V118" s="196"/>
      <c r="W118" s="6"/>
    </row>
    <row r="119" spans="1:23" ht="15.6">
      <c r="A119" s="25"/>
      <c r="B119" s="26" t="s">
        <v>210</v>
      </c>
      <c r="C119" s="26"/>
      <c r="D119" s="26"/>
      <c r="E119" s="26"/>
      <c r="F119" s="26"/>
      <c r="G119" s="26"/>
      <c r="H119" s="26"/>
      <c r="I119" s="26"/>
      <c r="J119" s="26"/>
      <c r="K119" s="26"/>
      <c r="L119" s="26"/>
      <c r="M119" s="26"/>
      <c r="N119" s="26"/>
      <c r="O119" s="26"/>
      <c r="P119" s="26"/>
      <c r="Q119" s="26"/>
      <c r="R119" s="26"/>
      <c r="S119" s="26"/>
      <c r="T119" s="26"/>
      <c r="U119" s="60">
        <v>0</v>
      </c>
      <c r="V119" s="196"/>
      <c r="W119" s="6"/>
    </row>
    <row r="120" spans="1:23" ht="15.6">
      <c r="A120" s="25"/>
      <c r="B120" s="26" t="s">
        <v>211</v>
      </c>
      <c r="C120" s="26"/>
      <c r="D120" s="26"/>
      <c r="E120" s="26"/>
      <c r="F120" s="26"/>
      <c r="G120" s="26"/>
      <c r="H120" s="26"/>
      <c r="I120" s="26"/>
      <c r="J120" s="26"/>
      <c r="K120" s="26"/>
      <c r="L120" s="26"/>
      <c r="M120" s="26"/>
      <c r="N120" s="26"/>
      <c r="O120" s="26"/>
      <c r="P120" s="26"/>
      <c r="Q120" s="26"/>
      <c r="R120" s="26"/>
      <c r="S120" s="26"/>
      <c r="T120" s="26"/>
      <c r="U120" s="60">
        <v>0</v>
      </c>
      <c r="V120" s="196"/>
      <c r="W120" s="6"/>
    </row>
    <row r="121" spans="1:23" ht="15.6">
      <c r="A121" s="25"/>
      <c r="B121" s="26" t="s">
        <v>212</v>
      </c>
      <c r="C121" s="26"/>
      <c r="D121" s="26"/>
      <c r="E121" s="26"/>
      <c r="F121" s="26"/>
      <c r="G121" s="26"/>
      <c r="H121" s="26"/>
      <c r="I121" s="26"/>
      <c r="J121" s="26"/>
      <c r="K121" s="26"/>
      <c r="L121" s="26"/>
      <c r="M121" s="26"/>
      <c r="N121" s="26"/>
      <c r="O121" s="26"/>
      <c r="P121" s="26"/>
      <c r="Q121" s="26"/>
      <c r="R121" s="26"/>
      <c r="S121" s="26"/>
      <c r="T121" s="26"/>
      <c r="U121" s="60">
        <v>0</v>
      </c>
      <c r="V121" s="196"/>
      <c r="W121" s="6"/>
    </row>
    <row r="122" spans="1:23" ht="15.6">
      <c r="A122" s="25"/>
      <c r="B122" s="26" t="s">
        <v>242</v>
      </c>
      <c r="C122" s="26"/>
      <c r="D122" s="26"/>
      <c r="E122" s="26"/>
      <c r="F122" s="26"/>
      <c r="G122" s="26"/>
      <c r="H122" s="26"/>
      <c r="I122" s="26"/>
      <c r="J122" s="26"/>
      <c r="K122" s="26"/>
      <c r="L122" s="26"/>
      <c r="M122" s="26"/>
      <c r="N122" s="26"/>
      <c r="O122" s="26"/>
      <c r="P122" s="26"/>
      <c r="Q122" s="26"/>
      <c r="R122" s="26"/>
      <c r="S122" s="26"/>
      <c r="T122" s="26"/>
      <c r="U122" s="60">
        <v>0</v>
      </c>
      <c r="V122" s="196"/>
      <c r="W122" s="6"/>
    </row>
    <row r="123" spans="1:23" ht="15.6">
      <c r="A123" s="25"/>
      <c r="B123" s="26" t="s">
        <v>45</v>
      </c>
      <c r="C123" s="26"/>
      <c r="D123" s="26"/>
      <c r="E123" s="26"/>
      <c r="F123" s="26"/>
      <c r="G123" s="26"/>
      <c r="H123" s="26"/>
      <c r="I123" s="26"/>
      <c r="J123" s="26"/>
      <c r="K123" s="26"/>
      <c r="L123" s="26"/>
      <c r="M123" s="26"/>
      <c r="N123" s="26"/>
      <c r="O123" s="26"/>
      <c r="P123" s="26"/>
      <c r="Q123" s="26"/>
      <c r="R123" s="26"/>
      <c r="S123" s="26"/>
      <c r="T123" s="26"/>
      <c r="U123" s="60">
        <f>SUM(U116:U122)</f>
        <v>40500</v>
      </c>
      <c r="V123" s="196"/>
      <c r="W123" s="6"/>
    </row>
    <row r="124" spans="1:23" ht="15.6">
      <c r="A124" s="25"/>
      <c r="B124" s="26"/>
      <c r="C124" s="26"/>
      <c r="D124" s="26"/>
      <c r="E124" s="26"/>
      <c r="F124" s="26"/>
      <c r="G124" s="26"/>
      <c r="H124" s="26"/>
      <c r="I124" s="26"/>
      <c r="J124" s="26"/>
      <c r="K124" s="26"/>
      <c r="L124" s="26"/>
      <c r="M124" s="26"/>
      <c r="N124" s="26"/>
      <c r="O124" s="26"/>
      <c r="P124" s="26"/>
      <c r="Q124" s="26"/>
      <c r="R124" s="26"/>
      <c r="S124" s="26"/>
      <c r="T124" s="26"/>
      <c r="U124" s="73"/>
      <c r="V124" s="196"/>
      <c r="W124" s="6"/>
    </row>
    <row r="125" spans="1:23" ht="15.6">
      <c r="A125" s="7"/>
      <c r="B125" s="153" t="s">
        <v>46</v>
      </c>
      <c r="C125" s="13"/>
      <c r="D125" s="13"/>
      <c r="E125" s="13"/>
      <c r="F125" s="13"/>
      <c r="G125" s="13"/>
      <c r="H125" s="13"/>
      <c r="I125" s="13"/>
      <c r="J125" s="13"/>
      <c r="K125" s="13"/>
      <c r="L125" s="13"/>
      <c r="M125" s="9"/>
      <c r="N125" s="9"/>
      <c r="O125" s="9"/>
      <c r="P125" s="188"/>
      <c r="Q125" s="9"/>
      <c r="R125" s="9"/>
      <c r="S125" s="9"/>
      <c r="T125" s="9"/>
      <c r="U125" s="75"/>
      <c r="V125" s="194"/>
      <c r="W125" s="6"/>
    </row>
    <row r="126" spans="1:23" ht="15.6">
      <c r="A126" s="7"/>
      <c r="B126" s="13"/>
      <c r="C126" s="17" t="s">
        <v>185</v>
      </c>
      <c r="D126" s="17"/>
      <c r="E126" s="17" t="s">
        <v>99</v>
      </c>
      <c r="F126" s="17"/>
      <c r="G126" s="17" t="s">
        <v>102</v>
      </c>
      <c r="H126" s="17"/>
      <c r="I126" s="17" t="s">
        <v>108</v>
      </c>
      <c r="J126" s="17"/>
      <c r="K126" s="17"/>
      <c r="L126" s="17"/>
      <c r="M126" s="17"/>
      <c r="N126" s="17"/>
      <c r="O126" s="17"/>
      <c r="P126" s="188"/>
      <c r="Q126" s="188"/>
      <c r="R126" s="9"/>
      <c r="S126" s="9"/>
      <c r="T126" s="9"/>
      <c r="U126" s="75"/>
      <c r="V126" s="194"/>
      <c r="W126" s="6"/>
    </row>
    <row r="127" spans="1:23" ht="15.6">
      <c r="A127" s="25"/>
      <c r="B127" s="26" t="s">
        <v>122</v>
      </c>
      <c r="C127" s="59">
        <f>+N200-'March 07'!N200</f>
        <v>636</v>
      </c>
      <c r="D127" s="26"/>
      <c r="E127" s="59">
        <f>+S200-'March 07'!S200</f>
        <v>51</v>
      </c>
      <c r="F127" s="26"/>
      <c r="G127" s="59">
        <f>+N213-'March 07'!N213</f>
        <v>406</v>
      </c>
      <c r="H127" s="26"/>
      <c r="I127" s="59">
        <f>+S213-'March 07'!S213</f>
        <v>-140</v>
      </c>
      <c r="J127" s="26"/>
      <c r="K127" s="26"/>
      <c r="L127" s="26"/>
      <c r="M127" s="26"/>
      <c r="N127" s="26"/>
      <c r="O127" s="26"/>
      <c r="P127" s="189"/>
      <c r="Q127" s="189"/>
      <c r="R127" s="26"/>
      <c r="S127" s="26"/>
      <c r="T127" s="26"/>
      <c r="U127" s="60">
        <f>SUM(C127:I127)</f>
        <v>953</v>
      </c>
      <c r="V127" s="196"/>
      <c r="W127" s="6"/>
    </row>
    <row r="128" spans="1:23" ht="15.6">
      <c r="A128" s="25"/>
      <c r="B128" s="26" t="s">
        <v>47</v>
      </c>
      <c r="C128" s="26">
        <v>706</v>
      </c>
      <c r="D128" s="26"/>
      <c r="E128" s="26">
        <v>0</v>
      </c>
      <c r="F128" s="26"/>
      <c r="G128" s="26">
        <v>663</v>
      </c>
      <c r="H128" s="26"/>
      <c r="I128" s="59">
        <v>881</v>
      </c>
      <c r="J128" s="26"/>
      <c r="K128" s="26"/>
      <c r="L128" s="26"/>
      <c r="M128" s="26"/>
      <c r="N128" s="26"/>
      <c r="O128" s="26"/>
      <c r="P128" s="189"/>
      <c r="Q128" s="189"/>
      <c r="R128" s="26"/>
      <c r="S128" s="26"/>
      <c r="T128" s="26"/>
      <c r="U128" s="60">
        <f>SUM(C128:I128)</f>
        <v>2250</v>
      </c>
      <c r="V128" s="196"/>
      <c r="W128" s="6"/>
    </row>
    <row r="129" spans="1:25" ht="15.6">
      <c r="A129" s="25"/>
      <c r="B129" s="26" t="s">
        <v>48</v>
      </c>
      <c r="C129" s="26"/>
      <c r="D129" s="26"/>
      <c r="E129" s="26"/>
      <c r="F129" s="26"/>
      <c r="G129" s="26"/>
      <c r="H129" s="26"/>
      <c r="I129" s="26"/>
      <c r="J129" s="26"/>
      <c r="K129" s="26"/>
      <c r="L129" s="26"/>
      <c r="M129" s="26"/>
      <c r="N129" s="26"/>
      <c r="O129" s="26"/>
      <c r="P129" s="26"/>
      <c r="Q129" s="26"/>
      <c r="R129" s="26"/>
      <c r="S129" s="26"/>
      <c r="T129" s="26"/>
      <c r="U129" s="60">
        <f>SUM(U127:U128)</f>
        <v>3203</v>
      </c>
      <c r="V129" s="196"/>
      <c r="W129" s="6"/>
    </row>
    <row r="130" spans="1:25" ht="15.6">
      <c r="A130" s="7"/>
      <c r="B130" s="153" t="s">
        <v>49</v>
      </c>
      <c r="C130" s="13"/>
      <c r="D130" s="13"/>
      <c r="E130" s="13"/>
      <c r="F130" s="13"/>
      <c r="G130" s="13"/>
      <c r="H130" s="13"/>
      <c r="I130" s="13"/>
      <c r="J130" s="13"/>
      <c r="K130" s="13"/>
      <c r="L130" s="13"/>
      <c r="M130" s="9"/>
      <c r="N130" s="9"/>
      <c r="O130" s="9"/>
      <c r="P130" s="9"/>
      <c r="Q130" s="9"/>
      <c r="R130" s="9"/>
      <c r="S130" s="9"/>
      <c r="T130" s="9"/>
      <c r="U130" s="58"/>
      <c r="V130" s="194"/>
      <c r="W130" s="6"/>
    </row>
    <row r="131" spans="1:25" ht="15.6">
      <c r="A131" s="25"/>
      <c r="B131" s="26" t="s">
        <v>50</v>
      </c>
      <c r="C131" s="77"/>
      <c r="D131" s="77"/>
      <c r="E131" s="77"/>
      <c r="F131" s="77"/>
      <c r="G131" s="77"/>
      <c r="H131" s="77"/>
      <c r="I131" s="77"/>
      <c r="J131" s="77"/>
      <c r="K131" s="77"/>
      <c r="L131" s="77"/>
      <c r="M131" s="26"/>
      <c r="N131" s="26"/>
      <c r="O131" s="26"/>
      <c r="P131" s="26"/>
      <c r="Q131" s="26"/>
      <c r="R131" s="26"/>
      <c r="S131" s="26"/>
      <c r="T131" s="26"/>
      <c r="U131" s="60">
        <f>U76+U78</f>
        <v>384415</v>
      </c>
      <c r="V131" s="196"/>
      <c r="W131" s="6"/>
      <c r="X131" s="182"/>
    </row>
    <row r="132" spans="1:25" ht="15.6">
      <c r="A132" s="25"/>
      <c r="B132" s="26" t="s">
        <v>51</v>
      </c>
      <c r="C132" s="77"/>
      <c r="D132" s="77"/>
      <c r="E132" s="77"/>
      <c r="F132" s="77"/>
      <c r="G132" s="77"/>
      <c r="H132" s="77"/>
      <c r="I132" s="77"/>
      <c r="J132" s="77"/>
      <c r="K132" s="77"/>
      <c r="L132" s="77"/>
      <c r="M132" s="26"/>
      <c r="N132" s="26"/>
      <c r="O132" s="26"/>
      <c r="P132" s="26"/>
      <c r="Q132" s="26"/>
      <c r="R132" s="26"/>
      <c r="S132" s="26"/>
      <c r="T132" s="26"/>
      <c r="U132" s="60">
        <f>U79</f>
        <v>65585</v>
      </c>
      <c r="V132" s="196"/>
      <c r="W132" s="6"/>
      <c r="Y132" s="182"/>
    </row>
    <row r="133" spans="1:25" ht="15.6">
      <c r="A133" s="25"/>
      <c r="B133" s="26" t="s">
        <v>52</v>
      </c>
      <c r="C133" s="77"/>
      <c r="D133" s="77"/>
      <c r="E133" s="77"/>
      <c r="F133" s="77"/>
      <c r="G133" s="77"/>
      <c r="H133" s="77"/>
      <c r="I133" s="77"/>
      <c r="J133" s="77"/>
      <c r="K133" s="77"/>
      <c r="L133" s="77"/>
      <c r="M133" s="26"/>
      <c r="N133" s="26"/>
      <c r="O133" s="26"/>
      <c r="P133" s="26"/>
      <c r="Q133" s="26"/>
      <c r="R133" s="26"/>
      <c r="S133" s="26"/>
      <c r="T133" s="26"/>
      <c r="U133" s="60">
        <f>+U131+U132</f>
        <v>450000</v>
      </c>
      <c r="V133" s="196"/>
      <c r="W133" s="6"/>
    </row>
    <row r="134" spans="1:25" ht="15.6">
      <c r="A134" s="25"/>
      <c r="B134" s="26" t="s">
        <v>53</v>
      </c>
      <c r="C134" s="77"/>
      <c r="D134" s="77"/>
      <c r="E134" s="77"/>
      <c r="F134" s="77"/>
      <c r="G134" s="77"/>
      <c r="H134" s="77"/>
      <c r="I134" s="77"/>
      <c r="J134" s="77"/>
      <c r="K134" s="77"/>
      <c r="L134" s="77"/>
      <c r="M134" s="26"/>
      <c r="N134" s="26"/>
      <c r="O134" s="26"/>
      <c r="P134" s="26"/>
      <c r="Q134" s="26"/>
      <c r="R134" s="26"/>
      <c r="S134" s="26"/>
      <c r="T134" s="26"/>
      <c r="U134" s="60">
        <f>U81</f>
        <v>450000</v>
      </c>
      <c r="V134" s="196"/>
      <c r="W134" s="6"/>
      <c r="X134" s="64"/>
    </row>
    <row r="135" spans="1:25" ht="15.6">
      <c r="A135" s="25"/>
      <c r="B135" s="26"/>
      <c r="C135" s="26"/>
      <c r="D135" s="26"/>
      <c r="E135" s="26"/>
      <c r="F135" s="26"/>
      <c r="G135" s="26"/>
      <c r="H135" s="26"/>
      <c r="I135" s="26"/>
      <c r="J135" s="26"/>
      <c r="K135" s="26"/>
      <c r="L135" s="26"/>
      <c r="M135" s="26"/>
      <c r="N135" s="26"/>
      <c r="O135" s="26"/>
      <c r="P135" s="26"/>
      <c r="Q135" s="26"/>
      <c r="R135" s="26"/>
      <c r="S135" s="26"/>
      <c r="T135" s="26"/>
      <c r="U135" s="78"/>
      <c r="V135" s="196"/>
      <c r="W135" s="6"/>
    </row>
    <row r="136" spans="1:25" ht="15.6">
      <c r="A136" s="7"/>
      <c r="B136" s="153" t="s">
        <v>54</v>
      </c>
      <c r="C136" s="141"/>
      <c r="D136" s="141"/>
      <c r="E136" s="141"/>
      <c r="F136" s="141"/>
      <c r="G136" s="141"/>
      <c r="H136" s="141"/>
      <c r="I136" s="141"/>
      <c r="J136" s="141"/>
      <c r="K136" s="141"/>
      <c r="L136" s="141"/>
      <c r="M136" s="141"/>
      <c r="N136" s="141"/>
      <c r="O136" s="141"/>
      <c r="P136" s="141"/>
      <c r="Q136" s="142" t="s">
        <v>112</v>
      </c>
      <c r="R136" s="154"/>
      <c r="S136" s="142" t="s">
        <v>114</v>
      </c>
      <c r="T136" s="141"/>
      <c r="U136" s="155" t="s">
        <v>90</v>
      </c>
      <c r="V136" s="194"/>
      <c r="W136" s="6"/>
    </row>
    <row r="137" spans="1:25" ht="15.6">
      <c r="A137" s="25"/>
      <c r="B137" s="26" t="s">
        <v>55</v>
      </c>
      <c r="C137" s="26"/>
      <c r="D137" s="26"/>
      <c r="E137" s="26"/>
      <c r="F137" s="26"/>
      <c r="G137" s="26"/>
      <c r="H137" s="26"/>
      <c r="I137" s="26"/>
      <c r="J137" s="26"/>
      <c r="K137" s="26"/>
      <c r="L137" s="26"/>
      <c r="M137" s="26"/>
      <c r="N137" s="26"/>
      <c r="O137" s="26"/>
      <c r="P137" s="26"/>
      <c r="Q137" s="60">
        <v>0</v>
      </c>
      <c r="R137" s="26"/>
      <c r="S137" s="79" t="s">
        <v>115</v>
      </c>
      <c r="T137" s="26"/>
      <c r="U137" s="60">
        <f>Q137</f>
        <v>0</v>
      </c>
      <c r="V137" s="196"/>
      <c r="W137" s="6"/>
    </row>
    <row r="138" spans="1:25" ht="15.6">
      <c r="A138" s="25"/>
      <c r="B138" s="26" t="s">
        <v>56</v>
      </c>
      <c r="C138" s="26"/>
      <c r="D138" s="26"/>
      <c r="E138" s="26"/>
      <c r="F138" s="26"/>
      <c r="G138" s="26"/>
      <c r="H138" s="26"/>
      <c r="I138" s="26"/>
      <c r="J138" s="26"/>
      <c r="K138" s="26"/>
      <c r="L138" s="26"/>
      <c r="M138" s="26"/>
      <c r="N138" s="26"/>
      <c r="O138" s="26"/>
      <c r="P138" s="26"/>
      <c r="Q138" s="60">
        <f>+'March 07'!Q140</f>
        <v>2089</v>
      </c>
      <c r="R138" s="26"/>
      <c r="S138" s="79" t="s">
        <v>115</v>
      </c>
      <c r="T138" s="26"/>
      <c r="U138" s="60">
        <f>Q138</f>
        <v>2089</v>
      </c>
      <c r="V138" s="196"/>
      <c r="W138" s="6"/>
    </row>
    <row r="139" spans="1:25" ht="15.6">
      <c r="A139" s="25"/>
      <c r="B139" s="26" t="s">
        <v>57</v>
      </c>
      <c r="C139" s="26"/>
      <c r="D139" s="26"/>
      <c r="E139" s="26"/>
      <c r="F139" s="26"/>
      <c r="G139" s="26"/>
      <c r="H139" s="26"/>
      <c r="I139" s="26"/>
      <c r="J139" s="26"/>
      <c r="K139" s="26"/>
      <c r="L139" s="26"/>
      <c r="M139" s="26"/>
      <c r="N139" s="26"/>
      <c r="O139" s="26"/>
      <c r="P139" s="26"/>
      <c r="Q139" s="60">
        <v>412</v>
      </c>
      <c r="R139" s="26"/>
      <c r="S139" s="79" t="s">
        <v>115</v>
      </c>
      <c r="T139" s="26"/>
      <c r="U139" s="60">
        <f>Q139</f>
        <v>412</v>
      </c>
      <c r="V139" s="196"/>
      <c r="W139" s="6"/>
    </row>
    <row r="140" spans="1:25" ht="15.6">
      <c r="A140" s="25"/>
      <c r="B140" s="26" t="s">
        <v>58</v>
      </c>
      <c r="C140" s="26"/>
      <c r="D140" s="26"/>
      <c r="E140" s="26"/>
      <c r="F140" s="26"/>
      <c r="G140" s="26"/>
      <c r="H140" s="26"/>
      <c r="I140" s="26"/>
      <c r="J140" s="26"/>
      <c r="K140" s="26"/>
      <c r="L140" s="26"/>
      <c r="M140" s="26"/>
      <c r="N140" s="26"/>
      <c r="O140" s="26"/>
      <c r="P140" s="26"/>
      <c r="Q140" s="60">
        <f>SUM(Q138:Q139)</f>
        <v>2501</v>
      </c>
      <c r="R140" s="26"/>
      <c r="S140" s="79" t="s">
        <v>115</v>
      </c>
      <c r="T140" s="26"/>
      <c r="U140" s="60">
        <f>Q140</f>
        <v>2501</v>
      </c>
      <c r="V140" s="196"/>
      <c r="W140" s="6"/>
    </row>
    <row r="141" spans="1:25" ht="15.6">
      <c r="A141" s="25"/>
      <c r="B141" s="26" t="s">
        <v>215</v>
      </c>
      <c r="C141" s="26"/>
      <c r="D141" s="26"/>
      <c r="E141" s="26"/>
      <c r="F141" s="26"/>
      <c r="G141" s="26"/>
      <c r="H141" s="26"/>
      <c r="I141" s="26"/>
      <c r="J141" s="26"/>
      <c r="K141" s="26"/>
      <c r="L141" s="26"/>
      <c r="M141" s="26"/>
      <c r="N141" s="26"/>
      <c r="O141" s="26"/>
      <c r="P141" s="26"/>
      <c r="Q141" s="60"/>
      <c r="R141" s="26"/>
      <c r="S141" s="79"/>
      <c r="T141" s="26"/>
      <c r="U141" s="60"/>
      <c r="V141" s="196"/>
      <c r="W141" s="6"/>
    </row>
    <row r="142" spans="1:25" ht="15.6">
      <c r="A142" s="25"/>
      <c r="B142" s="26"/>
      <c r="C142" s="26"/>
      <c r="D142" s="26"/>
      <c r="E142" s="26"/>
      <c r="F142" s="26"/>
      <c r="G142" s="26"/>
      <c r="H142" s="26"/>
      <c r="I142" s="26"/>
      <c r="J142" s="26"/>
      <c r="K142" s="26"/>
      <c r="L142" s="26"/>
      <c r="M142" s="26"/>
      <c r="N142" s="26"/>
      <c r="O142" s="26"/>
      <c r="P142" s="26"/>
      <c r="Q142" s="26"/>
      <c r="R142" s="26"/>
      <c r="S142" s="26"/>
      <c r="T142" s="26"/>
      <c r="U142" s="26"/>
      <c r="V142" s="196"/>
      <c r="W142" s="6"/>
    </row>
    <row r="143" spans="1:25" ht="15.6">
      <c r="A143" s="25"/>
      <c r="B143" s="29"/>
      <c r="C143" s="29"/>
      <c r="D143" s="29"/>
      <c r="E143" s="29"/>
      <c r="F143" s="29"/>
      <c r="G143" s="29"/>
      <c r="H143" s="29"/>
      <c r="I143" s="29"/>
      <c r="J143" s="29"/>
      <c r="K143" s="29"/>
      <c r="L143" s="29"/>
      <c r="M143" s="29"/>
      <c r="N143" s="29"/>
      <c r="O143" s="29"/>
      <c r="P143" s="29"/>
      <c r="Q143" s="29"/>
      <c r="R143" s="29"/>
      <c r="S143" s="29"/>
      <c r="T143" s="29"/>
      <c r="U143" s="29"/>
      <c r="V143" s="203"/>
      <c r="W143" s="6"/>
    </row>
    <row r="144" spans="1:25" ht="15.6">
      <c r="A144" s="80"/>
      <c r="B144" s="57" t="s">
        <v>59</v>
      </c>
      <c r="C144" s="81"/>
      <c r="D144" s="81"/>
      <c r="E144" s="81"/>
      <c r="F144" s="81"/>
      <c r="G144" s="81"/>
      <c r="H144" s="81"/>
      <c r="I144" s="81"/>
      <c r="J144" s="81"/>
      <c r="K144" s="81"/>
      <c r="L144" s="81"/>
      <c r="M144" s="81"/>
      <c r="N144" s="81"/>
      <c r="O144" s="81"/>
      <c r="P144" s="19"/>
      <c r="Q144" s="19"/>
      <c r="R144" s="19"/>
      <c r="S144" s="19">
        <v>39262</v>
      </c>
      <c r="T144" s="15"/>
      <c r="U144" s="15"/>
      <c r="V144" s="194"/>
      <c r="W144" s="6"/>
    </row>
    <row r="145" spans="1:23" ht="15.6">
      <c r="A145" s="82"/>
      <c r="B145" s="83" t="s">
        <v>60</v>
      </c>
      <c r="C145" s="84"/>
      <c r="D145" s="84"/>
      <c r="E145" s="84"/>
      <c r="F145" s="84"/>
      <c r="G145" s="84"/>
      <c r="H145" s="84"/>
      <c r="I145" s="84"/>
      <c r="J145" s="84"/>
      <c r="K145" s="84"/>
      <c r="L145" s="84"/>
      <c r="M145" s="84"/>
      <c r="N145" s="84"/>
      <c r="O145" s="84"/>
      <c r="P145" s="85"/>
      <c r="Q145" s="85"/>
      <c r="R145" s="85"/>
      <c r="S145" s="86">
        <v>0.10630000000000001</v>
      </c>
      <c r="T145" s="26"/>
      <c r="U145" s="26"/>
      <c r="V145" s="196"/>
      <c r="W145" s="6"/>
    </row>
    <row r="146" spans="1:23" ht="15.6">
      <c r="A146" s="82"/>
      <c r="B146" s="83" t="s">
        <v>61</v>
      </c>
      <c r="C146" s="84"/>
      <c r="D146" s="84"/>
      <c r="E146" s="84"/>
      <c r="F146" s="84"/>
      <c r="G146" s="84"/>
      <c r="H146" s="84"/>
      <c r="I146" s="84"/>
      <c r="J146" s="84"/>
      <c r="K146" s="84"/>
      <c r="L146" s="84"/>
      <c r="M146" s="84"/>
      <c r="N146" s="84"/>
      <c r="O146" s="84"/>
      <c r="P146" s="85"/>
      <c r="Q146" s="85"/>
      <c r="R146" s="85"/>
      <c r="S146" s="86">
        <v>5.2200000000000003E-2</v>
      </c>
      <c r="T146" s="86"/>
      <c r="U146" s="26"/>
      <c r="V146" s="196"/>
      <c r="W146" s="6"/>
    </row>
    <row r="147" spans="1:23" ht="15.6">
      <c r="A147" s="82"/>
      <c r="B147" s="83" t="s">
        <v>62</v>
      </c>
      <c r="C147" s="84"/>
      <c r="D147" s="84"/>
      <c r="E147" s="84"/>
      <c r="F147" s="84"/>
      <c r="G147" s="84"/>
      <c r="H147" s="84"/>
      <c r="I147" s="84"/>
      <c r="J147" s="84"/>
      <c r="K147" s="84"/>
      <c r="L147" s="84"/>
      <c r="M147" s="84"/>
      <c r="N147" s="84"/>
      <c r="O147" s="84"/>
      <c r="P147" s="85"/>
      <c r="Q147" s="85"/>
      <c r="R147" s="85"/>
      <c r="S147" s="86">
        <f>S145-S146</f>
        <v>5.4100000000000002E-2</v>
      </c>
      <c r="T147" s="26"/>
      <c r="U147" s="26"/>
      <c r="V147" s="196"/>
      <c r="W147" s="6"/>
    </row>
    <row r="148" spans="1:23" ht="15.6">
      <c r="A148" s="82"/>
      <c r="B148" s="83" t="s">
        <v>63</v>
      </c>
      <c r="C148" s="84"/>
      <c r="D148" s="84"/>
      <c r="E148" s="84"/>
      <c r="F148" s="84"/>
      <c r="G148" s="84"/>
      <c r="H148" s="84"/>
      <c r="I148" s="84"/>
      <c r="J148" s="84"/>
      <c r="K148" s="84"/>
      <c r="L148" s="84"/>
      <c r="M148" s="84"/>
      <c r="N148" s="84"/>
      <c r="O148" s="84"/>
      <c r="P148" s="85"/>
      <c r="Q148" s="85"/>
      <c r="R148" s="85"/>
      <c r="S148" s="86">
        <v>0.10281999999999999</v>
      </c>
      <c r="T148" s="26"/>
      <c r="U148" s="26"/>
      <c r="V148" s="196"/>
      <c r="W148" s="6"/>
    </row>
    <row r="149" spans="1:23" ht="15.6">
      <c r="A149" s="82"/>
      <c r="B149" s="83" t="s">
        <v>64</v>
      </c>
      <c r="C149" s="84"/>
      <c r="D149" s="84"/>
      <c r="E149" s="84"/>
      <c r="F149" s="84"/>
      <c r="G149" s="84"/>
      <c r="H149" s="84"/>
      <c r="I149" s="84"/>
      <c r="J149" s="84"/>
      <c r="K149" s="84"/>
      <c r="L149" s="84"/>
      <c r="M149" s="84"/>
      <c r="N149" s="84"/>
      <c r="O149" s="84"/>
      <c r="P149" s="85"/>
      <c r="Q149" s="85"/>
      <c r="R149" s="85"/>
      <c r="S149" s="86">
        <f>+U40</f>
        <v>5.9537707444444435E-2</v>
      </c>
      <c r="T149" s="26"/>
      <c r="U149" s="26"/>
      <c r="V149" s="196"/>
      <c r="W149" s="6"/>
    </row>
    <row r="150" spans="1:23" ht="15.6">
      <c r="A150" s="82"/>
      <c r="B150" s="83" t="s">
        <v>65</v>
      </c>
      <c r="C150" s="84"/>
      <c r="D150" s="84"/>
      <c r="E150" s="84"/>
      <c r="F150" s="84"/>
      <c r="G150" s="84"/>
      <c r="H150" s="84"/>
      <c r="I150" s="84"/>
      <c r="J150" s="84"/>
      <c r="K150" s="84"/>
      <c r="L150" s="84"/>
      <c r="M150" s="84"/>
      <c r="N150" s="84"/>
      <c r="O150" s="84"/>
      <c r="P150" s="85"/>
      <c r="Q150" s="85"/>
      <c r="R150" s="85"/>
      <c r="S150" s="86">
        <f>S148-S149</f>
        <v>4.328229255555556E-2</v>
      </c>
      <c r="T150" s="26"/>
      <c r="U150" s="26"/>
      <c r="V150" s="196"/>
      <c r="W150" s="6"/>
    </row>
    <row r="151" spans="1:23" ht="15.6">
      <c r="A151" s="82"/>
      <c r="B151" s="83" t="s">
        <v>204</v>
      </c>
      <c r="C151" s="84"/>
      <c r="D151" s="84"/>
      <c r="E151" s="84"/>
      <c r="F151" s="84"/>
      <c r="G151" s="84"/>
      <c r="H151" s="84"/>
      <c r="I151" s="84"/>
      <c r="J151" s="84"/>
      <c r="K151" s="84"/>
      <c r="L151" s="84"/>
      <c r="M151" s="84"/>
      <c r="N151" s="84"/>
      <c r="O151" s="84"/>
      <c r="P151" s="85"/>
      <c r="Q151" s="85"/>
      <c r="R151" s="85"/>
      <c r="S151" s="183">
        <v>49780</v>
      </c>
      <c r="T151" s="26"/>
      <c r="U151" s="26"/>
      <c r="V151" s="196"/>
      <c r="W151" s="6"/>
    </row>
    <row r="152" spans="1:23" ht="15.6">
      <c r="A152" s="82"/>
      <c r="B152" s="83" t="s">
        <v>205</v>
      </c>
      <c r="C152" s="84"/>
      <c r="D152" s="84"/>
      <c r="E152" s="84"/>
      <c r="F152" s="84"/>
      <c r="G152" s="84"/>
      <c r="H152" s="84"/>
      <c r="I152" s="84"/>
      <c r="J152" s="84"/>
      <c r="K152" s="84"/>
      <c r="L152" s="84"/>
      <c r="M152" s="84"/>
      <c r="N152" s="84"/>
      <c r="O152" s="84"/>
      <c r="P152" s="85"/>
      <c r="Q152" s="85"/>
      <c r="R152" s="85"/>
      <c r="S152" s="183">
        <v>49780</v>
      </c>
      <c r="T152" s="26"/>
      <c r="U152" s="26"/>
      <c r="V152" s="196"/>
      <c r="W152" s="6"/>
    </row>
    <row r="153" spans="1:23" ht="15.6">
      <c r="A153" s="82"/>
      <c r="B153" s="83" t="s">
        <v>206</v>
      </c>
      <c r="C153" s="84"/>
      <c r="D153" s="84"/>
      <c r="E153" s="84"/>
      <c r="F153" s="84"/>
      <c r="G153" s="84"/>
      <c r="H153" s="84"/>
      <c r="I153" s="84"/>
      <c r="J153" s="84"/>
      <c r="K153" s="84"/>
      <c r="L153" s="84"/>
      <c r="M153" s="84"/>
      <c r="N153" s="84"/>
      <c r="O153" s="84"/>
      <c r="P153" s="85"/>
      <c r="Q153" s="85"/>
      <c r="R153" s="85"/>
      <c r="S153" s="183">
        <v>49780</v>
      </c>
      <c r="T153" s="26"/>
      <c r="U153" s="26"/>
      <c r="V153" s="196"/>
      <c r="W153" s="6"/>
    </row>
    <row r="154" spans="1:23" ht="15.6">
      <c r="A154" s="82"/>
      <c r="B154" s="83" t="s">
        <v>207</v>
      </c>
      <c r="C154" s="84"/>
      <c r="D154" s="84"/>
      <c r="E154" s="84"/>
      <c r="F154" s="84"/>
      <c r="G154" s="84"/>
      <c r="H154" s="84"/>
      <c r="I154" s="84"/>
      <c r="J154" s="84"/>
      <c r="K154" s="84"/>
      <c r="L154" s="84"/>
      <c r="M154" s="84"/>
      <c r="N154" s="84"/>
      <c r="O154" s="84"/>
      <c r="P154" s="85"/>
      <c r="Q154" s="85"/>
      <c r="R154" s="85"/>
      <c r="S154" s="183">
        <v>49780</v>
      </c>
      <c r="T154" s="26"/>
      <c r="U154" s="26"/>
      <c r="V154" s="196"/>
      <c r="W154" s="6"/>
    </row>
    <row r="155" spans="1:23" ht="15.6">
      <c r="A155" s="82"/>
      <c r="B155" s="83" t="s">
        <v>221</v>
      </c>
      <c r="C155" s="84"/>
      <c r="D155" s="84"/>
      <c r="E155" s="84"/>
      <c r="F155" s="84"/>
      <c r="G155" s="84"/>
      <c r="H155" s="84"/>
      <c r="I155" s="84"/>
      <c r="J155" s="84"/>
      <c r="K155" s="84"/>
      <c r="L155" s="84"/>
      <c r="M155" s="84"/>
      <c r="N155" s="84"/>
      <c r="O155" s="84"/>
      <c r="P155" s="85"/>
      <c r="Q155" s="85"/>
      <c r="R155" s="85"/>
      <c r="S155" s="87">
        <v>111.34</v>
      </c>
      <c r="T155" s="26"/>
      <c r="U155" s="26"/>
      <c r="V155" s="196"/>
      <c r="W155" s="6"/>
    </row>
    <row r="156" spans="1:23" ht="15.6">
      <c r="A156" s="82"/>
      <c r="B156" s="83" t="s">
        <v>222</v>
      </c>
      <c r="C156" s="84"/>
      <c r="D156" s="84"/>
      <c r="E156" s="84"/>
      <c r="F156" s="84"/>
      <c r="G156" s="84"/>
      <c r="H156" s="84"/>
      <c r="I156" s="84"/>
      <c r="J156" s="84"/>
      <c r="K156" s="84"/>
      <c r="L156" s="84"/>
      <c r="M156" s="84"/>
      <c r="N156" s="84"/>
      <c r="O156" s="84"/>
      <c r="P156" s="85"/>
      <c r="Q156" s="85"/>
      <c r="R156" s="85"/>
      <c r="S156" s="87">
        <v>109.67</v>
      </c>
      <c r="T156" s="26"/>
      <c r="U156" s="26"/>
      <c r="V156" s="196"/>
      <c r="W156" s="6"/>
    </row>
    <row r="157" spans="1:23" ht="15.6">
      <c r="A157" s="82" t="s">
        <v>223</v>
      </c>
      <c r="B157" s="83" t="s">
        <v>66</v>
      </c>
      <c r="C157" s="84"/>
      <c r="D157" s="84"/>
      <c r="E157" s="84"/>
      <c r="F157" s="84"/>
      <c r="G157" s="84"/>
      <c r="H157" s="84"/>
      <c r="I157" s="84"/>
      <c r="J157" s="84"/>
      <c r="K157" s="84"/>
      <c r="L157" s="84"/>
      <c r="M157" s="84"/>
      <c r="N157" s="84"/>
      <c r="O157" s="84"/>
      <c r="P157" s="85"/>
      <c r="Q157" s="85"/>
      <c r="R157" s="85"/>
      <c r="S157" s="86">
        <v>0.12959999999999999</v>
      </c>
      <c r="T157" s="26"/>
      <c r="U157" s="26"/>
      <c r="V157" s="196"/>
      <c r="W157" s="6"/>
    </row>
    <row r="158" spans="1:23" ht="15.6">
      <c r="A158" s="82"/>
      <c r="B158" s="83" t="s">
        <v>67</v>
      </c>
      <c r="C158" s="84"/>
      <c r="D158" s="84"/>
      <c r="E158" s="84"/>
      <c r="F158" s="84"/>
      <c r="G158" s="84"/>
      <c r="H158" s="84"/>
      <c r="I158" s="84"/>
      <c r="J158" s="84"/>
      <c r="K158" s="84"/>
      <c r="L158" s="84"/>
      <c r="M158" s="84"/>
      <c r="N158" s="84"/>
      <c r="O158" s="84"/>
      <c r="P158" s="85"/>
      <c r="Q158" s="85"/>
      <c r="R158" s="85"/>
      <c r="S158" s="86">
        <v>0.41460000000000002</v>
      </c>
      <c r="T158" s="26"/>
      <c r="U158" s="26"/>
      <c r="V158" s="196"/>
      <c r="W158" s="6"/>
    </row>
    <row r="159" spans="1:23" ht="15.6">
      <c r="A159" s="82"/>
      <c r="B159" s="83"/>
      <c r="C159" s="83"/>
      <c r="D159" s="83"/>
      <c r="E159" s="83"/>
      <c r="F159" s="83"/>
      <c r="G159" s="83"/>
      <c r="H159" s="83"/>
      <c r="I159" s="83"/>
      <c r="J159" s="83"/>
      <c r="K159" s="83"/>
      <c r="L159" s="83"/>
      <c r="M159" s="83"/>
      <c r="N159" s="83"/>
      <c r="O159" s="83"/>
      <c r="P159" s="26"/>
      <c r="Q159" s="26"/>
      <c r="R159" s="33"/>
      <c r="S159" s="88"/>
      <c r="T159" s="26"/>
      <c r="U159" s="89"/>
      <c r="V159" s="196"/>
      <c r="W159" s="6"/>
    </row>
    <row r="160" spans="1:23" ht="15.6">
      <c r="A160" s="80"/>
      <c r="B160" s="90"/>
      <c r="C160" s="90"/>
      <c r="D160" s="90"/>
      <c r="E160" s="90"/>
      <c r="F160" s="90"/>
      <c r="G160" s="90"/>
      <c r="H160" s="90"/>
      <c r="I160" s="90"/>
      <c r="J160" s="90"/>
      <c r="K160" s="90"/>
      <c r="L160" s="90"/>
      <c r="M160" s="90"/>
      <c r="N160" s="90"/>
      <c r="O160" s="90"/>
      <c r="P160" s="9"/>
      <c r="Q160" s="9"/>
      <c r="R160" s="20"/>
      <c r="S160" s="91"/>
      <c r="T160" s="9"/>
      <c r="U160" s="92"/>
      <c r="V160" s="194"/>
      <c r="W160" s="6"/>
    </row>
    <row r="161" spans="1:23" ht="16.2" thickBot="1">
      <c r="A161" s="136"/>
      <c r="B161" s="131" t="str">
        <f>+B110</f>
        <v>PPAF3 INVESTOR REPORT QUARTER ENDING JUNE 2007</v>
      </c>
      <c r="C161" s="137"/>
      <c r="D161" s="137"/>
      <c r="E161" s="137"/>
      <c r="F161" s="137"/>
      <c r="G161" s="137"/>
      <c r="H161" s="137"/>
      <c r="I161" s="137"/>
      <c r="J161" s="137"/>
      <c r="K161" s="137"/>
      <c r="L161" s="137"/>
      <c r="M161" s="137"/>
      <c r="N161" s="137"/>
      <c r="O161" s="137"/>
      <c r="P161" s="132"/>
      <c r="Q161" s="132"/>
      <c r="R161" s="138"/>
      <c r="S161" s="139"/>
      <c r="T161" s="132"/>
      <c r="U161" s="140"/>
      <c r="V161" s="134"/>
      <c r="W161" s="6"/>
    </row>
    <row r="162" spans="1:23" ht="15.6">
      <c r="A162" s="93"/>
      <c r="B162" s="94" t="s">
        <v>68</v>
      </c>
      <c r="C162" s="95"/>
      <c r="D162" s="95"/>
      <c r="E162" s="95"/>
      <c r="F162" s="95"/>
      <c r="G162" s="95"/>
      <c r="H162" s="95"/>
      <c r="I162" s="95"/>
      <c r="J162" s="95"/>
      <c r="K162" s="95"/>
      <c r="L162" s="95"/>
      <c r="M162" s="96"/>
      <c r="N162" s="95"/>
      <c r="O162" s="96"/>
      <c r="P162" s="95"/>
      <c r="Q162" s="96"/>
      <c r="R162" s="95" t="s">
        <v>94</v>
      </c>
      <c r="S162" s="96" t="s">
        <v>116</v>
      </c>
      <c r="T162" s="97"/>
      <c r="U162" s="97"/>
      <c r="V162" s="193"/>
      <c r="W162" s="6"/>
    </row>
    <row r="163" spans="1:23" ht="15.6">
      <c r="A163" s="98"/>
      <c r="B163" s="83" t="s">
        <v>216</v>
      </c>
      <c r="C163" s="61"/>
      <c r="D163" s="61"/>
      <c r="E163" s="61"/>
      <c r="F163" s="61"/>
      <c r="G163" s="61"/>
      <c r="H163" s="61"/>
      <c r="I163" s="61"/>
      <c r="J163" s="61"/>
      <c r="K163" s="61"/>
      <c r="L163" s="61"/>
      <c r="M163" s="61"/>
      <c r="N163" s="61"/>
      <c r="O163" s="26"/>
      <c r="P163" s="26"/>
      <c r="Q163" s="26"/>
      <c r="R163" s="59">
        <v>520</v>
      </c>
      <c r="S163" s="60">
        <v>16174</v>
      </c>
      <c r="T163" s="60"/>
      <c r="U163" s="89"/>
      <c r="V163" s="204"/>
      <c r="W163" s="6"/>
    </row>
    <row r="164" spans="1:23" ht="15.6">
      <c r="A164" s="98"/>
      <c r="B164" s="83" t="s">
        <v>217</v>
      </c>
      <c r="C164" s="61"/>
      <c r="D164" s="61"/>
      <c r="E164" s="61"/>
      <c r="F164" s="61"/>
      <c r="G164" s="61"/>
      <c r="H164" s="61"/>
      <c r="I164" s="61"/>
      <c r="J164" s="61"/>
      <c r="K164" s="61"/>
      <c r="L164" s="61"/>
      <c r="M164" s="61"/>
      <c r="N164" s="61"/>
      <c r="O164" s="26"/>
      <c r="P164" s="26"/>
      <c r="Q164" s="26"/>
      <c r="R164" s="26">
        <v>77</v>
      </c>
      <c r="S164" s="60">
        <v>1010</v>
      </c>
      <c r="T164" s="60"/>
      <c r="U164" s="89"/>
      <c r="V164" s="204"/>
      <c r="W164" s="6"/>
    </row>
    <row r="165" spans="1:23" ht="15.6">
      <c r="A165" s="98"/>
      <c r="B165" s="83" t="s">
        <v>218</v>
      </c>
      <c r="C165" s="61"/>
      <c r="D165" s="61"/>
      <c r="E165" s="61"/>
      <c r="F165" s="61"/>
      <c r="G165" s="61"/>
      <c r="H165" s="61"/>
      <c r="I165" s="61"/>
      <c r="J165" s="61"/>
      <c r="K165" s="61"/>
      <c r="L165" s="61"/>
      <c r="M165" s="61"/>
      <c r="N165" s="61"/>
      <c r="O165" s="26"/>
      <c r="P165" s="26"/>
      <c r="Q165" s="26"/>
      <c r="R165" s="26">
        <v>266</v>
      </c>
      <c r="S165" s="60">
        <v>364</v>
      </c>
      <c r="T165" s="60"/>
      <c r="U165" s="89"/>
      <c r="V165" s="204"/>
      <c r="W165" s="6"/>
    </row>
    <row r="166" spans="1:23" ht="15.6">
      <c r="A166" s="98"/>
      <c r="B166" s="83" t="s">
        <v>219</v>
      </c>
      <c r="C166" s="61"/>
      <c r="D166" s="61"/>
      <c r="E166" s="61"/>
      <c r="F166" s="61"/>
      <c r="G166" s="61"/>
      <c r="H166" s="61"/>
      <c r="I166" s="61"/>
      <c r="J166" s="61"/>
      <c r="K166" s="61"/>
      <c r="L166" s="61"/>
      <c r="M166" s="61"/>
      <c r="N166" s="61"/>
      <c r="O166" s="26"/>
      <c r="P166" s="26"/>
      <c r="Q166" s="26"/>
      <c r="R166" s="26">
        <v>451</v>
      </c>
      <c r="S166" s="60">
        <v>2402</v>
      </c>
      <c r="T166" s="60"/>
      <c r="U166" s="89"/>
      <c r="V166" s="204"/>
      <c r="W166" s="6"/>
    </row>
    <row r="167" spans="1:23" ht="15.6">
      <c r="A167" s="98"/>
      <c r="B167" s="83" t="s">
        <v>90</v>
      </c>
      <c r="C167" s="61"/>
      <c r="D167" s="61"/>
      <c r="E167" s="61"/>
      <c r="F167" s="61"/>
      <c r="G167" s="61"/>
      <c r="H167" s="61"/>
      <c r="I167" s="61"/>
      <c r="J167" s="61"/>
      <c r="K167" s="61"/>
      <c r="L167" s="61"/>
      <c r="M167" s="61"/>
      <c r="N167" s="61"/>
      <c r="O167" s="26"/>
      <c r="P167" s="26"/>
      <c r="Q167" s="26"/>
      <c r="R167" s="59">
        <f>SUM(R163:R166)</f>
        <v>1314</v>
      </c>
      <c r="S167" s="60">
        <f>SUM(S163:S166)</f>
        <v>19950</v>
      </c>
      <c r="T167" s="60"/>
      <c r="U167" s="89"/>
      <c r="V167" s="204"/>
      <c r="W167" s="6"/>
    </row>
    <row r="168" spans="1:23" ht="15.6">
      <c r="A168" s="98"/>
      <c r="B168" s="83"/>
      <c r="C168" s="61"/>
      <c r="D168" s="61"/>
      <c r="E168" s="61"/>
      <c r="F168" s="61"/>
      <c r="G168" s="61"/>
      <c r="H168" s="61"/>
      <c r="I168" s="61"/>
      <c r="J168" s="61"/>
      <c r="K168" s="61"/>
      <c r="L168" s="61"/>
      <c r="M168" s="61"/>
      <c r="N168" s="61"/>
      <c r="O168" s="26"/>
      <c r="P168" s="26"/>
      <c r="Q168" s="26"/>
      <c r="R168" s="26"/>
      <c r="S168" s="60"/>
      <c r="T168" s="60"/>
      <c r="U168" s="89"/>
      <c r="V168" s="204"/>
      <c r="W168" s="6"/>
    </row>
    <row r="169" spans="1:23" ht="15.6">
      <c r="A169" s="98"/>
      <c r="B169" s="83" t="s">
        <v>220</v>
      </c>
      <c r="C169" s="61"/>
      <c r="D169" s="61"/>
      <c r="E169" s="61"/>
      <c r="F169" s="61"/>
      <c r="G169" s="61"/>
      <c r="H169" s="61"/>
      <c r="I169" s="61"/>
      <c r="J169" s="61"/>
      <c r="K169" s="61"/>
      <c r="L169" s="61"/>
      <c r="M169" s="61"/>
      <c r="N169" s="61"/>
      <c r="O169" s="26"/>
      <c r="P169" s="26"/>
      <c r="Q169" s="26"/>
      <c r="R169" s="26">
        <v>35</v>
      </c>
      <c r="S169" s="60">
        <v>660</v>
      </c>
      <c r="T169" s="60"/>
      <c r="U169" s="89"/>
      <c r="V169" s="204"/>
      <c r="W169" s="6"/>
    </row>
    <row r="170" spans="1:23" ht="15.6">
      <c r="A170" s="98"/>
      <c r="B170" s="83" t="s">
        <v>224</v>
      </c>
      <c r="C170" s="61"/>
      <c r="D170" s="61"/>
      <c r="E170" s="61"/>
      <c r="F170" s="61"/>
      <c r="G170" s="61"/>
      <c r="H170" s="61"/>
      <c r="I170" s="61"/>
      <c r="J170" s="61"/>
      <c r="K170" s="61"/>
      <c r="L170" s="61"/>
      <c r="M170" s="61"/>
      <c r="N170" s="61"/>
      <c r="O170" s="26"/>
      <c r="P170" s="26"/>
      <c r="Q170" s="26"/>
      <c r="R170" s="26">
        <v>14</v>
      </c>
      <c r="S170" s="60">
        <v>400</v>
      </c>
      <c r="T170" s="60"/>
      <c r="U170" s="89"/>
      <c r="V170" s="204"/>
      <c r="W170" s="6"/>
    </row>
    <row r="171" spans="1:23" ht="15.6">
      <c r="A171" s="98"/>
      <c r="B171" s="156" t="s">
        <v>69</v>
      </c>
      <c r="C171" s="61"/>
      <c r="D171" s="61"/>
      <c r="E171" s="61"/>
      <c r="F171" s="61"/>
      <c r="G171" s="61"/>
      <c r="H171" s="61"/>
      <c r="I171" s="61"/>
      <c r="J171" s="61"/>
      <c r="K171" s="61"/>
      <c r="L171" s="61"/>
      <c r="M171" s="61"/>
      <c r="N171" s="61"/>
      <c r="O171" s="26"/>
      <c r="P171" s="26"/>
      <c r="Q171" s="26"/>
      <c r="R171" s="26"/>
      <c r="S171" s="60">
        <v>0</v>
      </c>
      <c r="T171" s="26"/>
      <c r="U171" s="89"/>
      <c r="V171" s="204"/>
      <c r="W171" s="6"/>
    </row>
    <row r="172" spans="1:23" ht="15.6">
      <c r="A172" s="98"/>
      <c r="B172" s="156" t="s">
        <v>70</v>
      </c>
      <c r="C172" s="61"/>
      <c r="D172" s="61"/>
      <c r="E172" s="61"/>
      <c r="F172" s="61"/>
      <c r="G172" s="61"/>
      <c r="H172" s="61"/>
      <c r="I172" s="61"/>
      <c r="J172" s="61"/>
      <c r="K172" s="61"/>
      <c r="L172" s="61"/>
      <c r="M172" s="61"/>
      <c r="N172" s="61"/>
      <c r="O172" s="26"/>
      <c r="P172" s="26"/>
      <c r="Q172" s="26"/>
      <c r="R172" s="26"/>
      <c r="S172" s="60">
        <f>Q76</f>
        <v>56557</v>
      </c>
      <c r="T172" s="26"/>
      <c r="U172" s="89"/>
      <c r="V172" s="204"/>
      <c r="W172" s="6"/>
    </row>
    <row r="173" spans="1:23" ht="15.6">
      <c r="A173" s="101"/>
      <c r="B173" s="156" t="s">
        <v>71</v>
      </c>
      <c r="C173" s="61"/>
      <c r="D173" s="61"/>
      <c r="E173" s="61"/>
      <c r="F173" s="61"/>
      <c r="G173" s="61"/>
      <c r="H173" s="61"/>
      <c r="I173" s="61"/>
      <c r="J173" s="61"/>
      <c r="K173" s="61"/>
      <c r="L173" s="61"/>
      <c r="M173" s="83"/>
      <c r="N173" s="83"/>
      <c r="O173" s="83"/>
      <c r="P173" s="26"/>
      <c r="Q173" s="26"/>
      <c r="R173" s="26"/>
      <c r="S173" s="102"/>
      <c r="T173" s="26"/>
      <c r="U173" s="89"/>
      <c r="V173" s="205"/>
      <c r="W173" s="6"/>
    </row>
    <row r="174" spans="1:23" ht="15.6">
      <c r="A174" s="98"/>
      <c r="B174" s="83" t="s">
        <v>72</v>
      </c>
      <c r="C174" s="61"/>
      <c r="D174" s="61"/>
      <c r="E174" s="61"/>
      <c r="F174" s="61"/>
      <c r="G174" s="61"/>
      <c r="H174" s="61"/>
      <c r="I174" s="61"/>
      <c r="J174" s="61"/>
      <c r="K174" s="61"/>
      <c r="L174" s="61"/>
      <c r="M174" s="61"/>
      <c r="N174" s="61"/>
      <c r="O174" s="61"/>
      <c r="P174" s="26"/>
      <c r="Q174" s="26"/>
      <c r="R174" s="26"/>
      <c r="S174" s="60">
        <f>U129</f>
        <v>3203</v>
      </c>
      <c r="T174" s="26"/>
      <c r="U174" s="89"/>
      <c r="V174" s="205"/>
      <c r="W174" s="6"/>
    </row>
    <row r="175" spans="1:23" ht="15.6">
      <c r="A175" s="98"/>
      <c r="B175" s="83" t="s">
        <v>73</v>
      </c>
      <c r="C175" s="61"/>
      <c r="D175" s="61"/>
      <c r="E175" s="61"/>
      <c r="F175" s="61"/>
      <c r="G175" s="61"/>
      <c r="H175" s="61"/>
      <c r="I175" s="61"/>
      <c r="J175" s="61"/>
      <c r="K175" s="61"/>
      <c r="L175" s="61"/>
      <c r="M175" s="61"/>
      <c r="N175" s="61"/>
      <c r="O175" s="61"/>
      <c r="P175" s="26"/>
      <c r="Q175" s="26"/>
      <c r="R175" s="26"/>
      <c r="S175" s="60">
        <f>+'March 07'!S175+S174</f>
        <v>35171</v>
      </c>
      <c r="T175" s="26"/>
      <c r="U175" s="89"/>
      <c r="V175" s="205"/>
      <c r="W175" s="6"/>
    </row>
    <row r="176" spans="1:23" ht="15.6">
      <c r="A176" s="98"/>
      <c r="B176" s="83" t="s">
        <v>74</v>
      </c>
      <c r="C176" s="61"/>
      <c r="D176" s="61"/>
      <c r="E176" s="61"/>
      <c r="F176" s="61"/>
      <c r="G176" s="61"/>
      <c r="H176" s="61"/>
      <c r="I176" s="61"/>
      <c r="J176" s="61"/>
      <c r="K176" s="61"/>
      <c r="L176" s="61"/>
      <c r="M176" s="61"/>
      <c r="N176" s="61"/>
      <c r="O176" s="61"/>
      <c r="P176" s="26"/>
      <c r="Q176" s="26"/>
      <c r="R176" s="26"/>
      <c r="S176" s="60">
        <f>+'March 07'!S176+735</f>
        <v>4921</v>
      </c>
      <c r="T176" s="26"/>
      <c r="U176" s="89"/>
      <c r="V176" s="205"/>
      <c r="W176" s="6"/>
    </row>
    <row r="177" spans="1:23" ht="15.6">
      <c r="A177" s="98"/>
      <c r="B177" s="83"/>
      <c r="C177" s="61"/>
      <c r="D177" s="61"/>
      <c r="E177" s="61"/>
      <c r="F177" s="61"/>
      <c r="G177" s="61"/>
      <c r="H177" s="61"/>
      <c r="I177" s="61"/>
      <c r="J177" s="61"/>
      <c r="K177" s="61"/>
      <c r="L177" s="61"/>
      <c r="M177" s="61"/>
      <c r="N177" s="61"/>
      <c r="O177" s="61"/>
      <c r="P177" s="26"/>
      <c r="Q177" s="26"/>
      <c r="R177" s="26"/>
      <c r="S177" s="60"/>
      <c r="T177" s="26"/>
      <c r="U177" s="89"/>
      <c r="V177" s="205"/>
      <c r="W177" s="6"/>
    </row>
    <row r="178" spans="1:23" ht="15.6">
      <c r="A178" s="101"/>
      <c r="B178" s="156" t="s">
        <v>259</v>
      </c>
      <c r="C178" s="61"/>
      <c r="D178" s="61"/>
      <c r="E178" s="61"/>
      <c r="F178" s="61"/>
      <c r="G178" s="61"/>
      <c r="H178" s="61"/>
      <c r="I178" s="61"/>
      <c r="J178" s="61"/>
      <c r="K178" s="61"/>
      <c r="L178" s="61"/>
      <c r="M178" s="83"/>
      <c r="N178" s="83"/>
      <c r="O178" s="83"/>
      <c r="P178" s="26"/>
      <c r="Q178" s="26"/>
      <c r="R178" s="26"/>
      <c r="S178" s="79"/>
      <c r="T178" s="26"/>
      <c r="U178" s="89"/>
      <c r="V178" s="205"/>
      <c r="W178" s="6"/>
    </row>
    <row r="179" spans="1:23" ht="15.6">
      <c r="A179" s="101"/>
      <c r="B179" s="83" t="s">
        <v>254</v>
      </c>
      <c r="C179" s="61"/>
      <c r="D179" s="61"/>
      <c r="E179" s="61"/>
      <c r="F179" s="61"/>
      <c r="G179" s="61"/>
      <c r="H179" s="61"/>
      <c r="I179" s="61"/>
      <c r="J179" s="61"/>
      <c r="K179" s="61"/>
      <c r="L179" s="61"/>
      <c r="M179" s="83"/>
      <c r="N179" s="83"/>
      <c r="O179" s="83"/>
      <c r="P179" s="26"/>
      <c r="Q179" s="26"/>
      <c r="R179" s="26"/>
      <c r="S179" s="79">
        <v>7</v>
      </c>
      <c r="T179" s="26"/>
      <c r="U179" s="89"/>
      <c r="V179" s="205"/>
      <c r="W179" s="6"/>
    </row>
    <row r="180" spans="1:23" ht="15.6">
      <c r="A180" s="98"/>
      <c r="B180" s="83" t="s">
        <v>75</v>
      </c>
      <c r="C180" s="61"/>
      <c r="D180" s="61"/>
      <c r="E180" s="61"/>
      <c r="F180" s="61"/>
      <c r="G180" s="61"/>
      <c r="H180" s="61"/>
      <c r="I180" s="61"/>
      <c r="J180" s="61"/>
      <c r="K180" s="61"/>
      <c r="L180" s="61"/>
      <c r="M180" s="104"/>
      <c r="N180" s="104"/>
      <c r="O180" s="105"/>
      <c r="P180" s="26"/>
      <c r="Q180" s="26"/>
      <c r="R180" s="26"/>
      <c r="S180" s="191">
        <v>12.2</v>
      </c>
      <c r="T180" s="26"/>
      <c r="U180" s="89"/>
      <c r="V180" s="205"/>
      <c r="W180" s="6"/>
    </row>
    <row r="181" spans="1:23" ht="15.6">
      <c r="A181" s="98"/>
      <c r="B181" s="83" t="s">
        <v>76</v>
      </c>
      <c r="C181" s="61"/>
      <c r="D181" s="61"/>
      <c r="E181" s="61"/>
      <c r="F181" s="61"/>
      <c r="G181" s="61"/>
      <c r="H181" s="61"/>
      <c r="I181" s="61"/>
      <c r="J181" s="61"/>
      <c r="K181" s="61"/>
      <c r="L181" s="61"/>
      <c r="M181" s="104"/>
      <c r="N181" s="104"/>
      <c r="O181" s="105"/>
      <c r="P181" s="26"/>
      <c r="Q181" s="26"/>
      <c r="R181" s="26"/>
      <c r="S181" s="191">
        <v>156.57</v>
      </c>
      <c r="T181" s="26"/>
      <c r="U181" s="89"/>
      <c r="V181" s="205"/>
      <c r="W181" s="6"/>
    </row>
    <row r="182" spans="1:23" ht="15.6">
      <c r="A182" s="98"/>
      <c r="B182" s="83"/>
      <c r="C182" s="61"/>
      <c r="D182" s="61"/>
      <c r="E182" s="61"/>
      <c r="F182" s="61"/>
      <c r="G182" s="61"/>
      <c r="H182" s="61"/>
      <c r="I182" s="61"/>
      <c r="J182" s="61"/>
      <c r="K182" s="61"/>
      <c r="L182" s="61"/>
      <c r="M182" s="106"/>
      <c r="N182" s="104"/>
      <c r="O182" s="105"/>
      <c r="P182" s="26"/>
      <c r="Q182" s="26"/>
      <c r="R182" s="26"/>
      <c r="S182" s="79"/>
      <c r="T182" s="26"/>
      <c r="U182" s="89"/>
      <c r="V182" s="205"/>
      <c r="W182" s="6"/>
    </row>
    <row r="183" spans="1:23" ht="15.6">
      <c r="A183" s="98"/>
      <c r="B183" s="156" t="s">
        <v>77</v>
      </c>
      <c r="C183" s="61"/>
      <c r="D183" s="61"/>
      <c r="E183" s="61"/>
      <c r="F183" s="61"/>
      <c r="G183" s="61"/>
      <c r="H183" s="61"/>
      <c r="I183" s="61"/>
      <c r="J183" s="61"/>
      <c r="K183" s="61"/>
      <c r="L183" s="61"/>
      <c r="M183" s="61"/>
      <c r="N183" s="106"/>
      <c r="O183" s="104"/>
      <c r="P183" s="105"/>
      <c r="Q183" s="26"/>
      <c r="R183" s="33"/>
      <c r="S183" s="33"/>
      <c r="T183" s="107"/>
      <c r="U183" s="33"/>
      <c r="V183" s="206"/>
      <c r="W183" s="6"/>
    </row>
    <row r="184" spans="1:23" ht="15.6">
      <c r="A184" s="98"/>
      <c r="B184" s="83" t="s">
        <v>78</v>
      </c>
      <c r="C184" s="61"/>
      <c r="D184" s="61"/>
      <c r="E184" s="61"/>
      <c r="F184" s="61"/>
      <c r="G184" s="61"/>
      <c r="H184" s="61"/>
      <c r="I184" s="61"/>
      <c r="J184" s="61"/>
      <c r="K184" s="61"/>
      <c r="L184" s="61"/>
      <c r="M184" s="61"/>
      <c r="N184" s="106"/>
      <c r="O184" s="104"/>
      <c r="P184" s="105"/>
      <c r="Q184" s="26"/>
      <c r="R184" s="33"/>
      <c r="S184" s="108">
        <v>117</v>
      </c>
      <c r="T184" s="108"/>
      <c r="U184" s="33"/>
      <c r="V184" s="206"/>
      <c r="W184" s="6"/>
    </row>
    <row r="185" spans="1:23" ht="15.6">
      <c r="A185" s="98"/>
      <c r="B185" s="83" t="s">
        <v>75</v>
      </c>
      <c r="C185" s="61"/>
      <c r="D185" s="61"/>
      <c r="E185" s="61"/>
      <c r="F185" s="61"/>
      <c r="G185" s="61"/>
      <c r="H185" s="61"/>
      <c r="I185" s="61"/>
      <c r="J185" s="61"/>
      <c r="K185" s="61"/>
      <c r="L185" s="61"/>
      <c r="M185" s="61"/>
      <c r="N185" s="106"/>
      <c r="O185" s="104"/>
      <c r="P185" s="105"/>
      <c r="Q185" s="26"/>
      <c r="R185" s="33"/>
      <c r="S185" s="108">
        <v>4.47</v>
      </c>
      <c r="T185" s="108"/>
      <c r="U185" s="33"/>
      <c r="V185" s="206"/>
      <c r="W185" s="6"/>
    </row>
    <row r="186" spans="1:23" ht="15.6">
      <c r="A186" s="98"/>
      <c r="B186" s="83" t="s">
        <v>79</v>
      </c>
      <c r="C186" s="61"/>
      <c r="D186" s="61"/>
      <c r="E186" s="61"/>
      <c r="F186" s="61"/>
      <c r="G186" s="61"/>
      <c r="H186" s="61"/>
      <c r="I186" s="61"/>
      <c r="J186" s="61"/>
      <c r="K186" s="61"/>
      <c r="L186" s="61"/>
      <c r="M186" s="61"/>
      <c r="N186" s="106"/>
      <c r="O186" s="104"/>
      <c r="P186" s="105"/>
      <c r="Q186" s="26"/>
      <c r="R186" s="33"/>
      <c r="S186" s="108">
        <v>87.51</v>
      </c>
      <c r="T186" s="108"/>
      <c r="U186" s="33"/>
      <c r="V186" s="206"/>
      <c r="W186" s="6"/>
    </row>
    <row r="187" spans="1:23" ht="15.6">
      <c r="A187" s="98"/>
      <c r="B187" s="83"/>
      <c r="C187" s="61"/>
      <c r="D187" s="61"/>
      <c r="E187" s="61"/>
      <c r="F187" s="61"/>
      <c r="G187" s="61"/>
      <c r="H187" s="61"/>
      <c r="I187" s="61"/>
      <c r="J187" s="61"/>
      <c r="K187" s="61"/>
      <c r="L187" s="61"/>
      <c r="M187" s="106"/>
      <c r="N187" s="104"/>
      <c r="O187" s="105"/>
      <c r="P187" s="26"/>
      <c r="Q187" s="26"/>
      <c r="R187" s="26"/>
      <c r="S187" s="79"/>
      <c r="T187" s="26"/>
      <c r="U187" s="89"/>
      <c r="V187" s="205"/>
      <c r="W187" s="6"/>
    </row>
    <row r="188" spans="1:23" ht="17.399999999999999">
      <c r="A188" s="98"/>
      <c r="B188" s="180" t="s">
        <v>196</v>
      </c>
      <c r="C188" s="61"/>
      <c r="D188" s="61"/>
      <c r="E188" s="61"/>
      <c r="F188" s="61"/>
      <c r="G188" s="61"/>
      <c r="H188" s="61"/>
      <c r="I188" s="61"/>
      <c r="J188" s="61"/>
      <c r="K188" s="181" t="s">
        <v>195</v>
      </c>
      <c r="L188" s="61"/>
      <c r="M188" s="106"/>
      <c r="N188" s="104"/>
      <c r="O188" s="105"/>
      <c r="P188" s="26"/>
      <c r="Q188" s="26"/>
      <c r="R188" s="26"/>
      <c r="S188" s="79"/>
      <c r="T188" s="26"/>
      <c r="U188" s="89"/>
      <c r="V188" s="205"/>
      <c r="W188" s="6"/>
    </row>
    <row r="189" spans="1:23" ht="15.6">
      <c r="A189" s="25"/>
      <c r="B189" s="109" t="s">
        <v>80</v>
      </c>
      <c r="C189" s="110"/>
      <c r="D189" s="110"/>
      <c r="E189" s="110"/>
      <c r="F189" s="110"/>
      <c r="G189" s="110"/>
      <c r="H189" s="110"/>
      <c r="I189" s="110"/>
      <c r="J189" s="110"/>
      <c r="K189" s="110"/>
      <c r="L189" s="110"/>
      <c r="M189" s="111"/>
      <c r="N189" s="110"/>
      <c r="O189" s="111"/>
      <c r="P189" s="110"/>
      <c r="Q189" s="111"/>
      <c r="R189" s="110"/>
      <c r="S189" s="111"/>
      <c r="T189" s="110"/>
      <c r="U189" s="112"/>
      <c r="V189" s="205"/>
      <c r="W189" s="6"/>
    </row>
    <row r="190" spans="1:23" ht="15.6">
      <c r="A190" s="25"/>
      <c r="B190" s="30"/>
      <c r="C190" s="189"/>
      <c r="D190" s="189"/>
      <c r="E190" s="189"/>
      <c r="F190" s="189"/>
      <c r="G190" s="189"/>
      <c r="H190" s="189"/>
      <c r="I190" s="189"/>
      <c r="J190" s="189"/>
      <c r="K190" s="189"/>
      <c r="L190" s="189"/>
      <c r="M190" s="109" t="s">
        <v>100</v>
      </c>
      <c r="N190" s="110"/>
      <c r="O190" s="111"/>
      <c r="P190" s="110"/>
      <c r="Q190" s="109" t="s">
        <v>26</v>
      </c>
      <c r="R190" s="110"/>
      <c r="S190" s="111"/>
      <c r="T190" s="110"/>
      <c r="U190" s="112"/>
      <c r="V190" s="205"/>
      <c r="W190" s="6"/>
    </row>
    <row r="191" spans="1:23" ht="15.6">
      <c r="A191" s="25"/>
      <c r="B191" s="189"/>
      <c r="C191" s="111"/>
      <c r="D191" s="111"/>
      <c r="E191" s="111"/>
      <c r="F191" s="111"/>
      <c r="G191" s="111"/>
      <c r="H191" s="111"/>
      <c r="I191" s="111"/>
      <c r="J191" s="111"/>
      <c r="K191" s="111"/>
      <c r="L191" s="111" t="s">
        <v>94</v>
      </c>
      <c r="M191" s="110" t="s">
        <v>101</v>
      </c>
      <c r="N191" s="111" t="s">
        <v>103</v>
      </c>
      <c r="O191" s="110" t="s">
        <v>101</v>
      </c>
      <c r="P191" s="110"/>
      <c r="Q191" s="111" t="s">
        <v>94</v>
      </c>
      <c r="R191" s="110" t="s">
        <v>101</v>
      </c>
      <c r="S191" s="111" t="s">
        <v>103</v>
      </c>
      <c r="T191" s="110" t="s">
        <v>101</v>
      </c>
      <c r="U191" s="112"/>
      <c r="V191" s="205"/>
      <c r="W191" s="6"/>
    </row>
    <row r="192" spans="1:23" ht="15.6">
      <c r="A192" s="25"/>
      <c r="B192" s="61" t="s">
        <v>81</v>
      </c>
      <c r="C192" s="113"/>
      <c r="D192" s="113"/>
      <c r="E192" s="113"/>
      <c r="F192" s="113"/>
      <c r="G192" s="113"/>
      <c r="H192" s="113"/>
      <c r="I192" s="113"/>
      <c r="J192" s="113"/>
      <c r="K192" s="113"/>
      <c r="L192" s="113">
        <v>7486</v>
      </c>
      <c r="M192" s="86">
        <f t="shared" ref="M192:M198" si="0">+L192/$L$199</f>
        <v>0.89749430523917995</v>
      </c>
      <c r="N192" s="113">
        <v>30168</v>
      </c>
      <c r="O192" s="86">
        <f t="shared" ref="O192:O198" si="1">N192/$N$199</f>
        <v>0.87684929516058707</v>
      </c>
      <c r="P192" s="110"/>
      <c r="Q192" s="113">
        <v>36719</v>
      </c>
      <c r="R192" s="86">
        <f t="shared" ref="R192:R198" si="2">+Q192/$Q$199</f>
        <v>0.98511026452755268</v>
      </c>
      <c r="S192" s="113">
        <v>40828</v>
      </c>
      <c r="T192" s="86">
        <f t="shared" ref="T192:T198" si="3">+S192/$S$199</f>
        <v>0.98172549773973261</v>
      </c>
      <c r="U192" s="112"/>
      <c r="V192" s="205"/>
      <c r="W192" s="6"/>
    </row>
    <row r="193" spans="1:24" ht="15.6">
      <c r="A193" s="25"/>
      <c r="B193" s="61" t="s">
        <v>82</v>
      </c>
      <c r="C193" s="113"/>
      <c r="D193" s="113"/>
      <c r="E193" s="113"/>
      <c r="F193" s="113"/>
      <c r="G193" s="113"/>
      <c r="H193" s="113"/>
      <c r="I193" s="113"/>
      <c r="J193" s="113"/>
      <c r="K193" s="113"/>
      <c r="L193" s="113">
        <v>112</v>
      </c>
      <c r="M193" s="86">
        <f t="shared" si="0"/>
        <v>1.3427646565160052E-2</v>
      </c>
      <c r="N193" s="113">
        <v>538</v>
      </c>
      <c r="O193" s="86">
        <f t="shared" si="1"/>
        <v>1.5637262025868334E-2</v>
      </c>
      <c r="P193" s="110"/>
      <c r="Q193" s="113">
        <v>73</v>
      </c>
      <c r="R193" s="86">
        <f t="shared" si="2"/>
        <v>1.9584697107903632E-3</v>
      </c>
      <c r="S193" s="113">
        <v>112</v>
      </c>
      <c r="T193" s="86">
        <f t="shared" si="3"/>
        <v>2.6930845436183514E-3</v>
      </c>
      <c r="U193" s="112"/>
      <c r="V193" s="205"/>
      <c r="W193" s="6"/>
    </row>
    <row r="194" spans="1:24" ht="15.6">
      <c r="A194" s="25"/>
      <c r="B194" s="61" t="s">
        <v>83</v>
      </c>
      <c r="C194" s="113"/>
      <c r="D194" s="113"/>
      <c r="E194" s="113"/>
      <c r="F194" s="113"/>
      <c r="G194" s="113"/>
      <c r="H194" s="113"/>
      <c r="I194" s="113"/>
      <c r="J194" s="113"/>
      <c r="K194" s="113"/>
      <c r="L194" s="113">
        <v>98</v>
      </c>
      <c r="M194" s="86">
        <f t="shared" si="0"/>
        <v>1.1749190744515046E-2</v>
      </c>
      <c r="N194" s="113">
        <v>433</v>
      </c>
      <c r="O194" s="86">
        <f t="shared" si="1"/>
        <v>1.2585380031972097E-2</v>
      </c>
      <c r="P194" s="110"/>
      <c r="Q194" s="113">
        <v>63</v>
      </c>
      <c r="R194" s="86">
        <f t="shared" si="2"/>
        <v>1.6901861887642861E-3</v>
      </c>
      <c r="S194" s="113">
        <v>91</v>
      </c>
      <c r="T194" s="86">
        <f t="shared" si="3"/>
        <v>2.1881311916899107E-3</v>
      </c>
      <c r="U194" s="112"/>
      <c r="V194" s="205"/>
      <c r="W194" s="6"/>
    </row>
    <row r="195" spans="1:24" ht="15.6">
      <c r="A195" s="25"/>
      <c r="B195" s="61" t="s">
        <v>186</v>
      </c>
      <c r="C195" s="113"/>
      <c r="D195" s="113"/>
      <c r="E195" s="113"/>
      <c r="F195" s="113"/>
      <c r="G195" s="113"/>
      <c r="H195" s="113"/>
      <c r="I195" s="113"/>
      <c r="J195" s="113"/>
      <c r="K195" s="113"/>
      <c r="L195" s="113">
        <v>73</v>
      </c>
      <c r="M195" s="86">
        <f t="shared" si="0"/>
        <v>8.751948207648963E-3</v>
      </c>
      <c r="N195" s="113">
        <v>367</v>
      </c>
      <c r="O195" s="86">
        <f t="shared" si="1"/>
        <v>1.066705420723732E-2</v>
      </c>
      <c r="P195" s="110"/>
      <c r="Q195" s="113">
        <v>62</v>
      </c>
      <c r="R195" s="86">
        <f t="shared" si="2"/>
        <v>1.6633578365616783E-3</v>
      </c>
      <c r="S195" s="113">
        <v>91</v>
      </c>
      <c r="T195" s="86">
        <f t="shared" si="3"/>
        <v>2.1881311916899107E-3</v>
      </c>
      <c r="U195" s="112"/>
      <c r="V195" s="205"/>
      <c r="W195" s="6"/>
    </row>
    <row r="196" spans="1:24" ht="15.6">
      <c r="A196" s="25"/>
      <c r="B196" s="61" t="s">
        <v>187</v>
      </c>
      <c r="C196" s="113"/>
      <c r="D196" s="113"/>
      <c r="E196" s="113"/>
      <c r="F196" s="113"/>
      <c r="G196" s="113"/>
      <c r="H196" s="113"/>
      <c r="I196" s="113"/>
      <c r="J196" s="113"/>
      <c r="K196" s="113"/>
      <c r="L196" s="113">
        <v>69</v>
      </c>
      <c r="M196" s="86">
        <f t="shared" si="0"/>
        <v>8.2723894017503897E-3</v>
      </c>
      <c r="N196" s="113">
        <v>317</v>
      </c>
      <c r="O196" s="86">
        <f t="shared" si="1"/>
        <v>9.2137770672867311E-3</v>
      </c>
      <c r="P196" s="110"/>
      <c r="Q196" s="113">
        <v>52</v>
      </c>
      <c r="R196" s="86">
        <f t="shared" si="2"/>
        <v>1.3950743145356012E-3</v>
      </c>
      <c r="S196" s="113">
        <v>56</v>
      </c>
      <c r="T196" s="86">
        <f t="shared" si="3"/>
        <v>1.3465422718091757E-3</v>
      </c>
      <c r="U196" s="112"/>
      <c r="V196" s="205"/>
      <c r="W196" s="6"/>
    </row>
    <row r="197" spans="1:24" ht="15.6">
      <c r="A197" s="25"/>
      <c r="B197" s="61" t="s">
        <v>188</v>
      </c>
      <c r="C197" s="113"/>
      <c r="D197" s="113"/>
      <c r="E197" s="113"/>
      <c r="F197" s="113"/>
      <c r="G197" s="113"/>
      <c r="H197" s="113"/>
      <c r="I197" s="113"/>
      <c r="J197" s="113"/>
      <c r="K197" s="113"/>
      <c r="L197" s="113">
        <v>75</v>
      </c>
      <c r="M197" s="86">
        <f t="shared" si="0"/>
        <v>8.9917276105982488E-3</v>
      </c>
      <c r="N197" s="113">
        <v>285</v>
      </c>
      <c r="O197" s="86">
        <f t="shared" si="1"/>
        <v>8.2836796977183557E-3</v>
      </c>
      <c r="P197" s="110"/>
      <c r="Q197" s="113">
        <v>49</v>
      </c>
      <c r="R197" s="86">
        <f t="shared" si="2"/>
        <v>1.314589257927778E-3</v>
      </c>
      <c r="S197" s="113">
        <v>54</v>
      </c>
      <c r="T197" s="86">
        <f t="shared" si="3"/>
        <v>1.2984514763874195E-3</v>
      </c>
      <c r="U197" s="112"/>
      <c r="V197" s="205"/>
      <c r="W197" s="6"/>
    </row>
    <row r="198" spans="1:24" ht="15.6">
      <c r="A198" s="25"/>
      <c r="B198" s="61" t="s">
        <v>189</v>
      </c>
      <c r="C198" s="113"/>
      <c r="D198" s="113"/>
      <c r="E198" s="113"/>
      <c r="F198" s="113"/>
      <c r="G198" s="113"/>
      <c r="H198" s="113"/>
      <c r="I198" s="113"/>
      <c r="J198" s="113"/>
      <c r="K198" s="113"/>
      <c r="L198" s="113">
        <v>428</v>
      </c>
      <c r="M198" s="86">
        <f t="shared" si="0"/>
        <v>5.1312792231147347E-2</v>
      </c>
      <c r="N198" s="113">
        <v>2297</v>
      </c>
      <c r="O198" s="86">
        <f t="shared" si="1"/>
        <v>6.6763551809330038E-2</v>
      </c>
      <c r="P198" s="110"/>
      <c r="Q198" s="113">
        <v>256</v>
      </c>
      <c r="R198" s="86">
        <f t="shared" si="2"/>
        <v>6.8680581638675756E-3</v>
      </c>
      <c r="S198" s="113">
        <v>356</v>
      </c>
      <c r="T198" s="86">
        <f t="shared" si="3"/>
        <v>8.5601615850726172E-3</v>
      </c>
      <c r="U198" s="112"/>
      <c r="V198" s="205"/>
      <c r="W198" s="6"/>
    </row>
    <row r="199" spans="1:24" ht="15.6">
      <c r="A199" s="25"/>
      <c r="B199" s="61" t="s">
        <v>84</v>
      </c>
      <c r="C199" s="113"/>
      <c r="D199" s="113"/>
      <c r="E199" s="113"/>
      <c r="F199" s="113"/>
      <c r="G199" s="113"/>
      <c r="H199" s="113"/>
      <c r="I199" s="113"/>
      <c r="J199" s="113"/>
      <c r="K199" s="113"/>
      <c r="L199" s="113">
        <f>SUM(L192:L198)</f>
        <v>8341</v>
      </c>
      <c r="M199" s="86">
        <f>SUM(M192:M198)</f>
        <v>1</v>
      </c>
      <c r="N199" s="113">
        <f>SUM(N192:N198)</f>
        <v>34405</v>
      </c>
      <c r="O199" s="86">
        <f>SUM(O192:O198)</f>
        <v>1</v>
      </c>
      <c r="P199" s="110"/>
      <c r="Q199" s="113">
        <f>SUM(Q192:Q198)</f>
        <v>37274</v>
      </c>
      <c r="R199" s="86">
        <f>SUM(R192:R198)</f>
        <v>1</v>
      </c>
      <c r="S199" s="113">
        <f>SUM(S192:S198)</f>
        <v>41588</v>
      </c>
      <c r="T199" s="86">
        <f>SUM(T192:T198)</f>
        <v>1</v>
      </c>
      <c r="U199" s="112"/>
      <c r="V199" s="205"/>
      <c r="W199" s="6"/>
      <c r="X199" s="64"/>
    </row>
    <row r="200" spans="1:24" ht="15.6">
      <c r="A200" s="25"/>
      <c r="B200" s="61" t="s">
        <v>85</v>
      </c>
      <c r="C200" s="113"/>
      <c r="D200" s="113"/>
      <c r="E200" s="113"/>
      <c r="F200" s="113"/>
      <c r="G200" s="113"/>
      <c r="H200" s="113"/>
      <c r="I200" s="113"/>
      <c r="J200" s="113"/>
      <c r="K200" s="113"/>
      <c r="L200" s="113">
        <v>874</v>
      </c>
      <c r="M200" s="114"/>
      <c r="N200" s="113">
        <v>6475</v>
      </c>
      <c r="O200" s="114"/>
      <c r="P200" s="110"/>
      <c r="Q200" s="113">
        <v>302</v>
      </c>
      <c r="R200" s="114"/>
      <c r="S200" s="113">
        <v>501</v>
      </c>
      <c r="T200" s="114"/>
      <c r="U200" s="112"/>
      <c r="V200" s="205"/>
      <c r="W200" s="6"/>
      <c r="X200" s="64"/>
    </row>
    <row r="201" spans="1:24" ht="15.6">
      <c r="A201" s="25"/>
      <c r="B201" s="61" t="s">
        <v>86</v>
      </c>
      <c r="C201" s="113"/>
      <c r="D201" s="113"/>
      <c r="E201" s="113"/>
      <c r="F201" s="113"/>
      <c r="G201" s="113"/>
      <c r="H201" s="113"/>
      <c r="I201" s="113"/>
      <c r="J201" s="113"/>
      <c r="K201" s="113"/>
      <c r="L201" s="113">
        <f>SUM(L199:L200)</f>
        <v>9215</v>
      </c>
      <c r="M201" s="189"/>
      <c r="N201" s="113">
        <f>SUM(N199:N200)</f>
        <v>40880</v>
      </c>
      <c r="O201" s="115"/>
      <c r="P201" s="189"/>
      <c r="Q201" s="113">
        <f>SUM(Q199:Q200)</f>
        <v>37576</v>
      </c>
      <c r="R201" s="189"/>
      <c r="S201" s="113">
        <f>SUM(S199:S200)</f>
        <v>42089</v>
      </c>
      <c r="T201" s="189"/>
      <c r="U201" s="189"/>
      <c r="V201" s="205"/>
      <c r="W201" s="6"/>
      <c r="X201" s="64"/>
    </row>
    <row r="202" spans="1:24" ht="15.6">
      <c r="A202" s="25"/>
      <c r="B202" s="61"/>
      <c r="C202" s="113"/>
      <c r="D202" s="113"/>
      <c r="E202" s="113"/>
      <c r="F202" s="113"/>
      <c r="G202" s="113"/>
      <c r="H202" s="113"/>
      <c r="I202" s="113"/>
      <c r="J202" s="113"/>
      <c r="K202" s="113"/>
      <c r="L202" s="113"/>
      <c r="M202" s="115"/>
      <c r="N202" s="113"/>
      <c r="O202" s="115"/>
      <c r="P202" s="110"/>
      <c r="Q202" s="113"/>
      <c r="R202" s="115"/>
      <c r="S202" s="113"/>
      <c r="T202" s="115"/>
      <c r="U202" s="112"/>
      <c r="V202" s="205"/>
      <c r="W202" s="6"/>
    </row>
    <row r="203" spans="1:24" ht="15.6">
      <c r="A203" s="25"/>
      <c r="B203" s="61"/>
      <c r="C203" s="110"/>
      <c r="D203" s="110"/>
      <c r="E203" s="110"/>
      <c r="F203" s="110"/>
      <c r="G203" s="110"/>
      <c r="H203" s="110"/>
      <c r="I203" s="110"/>
      <c r="J203" s="110"/>
      <c r="K203" s="110"/>
      <c r="L203" s="110"/>
      <c r="M203" s="109" t="s">
        <v>27</v>
      </c>
      <c r="N203" s="110"/>
      <c r="O203" s="111"/>
      <c r="P203" s="110"/>
      <c r="Q203" s="109" t="s">
        <v>28</v>
      </c>
      <c r="R203" s="110"/>
      <c r="S203" s="111"/>
      <c r="T203" s="110"/>
      <c r="U203" s="112"/>
      <c r="V203" s="205"/>
      <c r="W203" s="6"/>
    </row>
    <row r="204" spans="1:24" ht="15.6">
      <c r="A204" s="25"/>
      <c r="B204" s="189"/>
      <c r="C204" s="111"/>
      <c r="D204" s="111"/>
      <c r="E204" s="111"/>
      <c r="F204" s="111"/>
      <c r="G204" s="111"/>
      <c r="H204" s="111"/>
      <c r="I204" s="111"/>
      <c r="J204" s="111"/>
      <c r="K204" s="111"/>
      <c r="L204" s="111" t="s">
        <v>94</v>
      </c>
      <c r="M204" s="110" t="s">
        <v>101</v>
      </c>
      <c r="N204" s="111" t="s">
        <v>103</v>
      </c>
      <c r="O204" s="110" t="s">
        <v>101</v>
      </c>
      <c r="P204" s="110"/>
      <c r="Q204" s="111" t="s">
        <v>94</v>
      </c>
      <c r="R204" s="110" t="s">
        <v>101</v>
      </c>
      <c r="S204" s="111" t="s">
        <v>103</v>
      </c>
      <c r="T204" s="110" t="s">
        <v>101</v>
      </c>
      <c r="U204" s="112"/>
      <c r="V204" s="205"/>
      <c r="W204" s="6"/>
    </row>
    <row r="205" spans="1:24" ht="15.6">
      <c r="A205" s="25"/>
      <c r="B205" s="61" t="s">
        <v>81</v>
      </c>
      <c r="C205" s="113"/>
      <c r="D205" s="113"/>
      <c r="E205" s="113"/>
      <c r="F205" s="113"/>
      <c r="G205" s="113"/>
      <c r="H205" s="113"/>
      <c r="I205" s="113"/>
      <c r="J205" s="113"/>
      <c r="K205" s="113"/>
      <c r="L205" s="113">
        <v>5841</v>
      </c>
      <c r="M205" s="86">
        <f t="shared" ref="M205:M211" si="4">+L205/$L$212</f>
        <v>0.91825184719383746</v>
      </c>
      <c r="N205" s="113">
        <v>163122</v>
      </c>
      <c r="O205" s="86">
        <f t="shared" ref="O205:O211" si="5">+N205/$N$212</f>
        <v>0.90979162948420489</v>
      </c>
      <c r="P205" s="110"/>
      <c r="Q205" s="113">
        <v>11003</v>
      </c>
      <c r="R205" s="86">
        <f t="shared" ref="R205:R211" si="6">Q205/$Q$212</f>
        <v>0.97839231726836207</v>
      </c>
      <c r="S205" s="113">
        <v>126158</v>
      </c>
      <c r="T205" s="86">
        <f t="shared" ref="T205:T211" si="7">+S205/$S$212</f>
        <v>0.97701469882130632</v>
      </c>
      <c r="U205" s="112"/>
      <c r="V205" s="205"/>
      <c r="W205" s="6"/>
    </row>
    <row r="206" spans="1:24" ht="15.6">
      <c r="A206" s="25"/>
      <c r="B206" s="61" t="s">
        <v>82</v>
      </c>
      <c r="C206" s="113"/>
      <c r="D206" s="113"/>
      <c r="E206" s="113"/>
      <c r="F206" s="113"/>
      <c r="G206" s="113"/>
      <c r="H206" s="113"/>
      <c r="I206" s="113"/>
      <c r="J206" s="113"/>
      <c r="K206" s="113"/>
      <c r="L206" s="113">
        <v>137</v>
      </c>
      <c r="M206" s="86">
        <f t="shared" si="4"/>
        <v>2.153749410470052E-2</v>
      </c>
      <c r="N206" s="113">
        <v>4074</v>
      </c>
      <c r="O206" s="86">
        <f t="shared" si="5"/>
        <v>2.2722202391575942E-2</v>
      </c>
      <c r="P206" s="110"/>
      <c r="Q206" s="113">
        <v>85</v>
      </c>
      <c r="R206" s="86">
        <f t="shared" si="6"/>
        <v>7.5582429308198472E-3</v>
      </c>
      <c r="S206" s="113">
        <v>921</v>
      </c>
      <c r="T206" s="86">
        <f t="shared" si="7"/>
        <v>7.1325681892105385E-3</v>
      </c>
      <c r="U206" s="112"/>
      <c r="V206" s="205"/>
      <c r="W206" s="6"/>
    </row>
    <row r="207" spans="1:24" ht="15.6">
      <c r="A207" s="25"/>
      <c r="B207" s="61" t="s">
        <v>83</v>
      </c>
      <c r="C207" s="113"/>
      <c r="D207" s="113"/>
      <c r="E207" s="113"/>
      <c r="F207" s="113"/>
      <c r="G207" s="113"/>
      <c r="H207" s="113"/>
      <c r="I207" s="113"/>
      <c r="J207" s="113"/>
      <c r="K207" s="113"/>
      <c r="L207" s="113">
        <v>107</v>
      </c>
      <c r="M207" s="86">
        <f t="shared" si="4"/>
        <v>1.6821254519729604E-2</v>
      </c>
      <c r="N207" s="113">
        <v>3128</v>
      </c>
      <c r="O207" s="86">
        <f t="shared" si="5"/>
        <v>1.7446011065500623E-2</v>
      </c>
      <c r="P207" s="110"/>
      <c r="Q207" s="113">
        <v>47</v>
      </c>
      <c r="R207" s="86">
        <f t="shared" si="6"/>
        <v>4.1792637382180335E-3</v>
      </c>
      <c r="S207" s="113">
        <v>493</v>
      </c>
      <c r="T207" s="86">
        <f t="shared" si="7"/>
        <v>3.8179762402614499E-3</v>
      </c>
      <c r="U207" s="112"/>
      <c r="V207" s="205"/>
      <c r="W207" s="6"/>
    </row>
    <row r="208" spans="1:24" ht="15.6">
      <c r="A208" s="25"/>
      <c r="B208" s="61" t="s">
        <v>186</v>
      </c>
      <c r="C208" s="113"/>
      <c r="D208" s="113"/>
      <c r="E208" s="113"/>
      <c r="F208" s="113"/>
      <c r="G208" s="113"/>
      <c r="H208" s="113"/>
      <c r="I208" s="113"/>
      <c r="J208" s="113"/>
      <c r="K208" s="113"/>
      <c r="L208" s="113">
        <v>61</v>
      </c>
      <c r="M208" s="86">
        <f t="shared" si="4"/>
        <v>9.5896871561075309E-3</v>
      </c>
      <c r="N208" s="113">
        <v>1785</v>
      </c>
      <c r="O208" s="86">
        <f t="shared" si="5"/>
        <v>9.955604140638943E-3</v>
      </c>
      <c r="P208" s="110"/>
      <c r="Q208" s="113">
        <v>25</v>
      </c>
      <c r="R208" s="86">
        <f t="shared" si="6"/>
        <v>2.2230126267117198E-3</v>
      </c>
      <c r="S208" s="113">
        <v>347</v>
      </c>
      <c r="T208" s="86">
        <f t="shared" si="7"/>
        <v>2.687297678236761E-3</v>
      </c>
      <c r="U208" s="112"/>
      <c r="V208" s="205"/>
      <c r="W208" s="6"/>
    </row>
    <row r="209" spans="1:24" ht="15.6">
      <c r="A209" s="25"/>
      <c r="B209" s="61" t="s">
        <v>187</v>
      </c>
      <c r="C209" s="113"/>
      <c r="D209" s="113"/>
      <c r="E209" s="113"/>
      <c r="F209" s="113"/>
      <c r="G209" s="113"/>
      <c r="H209" s="113"/>
      <c r="I209" s="113"/>
      <c r="J209" s="113"/>
      <c r="K209" s="113"/>
      <c r="L209" s="113">
        <v>47</v>
      </c>
      <c r="M209" s="86">
        <f t="shared" si="4"/>
        <v>7.3887753497877693E-3</v>
      </c>
      <c r="N209" s="113">
        <v>1559</v>
      </c>
      <c r="O209" s="86">
        <f t="shared" si="5"/>
        <v>8.6951186864179901E-3</v>
      </c>
      <c r="P209" s="110"/>
      <c r="Q209" s="113">
        <v>23</v>
      </c>
      <c r="R209" s="86">
        <f t="shared" si="6"/>
        <v>2.0451716165747823E-3</v>
      </c>
      <c r="S209" s="113">
        <v>306</v>
      </c>
      <c r="T209" s="86">
        <f t="shared" si="7"/>
        <v>2.3697783560243484E-3</v>
      </c>
      <c r="U209" s="112"/>
      <c r="V209" s="205"/>
      <c r="W209" s="6"/>
    </row>
    <row r="210" spans="1:24" ht="15.6">
      <c r="A210" s="25"/>
      <c r="B210" s="61" t="s">
        <v>188</v>
      </c>
      <c r="C210" s="113"/>
      <c r="D210" s="113"/>
      <c r="E210" s="113"/>
      <c r="F210" s="113"/>
      <c r="G210" s="113"/>
      <c r="H210" s="113"/>
      <c r="I210" s="113"/>
      <c r="J210" s="113"/>
      <c r="K210" s="113"/>
      <c r="L210" s="113">
        <v>38</v>
      </c>
      <c r="M210" s="86">
        <f t="shared" si="4"/>
        <v>5.9739034742964945E-3</v>
      </c>
      <c r="N210" s="113">
        <v>1203</v>
      </c>
      <c r="O210" s="86">
        <f t="shared" si="5"/>
        <v>6.709575227556666E-3</v>
      </c>
      <c r="P210" s="110"/>
      <c r="Q210" s="113">
        <v>7</v>
      </c>
      <c r="R210" s="86">
        <f t="shared" si="6"/>
        <v>6.2244353547928155E-4</v>
      </c>
      <c r="S210" s="113">
        <v>58</v>
      </c>
      <c r="T210" s="86">
        <f t="shared" si="7"/>
        <v>4.4917367532487645E-4</v>
      </c>
      <c r="U210" s="112"/>
      <c r="V210" s="205"/>
      <c r="W210" s="6"/>
    </row>
    <row r="211" spans="1:24" ht="15.6">
      <c r="A211" s="25"/>
      <c r="B211" s="61" t="s">
        <v>189</v>
      </c>
      <c r="C211" s="113"/>
      <c r="D211" s="113"/>
      <c r="E211" s="113"/>
      <c r="F211" s="113"/>
      <c r="G211" s="113"/>
      <c r="H211" s="113"/>
      <c r="I211" s="113"/>
      <c r="J211" s="113"/>
      <c r="K211" s="113"/>
      <c r="L211" s="113">
        <v>130</v>
      </c>
      <c r="M211" s="86">
        <f t="shared" si="4"/>
        <v>2.0437038201540639E-2</v>
      </c>
      <c r="N211" s="113">
        <v>4425</v>
      </c>
      <c r="O211" s="86">
        <f t="shared" si="5"/>
        <v>2.4679859004104944E-2</v>
      </c>
      <c r="P211" s="110"/>
      <c r="Q211" s="113">
        <v>56</v>
      </c>
      <c r="R211" s="86">
        <f t="shared" si="6"/>
        <v>4.9795482838342524E-3</v>
      </c>
      <c r="S211" s="113">
        <v>843</v>
      </c>
      <c r="T211" s="86">
        <f t="shared" si="7"/>
        <v>6.5285070396357047E-3</v>
      </c>
      <c r="U211" s="112"/>
      <c r="V211" s="205"/>
      <c r="W211" s="6"/>
    </row>
    <row r="212" spans="1:24" ht="15.6">
      <c r="A212" s="25"/>
      <c r="B212" s="61" t="str">
        <f>B199</f>
        <v>Total Performing  Assets</v>
      </c>
      <c r="C212" s="113"/>
      <c r="D212" s="113"/>
      <c r="E212" s="113"/>
      <c r="F212" s="113"/>
      <c r="G212" s="113"/>
      <c r="H212" s="113"/>
      <c r="I212" s="113"/>
      <c r="J212" s="113"/>
      <c r="K212" s="113"/>
      <c r="L212" s="113">
        <f>SUM(L205:L211)</f>
        <v>6361</v>
      </c>
      <c r="M212" s="86">
        <f>SUM(M205:M211)</f>
        <v>1</v>
      </c>
      <c r="N212" s="113">
        <f>SUM(N205:N211)</f>
        <v>179296</v>
      </c>
      <c r="O212" s="86">
        <f>SUM(O205:O211)</f>
        <v>1</v>
      </c>
      <c r="P212" s="110"/>
      <c r="Q212" s="113">
        <f>SUM(Q205:Q211)</f>
        <v>11246</v>
      </c>
      <c r="R212" s="86">
        <f>SUM(R205:R211)</f>
        <v>1</v>
      </c>
      <c r="S212" s="113">
        <f>SUM(S205:S211)</f>
        <v>129126</v>
      </c>
      <c r="T212" s="86">
        <f>SUM(T205:T211)</f>
        <v>0.99999999999999989</v>
      </c>
      <c r="U212" s="112"/>
      <c r="V212" s="205"/>
      <c r="W212" s="6"/>
    </row>
    <row r="213" spans="1:24" ht="15.6">
      <c r="A213" s="25"/>
      <c r="B213" s="61" t="s">
        <v>85</v>
      </c>
      <c r="C213" s="113"/>
      <c r="D213" s="113"/>
      <c r="E213" s="113"/>
      <c r="F213" s="113"/>
      <c r="G213" s="113"/>
      <c r="H213" s="113"/>
      <c r="I213" s="113"/>
      <c r="J213" s="113"/>
      <c r="K213" s="113"/>
      <c r="L213" s="113">
        <v>36</v>
      </c>
      <c r="M213" s="116"/>
      <c r="N213" s="113">
        <v>1259</v>
      </c>
      <c r="O213" s="114"/>
      <c r="P213" s="110"/>
      <c r="Q213" s="113">
        <v>36</v>
      </c>
      <c r="R213" s="116"/>
      <c r="S213" s="113">
        <v>405</v>
      </c>
      <c r="T213" s="116"/>
      <c r="U213" s="112"/>
      <c r="V213" s="205"/>
      <c r="W213" s="6"/>
    </row>
    <row r="214" spans="1:24" ht="15.6">
      <c r="A214" s="25"/>
      <c r="B214" s="61" t="s">
        <v>86</v>
      </c>
      <c r="C214" s="113"/>
      <c r="D214" s="113"/>
      <c r="E214" s="113"/>
      <c r="F214" s="113"/>
      <c r="G214" s="113"/>
      <c r="H214" s="113"/>
      <c r="I214" s="113"/>
      <c r="J214" s="113"/>
      <c r="K214" s="113"/>
      <c r="L214" s="113">
        <f>SUM(L212:L213)</f>
        <v>6397</v>
      </c>
      <c r="M214" s="189"/>
      <c r="N214" s="113">
        <f>SUM(N212:N213)</f>
        <v>180555</v>
      </c>
      <c r="O214" s="86"/>
      <c r="P214" s="189"/>
      <c r="Q214" s="113">
        <f>SUM(Q212:Q213)</f>
        <v>11282</v>
      </c>
      <c r="R214" s="189"/>
      <c r="S214" s="113">
        <f>SUM(S212:S213)</f>
        <v>129531</v>
      </c>
      <c r="T214" s="189"/>
      <c r="U214" s="189"/>
      <c r="V214" s="190"/>
    </row>
    <row r="215" spans="1:24" ht="15.6">
      <c r="A215" s="25"/>
      <c r="B215" s="61"/>
      <c r="C215" s="110"/>
      <c r="D215" s="110"/>
      <c r="E215" s="110"/>
      <c r="F215" s="110"/>
      <c r="G215" s="110"/>
      <c r="H215" s="110"/>
      <c r="I215" s="110"/>
      <c r="J215" s="110"/>
      <c r="K215" s="110"/>
      <c r="L215" s="110"/>
      <c r="M215" s="111"/>
      <c r="N215" s="110"/>
      <c r="O215" s="111"/>
      <c r="P215" s="110"/>
      <c r="Q215" s="117"/>
      <c r="R215" s="110"/>
      <c r="S215" s="113"/>
      <c r="T215" s="110"/>
      <c r="U215" s="112"/>
      <c r="V215" s="205"/>
      <c r="W215" s="6"/>
    </row>
    <row r="216" spans="1:24" ht="15.6">
      <c r="A216" s="25"/>
      <c r="B216" s="61" t="s">
        <v>86</v>
      </c>
      <c r="C216" s="110"/>
      <c r="D216" s="110"/>
      <c r="E216" s="110"/>
      <c r="F216" s="110"/>
      <c r="G216" s="110"/>
      <c r="H216" s="110"/>
      <c r="I216" s="110"/>
      <c r="J216" s="110"/>
      <c r="K216" s="110"/>
      <c r="L216" s="110"/>
      <c r="M216" s="111"/>
      <c r="N216" s="110"/>
      <c r="O216" s="111"/>
      <c r="P216" s="110"/>
      <c r="Q216" s="117"/>
      <c r="R216" s="116"/>
      <c r="S216" s="113">
        <f>N201+S201+N214+S214</f>
        <v>393055</v>
      </c>
      <c r="T216" s="115"/>
      <c r="U216" s="112"/>
      <c r="V216" s="205"/>
      <c r="W216" s="6"/>
      <c r="X216" s="182"/>
    </row>
    <row r="217" spans="1:24" ht="15.6">
      <c r="A217" s="25"/>
      <c r="B217" s="61"/>
      <c r="C217" s="110"/>
      <c r="D217" s="110"/>
      <c r="E217" s="110"/>
      <c r="F217" s="110"/>
      <c r="G217" s="110"/>
      <c r="H217" s="110"/>
      <c r="I217" s="110"/>
      <c r="J217" s="110"/>
      <c r="K217" s="110"/>
      <c r="L217" s="110"/>
      <c r="M217" s="111"/>
      <c r="N217" s="110"/>
      <c r="O217" s="111"/>
      <c r="P217" s="110"/>
      <c r="Q217" s="111"/>
      <c r="R217" s="110"/>
      <c r="S217" s="113"/>
      <c r="T217" s="116"/>
      <c r="U217" s="112"/>
      <c r="V217" s="205"/>
      <c r="W217" s="6"/>
    </row>
    <row r="218" spans="1:24" ht="15.6">
      <c r="A218" s="25"/>
      <c r="B218" s="118" t="s">
        <v>87</v>
      </c>
      <c r="C218" s="110"/>
      <c r="D218" s="110"/>
      <c r="E218" s="110"/>
      <c r="F218" s="110"/>
      <c r="G218" s="110"/>
      <c r="H218" s="110"/>
      <c r="I218" s="110"/>
      <c r="J218" s="110"/>
      <c r="K218" s="110"/>
      <c r="L218" s="110"/>
      <c r="M218" s="111"/>
      <c r="N218" s="110"/>
      <c r="O218" s="111"/>
      <c r="P218" s="110"/>
      <c r="Q218" s="111"/>
      <c r="R218" s="110"/>
      <c r="S218" s="113"/>
      <c r="T218" s="110"/>
      <c r="U218" s="112"/>
      <c r="V218" s="205"/>
      <c r="W218" s="6"/>
    </row>
    <row r="219" spans="1:24" ht="15.6">
      <c r="A219" s="25"/>
      <c r="B219" s="61"/>
      <c r="C219" s="110"/>
      <c r="D219" s="110"/>
      <c r="E219" s="110"/>
      <c r="F219" s="110"/>
      <c r="G219" s="110"/>
      <c r="H219" s="110"/>
      <c r="I219" s="110"/>
      <c r="J219" s="110"/>
      <c r="K219" s="110"/>
      <c r="L219" s="110"/>
      <c r="M219" s="111"/>
      <c r="N219" s="110"/>
      <c r="O219" s="111"/>
      <c r="P219" s="110"/>
      <c r="Q219" s="111"/>
      <c r="R219" s="110"/>
      <c r="S219" s="113"/>
      <c r="T219" s="110"/>
      <c r="U219" s="112"/>
      <c r="V219" s="205"/>
      <c r="W219" s="6"/>
    </row>
    <row r="220" spans="1:24" ht="15.6">
      <c r="A220" s="25"/>
      <c r="B220" s="61" t="s">
        <v>88</v>
      </c>
      <c r="C220" s="110"/>
      <c r="D220" s="110"/>
      <c r="E220" s="110"/>
      <c r="F220" s="110"/>
      <c r="G220" s="110"/>
      <c r="H220" s="110"/>
      <c r="I220" s="110"/>
      <c r="J220" s="110"/>
      <c r="K220" s="110"/>
      <c r="L220" s="110"/>
      <c r="M220" s="111"/>
      <c r="N220" s="110"/>
      <c r="O220" s="111"/>
      <c r="P220" s="110"/>
      <c r="Q220" s="111"/>
      <c r="R220" s="110"/>
      <c r="S220" s="113">
        <f>+N199+S199+N212+S212</f>
        <v>384415</v>
      </c>
      <c r="T220" s="110"/>
      <c r="U220" s="112"/>
      <c r="V220" s="205"/>
      <c r="W220" s="6"/>
      <c r="X220" s="182"/>
    </row>
    <row r="221" spans="1:24" ht="15.6">
      <c r="A221" s="25"/>
      <c r="B221" s="61" t="s">
        <v>89</v>
      </c>
      <c r="C221" s="110"/>
      <c r="D221" s="110"/>
      <c r="E221" s="110"/>
      <c r="F221" s="110"/>
      <c r="G221" s="110"/>
      <c r="H221" s="110"/>
      <c r="I221" s="110"/>
      <c r="J221" s="110"/>
      <c r="K221" s="110"/>
      <c r="L221" s="110"/>
      <c r="M221" s="111"/>
      <c r="N221" s="110"/>
      <c r="O221" s="111"/>
      <c r="P221" s="110"/>
      <c r="Q221" s="111"/>
      <c r="R221" s="110"/>
      <c r="S221" s="113">
        <f>-U103</f>
        <v>65585</v>
      </c>
      <c r="T221" s="110"/>
      <c r="U221" s="112"/>
      <c r="V221" s="205"/>
      <c r="W221" s="119"/>
    </row>
    <row r="222" spans="1:24" ht="15.6">
      <c r="A222" s="25"/>
      <c r="B222" s="61" t="s">
        <v>90</v>
      </c>
      <c r="C222" s="110"/>
      <c r="D222" s="110"/>
      <c r="E222" s="110"/>
      <c r="F222" s="110"/>
      <c r="G222" s="110"/>
      <c r="H222" s="110"/>
      <c r="I222" s="110"/>
      <c r="J222" s="110"/>
      <c r="K222" s="110"/>
      <c r="L222" s="110"/>
      <c r="M222" s="111"/>
      <c r="N222" s="110"/>
      <c r="O222" s="111"/>
      <c r="P222" s="110"/>
      <c r="Q222" s="111"/>
      <c r="R222" s="110"/>
      <c r="S222" s="113">
        <f>SUM(S220:S221)</f>
        <v>450000</v>
      </c>
      <c r="T222" s="110"/>
      <c r="U222" s="112"/>
      <c r="V222" s="205"/>
      <c r="W222" s="6"/>
    </row>
    <row r="223" spans="1:24" ht="15.6">
      <c r="A223" s="25"/>
      <c r="B223" s="61"/>
      <c r="C223" s="110"/>
      <c r="D223" s="110"/>
      <c r="E223" s="110"/>
      <c r="F223" s="110"/>
      <c r="G223" s="110"/>
      <c r="H223" s="110"/>
      <c r="I223" s="110"/>
      <c r="J223" s="110"/>
      <c r="K223" s="110"/>
      <c r="L223" s="110"/>
      <c r="M223" s="111"/>
      <c r="N223" s="110"/>
      <c r="O223" s="111"/>
      <c r="P223" s="110"/>
      <c r="Q223" s="111"/>
      <c r="R223" s="110"/>
      <c r="S223" s="113"/>
      <c r="T223" s="110"/>
      <c r="U223" s="112"/>
      <c r="V223" s="205"/>
      <c r="W223" s="6"/>
    </row>
    <row r="224" spans="1:24" ht="15.6">
      <c r="A224" s="25"/>
      <c r="B224" s="61" t="s">
        <v>91</v>
      </c>
      <c r="C224" s="110"/>
      <c r="D224" s="110"/>
      <c r="E224" s="110"/>
      <c r="F224" s="110"/>
      <c r="G224" s="110"/>
      <c r="H224" s="110"/>
      <c r="I224" s="110"/>
      <c r="J224" s="110"/>
      <c r="K224" s="110"/>
      <c r="L224" s="110"/>
      <c r="M224" s="111"/>
      <c r="N224" s="110"/>
      <c r="O224" s="111"/>
      <c r="P224" s="110"/>
      <c r="Q224" s="111"/>
      <c r="R224" s="110"/>
      <c r="S224" s="113">
        <f>U33</f>
        <v>450000</v>
      </c>
      <c r="T224" s="110"/>
      <c r="U224" s="112"/>
      <c r="V224" s="205"/>
      <c r="W224" s="6"/>
    </row>
    <row r="225" spans="1:23" ht="15.6">
      <c r="A225" s="25"/>
      <c r="B225" s="61"/>
      <c r="C225" s="110"/>
      <c r="D225" s="110"/>
      <c r="E225" s="110"/>
      <c r="F225" s="110"/>
      <c r="G225" s="110"/>
      <c r="H225" s="110"/>
      <c r="I225" s="110"/>
      <c r="J225" s="110"/>
      <c r="K225" s="110"/>
      <c r="L225" s="110"/>
      <c r="M225" s="111"/>
      <c r="N225" s="110"/>
      <c r="O225" s="111"/>
      <c r="P225" s="110"/>
      <c r="Q225" s="111"/>
      <c r="R225" s="110"/>
      <c r="S225" s="113"/>
      <c r="T225" s="110"/>
      <c r="U225" s="112"/>
      <c r="V225" s="205"/>
      <c r="W225" s="6"/>
    </row>
    <row r="226" spans="1:23" ht="15.6">
      <c r="A226" s="25"/>
      <c r="B226" s="61" t="s">
        <v>92</v>
      </c>
      <c r="C226" s="110"/>
      <c r="D226" s="110"/>
      <c r="E226" s="110"/>
      <c r="F226" s="110"/>
      <c r="G226" s="110"/>
      <c r="H226" s="110"/>
      <c r="I226" s="110"/>
      <c r="J226" s="110"/>
      <c r="K226" s="110"/>
      <c r="L226" s="110"/>
      <c r="M226" s="111"/>
      <c r="N226" s="110"/>
      <c r="O226" s="111"/>
      <c r="P226" s="110"/>
      <c r="Q226" s="111"/>
      <c r="R226" s="110"/>
      <c r="S226" s="113">
        <f>S222/S224</f>
        <v>1</v>
      </c>
      <c r="T226" s="110"/>
      <c r="U226" s="112"/>
      <c r="V226" s="205"/>
      <c r="W226" s="6"/>
    </row>
    <row r="227" spans="1:23" ht="15.6">
      <c r="A227" s="25"/>
      <c r="B227" s="26"/>
      <c r="C227" s="26"/>
      <c r="D227" s="26"/>
      <c r="E227" s="26"/>
      <c r="F227" s="26"/>
      <c r="G227" s="26"/>
      <c r="H227" s="26"/>
      <c r="I227" s="26"/>
      <c r="J227" s="26"/>
      <c r="K227" s="26"/>
      <c r="L227" s="26"/>
      <c r="M227" s="33"/>
      <c r="N227" s="26"/>
      <c r="O227" s="26"/>
      <c r="P227" s="26"/>
      <c r="Q227" s="59"/>
      <c r="R227" s="120"/>
      <c r="S227" s="60"/>
      <c r="T227" s="120"/>
      <c r="U227" s="89"/>
      <c r="V227" s="196"/>
      <c r="W227" s="6"/>
    </row>
    <row r="228" spans="1:23" ht="15.6">
      <c r="A228" s="121"/>
      <c r="B228" s="30" t="s">
        <v>127</v>
      </c>
      <c r="C228" s="122"/>
      <c r="D228" s="122"/>
      <c r="E228" s="122"/>
      <c r="F228" s="122"/>
      <c r="G228" s="122"/>
      <c r="H228" s="122"/>
      <c r="I228" s="122"/>
      <c r="J228" s="122"/>
      <c r="K228" s="122"/>
      <c r="L228" s="122"/>
      <c r="M228" s="110"/>
      <c r="N228" s="112"/>
      <c r="O228" s="30"/>
      <c r="P228" s="123"/>
      <c r="Q228" s="123"/>
      <c r="R228" s="123"/>
      <c r="S228" s="124"/>
      <c r="T228" s="29"/>
      <c r="U228" s="29"/>
      <c r="V228" s="203"/>
      <c r="W228" s="6"/>
    </row>
    <row r="229" spans="1:23" ht="15.6">
      <c r="A229" s="125"/>
      <c r="B229" s="13" t="s">
        <v>128</v>
      </c>
      <c r="C229" s="126"/>
      <c r="D229" s="126"/>
      <c r="E229" s="126"/>
      <c r="F229" s="126"/>
      <c r="G229" s="126"/>
      <c r="H229" s="126"/>
      <c r="I229" s="126"/>
      <c r="J229" s="126"/>
      <c r="K229" s="126"/>
      <c r="L229" s="126"/>
      <c r="M229" s="127"/>
      <c r="N229" s="13"/>
      <c r="O229" s="13"/>
      <c r="P229" s="126"/>
      <c r="Q229" s="126"/>
      <c r="R229" s="12"/>
      <c r="S229" s="12"/>
      <c r="T229" s="12"/>
      <c r="U229" s="12"/>
      <c r="V229" s="207"/>
      <c r="W229" s="6"/>
    </row>
    <row r="230" spans="1:23" ht="15.6">
      <c r="A230" s="125"/>
      <c r="B230" s="13" t="s">
        <v>246</v>
      </c>
      <c r="C230" s="126"/>
      <c r="D230" s="126"/>
      <c r="E230" s="126"/>
      <c r="F230" s="126"/>
      <c r="G230" s="126"/>
      <c r="H230" s="126"/>
      <c r="I230" s="126"/>
      <c r="J230" s="126"/>
      <c r="K230" s="126"/>
      <c r="L230" s="126"/>
      <c r="M230" s="127"/>
      <c r="N230" s="13"/>
      <c r="O230" s="13"/>
      <c r="P230" s="126"/>
      <c r="Q230" s="126"/>
      <c r="R230" s="12"/>
      <c r="S230" s="12"/>
      <c r="T230" s="12"/>
      <c r="U230" s="12"/>
      <c r="V230" s="207"/>
      <c r="W230" s="6"/>
    </row>
    <row r="231" spans="1:23" ht="15.6">
      <c r="A231" s="125"/>
      <c r="B231" s="13" t="s">
        <v>129</v>
      </c>
      <c r="C231" s="126"/>
      <c r="D231" s="126"/>
      <c r="E231" s="126"/>
      <c r="F231" s="126"/>
      <c r="G231" s="126"/>
      <c r="H231" s="126"/>
      <c r="I231" s="126"/>
      <c r="J231" s="126"/>
      <c r="K231" s="126"/>
      <c r="L231" s="126"/>
      <c r="M231" s="127"/>
      <c r="N231" s="13"/>
      <c r="O231" s="13"/>
      <c r="P231" s="126"/>
      <c r="Q231" s="126"/>
      <c r="R231" s="12"/>
      <c r="S231" s="12"/>
      <c r="T231" s="12"/>
      <c r="U231" s="12"/>
      <c r="V231" s="207"/>
      <c r="W231" s="6"/>
    </row>
    <row r="232" spans="1:23" ht="15.6">
      <c r="A232" s="125"/>
      <c r="B232" s="13"/>
      <c r="C232" s="126"/>
      <c r="D232" s="126"/>
      <c r="E232" s="126"/>
      <c r="F232" s="126"/>
      <c r="G232" s="126"/>
      <c r="H232" s="126"/>
      <c r="I232" s="126"/>
      <c r="J232" s="126"/>
      <c r="K232" s="126"/>
      <c r="L232" s="126"/>
      <c r="M232" s="127"/>
      <c r="N232" s="13"/>
      <c r="O232" s="13"/>
      <c r="P232" s="126"/>
      <c r="Q232" s="126"/>
      <c r="R232" s="12"/>
      <c r="S232" s="12"/>
      <c r="T232" s="12"/>
      <c r="U232" s="12"/>
      <c r="V232" s="207"/>
      <c r="W232" s="6"/>
    </row>
    <row r="233" spans="1:23" ht="15.6">
      <c r="A233" s="125"/>
      <c r="B233" s="13"/>
      <c r="C233" s="126"/>
      <c r="D233" s="126"/>
      <c r="E233" s="126"/>
      <c r="F233" s="126"/>
      <c r="G233" s="126"/>
      <c r="H233" s="126"/>
      <c r="I233" s="126"/>
      <c r="J233" s="126"/>
      <c r="K233" s="126"/>
      <c r="L233" s="126"/>
      <c r="M233" s="127"/>
      <c r="N233" s="13"/>
      <c r="O233" s="13"/>
      <c r="P233" s="126"/>
      <c r="Q233" s="126"/>
      <c r="R233" s="12"/>
      <c r="S233" s="12"/>
      <c r="T233" s="12"/>
      <c r="U233" s="12"/>
      <c r="V233" s="207"/>
      <c r="W233" s="6"/>
    </row>
    <row r="234" spans="1:23" ht="16.2" thickBot="1">
      <c r="A234" s="125"/>
      <c r="B234" s="13" t="str">
        <f>+B161</f>
        <v>PPAF3 INVESTOR REPORT QUARTER ENDING JUNE 2007</v>
      </c>
      <c r="C234" s="126"/>
      <c r="D234" s="126"/>
      <c r="E234" s="126"/>
      <c r="F234" s="126"/>
      <c r="G234" s="126"/>
      <c r="H234" s="126"/>
      <c r="I234" s="126"/>
      <c r="J234" s="126"/>
      <c r="K234" s="126"/>
      <c r="L234" s="126"/>
      <c r="M234" s="127"/>
      <c r="N234" s="13"/>
      <c r="O234" s="13"/>
      <c r="P234" s="126"/>
      <c r="Q234" s="126"/>
      <c r="R234" s="12"/>
      <c r="S234" s="12"/>
      <c r="T234" s="12"/>
      <c r="U234" s="12"/>
      <c r="V234" s="208"/>
      <c r="W234" s="6"/>
    </row>
    <row r="235" spans="1:23">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row>
  </sheetData>
  <phoneticPr fontId="0" type="noConversion"/>
  <hyperlinks>
    <hyperlink ref="I9" r:id="rId1"/>
    <hyperlink ref="K188"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16383" man="1"/>
    <brk id="110" max="16383" man="1"/>
    <brk id="161" max="21" man="1"/>
    <brk id="240" man="1"/>
  </rowBreaks>
  <colBreaks count="1" manualBreakCount="1">
    <brk id="23" max="1048575" man="1"/>
  </col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23"/>
  </sheetPr>
  <dimension ref="A1:Y235"/>
  <sheetViews>
    <sheetView showOutlineSymbols="0" zoomScale="70" zoomScaleNormal="70" workbookViewId="0"/>
  </sheetViews>
  <sheetFormatPr defaultColWidth="9.6328125" defaultRowHeight="15"/>
  <cols>
    <col min="1" max="1" width="3.6328125" style="1" customWidth="1"/>
    <col min="2" max="2" width="58" style="1" customWidth="1"/>
    <col min="3" max="3" width="17.90625" style="1" customWidth="1"/>
    <col min="4" max="4" width="7.1796875" style="1" customWidth="1"/>
    <col min="5" max="5" width="17.90625" style="1" customWidth="1"/>
    <col min="6" max="6" width="7.08984375" style="1" customWidth="1"/>
    <col min="7" max="7" width="17.90625" style="1" customWidth="1"/>
    <col min="8" max="8" width="9.1796875" style="1" customWidth="1"/>
    <col min="9" max="9" width="17.90625" style="1" customWidth="1"/>
    <col min="10" max="10" width="12.81640625" style="1" customWidth="1"/>
    <col min="11" max="11" width="17.90625" style="1" customWidth="1"/>
    <col min="12" max="12" width="7.08984375" style="1" customWidth="1"/>
    <col min="13" max="13" width="14.6328125" style="1" customWidth="1"/>
    <col min="14" max="14" width="12.08984375" style="1" customWidth="1"/>
    <col min="15" max="15" width="14.6328125" style="1" customWidth="1"/>
    <col min="16" max="16" width="7.08984375" style="1" customWidth="1"/>
    <col min="17" max="17" width="13.6328125" style="1" customWidth="1"/>
    <col min="18" max="18" width="8.6328125" style="1" customWidth="1"/>
    <col min="19" max="19" width="13.6328125" style="1" customWidth="1"/>
    <col min="20" max="20" width="8.1796875" style="1" customWidth="1"/>
    <col min="21" max="21" width="15.6328125" style="1" customWidth="1"/>
    <col min="22" max="22" width="7.36328125" style="1" customWidth="1"/>
    <col min="23" max="16384" width="9.6328125" style="1"/>
  </cols>
  <sheetData>
    <row r="1" spans="1:23" ht="20.399999999999999">
      <c r="A1" s="2" t="s">
        <v>223</v>
      </c>
      <c r="B1" s="3" t="s">
        <v>123</v>
      </c>
      <c r="C1" s="4"/>
      <c r="D1" s="4"/>
      <c r="E1" s="4"/>
      <c r="F1" s="4"/>
      <c r="G1" s="4"/>
      <c r="H1" s="4"/>
      <c r="I1" s="4"/>
      <c r="J1" s="4"/>
      <c r="K1" s="4"/>
      <c r="L1" s="4"/>
      <c r="M1" s="5"/>
      <c r="N1" s="5"/>
      <c r="O1" s="5"/>
      <c r="P1" s="5"/>
      <c r="Q1" s="5"/>
      <c r="R1" s="5"/>
      <c r="S1" s="5"/>
      <c r="T1" s="5"/>
      <c r="U1" s="5"/>
      <c r="V1" s="193"/>
      <c r="W1" s="6"/>
    </row>
    <row r="2" spans="1:23" ht="15.6">
      <c r="A2" s="7"/>
      <c r="B2" s="8"/>
      <c r="C2" s="8"/>
      <c r="D2" s="8"/>
      <c r="E2" s="8"/>
      <c r="F2" s="8"/>
      <c r="G2" s="8"/>
      <c r="H2" s="8"/>
      <c r="I2" s="8"/>
      <c r="J2" s="8"/>
      <c r="K2" s="8"/>
      <c r="L2" s="8"/>
      <c r="M2" s="9"/>
      <c r="N2" s="9"/>
      <c r="O2" s="9"/>
      <c r="P2" s="9"/>
      <c r="Q2" s="9"/>
      <c r="R2" s="9"/>
      <c r="S2" s="9"/>
      <c r="T2" s="9"/>
      <c r="U2" s="9"/>
      <c r="V2" s="194"/>
      <c r="W2" s="6"/>
    </row>
    <row r="3" spans="1:23" ht="15.6">
      <c r="A3" s="10"/>
      <c r="B3" s="141" t="s">
        <v>125</v>
      </c>
      <c r="C3" s="9"/>
      <c r="D3" s="9"/>
      <c r="E3" s="9"/>
      <c r="F3" s="9"/>
      <c r="G3" s="9"/>
      <c r="H3" s="9"/>
      <c r="I3" s="9"/>
      <c r="J3" s="9"/>
      <c r="K3" s="9"/>
      <c r="L3" s="9"/>
      <c r="M3" s="9"/>
      <c r="N3" s="9"/>
      <c r="O3" s="9"/>
      <c r="P3" s="9"/>
      <c r="Q3" s="9"/>
      <c r="R3" s="9"/>
      <c r="S3" s="9"/>
      <c r="T3" s="9"/>
      <c r="U3" s="9"/>
      <c r="V3" s="194"/>
      <c r="W3" s="6"/>
    </row>
    <row r="4" spans="1:23" ht="15.6">
      <c r="A4" s="7"/>
      <c r="B4" s="8"/>
      <c r="C4" s="8"/>
      <c r="D4" s="8"/>
      <c r="E4" s="8"/>
      <c r="F4" s="8"/>
      <c r="G4" s="8"/>
      <c r="H4" s="8"/>
      <c r="I4" s="8"/>
      <c r="J4" s="8"/>
      <c r="K4" s="8"/>
      <c r="L4" s="8"/>
      <c r="M4" s="9"/>
      <c r="N4" s="9"/>
      <c r="O4" s="9"/>
      <c r="P4" s="9"/>
      <c r="Q4" s="9"/>
      <c r="R4" s="9"/>
      <c r="S4" s="9"/>
      <c r="T4" s="9"/>
      <c r="U4" s="9"/>
      <c r="V4" s="194"/>
      <c r="W4" s="6"/>
    </row>
    <row r="5" spans="1:23" ht="16.2">
      <c r="A5" s="7"/>
      <c r="B5" s="192" t="s">
        <v>0</v>
      </c>
      <c r="C5" s="11"/>
      <c r="D5" s="11"/>
      <c r="E5" s="11"/>
      <c r="F5" s="11"/>
      <c r="G5" s="11"/>
      <c r="H5" s="11"/>
      <c r="I5" s="11"/>
      <c r="J5" s="11"/>
      <c r="K5" s="11"/>
      <c r="L5" s="11"/>
      <c r="M5" s="9"/>
      <c r="N5" s="9"/>
      <c r="O5" s="9"/>
      <c r="P5" s="9"/>
      <c r="Q5" s="9"/>
      <c r="R5" s="9"/>
      <c r="S5" s="9"/>
      <c r="T5" s="9"/>
      <c r="U5" s="9"/>
      <c r="V5" s="194"/>
      <c r="W5" s="6"/>
    </row>
    <row r="6" spans="1:23" ht="16.2">
      <c r="A6" s="7"/>
      <c r="B6" s="192" t="s">
        <v>1</v>
      </c>
      <c r="C6" s="11"/>
      <c r="D6" s="11"/>
      <c r="E6" s="11"/>
      <c r="F6" s="11"/>
      <c r="G6" s="11"/>
      <c r="H6" s="11"/>
      <c r="I6" s="11"/>
      <c r="J6" s="11"/>
      <c r="K6" s="11"/>
      <c r="L6" s="11"/>
      <c r="M6" s="9"/>
      <c r="N6" s="9"/>
      <c r="O6" s="9"/>
      <c r="P6" s="9"/>
      <c r="Q6" s="9"/>
      <c r="R6" s="9"/>
      <c r="S6" s="9"/>
      <c r="T6" s="9"/>
      <c r="U6" s="9"/>
      <c r="V6" s="194"/>
      <c r="W6" s="6"/>
    </row>
    <row r="7" spans="1:23" ht="16.2">
      <c r="A7" s="7"/>
      <c r="B7" s="192" t="s">
        <v>2</v>
      </c>
      <c r="C7" s="11"/>
      <c r="D7" s="11"/>
      <c r="E7" s="11"/>
      <c r="F7" s="11"/>
      <c r="G7" s="11"/>
      <c r="H7" s="11"/>
      <c r="I7" s="11"/>
      <c r="J7" s="11"/>
      <c r="K7" s="11"/>
      <c r="L7" s="11"/>
      <c r="M7" s="9"/>
      <c r="N7" s="9"/>
      <c r="O7" s="9"/>
      <c r="P7" s="9"/>
      <c r="Q7" s="9"/>
      <c r="R7" s="9"/>
      <c r="S7" s="9"/>
      <c r="T7" s="9"/>
      <c r="U7" s="9"/>
      <c r="V7" s="194"/>
      <c r="W7" s="6"/>
    </row>
    <row r="8" spans="1:23" ht="16.2">
      <c r="A8" s="7"/>
      <c r="B8" s="12"/>
      <c r="C8" s="11"/>
      <c r="D8" s="11"/>
      <c r="E8" s="11"/>
      <c r="F8" s="11"/>
      <c r="G8" s="11"/>
      <c r="H8" s="11"/>
      <c r="I8" s="11"/>
      <c r="J8" s="11"/>
      <c r="K8" s="11"/>
      <c r="L8" s="11"/>
      <c r="M8" s="9"/>
      <c r="N8" s="9"/>
      <c r="O8" s="9"/>
      <c r="P8" s="9"/>
      <c r="Q8" s="9"/>
      <c r="R8" s="9"/>
      <c r="S8" s="9"/>
      <c r="T8" s="9"/>
      <c r="U8" s="9"/>
      <c r="V8" s="194"/>
      <c r="W8" s="6"/>
    </row>
    <row r="9" spans="1:23" ht="18">
      <c r="A9" s="7"/>
      <c r="B9" s="178" t="s">
        <v>194</v>
      </c>
      <c r="C9" s="11"/>
      <c r="D9" s="11"/>
      <c r="E9" s="11"/>
      <c r="F9" s="11"/>
      <c r="G9" s="11"/>
      <c r="H9" s="11"/>
      <c r="I9" s="179" t="s">
        <v>195</v>
      </c>
      <c r="J9" s="11"/>
      <c r="K9" s="11"/>
      <c r="L9" s="11"/>
      <c r="M9" s="9"/>
      <c r="N9" s="9"/>
      <c r="O9" s="9"/>
      <c r="P9" s="9"/>
      <c r="Q9" s="9"/>
      <c r="R9" s="9"/>
      <c r="S9" s="9"/>
      <c r="T9" s="9"/>
      <c r="U9" s="9"/>
      <c r="V9" s="194"/>
      <c r="W9" s="6"/>
    </row>
    <row r="10" spans="1:23" ht="16.2">
      <c r="A10" s="7"/>
      <c r="B10" s="11"/>
      <c r="C10" s="11"/>
      <c r="D10" s="11"/>
      <c r="E10" s="11"/>
      <c r="F10" s="11"/>
      <c r="G10" s="11"/>
      <c r="H10" s="11"/>
      <c r="I10" s="11"/>
      <c r="J10" s="11"/>
      <c r="K10" s="11"/>
      <c r="L10" s="11"/>
      <c r="M10" s="13"/>
      <c r="N10" s="13"/>
      <c r="O10" s="9"/>
      <c r="P10" s="9"/>
      <c r="Q10" s="9"/>
      <c r="R10" s="9"/>
      <c r="S10" s="9"/>
      <c r="T10" s="9"/>
      <c r="U10" s="9"/>
      <c r="V10" s="194"/>
      <c r="W10" s="6"/>
    </row>
    <row r="11" spans="1:23" ht="15.6">
      <c r="A11" s="7"/>
      <c r="B11" s="13" t="s">
        <v>3</v>
      </c>
      <c r="C11" s="13"/>
      <c r="D11" s="13"/>
      <c r="E11" s="13"/>
      <c r="F11" s="13"/>
      <c r="G11" s="13"/>
      <c r="H11" s="13"/>
      <c r="I11" s="13"/>
      <c r="J11" s="13"/>
      <c r="K11" s="13"/>
      <c r="L11" s="13"/>
      <c r="M11" s="9"/>
      <c r="N11" s="9"/>
      <c r="O11" s="9"/>
      <c r="P11" s="9"/>
      <c r="Q11" s="9"/>
      <c r="R11" s="9"/>
      <c r="S11" s="9"/>
      <c r="T11" s="9"/>
      <c r="U11" s="9"/>
      <c r="V11" s="194"/>
      <c r="W11" s="6"/>
    </row>
    <row r="12" spans="1:23" ht="16.2" thickBot="1">
      <c r="A12" s="7"/>
      <c r="B12" s="13"/>
      <c r="C12" s="13"/>
      <c r="D12" s="13"/>
      <c r="E12" s="13"/>
      <c r="F12" s="13"/>
      <c r="G12" s="13"/>
      <c r="H12" s="13"/>
      <c r="I12" s="13"/>
      <c r="J12" s="13"/>
      <c r="K12" s="13"/>
      <c r="L12" s="13"/>
      <c r="M12" s="9"/>
      <c r="N12" s="9"/>
      <c r="O12" s="9"/>
      <c r="P12" s="9"/>
      <c r="Q12" s="9"/>
      <c r="R12" s="9"/>
      <c r="S12" s="9"/>
      <c r="T12" s="9"/>
      <c r="U12" s="9"/>
      <c r="V12" s="194"/>
      <c r="W12" s="6"/>
    </row>
    <row r="13" spans="1:23" ht="15.6">
      <c r="A13" s="2"/>
      <c r="B13" s="5"/>
      <c r="C13" s="5"/>
      <c r="D13" s="5"/>
      <c r="E13" s="5"/>
      <c r="F13" s="5"/>
      <c r="G13" s="5"/>
      <c r="H13" s="5"/>
      <c r="I13" s="5"/>
      <c r="J13" s="5"/>
      <c r="K13" s="5"/>
      <c r="L13" s="5"/>
      <c r="M13" s="5"/>
      <c r="N13" s="5"/>
      <c r="O13" s="5"/>
      <c r="P13" s="5"/>
      <c r="Q13" s="5"/>
      <c r="R13" s="5"/>
      <c r="S13" s="5"/>
      <c r="T13" s="5"/>
      <c r="U13" s="5"/>
      <c r="V13" s="193"/>
      <c r="W13" s="6"/>
    </row>
    <row r="14" spans="1:23" ht="15.6">
      <c r="A14" s="7"/>
      <c r="B14" s="14" t="s">
        <v>4</v>
      </c>
      <c r="C14" s="14"/>
      <c r="D14" s="14"/>
      <c r="E14" s="14"/>
      <c r="F14" s="14"/>
      <c r="G14" s="14"/>
      <c r="H14" s="14"/>
      <c r="I14" s="14"/>
      <c r="J14" s="14"/>
      <c r="K14" s="14"/>
      <c r="L14" s="14"/>
      <c r="M14" s="15"/>
      <c r="N14" s="15"/>
      <c r="O14" s="15"/>
      <c r="P14" s="15"/>
      <c r="Q14" s="15"/>
      <c r="R14" s="15"/>
      <c r="S14" s="15"/>
      <c r="T14" s="15"/>
      <c r="U14" s="16" t="s">
        <v>126</v>
      </c>
      <c r="V14" s="194"/>
      <c r="W14" s="6"/>
    </row>
    <row r="15" spans="1:23" ht="15.6">
      <c r="A15" s="7"/>
      <c r="B15" s="14" t="s">
        <v>5</v>
      </c>
      <c r="C15" s="14"/>
      <c r="D15" s="14"/>
      <c r="E15" s="14"/>
      <c r="F15" s="14"/>
      <c r="G15" s="14"/>
      <c r="H15" s="14"/>
      <c r="I15" s="14"/>
      <c r="J15" s="14"/>
      <c r="K15" s="14"/>
      <c r="L15" s="14"/>
      <c r="M15" s="17" t="s">
        <v>93</v>
      </c>
      <c r="N15" s="18">
        <v>0.1492</v>
      </c>
      <c r="O15" s="17" t="s">
        <v>99</v>
      </c>
      <c r="P15" s="18">
        <v>5.4399999999999997E-2</v>
      </c>
      <c r="Q15" s="17" t="s">
        <v>102</v>
      </c>
      <c r="R15" s="18">
        <v>0.48899999999999999</v>
      </c>
      <c r="S15" s="17" t="s">
        <v>108</v>
      </c>
      <c r="T15" s="18">
        <v>0.30740000000000001</v>
      </c>
      <c r="U15" s="16"/>
      <c r="V15" s="195"/>
      <c r="W15" s="6"/>
    </row>
    <row r="16" spans="1:23" ht="15.6">
      <c r="A16" s="7"/>
      <c r="B16" s="14" t="s">
        <v>6</v>
      </c>
      <c r="C16" s="14"/>
      <c r="D16" s="14"/>
      <c r="E16" s="14"/>
      <c r="F16" s="14"/>
      <c r="G16" s="14"/>
      <c r="H16" s="14"/>
      <c r="I16" s="14"/>
      <c r="J16" s="14"/>
      <c r="K16" s="14"/>
      <c r="L16" s="14"/>
      <c r="M16" s="17" t="s">
        <v>93</v>
      </c>
      <c r="N16" s="18">
        <f>+N199/S222</f>
        <v>7.2739999999999999E-2</v>
      </c>
      <c r="O16" s="17" t="s">
        <v>99</v>
      </c>
      <c r="P16" s="18">
        <f>+S199/S222</f>
        <v>8.8206666666666669E-2</v>
      </c>
      <c r="Q16" s="17" t="s">
        <v>102</v>
      </c>
      <c r="R16" s="18">
        <f>+N212/S222</f>
        <v>0.39821777777777778</v>
      </c>
      <c r="S16" s="17" t="s">
        <v>108</v>
      </c>
      <c r="T16" s="18">
        <f>+S212/S222</f>
        <v>0.28185777777777776</v>
      </c>
      <c r="U16" s="16"/>
      <c r="V16" s="195"/>
      <c r="W16" s="6"/>
    </row>
    <row r="17" spans="1:23" ht="15.6">
      <c r="A17" s="7"/>
      <c r="B17" s="14" t="s">
        <v>7</v>
      </c>
      <c r="C17" s="14"/>
      <c r="D17" s="14"/>
      <c r="E17" s="14"/>
      <c r="F17" s="14"/>
      <c r="G17" s="14"/>
      <c r="H17" s="14"/>
      <c r="I17" s="14"/>
      <c r="J17" s="14"/>
      <c r="K17" s="14"/>
      <c r="L17" s="14"/>
      <c r="M17" s="15"/>
      <c r="N17" s="15"/>
      <c r="O17" s="15"/>
      <c r="P17" s="15"/>
      <c r="Q17" s="15"/>
      <c r="R17" s="15"/>
      <c r="S17" s="15"/>
      <c r="T17" s="15"/>
      <c r="U17" s="19">
        <v>38491</v>
      </c>
      <c r="V17" s="194"/>
      <c r="W17" s="6"/>
    </row>
    <row r="18" spans="1:23" ht="15.6">
      <c r="A18" s="7"/>
      <c r="B18" s="14" t="s">
        <v>8</v>
      </c>
      <c r="C18" s="14"/>
      <c r="D18" s="14"/>
      <c r="E18" s="14"/>
      <c r="F18" s="14"/>
      <c r="G18" s="14"/>
      <c r="H18" s="14"/>
      <c r="I18" s="14"/>
      <c r="J18" s="14"/>
      <c r="K18" s="14"/>
      <c r="L18" s="14"/>
      <c r="M18" s="15"/>
      <c r="N18" s="15"/>
      <c r="O18" s="15"/>
      <c r="P18" s="15"/>
      <c r="Q18" s="15"/>
      <c r="R18" s="15"/>
      <c r="S18" s="15"/>
      <c r="T18" s="15"/>
      <c r="U18" s="19">
        <v>39374</v>
      </c>
      <c r="V18" s="194"/>
      <c r="W18" s="6"/>
    </row>
    <row r="19" spans="1:23" ht="15.6">
      <c r="A19" s="7"/>
      <c r="B19" s="9"/>
      <c r="C19" s="9"/>
      <c r="D19" s="9"/>
      <c r="E19" s="9"/>
      <c r="F19" s="9"/>
      <c r="G19" s="9"/>
      <c r="H19" s="9"/>
      <c r="I19" s="9"/>
      <c r="J19" s="9"/>
      <c r="K19" s="9"/>
      <c r="L19" s="9"/>
      <c r="M19" s="9"/>
      <c r="N19" s="9"/>
      <c r="O19" s="9"/>
      <c r="P19" s="9"/>
      <c r="Q19" s="9"/>
      <c r="R19" s="9"/>
      <c r="S19" s="9"/>
      <c r="T19" s="9"/>
      <c r="U19" s="20"/>
      <c r="V19" s="194"/>
      <c r="W19" s="6"/>
    </row>
    <row r="20" spans="1:23" ht="15.6">
      <c r="A20" s="7"/>
      <c r="B20" s="21" t="s">
        <v>9</v>
      </c>
      <c r="C20" s="9"/>
      <c r="D20" s="9"/>
      <c r="E20" s="9"/>
      <c r="F20" s="9"/>
      <c r="G20" s="9"/>
      <c r="H20" s="9"/>
      <c r="I20" s="9"/>
      <c r="J20" s="9"/>
      <c r="K20" s="9"/>
      <c r="L20" s="9"/>
      <c r="M20" s="9"/>
      <c r="N20" s="9"/>
      <c r="O20" s="9"/>
      <c r="P20" s="9"/>
      <c r="Q20" s="9"/>
      <c r="R20" s="9"/>
      <c r="S20" s="20"/>
      <c r="T20" s="9"/>
      <c r="U20" s="12"/>
      <c r="V20" s="194"/>
      <c r="W20" s="6"/>
    </row>
    <row r="21" spans="1:23" ht="15.6">
      <c r="A21" s="7"/>
      <c r="B21" s="9"/>
      <c r="C21" s="9"/>
      <c r="D21" s="9"/>
      <c r="E21" s="9"/>
      <c r="F21" s="9"/>
      <c r="G21" s="9"/>
      <c r="H21" s="9"/>
      <c r="I21" s="9"/>
      <c r="J21" s="9"/>
      <c r="K21" s="9"/>
      <c r="L21" s="9"/>
      <c r="M21" s="9"/>
      <c r="N21" s="9"/>
      <c r="O21" s="9"/>
      <c r="P21" s="9"/>
      <c r="Q21" s="9"/>
      <c r="R21" s="9"/>
      <c r="S21" s="9"/>
      <c r="T21" s="9"/>
      <c r="U21" s="22"/>
      <c r="V21" s="194"/>
      <c r="W21" s="6"/>
    </row>
    <row r="22" spans="1:23" ht="15.6">
      <c r="A22" s="7"/>
      <c r="B22" s="9"/>
      <c r="C22" s="142" t="s">
        <v>130</v>
      </c>
      <c r="D22" s="142"/>
      <c r="E22" s="142" t="s">
        <v>131</v>
      </c>
      <c r="F22" s="142"/>
      <c r="G22" s="142" t="s">
        <v>132</v>
      </c>
      <c r="H22" s="142"/>
      <c r="I22" s="142" t="s">
        <v>133</v>
      </c>
      <c r="J22" s="142"/>
      <c r="K22" s="142" t="s">
        <v>134</v>
      </c>
      <c r="L22" s="142"/>
      <c r="M22" s="144" t="s">
        <v>135</v>
      </c>
      <c r="N22" s="144"/>
      <c r="O22" s="144" t="s">
        <v>136</v>
      </c>
      <c r="P22" s="144"/>
      <c r="Q22" s="144" t="s">
        <v>137</v>
      </c>
      <c r="R22" s="23"/>
      <c r="S22" s="24"/>
      <c r="T22" s="12"/>
      <c r="U22" s="12"/>
      <c r="V22" s="194"/>
      <c r="W22" s="6"/>
    </row>
    <row r="23" spans="1:23" ht="15.6">
      <c r="A23" s="25"/>
      <c r="B23" s="26" t="s">
        <v>10</v>
      </c>
      <c r="C23" s="157" t="s">
        <v>96</v>
      </c>
      <c r="D23" s="157"/>
      <c r="E23" s="157" t="s">
        <v>96</v>
      </c>
      <c r="F23" s="157"/>
      <c r="G23" s="157" t="s">
        <v>138</v>
      </c>
      <c r="H23" s="157"/>
      <c r="I23" s="157" t="s">
        <v>138</v>
      </c>
      <c r="J23" s="157"/>
      <c r="K23" s="157" t="s">
        <v>104</v>
      </c>
      <c r="L23" s="143"/>
      <c r="M23" s="28" t="s">
        <v>104</v>
      </c>
      <c r="N23" s="28"/>
      <c r="O23" s="28" t="s">
        <v>109</v>
      </c>
      <c r="P23" s="28"/>
      <c r="Q23" s="28" t="s">
        <v>109</v>
      </c>
      <c r="R23" s="28"/>
      <c r="S23" s="28"/>
      <c r="T23" s="29"/>
      <c r="U23" s="29"/>
      <c r="V23" s="196"/>
      <c r="W23" s="6"/>
    </row>
    <row r="24" spans="1:23" ht="15.6">
      <c r="A24" s="25"/>
      <c r="B24" s="26" t="s">
        <v>11</v>
      </c>
      <c r="C24" s="157" t="s">
        <v>97</v>
      </c>
      <c r="D24" s="157"/>
      <c r="E24" s="157" t="s">
        <v>97</v>
      </c>
      <c r="F24" s="157"/>
      <c r="G24" s="157" t="s">
        <v>139</v>
      </c>
      <c r="H24" s="157"/>
      <c r="I24" s="157" t="s">
        <v>139</v>
      </c>
      <c r="J24" s="157"/>
      <c r="K24" s="157" t="s">
        <v>105</v>
      </c>
      <c r="L24" s="27"/>
      <c r="M24" s="28" t="s">
        <v>105</v>
      </c>
      <c r="N24" s="28"/>
      <c r="O24" s="28" t="s">
        <v>110</v>
      </c>
      <c r="P24" s="28"/>
      <c r="Q24" s="28" t="s">
        <v>110</v>
      </c>
      <c r="R24" s="28"/>
      <c r="S24" s="28"/>
      <c r="T24" s="29"/>
      <c r="U24" s="29"/>
      <c r="V24" s="196"/>
      <c r="W24" s="6"/>
    </row>
    <row r="25" spans="1:23" ht="15.6">
      <c r="A25" s="25"/>
      <c r="B25" s="30" t="s">
        <v>12</v>
      </c>
      <c r="C25" s="110" t="s">
        <v>96</v>
      </c>
      <c r="D25" s="110"/>
      <c r="E25" s="110" t="s">
        <v>96</v>
      </c>
      <c r="F25" s="110"/>
      <c r="G25" s="110" t="s">
        <v>138</v>
      </c>
      <c r="H25" s="110"/>
      <c r="I25" s="110" t="s">
        <v>138</v>
      </c>
      <c r="J25" s="30"/>
      <c r="K25" s="110" t="s">
        <v>104</v>
      </c>
      <c r="L25" s="30"/>
      <c r="M25" s="31" t="s">
        <v>104</v>
      </c>
      <c r="N25" s="28"/>
      <c r="O25" s="31" t="s">
        <v>109</v>
      </c>
      <c r="P25" s="28"/>
      <c r="Q25" s="31" t="s">
        <v>109</v>
      </c>
      <c r="R25" s="31"/>
      <c r="S25" s="31"/>
      <c r="T25" s="32"/>
      <c r="U25" s="29"/>
      <c r="V25" s="196"/>
      <c r="W25" s="6"/>
    </row>
    <row r="26" spans="1:23" ht="15.6">
      <c r="A26" s="25"/>
      <c r="B26" s="30" t="s">
        <v>13</v>
      </c>
      <c r="C26" s="110" t="s">
        <v>97</v>
      </c>
      <c r="D26" s="110"/>
      <c r="E26" s="110" t="s">
        <v>97</v>
      </c>
      <c r="F26" s="110"/>
      <c r="G26" s="110" t="s">
        <v>139</v>
      </c>
      <c r="H26" s="110"/>
      <c r="I26" s="110" t="s">
        <v>139</v>
      </c>
      <c r="J26" s="30"/>
      <c r="K26" s="110" t="s">
        <v>105</v>
      </c>
      <c r="L26" s="30"/>
      <c r="M26" s="31" t="s">
        <v>105</v>
      </c>
      <c r="N26" s="28"/>
      <c r="O26" s="31" t="s">
        <v>110</v>
      </c>
      <c r="P26" s="28"/>
      <c r="Q26" s="31" t="s">
        <v>110</v>
      </c>
      <c r="R26" s="31"/>
      <c r="S26" s="31"/>
      <c r="T26" s="32"/>
      <c r="U26" s="29"/>
      <c r="V26" s="196"/>
      <c r="W26" s="6"/>
    </row>
    <row r="27" spans="1:23" ht="15.6">
      <c r="A27" s="25"/>
      <c r="B27" s="26" t="s">
        <v>14</v>
      </c>
      <c r="C27" s="33" t="s">
        <v>140</v>
      </c>
      <c r="D27" s="26"/>
      <c r="E27" s="33" t="s">
        <v>141</v>
      </c>
      <c r="F27" s="26"/>
      <c r="G27" s="33" t="s">
        <v>142</v>
      </c>
      <c r="H27" s="26"/>
      <c r="I27" s="33" t="s">
        <v>258</v>
      </c>
      <c r="J27" s="26"/>
      <c r="K27" s="33" t="s">
        <v>143</v>
      </c>
      <c r="L27" s="26"/>
      <c r="M27" s="26" t="s">
        <v>144</v>
      </c>
      <c r="N27" s="28"/>
      <c r="O27" s="26" t="s">
        <v>145</v>
      </c>
      <c r="P27" s="28"/>
      <c r="Q27" s="26" t="s">
        <v>146</v>
      </c>
      <c r="R27" s="28"/>
      <c r="S27" s="33"/>
      <c r="T27" s="29"/>
      <c r="U27" s="29"/>
      <c r="V27" s="196"/>
      <c r="W27" s="6"/>
    </row>
    <row r="28" spans="1:23" ht="15.6">
      <c r="A28" s="25"/>
      <c r="B28" s="26" t="s">
        <v>147</v>
      </c>
      <c r="C28" s="168">
        <v>146000</v>
      </c>
      <c r="D28" s="33"/>
      <c r="E28" s="165">
        <v>259500</v>
      </c>
      <c r="F28" s="33"/>
      <c r="G28" s="168">
        <v>16000</v>
      </c>
      <c r="H28" s="33"/>
      <c r="I28" s="165">
        <v>35500</v>
      </c>
      <c r="J28" s="26"/>
      <c r="K28" s="168">
        <v>18000</v>
      </c>
      <c r="L28" s="26"/>
      <c r="M28" s="165">
        <v>33000</v>
      </c>
      <c r="N28" s="35"/>
      <c r="O28" s="34">
        <v>24500</v>
      </c>
      <c r="P28" s="34"/>
      <c r="Q28" s="165">
        <v>30000</v>
      </c>
      <c r="R28" s="34"/>
      <c r="S28" s="34"/>
      <c r="T28" s="36"/>
      <c r="U28" s="34"/>
      <c r="V28" s="197"/>
      <c r="W28" s="6"/>
    </row>
    <row r="29" spans="1:23" ht="15.6">
      <c r="A29" s="25"/>
      <c r="B29" s="26" t="s">
        <v>15</v>
      </c>
      <c r="C29" s="168">
        <v>146000</v>
      </c>
      <c r="D29" s="169"/>
      <c r="E29" s="165">
        <v>259500</v>
      </c>
      <c r="F29" s="169"/>
      <c r="G29" s="168">
        <v>16000</v>
      </c>
      <c r="H29" s="169"/>
      <c r="I29" s="165">
        <v>35500</v>
      </c>
      <c r="J29" s="38"/>
      <c r="K29" s="168">
        <v>18000</v>
      </c>
      <c r="L29" s="38"/>
      <c r="M29" s="165">
        <v>33000</v>
      </c>
      <c r="N29" s="35"/>
      <c r="O29" s="34">
        <v>24500</v>
      </c>
      <c r="P29" s="34"/>
      <c r="Q29" s="165">
        <v>30000</v>
      </c>
      <c r="R29" s="39"/>
      <c r="S29" s="34"/>
      <c r="T29" s="36"/>
      <c r="U29" s="34"/>
      <c r="V29" s="197"/>
      <c r="W29" s="6"/>
    </row>
    <row r="30" spans="1:23" ht="15.6">
      <c r="A30" s="40"/>
      <c r="B30" s="30" t="s">
        <v>148</v>
      </c>
      <c r="C30" s="162">
        <v>146000</v>
      </c>
      <c r="D30" s="170"/>
      <c r="E30" s="171">
        <v>259500</v>
      </c>
      <c r="F30" s="170"/>
      <c r="G30" s="162">
        <v>16000</v>
      </c>
      <c r="H30" s="170"/>
      <c r="I30" s="171">
        <v>35500</v>
      </c>
      <c r="J30" s="159"/>
      <c r="K30" s="162">
        <v>18000</v>
      </c>
      <c r="L30" s="41"/>
      <c r="M30" s="166">
        <v>33000</v>
      </c>
      <c r="N30" s="43"/>
      <c r="O30" s="42">
        <v>24500</v>
      </c>
      <c r="P30" s="42"/>
      <c r="Q30" s="166">
        <v>30000</v>
      </c>
      <c r="R30" s="42"/>
      <c r="S30" s="42"/>
      <c r="T30" s="44"/>
      <c r="U30" s="42"/>
      <c r="V30" s="196"/>
      <c r="W30" s="6"/>
    </row>
    <row r="31" spans="1:23" ht="15.6">
      <c r="A31" s="40"/>
      <c r="B31" s="158" t="s">
        <v>260</v>
      </c>
      <c r="C31" s="172">
        <v>146000</v>
      </c>
      <c r="D31" s="173"/>
      <c r="E31" s="172">
        <v>178000</v>
      </c>
      <c r="F31" s="172"/>
      <c r="G31" s="172">
        <v>16000</v>
      </c>
      <c r="H31" s="172"/>
      <c r="I31" s="172">
        <v>24500</v>
      </c>
      <c r="J31" s="161"/>
      <c r="K31" s="172">
        <v>18000</v>
      </c>
      <c r="L31" s="161"/>
      <c r="M31" s="167">
        <v>22500</v>
      </c>
      <c r="N31" s="164"/>
      <c r="O31" s="167">
        <v>24500</v>
      </c>
      <c r="P31" s="163"/>
      <c r="Q31" s="167">
        <v>20500</v>
      </c>
      <c r="R31" s="42"/>
      <c r="S31" s="42"/>
      <c r="T31" s="44"/>
      <c r="U31" s="34">
        <f>+Q31+O31+M31+K31+I31+G31+E31+C31</f>
        <v>450000</v>
      </c>
      <c r="V31" s="196"/>
      <c r="W31" s="6"/>
    </row>
    <row r="32" spans="1:23" ht="15.6">
      <c r="A32" s="40"/>
      <c r="B32" s="158" t="s">
        <v>261</v>
      </c>
      <c r="C32" s="172">
        <v>146000</v>
      </c>
      <c r="D32" s="173"/>
      <c r="E32" s="172">
        <v>178000</v>
      </c>
      <c r="F32" s="172"/>
      <c r="G32" s="172">
        <v>16000</v>
      </c>
      <c r="H32" s="172"/>
      <c r="I32" s="172">
        <v>24500</v>
      </c>
      <c r="J32" s="161"/>
      <c r="K32" s="172">
        <v>18000</v>
      </c>
      <c r="L32" s="161"/>
      <c r="M32" s="167">
        <v>22500</v>
      </c>
      <c r="N32" s="164"/>
      <c r="O32" s="167">
        <v>24500</v>
      </c>
      <c r="P32" s="163"/>
      <c r="Q32" s="167">
        <v>20500</v>
      </c>
      <c r="R32" s="42"/>
      <c r="S32" s="42"/>
      <c r="T32" s="44"/>
      <c r="U32" s="34">
        <f>+Q32+O32+M32+K32+I32+G32+E32+C32</f>
        <v>450000</v>
      </c>
      <c r="V32" s="196"/>
      <c r="W32" s="6"/>
    </row>
    <row r="33" spans="1:23" ht="15.6">
      <c r="A33" s="40"/>
      <c r="B33" s="30" t="s">
        <v>262</v>
      </c>
      <c r="C33" s="162">
        <v>146000</v>
      </c>
      <c r="D33" s="162"/>
      <c r="E33" s="162">
        <v>178000</v>
      </c>
      <c r="F33" s="162"/>
      <c r="G33" s="162">
        <v>16000</v>
      </c>
      <c r="H33" s="162"/>
      <c r="I33" s="162">
        <v>24500</v>
      </c>
      <c r="J33" s="160"/>
      <c r="K33" s="162">
        <v>18000</v>
      </c>
      <c r="L33" s="160"/>
      <c r="M33" s="162">
        <v>22500</v>
      </c>
      <c r="N33" s="160"/>
      <c r="O33" s="162">
        <v>24500</v>
      </c>
      <c r="P33" s="162"/>
      <c r="Q33" s="162">
        <v>20500</v>
      </c>
      <c r="R33" s="42"/>
      <c r="S33" s="42"/>
      <c r="T33" s="44"/>
      <c r="U33" s="42">
        <f>+Q33+O33+M33+K33+I33+G33+E33+C33</f>
        <v>450000</v>
      </c>
      <c r="V33" s="196"/>
      <c r="W33" s="6"/>
    </row>
    <row r="34" spans="1:23" ht="15.6">
      <c r="A34" s="40"/>
      <c r="B34" s="174" t="s">
        <v>149</v>
      </c>
      <c r="C34" s="175">
        <v>1</v>
      </c>
      <c r="D34" s="175"/>
      <c r="E34" s="175">
        <v>1</v>
      </c>
      <c r="F34" s="175"/>
      <c r="G34" s="175">
        <v>1</v>
      </c>
      <c r="H34" s="175"/>
      <c r="I34" s="175">
        <v>1</v>
      </c>
      <c r="J34" s="175"/>
      <c r="K34" s="175">
        <v>1</v>
      </c>
      <c r="L34" s="175"/>
      <c r="M34" s="175">
        <v>1</v>
      </c>
      <c r="N34" s="175"/>
      <c r="O34" s="175">
        <v>1</v>
      </c>
      <c r="P34" s="175"/>
      <c r="Q34" s="175">
        <v>1</v>
      </c>
      <c r="R34" s="176"/>
      <c r="S34" s="42"/>
      <c r="T34" s="44"/>
      <c r="U34" s="42"/>
      <c r="V34" s="196"/>
      <c r="W34" s="6"/>
    </row>
    <row r="35" spans="1:23" ht="15.6">
      <c r="A35" s="40"/>
      <c r="B35" s="174" t="s">
        <v>150</v>
      </c>
      <c r="C35" s="175">
        <v>1</v>
      </c>
      <c r="D35" s="175"/>
      <c r="E35" s="175">
        <v>1</v>
      </c>
      <c r="F35" s="175"/>
      <c r="G35" s="175">
        <v>1</v>
      </c>
      <c r="H35" s="175"/>
      <c r="I35" s="175">
        <v>1</v>
      </c>
      <c r="J35" s="175"/>
      <c r="K35" s="175">
        <v>1</v>
      </c>
      <c r="L35" s="175"/>
      <c r="M35" s="175">
        <v>1</v>
      </c>
      <c r="N35" s="175"/>
      <c r="O35" s="175">
        <v>1</v>
      </c>
      <c r="P35" s="175"/>
      <c r="Q35" s="175">
        <v>1</v>
      </c>
      <c r="R35" s="176"/>
      <c r="S35" s="42"/>
      <c r="T35" s="44"/>
      <c r="U35" s="42"/>
      <c r="V35" s="196"/>
      <c r="W35" s="6"/>
    </row>
    <row r="36" spans="1:23" ht="15.6">
      <c r="A36" s="25"/>
      <c r="B36" s="26" t="s">
        <v>153</v>
      </c>
      <c r="C36" s="157" t="s">
        <v>157</v>
      </c>
      <c r="D36" s="157"/>
      <c r="E36" s="157" t="s">
        <v>157</v>
      </c>
      <c r="F36" s="157"/>
      <c r="G36" s="157" t="s">
        <v>158</v>
      </c>
      <c r="H36" s="157"/>
      <c r="I36" s="157" t="s">
        <v>158</v>
      </c>
      <c r="J36" s="157"/>
      <c r="K36" s="157" t="s">
        <v>159</v>
      </c>
      <c r="L36" s="184"/>
      <c r="M36" s="157" t="s">
        <v>160</v>
      </c>
      <c r="N36" s="158"/>
      <c r="O36" s="157" t="s">
        <v>161</v>
      </c>
      <c r="P36" s="157"/>
      <c r="Q36" s="157" t="s">
        <v>162</v>
      </c>
      <c r="R36" s="157"/>
      <c r="S36" s="157"/>
      <c r="T36" s="158"/>
      <c r="U36" s="29"/>
      <c r="V36" s="196"/>
      <c r="W36" s="6"/>
    </row>
    <row r="37" spans="1:23" ht="15.6">
      <c r="A37" s="25"/>
      <c r="B37" s="26" t="s">
        <v>151</v>
      </c>
      <c r="C37" s="185">
        <v>6.2300000000000001E-2</v>
      </c>
      <c r="D37" s="185"/>
      <c r="E37" s="185">
        <v>4.4290000000000003E-2</v>
      </c>
      <c r="F37" s="185"/>
      <c r="G37" s="185">
        <v>6.3399999999999998E-2</v>
      </c>
      <c r="H37" s="185"/>
      <c r="I37" s="185">
        <v>4.539E-2</v>
      </c>
      <c r="J37" s="185"/>
      <c r="K37" s="185">
        <v>6.6100000000000006E-2</v>
      </c>
      <c r="L37" s="185"/>
      <c r="M37" s="185">
        <v>4.7789999999999999E-2</v>
      </c>
      <c r="N37" s="185"/>
      <c r="O37" s="185">
        <v>6.9599999999999995E-2</v>
      </c>
      <c r="P37" s="185"/>
      <c r="Q37" s="185">
        <v>5.1090000000000003E-2</v>
      </c>
      <c r="R37" s="186"/>
      <c r="S37" s="185"/>
      <c r="T37" s="158"/>
      <c r="U37" s="33"/>
      <c r="V37" s="196"/>
      <c r="W37" s="6"/>
    </row>
    <row r="38" spans="1:23" ht="15.6">
      <c r="A38" s="25"/>
      <c r="B38" s="26" t="s">
        <v>152</v>
      </c>
      <c r="C38" s="185">
        <v>5.8200000000000002E-2</v>
      </c>
      <c r="D38" s="185"/>
      <c r="E38" s="185">
        <v>4.1880000000000001E-2</v>
      </c>
      <c r="F38" s="185"/>
      <c r="G38" s="185">
        <v>5.9299999999999999E-2</v>
      </c>
      <c r="H38" s="185"/>
      <c r="I38" s="185">
        <v>4.2979999999999997E-2</v>
      </c>
      <c r="J38" s="185"/>
      <c r="K38" s="185">
        <v>6.2E-2</v>
      </c>
      <c r="L38" s="185"/>
      <c r="M38" s="185">
        <v>4.5379999999999997E-2</v>
      </c>
      <c r="N38" s="185"/>
      <c r="O38" s="185">
        <v>6.5500000000000003E-2</v>
      </c>
      <c r="P38" s="185"/>
      <c r="Q38" s="185">
        <v>4.8680000000000001E-2</v>
      </c>
      <c r="R38" s="186"/>
      <c r="S38" s="185"/>
      <c r="T38" s="158"/>
      <c r="U38" s="29"/>
      <c r="V38" s="196"/>
      <c r="W38" s="6"/>
    </row>
    <row r="39" spans="1:23" ht="15.6">
      <c r="A39" s="25"/>
      <c r="B39" s="26" t="s">
        <v>263</v>
      </c>
      <c r="C39" s="157" t="s">
        <v>157</v>
      </c>
      <c r="D39" s="185"/>
      <c r="E39" s="185" t="s">
        <v>198</v>
      </c>
      <c r="F39" s="185"/>
      <c r="G39" s="157" t="s">
        <v>158</v>
      </c>
      <c r="H39" s="185"/>
      <c r="I39" s="185" t="s">
        <v>225</v>
      </c>
      <c r="J39" s="185"/>
      <c r="K39" s="157" t="s">
        <v>159</v>
      </c>
      <c r="L39" s="185"/>
      <c r="M39" s="185" t="s">
        <v>199</v>
      </c>
      <c r="N39" s="185"/>
      <c r="O39" s="157" t="s">
        <v>161</v>
      </c>
      <c r="P39" s="185"/>
      <c r="Q39" s="185" t="s">
        <v>200</v>
      </c>
      <c r="R39" s="186"/>
      <c r="S39" s="185"/>
      <c r="T39" s="158"/>
      <c r="U39" s="29"/>
      <c r="V39" s="196"/>
      <c r="W39" s="6"/>
    </row>
    <row r="40" spans="1:23" ht="15.6">
      <c r="A40" s="25"/>
      <c r="B40" s="26" t="s">
        <v>264</v>
      </c>
      <c r="C40" s="185">
        <f>+C37</f>
        <v>6.2300000000000001E-2</v>
      </c>
      <c r="D40" s="185"/>
      <c r="E40" s="185">
        <v>6.2588000000000005E-2</v>
      </c>
      <c r="F40" s="185"/>
      <c r="G40" s="185">
        <f>+G37</f>
        <v>6.3399999999999998E-2</v>
      </c>
      <c r="H40" s="185"/>
      <c r="I40" s="185">
        <v>6.3766500000000004E-2</v>
      </c>
      <c r="J40" s="185"/>
      <c r="K40" s="185">
        <f>+K37</f>
        <v>6.6100000000000006E-2</v>
      </c>
      <c r="L40" s="184"/>
      <c r="M40" s="185">
        <v>6.63802E-2</v>
      </c>
      <c r="N40" s="184"/>
      <c r="O40" s="185">
        <f>+O37</f>
        <v>6.9599999999999995E-2</v>
      </c>
      <c r="P40" s="185"/>
      <c r="Q40" s="185">
        <v>7.0013199999999998E-2</v>
      </c>
      <c r="R40" s="186"/>
      <c r="S40" s="185"/>
      <c r="T40" s="158"/>
      <c r="U40" s="45">
        <f>SUMPRODUCT(C40:Q40,C31:Q31)/U31</f>
        <v>6.3637707444444441E-2</v>
      </c>
      <c r="V40" s="196"/>
      <c r="W40" s="6"/>
    </row>
    <row r="41" spans="1:23" ht="15.6">
      <c r="A41" s="25"/>
      <c r="B41" s="26" t="s">
        <v>265</v>
      </c>
      <c r="C41" s="185">
        <f>+C38</f>
        <v>5.8200000000000002E-2</v>
      </c>
      <c r="D41" s="185"/>
      <c r="E41" s="185">
        <v>5.8487999999999998E-2</v>
      </c>
      <c r="F41" s="185"/>
      <c r="G41" s="185">
        <f>+G38</f>
        <v>5.9299999999999999E-2</v>
      </c>
      <c r="H41" s="185"/>
      <c r="I41" s="185">
        <v>5.9666499999999997E-2</v>
      </c>
      <c r="J41" s="185"/>
      <c r="K41" s="185">
        <f>+K38</f>
        <v>6.2E-2</v>
      </c>
      <c r="L41" s="184"/>
      <c r="M41" s="185">
        <v>6.2280200000000001E-2</v>
      </c>
      <c r="N41" s="184"/>
      <c r="O41" s="185">
        <f>+O38</f>
        <v>6.5500000000000003E-2</v>
      </c>
      <c r="P41" s="185"/>
      <c r="Q41" s="185">
        <v>6.5913200000000005E-2</v>
      </c>
      <c r="R41" s="186"/>
      <c r="S41" s="185"/>
      <c r="T41" s="158"/>
      <c r="U41" s="29"/>
      <c r="V41" s="196"/>
      <c r="W41" s="6"/>
    </row>
    <row r="42" spans="1:23" ht="15.6">
      <c r="A42" s="25"/>
      <c r="B42" s="26" t="s">
        <v>17</v>
      </c>
      <c r="C42" s="187">
        <v>39918</v>
      </c>
      <c r="D42" s="187"/>
      <c r="E42" s="187">
        <v>39918</v>
      </c>
      <c r="F42" s="187"/>
      <c r="G42" s="187">
        <v>39918</v>
      </c>
      <c r="H42" s="187"/>
      <c r="I42" s="187">
        <v>39918</v>
      </c>
      <c r="J42" s="187"/>
      <c r="K42" s="187">
        <v>39918</v>
      </c>
      <c r="L42" s="187"/>
      <c r="M42" s="187">
        <v>39918</v>
      </c>
      <c r="N42" s="187"/>
      <c r="O42" s="187">
        <v>39918</v>
      </c>
      <c r="P42" s="187"/>
      <c r="Q42" s="187">
        <v>39918</v>
      </c>
      <c r="R42" s="157"/>
      <c r="S42" s="157"/>
      <c r="T42" s="158"/>
      <c r="U42" s="29"/>
      <c r="V42" s="196"/>
      <c r="W42" s="6"/>
    </row>
    <row r="43" spans="1:23" ht="15.6">
      <c r="A43" s="25"/>
      <c r="B43" s="26" t="s">
        <v>18</v>
      </c>
      <c r="C43" s="46">
        <v>40283</v>
      </c>
      <c r="D43" s="51"/>
      <c r="E43" s="46">
        <v>40283</v>
      </c>
      <c r="F43" s="51"/>
      <c r="G43" s="46">
        <v>40283</v>
      </c>
      <c r="H43" s="51"/>
      <c r="I43" s="46">
        <v>40283</v>
      </c>
      <c r="J43" s="51"/>
      <c r="K43" s="46">
        <v>40283</v>
      </c>
      <c r="L43" s="51"/>
      <c r="M43" s="46">
        <v>40283</v>
      </c>
      <c r="N43" s="51"/>
      <c r="O43" s="46">
        <v>40283</v>
      </c>
      <c r="P43" s="46"/>
      <c r="Q43" s="46">
        <v>40283</v>
      </c>
      <c r="R43" s="33"/>
      <c r="S43" s="33"/>
      <c r="T43" s="29"/>
      <c r="U43" s="29"/>
      <c r="V43" s="196"/>
      <c r="W43" s="6"/>
    </row>
    <row r="44" spans="1:23" ht="15.6">
      <c r="A44" s="25"/>
      <c r="B44" s="26" t="s">
        <v>154</v>
      </c>
      <c r="C44" s="33" t="s">
        <v>163</v>
      </c>
      <c r="D44" s="33"/>
      <c r="E44" s="33" t="s">
        <v>163</v>
      </c>
      <c r="F44" s="33"/>
      <c r="G44" s="33" t="s">
        <v>164</v>
      </c>
      <c r="H44" s="33"/>
      <c r="I44" s="33" t="s">
        <v>164</v>
      </c>
      <c r="J44" s="33"/>
      <c r="K44" s="33" t="s">
        <v>106</v>
      </c>
      <c r="L44" s="33"/>
      <c r="M44" s="33" t="s">
        <v>165</v>
      </c>
      <c r="N44" s="33"/>
      <c r="O44" s="33" t="s">
        <v>166</v>
      </c>
      <c r="P44" s="33"/>
      <c r="Q44" s="33" t="s">
        <v>167</v>
      </c>
      <c r="R44" s="33"/>
      <c r="S44" s="33"/>
      <c r="T44" s="29"/>
      <c r="U44" s="29"/>
      <c r="V44" s="196"/>
      <c r="W44" s="6"/>
    </row>
    <row r="45" spans="1:23" ht="15.6">
      <c r="A45" s="25"/>
      <c r="B45" s="26" t="s">
        <v>266</v>
      </c>
      <c r="C45" s="33" t="s">
        <v>163</v>
      </c>
      <c r="D45" s="26"/>
      <c r="E45" s="33" t="s">
        <v>228</v>
      </c>
      <c r="F45" s="26"/>
      <c r="G45" s="33" t="s">
        <v>164</v>
      </c>
      <c r="H45" s="26"/>
      <c r="I45" s="33" t="s">
        <v>226</v>
      </c>
      <c r="J45" s="26"/>
      <c r="K45" s="33" t="s">
        <v>106</v>
      </c>
      <c r="L45" s="26"/>
      <c r="M45" s="33" t="s">
        <v>227</v>
      </c>
      <c r="N45" s="26"/>
      <c r="O45" s="33" t="s">
        <v>166</v>
      </c>
      <c r="P45" s="33"/>
      <c r="Q45" s="33" t="s">
        <v>229</v>
      </c>
      <c r="R45" s="33"/>
      <c r="S45" s="33"/>
      <c r="T45" s="29"/>
      <c r="U45" s="29"/>
      <c r="V45" s="196"/>
      <c r="W45" s="6"/>
    </row>
    <row r="46" spans="1:23" ht="15.6">
      <c r="A46" s="25"/>
      <c r="B46" s="26"/>
      <c r="C46" s="26"/>
      <c r="D46" s="26"/>
      <c r="E46" s="26"/>
      <c r="F46" s="26"/>
      <c r="G46" s="26"/>
      <c r="H46" s="26"/>
      <c r="I46" s="26"/>
      <c r="J46" s="26"/>
      <c r="K46" s="26"/>
      <c r="L46" s="26"/>
      <c r="M46" s="47"/>
      <c r="N46" s="47"/>
      <c r="O46" s="26"/>
      <c r="P46" s="47"/>
      <c r="Q46" s="47"/>
      <c r="R46" s="47"/>
      <c r="S46" s="47"/>
      <c r="T46" s="47"/>
      <c r="U46" s="47"/>
      <c r="V46" s="196"/>
      <c r="W46" s="6"/>
    </row>
    <row r="47" spans="1:23" ht="15.6">
      <c r="A47" s="25"/>
      <c r="B47" s="26" t="s">
        <v>201</v>
      </c>
      <c r="C47" s="26"/>
      <c r="D47" s="26"/>
      <c r="E47" s="26"/>
      <c r="F47" s="26"/>
      <c r="G47" s="26"/>
      <c r="H47" s="26"/>
      <c r="I47" s="26"/>
      <c r="J47" s="26"/>
      <c r="K47" s="26"/>
      <c r="L47" s="26"/>
      <c r="M47" s="26"/>
      <c r="N47" s="26"/>
      <c r="O47" s="26"/>
      <c r="P47" s="26"/>
      <c r="Q47" s="26"/>
      <c r="R47" s="26"/>
      <c r="S47" s="26"/>
      <c r="T47" s="26"/>
      <c r="U47" s="45">
        <f>SUM(G31:Q31)/(C31+E31)</f>
        <v>0.3888888888888889</v>
      </c>
      <c r="V47" s="196"/>
      <c r="W47" s="6"/>
    </row>
    <row r="48" spans="1:23" ht="15.6">
      <c r="A48" s="25"/>
      <c r="B48" s="26" t="s">
        <v>202</v>
      </c>
      <c r="C48" s="26"/>
      <c r="D48" s="26"/>
      <c r="E48" s="26"/>
      <c r="F48" s="26"/>
      <c r="G48" s="26"/>
      <c r="H48" s="26"/>
      <c r="I48" s="26"/>
      <c r="J48" s="26"/>
      <c r="K48" s="26"/>
      <c r="L48" s="26"/>
      <c r="M48" s="26"/>
      <c r="N48" s="26"/>
      <c r="O48" s="26"/>
      <c r="P48" s="26"/>
      <c r="Q48" s="26"/>
      <c r="R48" s="26"/>
      <c r="S48" s="26"/>
      <c r="T48" s="26"/>
      <c r="U48" s="45">
        <f>SUM(F33:Q33)/(C33+E33)</f>
        <v>0.3888888888888889</v>
      </c>
      <c r="V48" s="196"/>
      <c r="W48" s="6"/>
    </row>
    <row r="49" spans="1:23" ht="15.6">
      <c r="A49" s="25"/>
      <c r="B49" s="26" t="s">
        <v>203</v>
      </c>
      <c r="C49" s="26"/>
      <c r="D49" s="26"/>
      <c r="E49" s="26"/>
      <c r="F49" s="26"/>
      <c r="G49" s="26"/>
      <c r="H49" s="26"/>
      <c r="I49" s="26"/>
      <c r="J49" s="26"/>
      <c r="K49" s="26"/>
      <c r="L49" s="26"/>
      <c r="M49" s="26"/>
      <c r="N49" s="26"/>
      <c r="O49" s="26"/>
      <c r="P49" s="26"/>
      <c r="Q49" s="26"/>
      <c r="R49" s="26"/>
      <c r="S49" s="33" t="s">
        <v>95</v>
      </c>
      <c r="T49" s="33" t="s">
        <v>117</v>
      </c>
      <c r="U49" s="34">
        <v>99000</v>
      </c>
      <c r="V49" s="196"/>
      <c r="W49" s="6"/>
    </row>
    <row r="50" spans="1:23" ht="15.6">
      <c r="A50" s="25"/>
      <c r="B50" s="26"/>
      <c r="C50" s="26"/>
      <c r="D50" s="26"/>
      <c r="E50" s="26"/>
      <c r="F50" s="26"/>
      <c r="G50" s="26"/>
      <c r="H50" s="26"/>
      <c r="I50" s="26"/>
      <c r="J50" s="26"/>
      <c r="K50" s="26"/>
      <c r="L50" s="26"/>
      <c r="M50" s="26"/>
      <c r="N50" s="26"/>
      <c r="O50" s="26"/>
      <c r="P50" s="26"/>
      <c r="Q50" s="26"/>
      <c r="R50" s="26"/>
      <c r="S50" s="26" t="s">
        <v>213</v>
      </c>
      <c r="T50" s="26"/>
      <c r="U50" s="48"/>
      <c r="V50" s="196"/>
      <c r="W50" s="6"/>
    </row>
    <row r="51" spans="1:23" ht="15.6">
      <c r="A51" s="25"/>
      <c r="B51" s="26" t="s">
        <v>19</v>
      </c>
      <c r="C51" s="26"/>
      <c r="D51" s="26"/>
      <c r="E51" s="26"/>
      <c r="F51" s="26"/>
      <c r="G51" s="26"/>
      <c r="H51" s="26"/>
      <c r="I51" s="26"/>
      <c r="J51" s="26"/>
      <c r="K51" s="26"/>
      <c r="L51" s="26"/>
      <c r="M51" s="26"/>
      <c r="N51" s="26"/>
      <c r="O51" s="26"/>
      <c r="P51" s="26"/>
      <c r="Q51" s="26"/>
      <c r="R51" s="26"/>
      <c r="S51" s="33"/>
      <c r="T51" s="33"/>
      <c r="U51" s="33" t="s">
        <v>118</v>
      </c>
      <c r="V51" s="196"/>
      <c r="W51" s="6"/>
    </row>
    <row r="52" spans="1:23" ht="15.6">
      <c r="A52" s="40"/>
      <c r="B52" s="30" t="s">
        <v>20</v>
      </c>
      <c r="C52" s="30"/>
      <c r="D52" s="30"/>
      <c r="E52" s="30"/>
      <c r="F52" s="30"/>
      <c r="G52" s="30"/>
      <c r="H52" s="30"/>
      <c r="I52" s="30"/>
      <c r="J52" s="30"/>
      <c r="K52" s="30"/>
      <c r="L52" s="30"/>
      <c r="M52" s="30"/>
      <c r="N52" s="30"/>
      <c r="O52" s="30"/>
      <c r="P52" s="30"/>
      <c r="Q52" s="30"/>
      <c r="R52" s="30"/>
      <c r="S52" s="49"/>
      <c r="T52" s="49"/>
      <c r="U52" s="50">
        <v>39370</v>
      </c>
      <c r="V52" s="198"/>
      <c r="W52" s="6"/>
    </row>
    <row r="53" spans="1:23" ht="15.6">
      <c r="A53" s="25"/>
      <c r="B53" s="26" t="s">
        <v>155</v>
      </c>
      <c r="C53" s="26"/>
      <c r="D53" s="26"/>
      <c r="E53" s="26"/>
      <c r="F53" s="26"/>
      <c r="G53" s="26"/>
      <c r="H53" s="26"/>
      <c r="I53" s="26"/>
      <c r="J53" s="26"/>
      <c r="K53" s="26"/>
      <c r="L53" s="26"/>
      <c r="M53" s="26"/>
      <c r="N53" s="26"/>
      <c r="O53" s="26"/>
      <c r="P53" s="26"/>
      <c r="Q53" s="29"/>
      <c r="R53" s="26">
        <f>U53-S53+1</f>
        <v>91</v>
      </c>
      <c r="S53" s="52">
        <v>39188</v>
      </c>
      <c r="T53" s="53"/>
      <c r="U53" s="52">
        <v>39278</v>
      </c>
      <c r="V53" s="196"/>
      <c r="W53" s="6"/>
    </row>
    <row r="54" spans="1:23" ht="15.6">
      <c r="A54" s="25"/>
      <c r="B54" s="26" t="s">
        <v>156</v>
      </c>
      <c r="C54" s="26"/>
      <c r="D54" s="26"/>
      <c r="E54" s="26"/>
      <c r="F54" s="26"/>
      <c r="G54" s="26"/>
      <c r="H54" s="26"/>
      <c r="I54" s="26"/>
      <c r="J54" s="26"/>
      <c r="K54" s="26"/>
      <c r="L54" s="26"/>
      <c r="M54" s="26"/>
      <c r="N54" s="26"/>
      <c r="O54" s="26"/>
      <c r="P54" s="26"/>
      <c r="Q54" s="29"/>
      <c r="R54" s="26">
        <f>U54-S54+1</f>
        <v>91</v>
      </c>
      <c r="S54" s="52">
        <v>39279</v>
      </c>
      <c r="T54" s="53"/>
      <c r="U54" s="52">
        <v>39369</v>
      </c>
      <c r="V54" s="196"/>
      <c r="W54" s="6"/>
    </row>
    <row r="55" spans="1:23" ht="15.6">
      <c r="A55" s="25"/>
      <c r="B55" s="26" t="s">
        <v>21</v>
      </c>
      <c r="C55" s="26"/>
      <c r="D55" s="26"/>
      <c r="E55" s="26"/>
      <c r="F55" s="26"/>
      <c r="G55" s="26"/>
      <c r="H55" s="26"/>
      <c r="I55" s="26"/>
      <c r="J55" s="26"/>
      <c r="K55" s="26"/>
      <c r="L55" s="26"/>
      <c r="M55" s="26"/>
      <c r="N55" s="26"/>
      <c r="O55" s="26"/>
      <c r="P55" s="26"/>
      <c r="Q55" s="26"/>
      <c r="R55" s="26"/>
      <c r="S55" s="52"/>
      <c r="T55" s="53"/>
      <c r="U55" s="52" t="s">
        <v>119</v>
      </c>
      <c r="V55" s="196"/>
      <c r="W55" s="6"/>
    </row>
    <row r="56" spans="1:23" ht="15.6">
      <c r="A56" s="25"/>
      <c r="B56" s="26" t="s">
        <v>22</v>
      </c>
      <c r="C56" s="26"/>
      <c r="D56" s="26"/>
      <c r="E56" s="26"/>
      <c r="F56" s="26"/>
      <c r="G56" s="26"/>
      <c r="H56" s="26"/>
      <c r="I56" s="26"/>
      <c r="J56" s="26"/>
      <c r="K56" s="26"/>
      <c r="L56" s="26"/>
      <c r="M56" s="26"/>
      <c r="N56" s="26"/>
      <c r="O56" s="26"/>
      <c r="P56" s="26"/>
      <c r="Q56" s="26"/>
      <c r="R56" s="26"/>
      <c r="S56" s="52"/>
      <c r="T56" s="53"/>
      <c r="U56" s="52">
        <v>39356</v>
      </c>
      <c r="V56" s="196"/>
      <c r="W56" s="6"/>
    </row>
    <row r="57" spans="1:23" ht="15.6">
      <c r="A57" s="25"/>
      <c r="B57" s="26"/>
      <c r="C57" s="26"/>
      <c r="D57" s="26"/>
      <c r="E57" s="26"/>
      <c r="F57" s="26"/>
      <c r="G57" s="26"/>
      <c r="H57" s="26"/>
      <c r="I57" s="26"/>
      <c r="J57" s="26"/>
      <c r="K57" s="26"/>
      <c r="L57" s="26"/>
      <c r="M57" s="26"/>
      <c r="N57" s="26"/>
      <c r="O57" s="26"/>
      <c r="P57" s="26"/>
      <c r="Q57" s="26"/>
      <c r="R57" s="26"/>
      <c r="S57" s="26"/>
      <c r="T57" s="26"/>
      <c r="U57" s="54"/>
      <c r="V57" s="196"/>
      <c r="W57" s="6"/>
    </row>
    <row r="58" spans="1:23" ht="15.6">
      <c r="A58" s="7"/>
      <c r="B58" s="9"/>
      <c r="C58" s="9"/>
      <c r="D58" s="9"/>
      <c r="E58" s="9"/>
      <c r="F58" s="9"/>
      <c r="G58" s="9"/>
      <c r="H58" s="9"/>
      <c r="I58" s="9"/>
      <c r="J58" s="9"/>
      <c r="K58" s="9"/>
      <c r="L58" s="9"/>
      <c r="M58" s="9"/>
      <c r="N58" s="9"/>
      <c r="O58" s="9"/>
      <c r="P58" s="9"/>
      <c r="Q58" s="9"/>
      <c r="R58" s="9"/>
      <c r="S58" s="9"/>
      <c r="T58" s="9"/>
      <c r="U58" s="55"/>
      <c r="V58" s="194"/>
      <c r="W58" s="6"/>
    </row>
    <row r="59" spans="1:23" ht="16.2" thickBot="1">
      <c r="A59" s="130"/>
      <c r="B59" s="131" t="s">
        <v>245</v>
      </c>
      <c r="C59" s="132"/>
      <c r="D59" s="132"/>
      <c r="E59" s="132"/>
      <c r="F59" s="132"/>
      <c r="G59" s="132"/>
      <c r="H59" s="132"/>
      <c r="I59" s="132"/>
      <c r="J59" s="132"/>
      <c r="K59" s="132"/>
      <c r="L59" s="132"/>
      <c r="M59" s="132"/>
      <c r="N59" s="132"/>
      <c r="O59" s="132"/>
      <c r="P59" s="132"/>
      <c r="Q59" s="132"/>
      <c r="R59" s="132"/>
      <c r="S59" s="132"/>
      <c r="T59" s="132"/>
      <c r="U59" s="133"/>
      <c r="V59" s="134"/>
      <c r="W59" s="6"/>
    </row>
    <row r="60" spans="1:23" ht="15.6">
      <c r="A60" s="2"/>
      <c r="B60" s="5" t="s">
        <v>237</v>
      </c>
      <c r="C60" s="5"/>
      <c r="D60" s="5"/>
      <c r="E60" s="5"/>
      <c r="F60" s="5"/>
      <c r="G60" s="5"/>
      <c r="H60" s="5"/>
      <c r="I60" s="5"/>
      <c r="J60" s="5"/>
      <c r="K60" s="5"/>
      <c r="L60" s="5"/>
      <c r="M60" s="5"/>
      <c r="N60" s="5"/>
      <c r="O60" s="5"/>
      <c r="P60" s="5"/>
      <c r="Q60" s="5"/>
      <c r="R60" s="5"/>
      <c r="S60" s="5"/>
      <c r="T60" s="5"/>
      <c r="U60" s="56"/>
      <c r="V60" s="193"/>
      <c r="W60" s="6"/>
    </row>
    <row r="61" spans="1:23" ht="15.6">
      <c r="A61" s="7"/>
      <c r="B61" s="57" t="s">
        <v>23</v>
      </c>
      <c r="C61" s="13"/>
      <c r="D61" s="13"/>
      <c r="E61" s="13"/>
      <c r="F61" s="13"/>
      <c r="G61" s="13"/>
      <c r="H61" s="13"/>
      <c r="I61" s="13"/>
      <c r="J61" s="13"/>
      <c r="K61" s="13"/>
      <c r="L61" s="13"/>
      <c r="M61" s="9"/>
      <c r="N61" s="9"/>
      <c r="O61" s="9"/>
      <c r="P61" s="9"/>
      <c r="Q61" s="9"/>
      <c r="R61" s="9"/>
      <c r="S61" s="9"/>
      <c r="T61" s="9"/>
      <c r="U61" s="58"/>
      <c r="V61" s="194"/>
      <c r="W61" s="6"/>
    </row>
    <row r="62" spans="1:23" ht="15.6">
      <c r="A62" s="7"/>
      <c r="B62" s="13"/>
      <c r="C62" s="13"/>
      <c r="D62" s="13"/>
      <c r="E62" s="13"/>
      <c r="F62" s="13"/>
      <c r="G62" s="13"/>
      <c r="H62" s="13"/>
      <c r="I62" s="13"/>
      <c r="J62" s="13"/>
      <c r="K62" s="13"/>
      <c r="L62" s="13"/>
      <c r="M62" s="9"/>
      <c r="N62" s="9"/>
      <c r="O62" s="9"/>
      <c r="P62" s="9"/>
      <c r="Q62" s="9"/>
      <c r="R62" s="9"/>
      <c r="S62" s="9"/>
      <c r="T62" s="9"/>
      <c r="U62" s="58"/>
      <c r="V62" s="194"/>
      <c r="W62" s="6"/>
    </row>
    <row r="63" spans="1:23" s="151" customFormat="1" ht="46.8">
      <c r="A63" s="145"/>
      <c r="B63" s="146"/>
      <c r="C63" s="147"/>
      <c r="D63" s="147"/>
      <c r="E63" s="147"/>
      <c r="F63" s="147"/>
      <c r="G63" s="147"/>
      <c r="H63" s="147"/>
      <c r="I63" s="147"/>
      <c r="J63" s="147"/>
      <c r="K63" s="147" t="s">
        <v>197</v>
      </c>
      <c r="L63" s="147"/>
      <c r="M63" s="147" t="s">
        <v>98</v>
      </c>
      <c r="N63" s="147"/>
      <c r="O63" s="147" t="s">
        <v>107</v>
      </c>
      <c r="P63" s="147"/>
      <c r="Q63" s="147" t="s">
        <v>111</v>
      </c>
      <c r="R63" s="147"/>
      <c r="S63" s="147" t="s">
        <v>113</v>
      </c>
      <c r="T63" s="147"/>
      <c r="U63" s="148" t="s">
        <v>120</v>
      </c>
      <c r="V63" s="199"/>
      <c r="W63" s="150"/>
    </row>
    <row r="64" spans="1:23" ht="15.6">
      <c r="A64" s="25"/>
      <c r="B64" s="26" t="s">
        <v>24</v>
      </c>
      <c r="C64" s="59"/>
      <c r="D64" s="59"/>
      <c r="E64" s="59"/>
      <c r="F64" s="59"/>
      <c r="G64" s="59"/>
      <c r="H64" s="59"/>
      <c r="I64" s="59"/>
      <c r="J64" s="59"/>
      <c r="K64" s="59">
        <f>265+63566+3306</f>
        <v>67137</v>
      </c>
      <c r="L64" s="59"/>
      <c r="M64" s="59">
        <v>40880</v>
      </c>
      <c r="N64" s="59"/>
      <c r="O64" s="59">
        <f>11+4176+33+564+1</f>
        <v>4785</v>
      </c>
      <c r="P64" s="59"/>
      <c r="Q64" s="59">
        <f>3415-21</f>
        <v>3394</v>
      </c>
      <c r="R64" s="59"/>
      <c r="S64" s="59">
        <v>0</v>
      </c>
      <c r="T64" s="59"/>
      <c r="U64" s="60">
        <f>+M64-O64+Q64-S64</f>
        <v>39489</v>
      </c>
      <c r="V64" s="196"/>
      <c r="W64" s="6"/>
    </row>
    <row r="65" spans="1:24" ht="15.6">
      <c r="A65" s="25"/>
      <c r="B65" s="26" t="s">
        <v>25</v>
      </c>
      <c r="C65" s="59"/>
      <c r="D65" s="59"/>
      <c r="E65" s="59"/>
      <c r="F65" s="59"/>
      <c r="G65" s="59"/>
      <c r="H65" s="59"/>
      <c r="I65" s="59"/>
      <c r="J65" s="59"/>
      <c r="K65" s="59"/>
      <c r="L65" s="59"/>
      <c r="M65" s="59"/>
      <c r="N65" s="59"/>
      <c r="O65" s="59"/>
      <c r="P65" s="59"/>
      <c r="Q65" s="59">
        <v>0</v>
      </c>
      <c r="R65" s="59"/>
      <c r="S65" s="59">
        <v>0</v>
      </c>
      <c r="T65" s="59"/>
      <c r="U65" s="60">
        <f>M65-O65</f>
        <v>0</v>
      </c>
      <c r="V65" s="196"/>
      <c r="W65" s="6"/>
    </row>
    <row r="66" spans="1:24" ht="15.6">
      <c r="A66" s="25"/>
      <c r="B66" s="26"/>
      <c r="C66" s="59"/>
      <c r="D66" s="59"/>
      <c r="E66" s="59"/>
      <c r="F66" s="59"/>
      <c r="G66" s="59"/>
      <c r="H66" s="59"/>
      <c r="I66" s="59"/>
      <c r="J66" s="59"/>
      <c r="K66" s="59"/>
      <c r="L66" s="59"/>
      <c r="M66" s="59"/>
      <c r="N66" s="59"/>
      <c r="O66" s="59"/>
      <c r="P66" s="59"/>
      <c r="Q66" s="59"/>
      <c r="R66" s="59"/>
      <c r="S66" s="59"/>
      <c r="T66" s="59"/>
      <c r="U66" s="60"/>
      <c r="V66" s="196"/>
      <c r="W66" s="6"/>
    </row>
    <row r="67" spans="1:24" ht="15.6">
      <c r="A67" s="25"/>
      <c r="B67" s="26" t="s">
        <v>26</v>
      </c>
      <c r="C67" s="59"/>
      <c r="D67" s="59"/>
      <c r="E67" s="59"/>
      <c r="F67" s="59"/>
      <c r="G67" s="59"/>
      <c r="H67" s="59"/>
      <c r="I67" s="59"/>
      <c r="J67" s="59"/>
      <c r="K67" s="59">
        <v>24470</v>
      </c>
      <c r="L67" s="59"/>
      <c r="M67" s="59">
        <v>42089</v>
      </c>
      <c r="N67" s="59"/>
      <c r="O67" s="59">
        <f>15161+71</f>
        <v>15232</v>
      </c>
      <c r="P67" s="59"/>
      <c r="Q67" s="59">
        <v>13406</v>
      </c>
      <c r="R67" s="59"/>
      <c r="S67" s="59">
        <f>SUM(S64:S66)</f>
        <v>0</v>
      </c>
      <c r="T67" s="59"/>
      <c r="U67" s="60">
        <f>+M67-O67+Q67-S67</f>
        <v>40263</v>
      </c>
      <c r="V67" s="196"/>
      <c r="W67" s="6"/>
    </row>
    <row r="68" spans="1:24" ht="15.6">
      <c r="A68" s="25"/>
      <c r="B68" s="26" t="s">
        <v>25</v>
      </c>
      <c r="C68" s="59"/>
      <c r="D68" s="59"/>
      <c r="E68" s="59"/>
      <c r="F68" s="59"/>
      <c r="G68" s="59"/>
      <c r="H68" s="59"/>
      <c r="I68" s="59"/>
      <c r="J68" s="59"/>
      <c r="K68" s="59"/>
      <c r="L68" s="59"/>
      <c r="M68" s="59"/>
      <c r="N68" s="59"/>
      <c r="O68" s="59"/>
      <c r="P68" s="59"/>
      <c r="Q68" s="59">
        <v>0</v>
      </c>
      <c r="R68" s="59"/>
      <c r="S68" s="59">
        <v>0</v>
      </c>
      <c r="T68" s="59"/>
      <c r="U68" s="61"/>
      <c r="V68" s="196"/>
      <c r="W68" s="6"/>
    </row>
    <row r="69" spans="1:24" ht="15.6">
      <c r="A69" s="25"/>
      <c r="B69" s="62"/>
      <c r="C69" s="59"/>
      <c r="D69" s="59"/>
      <c r="E69" s="59"/>
      <c r="F69" s="59"/>
      <c r="G69" s="59"/>
      <c r="H69" s="59"/>
      <c r="I69" s="59"/>
      <c r="J69" s="59"/>
      <c r="K69" s="59"/>
      <c r="L69" s="59"/>
      <c r="M69" s="59"/>
      <c r="N69" s="59"/>
      <c r="O69" s="63"/>
      <c r="P69" s="59"/>
      <c r="Q69" s="59"/>
      <c r="R69" s="59"/>
      <c r="S69" s="59"/>
      <c r="T69" s="59"/>
      <c r="U69" s="61"/>
      <c r="V69" s="196"/>
      <c r="W69" s="6"/>
    </row>
    <row r="70" spans="1:24" ht="15.6">
      <c r="A70" s="25"/>
      <c r="B70" s="26" t="s">
        <v>27</v>
      </c>
      <c r="C70" s="59"/>
      <c r="D70" s="59"/>
      <c r="E70" s="59"/>
      <c r="F70" s="59"/>
      <c r="G70" s="59"/>
      <c r="H70" s="59"/>
      <c r="I70" s="59"/>
      <c r="J70" s="59"/>
      <c r="K70" s="59">
        <v>220072</v>
      </c>
      <c r="L70" s="59"/>
      <c r="M70" s="59">
        <v>180555</v>
      </c>
      <c r="N70" s="59"/>
      <c r="O70" s="59">
        <f>20228+484</f>
        <v>20712</v>
      </c>
      <c r="P70" s="59"/>
      <c r="Q70" s="59">
        <f>20122+584</f>
        <v>20706</v>
      </c>
      <c r="R70" s="59"/>
      <c r="S70" s="59">
        <v>0</v>
      </c>
      <c r="T70" s="59"/>
      <c r="U70" s="60">
        <f>+M70-O70+Q70-S70</f>
        <v>180549</v>
      </c>
      <c r="V70" s="196"/>
      <c r="W70" s="6"/>
    </row>
    <row r="71" spans="1:24" ht="15.6">
      <c r="A71" s="25"/>
      <c r="B71" s="26" t="s">
        <v>25</v>
      </c>
      <c r="C71" s="59"/>
      <c r="D71" s="59"/>
      <c r="E71" s="59"/>
      <c r="F71" s="59"/>
      <c r="G71" s="59"/>
      <c r="H71" s="59"/>
      <c r="I71" s="59"/>
      <c r="J71" s="59"/>
      <c r="K71" s="59"/>
      <c r="L71" s="59"/>
      <c r="M71" s="59"/>
      <c r="N71" s="59"/>
      <c r="O71" s="59"/>
      <c r="P71" s="59"/>
      <c r="Q71" s="59">
        <v>0</v>
      </c>
      <c r="R71" s="59"/>
      <c r="S71" s="59">
        <v>0</v>
      </c>
      <c r="T71" s="59"/>
      <c r="U71" s="60">
        <f>M71-O71+Q71-S71</f>
        <v>0</v>
      </c>
      <c r="V71" s="196"/>
      <c r="W71" s="6"/>
    </row>
    <row r="72" spans="1:24" ht="15.6">
      <c r="A72" s="25"/>
      <c r="B72" s="26"/>
      <c r="C72" s="59"/>
      <c r="D72" s="59"/>
      <c r="E72" s="59"/>
      <c r="F72" s="59"/>
      <c r="G72" s="59"/>
      <c r="H72" s="59"/>
      <c r="I72" s="59"/>
      <c r="J72" s="59"/>
      <c r="K72" s="59"/>
      <c r="L72" s="59"/>
      <c r="M72" s="59"/>
      <c r="N72" s="59"/>
      <c r="O72" s="59"/>
      <c r="P72" s="59"/>
      <c r="Q72" s="59"/>
      <c r="R72" s="59"/>
      <c r="S72" s="59"/>
      <c r="T72" s="59"/>
      <c r="U72" s="60"/>
      <c r="V72" s="196"/>
      <c r="W72" s="6"/>
    </row>
    <row r="73" spans="1:24" ht="15.6">
      <c r="A73" s="25"/>
      <c r="B73" s="26" t="s">
        <v>28</v>
      </c>
      <c r="C73" s="59"/>
      <c r="D73" s="59"/>
      <c r="E73" s="59"/>
      <c r="F73" s="59"/>
      <c r="G73" s="59"/>
      <c r="H73" s="59"/>
      <c r="I73" s="59"/>
      <c r="J73" s="59"/>
      <c r="K73" s="59">
        <v>138321</v>
      </c>
      <c r="L73" s="59"/>
      <c r="M73" s="59">
        <v>129531</v>
      </c>
      <c r="N73" s="59"/>
      <c r="O73" s="59">
        <f>17067+736</f>
        <v>17803</v>
      </c>
      <c r="P73" s="59"/>
      <c r="Q73" s="59">
        <f>15660-8</f>
        <v>15652</v>
      </c>
      <c r="R73" s="59"/>
      <c r="S73" s="59">
        <v>0</v>
      </c>
      <c r="T73" s="59"/>
      <c r="U73" s="60">
        <f>+M73-O73+Q73-S73</f>
        <v>127380</v>
      </c>
      <c r="V73" s="196"/>
      <c r="W73" s="6"/>
    </row>
    <row r="74" spans="1:24" ht="15.6">
      <c r="A74" s="25"/>
      <c r="B74" s="26" t="s">
        <v>25</v>
      </c>
      <c r="C74" s="59"/>
      <c r="D74" s="59"/>
      <c r="E74" s="59"/>
      <c r="F74" s="59"/>
      <c r="G74" s="59"/>
      <c r="H74" s="59"/>
      <c r="I74" s="59"/>
      <c r="J74" s="59"/>
      <c r="K74" s="59"/>
      <c r="L74" s="59"/>
      <c r="M74" s="59"/>
      <c r="N74" s="59"/>
      <c r="O74" s="59"/>
      <c r="P74" s="59"/>
      <c r="Q74" s="59">
        <v>0</v>
      </c>
      <c r="R74" s="59"/>
      <c r="S74" s="59">
        <v>0</v>
      </c>
      <c r="T74" s="59"/>
      <c r="U74" s="60"/>
      <c r="V74" s="196"/>
      <c r="W74" s="6"/>
    </row>
    <row r="75" spans="1:24" ht="15.6">
      <c r="A75" s="25"/>
      <c r="B75" s="59"/>
      <c r="C75" s="59"/>
      <c r="D75" s="59"/>
      <c r="E75" s="59"/>
      <c r="F75" s="59"/>
      <c r="G75" s="59"/>
      <c r="H75" s="59"/>
      <c r="I75" s="59"/>
      <c r="J75" s="59"/>
      <c r="K75" s="59"/>
      <c r="L75" s="59"/>
      <c r="M75" s="59"/>
      <c r="N75" s="59"/>
      <c r="O75" s="59"/>
      <c r="P75" s="59"/>
      <c r="Q75" s="59"/>
      <c r="R75" s="59"/>
      <c r="S75" s="59"/>
      <c r="T75" s="59"/>
      <c r="U75" s="60"/>
      <c r="V75" s="196"/>
      <c r="W75" s="6"/>
    </row>
    <row r="76" spans="1:24" ht="15.6">
      <c r="A76" s="25"/>
      <c r="B76" s="26" t="s">
        <v>29</v>
      </c>
      <c r="C76" s="59"/>
      <c r="D76" s="59"/>
      <c r="E76" s="59"/>
      <c r="F76" s="59"/>
      <c r="G76" s="59"/>
      <c r="H76" s="59"/>
      <c r="I76" s="59"/>
      <c r="J76" s="59"/>
      <c r="K76" s="59">
        <f>SUM(K64:K73)</f>
        <v>450000</v>
      </c>
      <c r="L76" s="59"/>
      <c r="M76" s="59">
        <f>SUM(M64:M73)</f>
        <v>393055</v>
      </c>
      <c r="N76" s="59"/>
      <c r="O76" s="59">
        <f>SUM(O64:O74)</f>
        <v>58532</v>
      </c>
      <c r="P76" s="59"/>
      <c r="Q76" s="59">
        <f>SUM(Q64:Q74)</f>
        <v>53158</v>
      </c>
      <c r="R76" s="59"/>
      <c r="S76" s="59">
        <f>SUM(S71:S75)</f>
        <v>0</v>
      </c>
      <c r="T76" s="59"/>
      <c r="U76" s="59">
        <f>SUM(U64:U74)</f>
        <v>387681</v>
      </c>
      <c r="V76" s="196"/>
      <c r="W76" s="6"/>
      <c r="X76" s="182"/>
    </row>
    <row r="77" spans="1:24" ht="15.6">
      <c r="A77" s="25"/>
      <c r="B77" s="26"/>
      <c r="C77" s="59"/>
      <c r="D77" s="59"/>
      <c r="E77" s="59"/>
      <c r="F77" s="59"/>
      <c r="G77" s="59"/>
      <c r="H77" s="59"/>
      <c r="I77" s="59"/>
      <c r="J77" s="59"/>
      <c r="K77" s="59"/>
      <c r="L77" s="59"/>
      <c r="M77" s="59"/>
      <c r="N77" s="59"/>
      <c r="O77" s="59"/>
      <c r="P77" s="59"/>
      <c r="Q77" s="59"/>
      <c r="R77" s="59"/>
      <c r="S77" s="59"/>
      <c r="T77" s="59"/>
      <c r="U77" s="61"/>
      <c r="V77" s="196"/>
      <c r="W77" s="6"/>
    </row>
    <row r="78" spans="1:24" ht="15.6">
      <c r="A78" s="25"/>
      <c r="B78" s="26" t="s">
        <v>214</v>
      </c>
      <c r="C78" s="59"/>
      <c r="D78" s="59"/>
      <c r="E78" s="59"/>
      <c r="F78" s="59"/>
      <c r="G78" s="59"/>
      <c r="H78" s="59"/>
      <c r="I78" s="59"/>
      <c r="J78" s="59"/>
      <c r="K78" s="59">
        <v>0</v>
      </c>
      <c r="L78" s="59"/>
      <c r="M78" s="59">
        <v>-8640</v>
      </c>
      <c r="N78" s="59"/>
      <c r="O78" s="59">
        <v>581</v>
      </c>
      <c r="P78" s="59"/>
      <c r="Q78" s="59"/>
      <c r="R78" s="59"/>
      <c r="S78" s="59"/>
      <c r="T78" s="59"/>
      <c r="U78" s="60">
        <f>+M78-O78</f>
        <v>-9221</v>
      </c>
      <c r="V78" s="196"/>
      <c r="W78" s="6"/>
    </row>
    <row r="79" spans="1:24" ht="15.6">
      <c r="A79" s="25"/>
      <c r="B79" s="26" t="s">
        <v>30</v>
      </c>
      <c r="C79" s="59"/>
      <c r="D79" s="59"/>
      <c r="E79" s="59"/>
      <c r="F79" s="59"/>
      <c r="G79" s="59"/>
      <c r="H79" s="59"/>
      <c r="I79" s="59"/>
      <c r="J79" s="59"/>
      <c r="K79" s="59">
        <v>0</v>
      </c>
      <c r="L79" s="59"/>
      <c r="M79" s="59">
        <v>65585</v>
      </c>
      <c r="N79" s="59"/>
      <c r="O79" s="59">
        <f>SUM(O76:O78)</f>
        <v>59113</v>
      </c>
      <c r="P79" s="59"/>
      <c r="Q79" s="59">
        <f>-Q76</f>
        <v>-53158</v>
      </c>
      <c r="R79" s="59"/>
      <c r="S79" s="59"/>
      <c r="T79" s="59"/>
      <c r="U79" s="61">
        <f>+M79+O79+Q79</f>
        <v>71540</v>
      </c>
      <c r="V79" s="196"/>
      <c r="W79" s="6"/>
      <c r="X79" s="182"/>
    </row>
    <row r="80" spans="1:24" ht="15.6">
      <c r="A80" s="25"/>
      <c r="B80" s="26" t="s">
        <v>31</v>
      </c>
      <c r="C80" s="59"/>
      <c r="D80" s="59"/>
      <c r="E80" s="59"/>
      <c r="F80" s="59"/>
      <c r="G80" s="59"/>
      <c r="H80" s="59"/>
      <c r="I80" s="59"/>
      <c r="J80" s="59"/>
      <c r="K80" s="59">
        <v>0</v>
      </c>
      <c r="L80" s="59"/>
      <c r="M80" s="59">
        <v>0</v>
      </c>
      <c r="N80" s="59"/>
      <c r="O80" s="59"/>
      <c r="P80" s="59"/>
      <c r="Q80" s="59">
        <v>0</v>
      </c>
      <c r="R80" s="59"/>
      <c r="S80" s="59"/>
      <c r="T80" s="59"/>
      <c r="U80" s="61">
        <f>Q80+M80</f>
        <v>0</v>
      </c>
      <c r="V80" s="196"/>
      <c r="W80" s="6"/>
    </row>
    <row r="81" spans="1:24" ht="15.6">
      <c r="A81" s="25"/>
      <c r="B81" s="26" t="s">
        <v>16</v>
      </c>
      <c r="C81" s="61"/>
      <c r="D81" s="61"/>
      <c r="E81" s="61"/>
      <c r="F81" s="61"/>
      <c r="G81" s="61"/>
      <c r="H81" s="61"/>
      <c r="I81" s="61"/>
      <c r="J81" s="61"/>
      <c r="K81" s="61">
        <f>SUM(K76:K80)</f>
        <v>450000</v>
      </c>
      <c r="L81" s="61"/>
      <c r="M81" s="61">
        <f>SUM(M76:M80)</f>
        <v>450000</v>
      </c>
      <c r="N81" s="59"/>
      <c r="O81" s="59">
        <f>O79-O80</f>
        <v>59113</v>
      </c>
      <c r="P81" s="59"/>
      <c r="Q81" s="59"/>
      <c r="R81" s="59"/>
      <c r="S81" s="59"/>
      <c r="T81" s="59"/>
      <c r="U81" s="61">
        <f>SUM(U76:U80)</f>
        <v>450000</v>
      </c>
      <c r="V81" s="196"/>
      <c r="W81" s="6"/>
    </row>
    <row r="82" spans="1:24" ht="15.6">
      <c r="A82" s="25"/>
      <c r="B82" s="59"/>
      <c r="C82" s="26"/>
      <c r="D82" s="26"/>
      <c r="E82" s="26"/>
      <c r="F82" s="26"/>
      <c r="G82" s="26"/>
      <c r="H82" s="26"/>
      <c r="I82" s="26"/>
      <c r="J82" s="26"/>
      <c r="K82" s="26"/>
      <c r="L82" s="26"/>
      <c r="M82" s="26"/>
      <c r="N82" s="26"/>
      <c r="O82" s="26"/>
      <c r="P82" s="26"/>
      <c r="Q82" s="26"/>
      <c r="R82" s="26"/>
      <c r="S82" s="33"/>
      <c r="T82" s="26"/>
      <c r="U82" s="33"/>
      <c r="V82" s="196"/>
      <c r="W82" s="6"/>
    </row>
    <row r="83" spans="1:24" ht="15.6">
      <c r="A83" s="7"/>
      <c r="B83" s="57" t="s">
        <v>32</v>
      </c>
      <c r="C83" s="14"/>
      <c r="D83" s="14"/>
      <c r="E83" s="14"/>
      <c r="F83" s="14"/>
      <c r="G83" s="14"/>
      <c r="H83" s="14"/>
      <c r="I83" s="14"/>
      <c r="J83" s="14"/>
      <c r="K83" s="14"/>
      <c r="L83" s="14"/>
      <c r="M83" s="14"/>
      <c r="N83" s="14"/>
      <c r="O83" s="14"/>
      <c r="P83" s="14"/>
      <c r="Q83" s="14"/>
      <c r="R83" s="17"/>
      <c r="S83" s="17"/>
      <c r="T83" s="17"/>
      <c r="U83" s="17" t="s">
        <v>121</v>
      </c>
      <c r="V83" s="200"/>
      <c r="W83" s="6"/>
    </row>
    <row r="84" spans="1:24" ht="15.6">
      <c r="A84" s="25"/>
      <c r="B84" s="26" t="s">
        <v>33</v>
      </c>
      <c r="C84" s="26"/>
      <c r="D84" s="26"/>
      <c r="E84" s="26"/>
      <c r="F84" s="26"/>
      <c r="G84" s="26"/>
      <c r="H84" s="26"/>
      <c r="I84" s="26"/>
      <c r="J84" s="26"/>
      <c r="K84" s="26"/>
      <c r="L84" s="26"/>
      <c r="M84" s="26"/>
      <c r="N84" s="26"/>
      <c r="O84" s="59"/>
      <c r="P84" s="26"/>
      <c r="Q84" s="26"/>
      <c r="R84" s="26"/>
      <c r="S84" s="59"/>
      <c r="T84" s="26"/>
      <c r="U84" s="60">
        <v>121470</v>
      </c>
      <c r="V84" s="196"/>
      <c r="W84" s="6"/>
    </row>
    <row r="85" spans="1:24" ht="15.6">
      <c r="A85" s="25"/>
      <c r="B85" s="26" t="s">
        <v>34</v>
      </c>
      <c r="C85" s="47"/>
      <c r="D85" s="47"/>
      <c r="E85" s="47"/>
      <c r="F85" s="47"/>
      <c r="G85" s="47"/>
      <c r="H85" s="47"/>
      <c r="I85" s="47"/>
      <c r="J85" s="47"/>
      <c r="K85" s="47"/>
      <c r="L85" s="47"/>
      <c r="M85" s="51"/>
      <c r="N85" s="26"/>
      <c r="O85" s="26"/>
      <c r="P85" s="26"/>
      <c r="Q85" s="26"/>
      <c r="R85" s="26"/>
      <c r="S85" s="59"/>
      <c r="T85" s="26"/>
      <c r="U85" s="60">
        <f>1726+375+54-30-15-40</f>
        <v>2070</v>
      </c>
      <c r="V85" s="196"/>
      <c r="W85" s="6"/>
    </row>
    <row r="86" spans="1:24" ht="15.6">
      <c r="A86" s="25"/>
      <c r="B86" s="26" t="s">
        <v>230</v>
      </c>
      <c r="C86" s="26"/>
      <c r="D86" s="26"/>
      <c r="E86" s="26"/>
      <c r="F86" s="26"/>
      <c r="G86" s="26"/>
      <c r="H86" s="26"/>
      <c r="I86" s="26"/>
      <c r="J86" s="26"/>
      <c r="K86" s="26"/>
      <c r="L86" s="26"/>
      <c r="M86" s="26"/>
      <c r="N86" s="26"/>
      <c r="O86" s="26"/>
      <c r="P86" s="26"/>
      <c r="Q86" s="26"/>
      <c r="R86" s="26"/>
      <c r="S86" s="59"/>
      <c r="T86" s="26"/>
      <c r="U86" s="60">
        <v>0</v>
      </c>
      <c r="V86" s="196"/>
      <c r="W86" s="6"/>
      <c r="X86" s="64"/>
    </row>
    <row r="87" spans="1:24" ht="15.6">
      <c r="A87" s="25"/>
      <c r="B87" s="26" t="s">
        <v>231</v>
      </c>
      <c r="C87" s="26"/>
      <c r="D87" s="26"/>
      <c r="E87" s="26"/>
      <c r="F87" s="26"/>
      <c r="G87" s="26"/>
      <c r="H87" s="26"/>
      <c r="I87" s="26"/>
      <c r="J87" s="26"/>
      <c r="K87" s="26"/>
      <c r="L87" s="26"/>
      <c r="M87" s="26"/>
      <c r="N87" s="26"/>
      <c r="O87" s="26"/>
      <c r="P87" s="26"/>
      <c r="Q87" s="26"/>
      <c r="R87" s="26"/>
      <c r="S87" s="59"/>
      <c r="T87" s="26"/>
      <c r="U87" s="60">
        <v>0</v>
      </c>
      <c r="V87" s="196"/>
      <c r="W87" s="6"/>
      <c r="X87" s="64"/>
    </row>
    <row r="88" spans="1:24" ht="15.6">
      <c r="A88" s="25"/>
      <c r="B88" s="26" t="s">
        <v>35</v>
      </c>
      <c r="C88" s="26"/>
      <c r="D88" s="26"/>
      <c r="E88" s="26"/>
      <c r="F88" s="26"/>
      <c r="G88" s="26"/>
      <c r="H88" s="26"/>
      <c r="I88" s="26"/>
      <c r="J88" s="26"/>
      <c r="K88" s="26"/>
      <c r="L88" s="26"/>
      <c r="M88" s="26"/>
      <c r="N88" s="26"/>
      <c r="O88" s="26"/>
      <c r="P88" s="26"/>
      <c r="Q88" s="26"/>
      <c r="R88" s="26"/>
      <c r="S88" s="59"/>
      <c r="T88" s="26"/>
      <c r="U88" s="60">
        <f>SUM(U84:U87)</f>
        <v>123540</v>
      </c>
      <c r="V88" s="196"/>
      <c r="W88" s="6"/>
      <c r="X88" s="64"/>
    </row>
    <row r="89" spans="1:24" ht="15.6">
      <c r="A89" s="25"/>
      <c r="B89" s="26"/>
      <c r="C89" s="26"/>
      <c r="D89" s="26"/>
      <c r="E89" s="26"/>
      <c r="F89" s="26"/>
      <c r="G89" s="26"/>
      <c r="H89" s="26"/>
      <c r="I89" s="26"/>
      <c r="J89" s="26"/>
      <c r="K89" s="26"/>
      <c r="L89" s="26"/>
      <c r="M89" s="26"/>
      <c r="N89" s="26"/>
      <c r="O89" s="26"/>
      <c r="P89" s="26"/>
      <c r="Q89" s="26"/>
      <c r="R89" s="26"/>
      <c r="S89" s="59"/>
      <c r="T89" s="26"/>
      <c r="U89" s="61"/>
      <c r="V89" s="196"/>
      <c r="W89" s="6"/>
    </row>
    <row r="90" spans="1:24" ht="15.6">
      <c r="A90" s="25"/>
      <c r="B90" s="152" t="s">
        <v>36</v>
      </c>
      <c r="C90" s="65"/>
      <c r="D90" s="65"/>
      <c r="E90" s="65"/>
      <c r="F90" s="65"/>
      <c r="G90" s="65"/>
      <c r="H90" s="65"/>
      <c r="I90" s="65"/>
      <c r="J90" s="65"/>
      <c r="K90" s="65"/>
      <c r="L90" s="65"/>
      <c r="M90" s="26"/>
      <c r="N90" s="26"/>
      <c r="O90" s="26"/>
      <c r="P90" s="26"/>
      <c r="Q90" s="26"/>
      <c r="R90" s="26"/>
      <c r="S90" s="59"/>
      <c r="T90" s="26"/>
      <c r="U90" s="60"/>
      <c r="V90" s="196"/>
      <c r="W90" s="6"/>
      <c r="X90" s="64"/>
    </row>
    <row r="91" spans="1:24" ht="15.6">
      <c r="A91" s="25">
        <v>1</v>
      </c>
      <c r="B91" s="26" t="s">
        <v>37</v>
      </c>
      <c r="C91" s="26"/>
      <c r="D91" s="26"/>
      <c r="E91" s="26"/>
      <c r="F91" s="26"/>
      <c r="G91" s="26"/>
      <c r="H91" s="26"/>
      <c r="I91" s="26"/>
      <c r="J91" s="26"/>
      <c r="K91" s="26"/>
      <c r="L91" s="26"/>
      <c r="M91" s="26"/>
      <c r="N91" s="26"/>
      <c r="O91" s="26"/>
      <c r="P91" s="26"/>
      <c r="Q91" s="26"/>
      <c r="R91" s="26"/>
      <c r="S91" s="26"/>
      <c r="T91" s="26"/>
      <c r="U91" s="60">
        <v>-2</v>
      </c>
      <c r="V91" s="196"/>
      <c r="W91" s="6"/>
    </row>
    <row r="92" spans="1:24" ht="15.6">
      <c r="A92" s="25">
        <f>A91+1</f>
        <v>2</v>
      </c>
      <c r="B92" s="26" t="s">
        <v>168</v>
      </c>
      <c r="C92" s="26"/>
      <c r="D92" s="26"/>
      <c r="E92" s="26"/>
      <c r="F92" s="26"/>
      <c r="G92" s="26"/>
      <c r="H92" s="26"/>
      <c r="I92" s="26"/>
      <c r="J92" s="26"/>
      <c r="K92" s="26"/>
      <c r="L92" s="26"/>
      <c r="M92" s="26"/>
      <c r="N92" s="26"/>
      <c r="O92" s="26"/>
      <c r="P92" s="26"/>
      <c r="Q92" s="26"/>
      <c r="R92" s="26"/>
      <c r="S92" s="26"/>
      <c r="T92" s="26"/>
      <c r="U92" s="60">
        <f>-388-205-10</f>
        <v>-603</v>
      </c>
      <c r="V92" s="196"/>
      <c r="W92" s="6"/>
      <c r="X92" s="64"/>
    </row>
    <row r="93" spans="1:24" ht="15.6">
      <c r="A93" s="25">
        <v>3</v>
      </c>
      <c r="B93" s="26" t="s">
        <v>38</v>
      </c>
      <c r="C93" s="26"/>
      <c r="D93" s="26"/>
      <c r="E93" s="26"/>
      <c r="F93" s="26"/>
      <c r="G93" s="26"/>
      <c r="H93" s="26"/>
      <c r="I93" s="26"/>
      <c r="J93" s="26"/>
      <c r="K93" s="26"/>
      <c r="L93" s="26"/>
      <c r="M93" s="26"/>
      <c r="N93" s="26"/>
      <c r="O93" s="26"/>
      <c r="P93" s="26"/>
      <c r="Q93" s="26"/>
      <c r="R93" s="26"/>
      <c r="S93" s="26"/>
      <c r="T93" s="26"/>
      <c r="U93" s="60">
        <v>-294</v>
      </c>
      <c r="V93" s="196"/>
      <c r="W93" s="6"/>
      <c r="X93" s="64"/>
    </row>
    <row r="94" spans="1:24" ht="15.6">
      <c r="A94" s="177" t="s">
        <v>190</v>
      </c>
      <c r="B94" s="26" t="s">
        <v>169</v>
      </c>
      <c r="C94" s="26"/>
      <c r="D94" s="26"/>
      <c r="E94" s="26"/>
      <c r="F94" s="26"/>
      <c r="G94" s="26"/>
      <c r="H94" s="26"/>
      <c r="I94" s="26"/>
      <c r="J94" s="26"/>
      <c r="K94" s="26"/>
      <c r="L94" s="26"/>
      <c r="M94" s="26"/>
      <c r="N94" s="26"/>
      <c r="O94" s="26"/>
      <c r="P94" s="26"/>
      <c r="Q94" s="26"/>
      <c r="R94" s="26"/>
      <c r="S94" s="26"/>
      <c r="T94" s="26"/>
      <c r="U94" s="60">
        <v>-2268</v>
      </c>
      <c r="V94" s="196"/>
      <c r="W94" s="6"/>
      <c r="X94" s="64"/>
    </row>
    <row r="95" spans="1:24" ht="15.6">
      <c r="A95" s="177" t="s">
        <v>191</v>
      </c>
      <c r="B95" s="26" t="s">
        <v>170</v>
      </c>
      <c r="C95" s="26"/>
      <c r="D95" s="26"/>
      <c r="E95" s="26"/>
      <c r="F95" s="26"/>
      <c r="G95" s="26"/>
      <c r="H95" s="26"/>
      <c r="I95" s="26"/>
      <c r="J95" s="26"/>
      <c r="K95" s="26"/>
      <c r="L95" s="26"/>
      <c r="M95" s="26"/>
      <c r="N95" s="26"/>
      <c r="O95" s="26"/>
      <c r="P95" s="26"/>
      <c r="Q95" s="26"/>
      <c r="R95" s="26"/>
      <c r="S95" s="26"/>
      <c r="T95" s="26"/>
      <c r="U95" s="60">
        <v>-2777</v>
      </c>
      <c r="V95" s="196"/>
      <c r="W95" s="6"/>
      <c r="X95" s="182"/>
    </row>
    <row r="96" spans="1:24" ht="15.6">
      <c r="A96" s="25">
        <v>5</v>
      </c>
      <c r="B96" s="26" t="s">
        <v>171</v>
      </c>
      <c r="C96" s="26"/>
      <c r="D96" s="26"/>
      <c r="E96" s="26"/>
      <c r="F96" s="26"/>
      <c r="G96" s="26"/>
      <c r="H96" s="26"/>
      <c r="I96" s="26"/>
      <c r="J96" s="26"/>
      <c r="K96" s="26"/>
      <c r="L96" s="26"/>
      <c r="M96" s="26"/>
      <c r="N96" s="26"/>
      <c r="O96" s="26"/>
      <c r="P96" s="26"/>
      <c r="Q96" s="26"/>
      <c r="R96" s="26"/>
      <c r="S96" s="26"/>
      <c r="T96" s="26"/>
      <c r="U96" s="60">
        <v>-7</v>
      </c>
      <c r="V96" s="196"/>
      <c r="W96" s="6"/>
    </row>
    <row r="97" spans="1:24" ht="15.6">
      <c r="A97" s="177" t="s">
        <v>174</v>
      </c>
      <c r="B97" s="26" t="s">
        <v>172</v>
      </c>
      <c r="C97" s="26"/>
      <c r="D97" s="26"/>
      <c r="E97" s="26"/>
      <c r="F97" s="26"/>
      <c r="G97" s="26"/>
      <c r="H97" s="26"/>
      <c r="I97" s="26"/>
      <c r="J97" s="26"/>
      <c r="K97" s="26"/>
      <c r="L97" s="26"/>
      <c r="M97" s="26"/>
      <c r="N97" s="26"/>
      <c r="O97" s="26"/>
      <c r="P97" s="26"/>
      <c r="Q97" s="26"/>
      <c r="R97" s="26"/>
      <c r="S97" s="26"/>
      <c r="T97" s="26"/>
      <c r="U97" s="60">
        <v>-253</v>
      </c>
      <c r="V97" s="196"/>
      <c r="W97" s="6"/>
      <c r="X97" s="182"/>
    </row>
    <row r="98" spans="1:24" ht="15.6">
      <c r="A98" s="177" t="s">
        <v>176</v>
      </c>
      <c r="B98" s="26" t="s">
        <v>173</v>
      </c>
      <c r="C98" s="26"/>
      <c r="D98" s="26"/>
      <c r="E98" s="26"/>
      <c r="F98" s="26"/>
      <c r="G98" s="26"/>
      <c r="H98" s="26"/>
      <c r="I98" s="26"/>
      <c r="J98" s="26"/>
      <c r="K98" s="26"/>
      <c r="L98" s="26"/>
      <c r="M98" s="26"/>
      <c r="N98" s="26"/>
      <c r="O98" s="26"/>
      <c r="P98" s="26"/>
      <c r="Q98" s="26"/>
      <c r="R98" s="26"/>
      <c r="S98" s="26"/>
      <c r="T98" s="26"/>
      <c r="U98" s="60">
        <v>-389</v>
      </c>
      <c r="V98" s="196"/>
      <c r="W98" s="119"/>
      <c r="X98" s="182"/>
    </row>
    <row r="99" spans="1:24" ht="15.6">
      <c r="A99" s="177" t="s">
        <v>178</v>
      </c>
      <c r="B99" s="26" t="s">
        <v>175</v>
      </c>
      <c r="C99" s="26"/>
      <c r="D99" s="26"/>
      <c r="E99" s="26"/>
      <c r="F99" s="26"/>
      <c r="G99" s="26"/>
      <c r="H99" s="26"/>
      <c r="I99" s="26"/>
      <c r="J99" s="26"/>
      <c r="K99" s="26"/>
      <c r="L99" s="26"/>
      <c r="M99" s="26"/>
      <c r="N99" s="26"/>
      <c r="O99" s="26"/>
      <c r="P99" s="26"/>
      <c r="Q99" s="26"/>
      <c r="R99" s="26"/>
      <c r="S99" s="26"/>
      <c r="T99" s="26"/>
      <c r="U99" s="60">
        <v>-297</v>
      </c>
      <c r="V99" s="196"/>
      <c r="W99" s="6"/>
      <c r="X99" s="182"/>
    </row>
    <row r="100" spans="1:24" ht="15.6">
      <c r="A100" s="177" t="s">
        <v>180</v>
      </c>
      <c r="B100" s="26" t="s">
        <v>177</v>
      </c>
      <c r="C100" s="26"/>
      <c r="D100" s="26"/>
      <c r="E100" s="26"/>
      <c r="F100" s="26"/>
      <c r="G100" s="26"/>
      <c r="H100" s="26"/>
      <c r="I100" s="26"/>
      <c r="J100" s="26"/>
      <c r="K100" s="26"/>
      <c r="L100" s="26"/>
      <c r="M100" s="26"/>
      <c r="N100" s="26"/>
      <c r="O100" s="26"/>
      <c r="P100" s="26"/>
      <c r="Q100" s="26"/>
      <c r="R100" s="26"/>
      <c r="S100" s="26"/>
      <c r="T100" s="26"/>
      <c r="U100" s="60">
        <v>-372</v>
      </c>
      <c r="V100" s="196"/>
      <c r="W100" s="119"/>
      <c r="X100" s="182"/>
    </row>
    <row r="101" spans="1:24" ht="15.6">
      <c r="A101" s="177" t="s">
        <v>192</v>
      </c>
      <c r="B101" s="26" t="s">
        <v>179</v>
      </c>
      <c r="C101" s="26"/>
      <c r="D101" s="26"/>
      <c r="E101" s="26"/>
      <c r="F101" s="26"/>
      <c r="G101" s="26"/>
      <c r="H101" s="26"/>
      <c r="I101" s="26"/>
      <c r="J101" s="26"/>
      <c r="K101" s="26"/>
      <c r="L101" s="26"/>
      <c r="M101" s="26"/>
      <c r="N101" s="26"/>
      <c r="O101" s="26"/>
      <c r="P101" s="26"/>
      <c r="Q101" s="26"/>
      <c r="R101" s="26"/>
      <c r="S101" s="26"/>
      <c r="T101" s="26"/>
      <c r="U101" s="60">
        <v>-425</v>
      </c>
      <c r="V101" s="196"/>
      <c r="W101" s="6"/>
      <c r="X101" s="182"/>
    </row>
    <row r="102" spans="1:24" ht="15.6">
      <c r="A102" s="177" t="s">
        <v>193</v>
      </c>
      <c r="B102" s="26" t="s">
        <v>181</v>
      </c>
      <c r="C102" s="26"/>
      <c r="D102" s="26"/>
      <c r="E102" s="26"/>
      <c r="F102" s="26"/>
      <c r="G102" s="26"/>
      <c r="H102" s="26"/>
      <c r="I102" s="26"/>
      <c r="J102" s="26"/>
      <c r="K102" s="26"/>
      <c r="L102" s="26"/>
      <c r="M102" s="26"/>
      <c r="N102" s="26"/>
      <c r="O102" s="26"/>
      <c r="P102" s="26"/>
      <c r="Q102" s="26"/>
      <c r="R102" s="26"/>
      <c r="S102" s="26"/>
      <c r="T102" s="26"/>
      <c r="U102" s="60">
        <v>-358</v>
      </c>
      <c r="V102" s="196"/>
      <c r="W102" s="119"/>
      <c r="X102" s="182"/>
    </row>
    <row r="103" spans="1:24" ht="15.6">
      <c r="A103" s="25">
        <v>9</v>
      </c>
      <c r="B103" s="26" t="s">
        <v>182</v>
      </c>
      <c r="C103" s="26"/>
      <c r="D103" s="26"/>
      <c r="E103" s="26"/>
      <c r="F103" s="26"/>
      <c r="G103" s="26"/>
      <c r="H103" s="26"/>
      <c r="I103" s="26"/>
      <c r="J103" s="26"/>
      <c r="K103" s="26"/>
      <c r="L103" s="26"/>
      <c r="M103" s="26"/>
      <c r="N103" s="26"/>
      <c r="O103" s="26"/>
      <c r="P103" s="26"/>
      <c r="Q103" s="26"/>
      <c r="R103" s="26"/>
      <c r="S103" s="26"/>
      <c r="T103" s="26"/>
      <c r="U103" s="60">
        <f>+S220-U32</f>
        <v>-71540</v>
      </c>
      <c r="V103" s="196"/>
      <c r="W103" s="6"/>
      <c r="X103" s="182"/>
    </row>
    <row r="104" spans="1:24" ht="15.6">
      <c r="A104" s="25">
        <v>10</v>
      </c>
      <c r="B104" s="26" t="s">
        <v>234</v>
      </c>
      <c r="C104" s="26"/>
      <c r="D104" s="26"/>
      <c r="E104" s="26"/>
      <c r="F104" s="26"/>
      <c r="G104" s="26"/>
      <c r="H104" s="26"/>
      <c r="I104" s="26"/>
      <c r="J104" s="26"/>
      <c r="K104" s="26"/>
      <c r="L104" s="26"/>
      <c r="M104" s="26"/>
      <c r="N104" s="26"/>
      <c r="O104" s="26"/>
      <c r="P104" s="26"/>
      <c r="Q104" s="26"/>
      <c r="R104" s="26"/>
      <c r="S104" s="26"/>
      <c r="T104" s="26"/>
      <c r="U104" s="60">
        <v>-40500</v>
      </c>
      <c r="V104" s="196"/>
      <c r="W104" s="6"/>
      <c r="X104" s="64"/>
    </row>
    <row r="105" spans="1:24" ht="15.6">
      <c r="A105" s="25">
        <v>11</v>
      </c>
      <c r="B105" s="26" t="s">
        <v>183</v>
      </c>
      <c r="C105" s="26"/>
      <c r="D105" s="26"/>
      <c r="E105" s="26"/>
      <c r="F105" s="26"/>
      <c r="G105" s="26"/>
      <c r="H105" s="26"/>
      <c r="I105" s="26"/>
      <c r="J105" s="26"/>
      <c r="K105" s="26"/>
      <c r="L105" s="26"/>
      <c r="M105" s="26"/>
      <c r="N105" s="26"/>
      <c r="O105" s="26"/>
      <c r="P105" s="26"/>
      <c r="Q105" s="26"/>
      <c r="R105" s="26"/>
      <c r="S105" s="26"/>
      <c r="T105" s="26"/>
      <c r="U105" s="60">
        <v>0</v>
      </c>
      <c r="V105" s="196"/>
      <c r="W105" s="6"/>
      <c r="X105" s="64"/>
    </row>
    <row r="106" spans="1:24" ht="15.6">
      <c r="A106" s="25">
        <v>12</v>
      </c>
      <c r="B106" s="26" t="s">
        <v>184</v>
      </c>
      <c r="C106" s="26"/>
      <c r="D106" s="26"/>
      <c r="E106" s="26"/>
      <c r="F106" s="26"/>
      <c r="G106" s="26"/>
      <c r="H106" s="26"/>
      <c r="I106" s="26"/>
      <c r="J106" s="26"/>
      <c r="K106" s="26"/>
      <c r="L106" s="26"/>
      <c r="M106" s="26"/>
      <c r="N106" s="26"/>
      <c r="O106" s="26"/>
      <c r="P106" s="26"/>
      <c r="Q106" s="26"/>
      <c r="R106" s="26"/>
      <c r="S106" s="26"/>
      <c r="T106" s="26"/>
      <c r="U106" s="60">
        <v>-436</v>
      </c>
      <c r="V106" s="196"/>
      <c r="W106" s="6"/>
      <c r="X106" s="182"/>
    </row>
    <row r="107" spans="1:24" ht="15.6">
      <c r="A107" s="25">
        <v>13</v>
      </c>
      <c r="B107" s="26" t="s">
        <v>40</v>
      </c>
      <c r="C107" s="26"/>
      <c r="D107" s="26"/>
      <c r="E107" s="26"/>
      <c r="F107" s="26"/>
      <c r="G107" s="26"/>
      <c r="H107" s="26"/>
      <c r="I107" s="26"/>
      <c r="J107" s="26"/>
      <c r="K107" s="26"/>
      <c r="L107" s="26"/>
      <c r="M107" s="26"/>
      <c r="N107" s="26"/>
      <c r="O107" s="26"/>
      <c r="P107" s="26"/>
      <c r="Q107" s="26"/>
      <c r="R107" s="26"/>
      <c r="S107" s="26"/>
      <c r="T107" s="26"/>
      <c r="U107" s="60">
        <f>-SUM(U88:U106)</f>
        <v>-3019</v>
      </c>
      <c r="V107" s="196"/>
      <c r="W107" s="6"/>
      <c r="X107" s="182"/>
    </row>
    <row r="108" spans="1:24" ht="15.6">
      <c r="A108" s="25"/>
      <c r="B108" s="29"/>
      <c r="C108" s="26"/>
      <c r="D108" s="26"/>
      <c r="E108" s="26"/>
      <c r="F108" s="26"/>
      <c r="G108" s="26"/>
      <c r="H108" s="26"/>
      <c r="I108" s="26"/>
      <c r="J108" s="26"/>
      <c r="K108" s="26"/>
      <c r="L108" s="26"/>
      <c r="M108" s="26"/>
      <c r="N108" s="26"/>
      <c r="O108" s="26"/>
      <c r="P108" s="26"/>
      <c r="Q108" s="26"/>
      <c r="R108" s="26"/>
      <c r="S108" s="59"/>
      <c r="T108" s="59"/>
      <c r="U108" s="59"/>
      <c r="V108" s="196"/>
      <c r="W108" s="6"/>
      <c r="X108" s="182"/>
    </row>
    <row r="109" spans="1:24" ht="15.6">
      <c r="A109" s="7"/>
      <c r="B109" s="12"/>
      <c r="C109" s="9"/>
      <c r="D109" s="9"/>
      <c r="E109" s="9"/>
      <c r="F109" s="9"/>
      <c r="G109" s="9"/>
      <c r="H109" s="9"/>
      <c r="I109" s="9"/>
      <c r="J109" s="9"/>
      <c r="K109" s="9"/>
      <c r="L109" s="9"/>
      <c r="M109" s="9"/>
      <c r="N109" s="9"/>
      <c r="O109" s="9"/>
      <c r="P109" s="9"/>
      <c r="Q109" s="9"/>
      <c r="R109" s="9"/>
      <c r="S109" s="66"/>
      <c r="T109" s="66"/>
      <c r="U109" s="66"/>
      <c r="V109" s="194"/>
      <c r="W109" s="6"/>
    </row>
    <row r="110" spans="1:24" ht="16.2" thickBot="1">
      <c r="A110" s="130"/>
      <c r="B110" s="131" t="str">
        <f>+B59</f>
        <v>PPAF3 INVESTOR REPORT QUARTER ENDING SEPTEMBER 2007</v>
      </c>
      <c r="C110" s="132"/>
      <c r="D110" s="132"/>
      <c r="E110" s="132"/>
      <c r="F110" s="132"/>
      <c r="G110" s="132"/>
      <c r="H110" s="132"/>
      <c r="I110" s="132"/>
      <c r="J110" s="132"/>
      <c r="K110" s="132"/>
      <c r="L110" s="132"/>
      <c r="M110" s="132"/>
      <c r="N110" s="132"/>
      <c r="O110" s="132"/>
      <c r="P110" s="132"/>
      <c r="Q110" s="132"/>
      <c r="R110" s="132"/>
      <c r="S110" s="135"/>
      <c r="T110" s="135"/>
      <c r="U110" s="135"/>
      <c r="V110" s="134"/>
      <c r="W110" s="6"/>
    </row>
    <row r="111" spans="1:24" ht="15.6">
      <c r="A111" s="2"/>
      <c r="B111" s="5"/>
      <c r="C111" s="5"/>
      <c r="D111" s="5"/>
      <c r="E111" s="5"/>
      <c r="F111" s="5"/>
      <c r="G111" s="5"/>
      <c r="H111" s="5"/>
      <c r="I111" s="5"/>
      <c r="J111" s="5"/>
      <c r="K111" s="5"/>
      <c r="L111" s="5"/>
      <c r="M111" s="5"/>
      <c r="N111" s="5"/>
      <c r="O111" s="5"/>
      <c r="P111" s="5"/>
      <c r="Q111" s="5"/>
      <c r="R111" s="5"/>
      <c r="S111" s="67"/>
      <c r="T111" s="67"/>
      <c r="U111" s="67"/>
      <c r="V111" s="193"/>
      <c r="W111" s="6"/>
    </row>
    <row r="112" spans="1:24" ht="15.6">
      <c r="A112" s="68"/>
      <c r="B112" s="69" t="s">
        <v>41</v>
      </c>
      <c r="C112" s="70"/>
      <c r="D112" s="70"/>
      <c r="E112" s="70"/>
      <c r="F112" s="70"/>
      <c r="G112" s="70"/>
      <c r="H112" s="70"/>
      <c r="I112" s="70"/>
      <c r="J112" s="70"/>
      <c r="K112" s="70"/>
      <c r="L112" s="70"/>
      <c r="M112" s="70"/>
      <c r="N112" s="70"/>
      <c r="O112" s="70"/>
      <c r="P112" s="70"/>
      <c r="Q112" s="70"/>
      <c r="R112" s="70"/>
      <c r="S112" s="70"/>
      <c r="T112" s="70"/>
      <c r="U112" s="71"/>
      <c r="V112" s="201"/>
      <c r="W112" s="6"/>
    </row>
    <row r="113" spans="1:23" ht="15.6">
      <c r="A113" s="68"/>
      <c r="B113" s="70"/>
      <c r="C113" s="70"/>
      <c r="D113" s="70"/>
      <c r="E113" s="70"/>
      <c r="F113" s="70"/>
      <c r="G113" s="70"/>
      <c r="H113" s="70"/>
      <c r="I113" s="70"/>
      <c r="J113" s="70"/>
      <c r="K113" s="70"/>
      <c r="L113" s="70"/>
      <c r="M113" s="70"/>
      <c r="N113" s="70"/>
      <c r="O113" s="70"/>
      <c r="P113" s="70"/>
      <c r="Q113" s="70"/>
      <c r="R113" s="70"/>
      <c r="S113" s="70"/>
      <c r="T113" s="70"/>
      <c r="U113" s="71"/>
      <c r="V113" s="202"/>
      <c r="W113" s="6"/>
    </row>
    <row r="114" spans="1:23" ht="15.6">
      <c r="A114" s="7"/>
      <c r="B114" s="153" t="s">
        <v>42</v>
      </c>
      <c r="C114" s="13"/>
      <c r="D114" s="13"/>
      <c r="E114" s="13"/>
      <c r="F114" s="13"/>
      <c r="G114" s="13"/>
      <c r="H114" s="13"/>
      <c r="I114" s="13"/>
      <c r="J114" s="13"/>
      <c r="K114" s="13"/>
      <c r="L114" s="13"/>
      <c r="M114" s="9"/>
      <c r="N114" s="9"/>
      <c r="O114" s="9"/>
      <c r="P114" s="9"/>
      <c r="Q114" s="9"/>
      <c r="R114" s="9"/>
      <c r="S114" s="9"/>
      <c r="T114" s="9"/>
      <c r="U114" s="58"/>
      <c r="V114" s="194"/>
      <c r="W114" s="6"/>
    </row>
    <row r="115" spans="1:23" ht="15.6">
      <c r="A115" s="25"/>
      <c r="B115" s="26" t="s">
        <v>43</v>
      </c>
      <c r="C115" s="26"/>
      <c r="D115" s="26"/>
      <c r="E115" s="26"/>
      <c r="F115" s="26"/>
      <c r="G115" s="26"/>
      <c r="H115" s="26"/>
      <c r="I115" s="26"/>
      <c r="J115" s="26"/>
      <c r="K115" s="26"/>
      <c r="L115" s="26"/>
      <c r="M115" s="26"/>
      <c r="N115" s="26"/>
      <c r="O115" s="26"/>
      <c r="P115" s="26"/>
      <c r="Q115" s="26"/>
      <c r="R115" s="26"/>
      <c r="S115" s="26"/>
      <c r="T115" s="26"/>
      <c r="U115" s="60">
        <v>40500</v>
      </c>
      <c r="V115" s="196"/>
      <c r="W115" s="6"/>
    </row>
    <row r="116" spans="1:23" ht="15.6">
      <c r="A116" s="25"/>
      <c r="B116" s="26" t="s">
        <v>240</v>
      </c>
      <c r="C116" s="26"/>
      <c r="D116" s="26"/>
      <c r="E116" s="26"/>
      <c r="F116" s="26"/>
      <c r="G116" s="26"/>
      <c r="H116" s="26"/>
      <c r="I116" s="26"/>
      <c r="J116" s="26"/>
      <c r="K116" s="26"/>
      <c r="L116" s="26"/>
      <c r="M116" s="26"/>
      <c r="N116" s="26"/>
      <c r="O116" s="26"/>
      <c r="P116" s="26"/>
      <c r="Q116" s="26"/>
      <c r="R116" s="26"/>
      <c r="S116" s="26"/>
      <c r="T116" s="26"/>
      <c r="U116" s="60">
        <v>40500</v>
      </c>
      <c r="V116" s="196"/>
      <c r="W116" s="6"/>
    </row>
    <row r="117" spans="1:23" ht="15.6">
      <c r="A117" s="25"/>
      <c r="B117" s="26" t="s">
        <v>241</v>
      </c>
      <c r="C117" s="26"/>
      <c r="D117" s="26"/>
      <c r="E117" s="26"/>
      <c r="F117" s="26"/>
      <c r="G117" s="26"/>
      <c r="H117" s="26"/>
      <c r="I117" s="26"/>
      <c r="J117" s="26"/>
      <c r="K117" s="26"/>
      <c r="L117" s="26"/>
      <c r="M117" s="26"/>
      <c r="N117" s="26"/>
      <c r="O117" s="26"/>
      <c r="P117" s="26"/>
      <c r="Q117" s="26"/>
      <c r="R117" s="26"/>
      <c r="S117" s="26"/>
      <c r="T117" s="26"/>
      <c r="U117" s="60">
        <v>0</v>
      </c>
      <c r="V117" s="196"/>
      <c r="W117" s="6"/>
    </row>
    <row r="118" spans="1:23" ht="15.6">
      <c r="A118" s="25"/>
      <c r="B118" s="26" t="s">
        <v>209</v>
      </c>
      <c r="C118" s="26"/>
      <c r="D118" s="26"/>
      <c r="E118" s="26"/>
      <c r="F118" s="26"/>
      <c r="G118" s="26"/>
      <c r="H118" s="26"/>
      <c r="I118" s="26"/>
      <c r="J118" s="26"/>
      <c r="K118" s="26"/>
      <c r="L118" s="26"/>
      <c r="M118" s="26"/>
      <c r="N118" s="26"/>
      <c r="O118" s="26"/>
      <c r="P118" s="26"/>
      <c r="Q118" s="26"/>
      <c r="R118" s="26"/>
      <c r="S118" s="26"/>
      <c r="T118" s="26"/>
      <c r="U118" s="60">
        <v>0</v>
      </c>
      <c r="V118" s="196"/>
      <c r="W118" s="6"/>
    </row>
    <row r="119" spans="1:23" ht="15.6">
      <c r="A119" s="25"/>
      <c r="B119" s="26" t="s">
        <v>210</v>
      </c>
      <c r="C119" s="26"/>
      <c r="D119" s="26"/>
      <c r="E119" s="26"/>
      <c r="F119" s="26"/>
      <c r="G119" s="26"/>
      <c r="H119" s="26"/>
      <c r="I119" s="26"/>
      <c r="J119" s="26"/>
      <c r="K119" s="26"/>
      <c r="L119" s="26"/>
      <c r="M119" s="26"/>
      <c r="N119" s="26"/>
      <c r="O119" s="26"/>
      <c r="P119" s="26"/>
      <c r="Q119" s="26"/>
      <c r="R119" s="26"/>
      <c r="S119" s="26"/>
      <c r="T119" s="26"/>
      <c r="U119" s="60">
        <v>0</v>
      </c>
      <c r="V119" s="196"/>
      <c r="W119" s="6"/>
    </row>
    <row r="120" spans="1:23" ht="15.6">
      <c r="A120" s="25"/>
      <c r="B120" s="26" t="s">
        <v>211</v>
      </c>
      <c r="C120" s="26"/>
      <c r="D120" s="26"/>
      <c r="E120" s="26"/>
      <c r="F120" s="26"/>
      <c r="G120" s="26"/>
      <c r="H120" s="26"/>
      <c r="I120" s="26"/>
      <c r="J120" s="26"/>
      <c r="K120" s="26"/>
      <c r="L120" s="26"/>
      <c r="M120" s="26"/>
      <c r="N120" s="26"/>
      <c r="O120" s="26"/>
      <c r="P120" s="26"/>
      <c r="Q120" s="26"/>
      <c r="R120" s="26"/>
      <c r="S120" s="26"/>
      <c r="T120" s="26"/>
      <c r="U120" s="60">
        <v>0</v>
      </c>
      <c r="V120" s="196"/>
      <c r="W120" s="6"/>
    </row>
    <row r="121" spans="1:23" ht="15.6">
      <c r="A121" s="25"/>
      <c r="B121" s="26" t="s">
        <v>212</v>
      </c>
      <c r="C121" s="26"/>
      <c r="D121" s="26"/>
      <c r="E121" s="26"/>
      <c r="F121" s="26"/>
      <c r="G121" s="26"/>
      <c r="H121" s="26"/>
      <c r="I121" s="26"/>
      <c r="J121" s="26"/>
      <c r="K121" s="26"/>
      <c r="L121" s="26"/>
      <c r="M121" s="26"/>
      <c r="N121" s="26"/>
      <c r="O121" s="26"/>
      <c r="P121" s="26"/>
      <c r="Q121" s="26"/>
      <c r="R121" s="26"/>
      <c r="S121" s="26"/>
      <c r="T121" s="26"/>
      <c r="U121" s="60">
        <v>0</v>
      </c>
      <c r="V121" s="196"/>
      <c r="W121" s="6"/>
    </row>
    <row r="122" spans="1:23" ht="15.6">
      <c r="A122" s="25"/>
      <c r="B122" s="26" t="s">
        <v>242</v>
      </c>
      <c r="C122" s="26"/>
      <c r="D122" s="26"/>
      <c r="E122" s="26"/>
      <c r="F122" s="26"/>
      <c r="G122" s="26"/>
      <c r="H122" s="26"/>
      <c r="I122" s="26"/>
      <c r="J122" s="26"/>
      <c r="K122" s="26"/>
      <c r="L122" s="26"/>
      <c r="M122" s="26"/>
      <c r="N122" s="26"/>
      <c r="O122" s="26"/>
      <c r="P122" s="26"/>
      <c r="Q122" s="26"/>
      <c r="R122" s="26"/>
      <c r="S122" s="26"/>
      <c r="T122" s="26"/>
      <c r="U122" s="60">
        <v>0</v>
      </c>
      <c r="V122" s="196"/>
      <c r="W122" s="6"/>
    </row>
    <row r="123" spans="1:23" ht="15.6">
      <c r="A123" s="25"/>
      <c r="B123" s="26" t="s">
        <v>45</v>
      </c>
      <c r="C123" s="26"/>
      <c r="D123" s="26"/>
      <c r="E123" s="26"/>
      <c r="F123" s="26"/>
      <c r="G123" s="26"/>
      <c r="H123" s="26"/>
      <c r="I123" s="26"/>
      <c r="J123" s="26"/>
      <c r="K123" s="26"/>
      <c r="L123" s="26"/>
      <c r="M123" s="26"/>
      <c r="N123" s="26"/>
      <c r="O123" s="26"/>
      <c r="P123" s="26"/>
      <c r="Q123" s="26"/>
      <c r="R123" s="26"/>
      <c r="S123" s="26"/>
      <c r="T123" s="26"/>
      <c r="U123" s="60">
        <f>SUM(U116:U122)</f>
        <v>40500</v>
      </c>
      <c r="V123" s="196"/>
      <c r="W123" s="6"/>
    </row>
    <row r="124" spans="1:23" ht="15.6">
      <c r="A124" s="25"/>
      <c r="B124" s="26"/>
      <c r="C124" s="26"/>
      <c r="D124" s="26"/>
      <c r="E124" s="26"/>
      <c r="F124" s="26"/>
      <c r="G124" s="26"/>
      <c r="H124" s="26"/>
      <c r="I124" s="26"/>
      <c r="J124" s="26"/>
      <c r="K124" s="26"/>
      <c r="L124" s="26"/>
      <c r="M124" s="26"/>
      <c r="N124" s="26"/>
      <c r="O124" s="26"/>
      <c r="P124" s="26"/>
      <c r="Q124" s="26"/>
      <c r="R124" s="26"/>
      <c r="S124" s="26"/>
      <c r="T124" s="26"/>
      <c r="U124" s="73"/>
      <c r="V124" s="196"/>
      <c r="W124" s="6"/>
    </row>
    <row r="125" spans="1:23" ht="15.6">
      <c r="A125" s="7"/>
      <c r="B125" s="153" t="s">
        <v>46</v>
      </c>
      <c r="C125" s="13"/>
      <c r="D125" s="13"/>
      <c r="E125" s="13"/>
      <c r="F125" s="13"/>
      <c r="G125" s="13"/>
      <c r="H125" s="13"/>
      <c r="I125" s="13"/>
      <c r="J125" s="13"/>
      <c r="K125" s="13"/>
      <c r="L125" s="13"/>
      <c r="M125" s="9"/>
      <c r="N125" s="9"/>
      <c r="O125" s="9"/>
      <c r="P125" s="188"/>
      <c r="Q125" s="9"/>
      <c r="R125" s="9"/>
      <c r="S125" s="9"/>
      <c r="T125" s="9"/>
      <c r="U125" s="75"/>
      <c r="V125" s="194"/>
      <c r="W125" s="6"/>
    </row>
    <row r="126" spans="1:23" ht="15.6">
      <c r="A126" s="7"/>
      <c r="B126" s="13"/>
      <c r="C126" s="17" t="s">
        <v>185</v>
      </c>
      <c r="D126" s="17"/>
      <c r="E126" s="17" t="s">
        <v>99</v>
      </c>
      <c r="F126" s="17"/>
      <c r="G126" s="17" t="s">
        <v>102</v>
      </c>
      <c r="H126" s="17"/>
      <c r="I126" s="17" t="s">
        <v>108</v>
      </c>
      <c r="J126" s="17"/>
      <c r="K126" s="17"/>
      <c r="L126" s="17"/>
      <c r="M126" s="17"/>
      <c r="N126" s="17"/>
      <c r="O126" s="17"/>
      <c r="P126" s="188"/>
      <c r="Q126" s="188"/>
      <c r="R126" s="9"/>
      <c r="S126" s="9"/>
      <c r="T126" s="9"/>
      <c r="U126" s="75"/>
      <c r="V126" s="194"/>
      <c r="W126" s="6"/>
    </row>
    <row r="127" spans="1:23" ht="15.6">
      <c r="A127" s="25"/>
      <c r="B127" s="26" t="s">
        <v>122</v>
      </c>
      <c r="C127" s="59">
        <f>+N200-'June 07'!N200</f>
        <v>281</v>
      </c>
      <c r="D127" s="26"/>
      <c r="E127" s="59">
        <f>+S200-'June 07'!S200</f>
        <v>68</v>
      </c>
      <c r="F127" s="26"/>
      <c r="G127" s="59">
        <f>+N213-'June 07'!N213</f>
        <v>93</v>
      </c>
      <c r="H127" s="26"/>
      <c r="I127" s="59">
        <f>+S213-'June 07'!S213</f>
        <v>139</v>
      </c>
      <c r="J127" s="26"/>
      <c r="K127" s="26"/>
      <c r="L127" s="26"/>
      <c r="M127" s="26"/>
      <c r="N127" s="26"/>
      <c r="O127" s="26"/>
      <c r="P127" s="189"/>
      <c r="Q127" s="189"/>
      <c r="R127" s="26"/>
      <c r="S127" s="26"/>
      <c r="T127" s="26"/>
      <c r="U127" s="60">
        <f>SUM(C127:I127)</f>
        <v>581</v>
      </c>
      <c r="V127" s="196"/>
      <c r="W127" s="6"/>
    </row>
    <row r="128" spans="1:23" ht="15.6">
      <c r="A128" s="25"/>
      <c r="B128" s="26" t="s">
        <v>47</v>
      </c>
      <c r="C128" s="26">
        <v>564</v>
      </c>
      <c r="D128" s="26"/>
      <c r="E128" s="26">
        <v>0</v>
      </c>
      <c r="F128" s="26"/>
      <c r="G128" s="26">
        <v>484</v>
      </c>
      <c r="H128" s="26"/>
      <c r="I128" s="59">
        <v>736</v>
      </c>
      <c r="J128" s="26"/>
      <c r="K128" s="26"/>
      <c r="L128" s="26"/>
      <c r="M128" s="26"/>
      <c r="N128" s="26"/>
      <c r="O128" s="26"/>
      <c r="P128" s="189"/>
      <c r="Q128" s="189"/>
      <c r="R128" s="26"/>
      <c r="S128" s="26"/>
      <c r="T128" s="26"/>
      <c r="U128" s="60">
        <f>SUM(C128:I128)</f>
        <v>1784</v>
      </c>
      <c r="V128" s="196"/>
      <c r="W128" s="6"/>
    </row>
    <row r="129" spans="1:25" ht="15.6">
      <c r="A129" s="25"/>
      <c r="B129" s="26" t="s">
        <v>48</v>
      </c>
      <c r="C129" s="26"/>
      <c r="D129" s="26"/>
      <c r="E129" s="26"/>
      <c r="F129" s="26"/>
      <c r="G129" s="26"/>
      <c r="H129" s="26"/>
      <c r="I129" s="26"/>
      <c r="J129" s="26"/>
      <c r="K129" s="26"/>
      <c r="L129" s="26"/>
      <c r="M129" s="26"/>
      <c r="N129" s="26"/>
      <c r="O129" s="26"/>
      <c r="P129" s="26"/>
      <c r="Q129" s="26"/>
      <c r="R129" s="26"/>
      <c r="S129" s="26"/>
      <c r="T129" s="26"/>
      <c r="U129" s="60">
        <f>SUM(U127:U128)</f>
        <v>2365</v>
      </c>
      <c r="V129" s="196"/>
      <c r="W129" s="6"/>
    </row>
    <row r="130" spans="1:25" ht="15.6">
      <c r="A130" s="7"/>
      <c r="B130" s="153" t="s">
        <v>49</v>
      </c>
      <c r="C130" s="13"/>
      <c r="D130" s="13"/>
      <c r="E130" s="13"/>
      <c r="F130" s="13"/>
      <c r="G130" s="13"/>
      <c r="H130" s="13"/>
      <c r="I130" s="13"/>
      <c r="J130" s="13"/>
      <c r="K130" s="13"/>
      <c r="L130" s="13"/>
      <c r="M130" s="9"/>
      <c r="N130" s="9"/>
      <c r="O130" s="9"/>
      <c r="P130" s="9"/>
      <c r="Q130" s="9"/>
      <c r="R130" s="9"/>
      <c r="S130" s="9"/>
      <c r="T130" s="9"/>
      <c r="U130" s="58"/>
      <c r="V130" s="194"/>
      <c r="W130" s="6"/>
    </row>
    <row r="131" spans="1:25" ht="15.6">
      <c r="A131" s="25"/>
      <c r="B131" s="26" t="s">
        <v>50</v>
      </c>
      <c r="C131" s="77"/>
      <c r="D131" s="77"/>
      <c r="E131" s="77"/>
      <c r="F131" s="77"/>
      <c r="G131" s="77"/>
      <c r="H131" s="77"/>
      <c r="I131" s="77"/>
      <c r="J131" s="77"/>
      <c r="K131" s="77"/>
      <c r="L131" s="77"/>
      <c r="M131" s="26"/>
      <c r="N131" s="26"/>
      <c r="O131" s="26"/>
      <c r="P131" s="26"/>
      <c r="Q131" s="26"/>
      <c r="R131" s="26"/>
      <c r="S131" s="26"/>
      <c r="T131" s="26"/>
      <c r="U131" s="60">
        <f>U76+U78</f>
        <v>378460</v>
      </c>
      <c r="V131" s="196"/>
      <c r="W131" s="6"/>
      <c r="X131" s="182"/>
    </row>
    <row r="132" spans="1:25" ht="15.6">
      <c r="A132" s="25"/>
      <c r="B132" s="26" t="s">
        <v>51</v>
      </c>
      <c r="C132" s="77"/>
      <c r="D132" s="77"/>
      <c r="E132" s="77"/>
      <c r="F132" s="77"/>
      <c r="G132" s="77"/>
      <c r="H132" s="77"/>
      <c r="I132" s="77"/>
      <c r="J132" s="77"/>
      <c r="K132" s="77"/>
      <c r="L132" s="77"/>
      <c r="M132" s="26"/>
      <c r="N132" s="26"/>
      <c r="O132" s="26"/>
      <c r="P132" s="26"/>
      <c r="Q132" s="26"/>
      <c r="R132" s="26"/>
      <c r="S132" s="26"/>
      <c r="T132" s="26"/>
      <c r="U132" s="60">
        <f>U79</f>
        <v>71540</v>
      </c>
      <c r="V132" s="196"/>
      <c r="W132" s="6"/>
      <c r="Y132" s="182"/>
    </row>
    <row r="133" spans="1:25" ht="15.6">
      <c r="A133" s="25"/>
      <c r="B133" s="26" t="s">
        <v>52</v>
      </c>
      <c r="C133" s="77"/>
      <c r="D133" s="77"/>
      <c r="E133" s="77"/>
      <c r="F133" s="77"/>
      <c r="G133" s="77"/>
      <c r="H133" s="77"/>
      <c r="I133" s="77"/>
      <c r="J133" s="77"/>
      <c r="K133" s="77"/>
      <c r="L133" s="77"/>
      <c r="M133" s="26"/>
      <c r="N133" s="26"/>
      <c r="O133" s="26"/>
      <c r="P133" s="26"/>
      <c r="Q133" s="26"/>
      <c r="R133" s="26"/>
      <c r="S133" s="26"/>
      <c r="T133" s="26"/>
      <c r="U133" s="60">
        <f>+U131+U132</f>
        <v>450000</v>
      </c>
      <c r="V133" s="196"/>
      <c r="W133" s="6"/>
    </row>
    <row r="134" spans="1:25" ht="15.6">
      <c r="A134" s="25"/>
      <c r="B134" s="26" t="s">
        <v>53</v>
      </c>
      <c r="C134" s="77"/>
      <c r="D134" s="77"/>
      <c r="E134" s="77"/>
      <c r="F134" s="77"/>
      <c r="G134" s="77"/>
      <c r="H134" s="77"/>
      <c r="I134" s="77"/>
      <c r="J134" s="77"/>
      <c r="K134" s="77"/>
      <c r="L134" s="77"/>
      <c r="M134" s="26"/>
      <c r="N134" s="26"/>
      <c r="O134" s="26"/>
      <c r="P134" s="26"/>
      <c r="Q134" s="26"/>
      <c r="R134" s="26"/>
      <c r="S134" s="26"/>
      <c r="T134" s="26"/>
      <c r="U134" s="60">
        <f>U81</f>
        <v>450000</v>
      </c>
      <c r="V134" s="196"/>
      <c r="W134" s="6"/>
      <c r="X134" s="64"/>
    </row>
    <row r="135" spans="1:25" ht="15.6">
      <c r="A135" s="25"/>
      <c r="B135" s="26"/>
      <c r="C135" s="26"/>
      <c r="D135" s="26"/>
      <c r="E135" s="26"/>
      <c r="F135" s="26"/>
      <c r="G135" s="26"/>
      <c r="H135" s="26"/>
      <c r="I135" s="26"/>
      <c r="J135" s="26"/>
      <c r="K135" s="26"/>
      <c r="L135" s="26"/>
      <c r="M135" s="26"/>
      <c r="N135" s="26"/>
      <c r="O135" s="26"/>
      <c r="P135" s="26"/>
      <c r="Q135" s="26"/>
      <c r="R135" s="26"/>
      <c r="S135" s="26"/>
      <c r="T135" s="26"/>
      <c r="U135" s="78"/>
      <c r="V135" s="196"/>
      <c r="W135" s="6"/>
    </row>
    <row r="136" spans="1:25" ht="15.6">
      <c r="A136" s="7"/>
      <c r="B136" s="153" t="s">
        <v>54</v>
      </c>
      <c r="C136" s="141"/>
      <c r="D136" s="141"/>
      <c r="E136" s="141"/>
      <c r="F136" s="141"/>
      <c r="G136" s="141"/>
      <c r="H136" s="141"/>
      <c r="I136" s="141"/>
      <c r="J136" s="141"/>
      <c r="K136" s="141"/>
      <c r="L136" s="141"/>
      <c r="M136" s="141"/>
      <c r="N136" s="141"/>
      <c r="O136" s="141"/>
      <c r="P136" s="141"/>
      <c r="Q136" s="142" t="s">
        <v>112</v>
      </c>
      <c r="R136" s="154"/>
      <c r="S136" s="142" t="s">
        <v>114</v>
      </c>
      <c r="T136" s="141"/>
      <c r="U136" s="155" t="s">
        <v>90</v>
      </c>
      <c r="V136" s="194"/>
      <c r="W136" s="6"/>
    </row>
    <row r="137" spans="1:25" ht="15.6">
      <c r="A137" s="25"/>
      <c r="B137" s="26" t="s">
        <v>55</v>
      </c>
      <c r="C137" s="26"/>
      <c r="D137" s="26"/>
      <c r="E137" s="26"/>
      <c r="F137" s="26"/>
      <c r="G137" s="26"/>
      <c r="H137" s="26"/>
      <c r="I137" s="26"/>
      <c r="J137" s="26"/>
      <c r="K137" s="26"/>
      <c r="L137" s="26"/>
      <c r="M137" s="26"/>
      <c r="N137" s="26"/>
      <c r="O137" s="26"/>
      <c r="P137" s="26"/>
      <c r="Q137" s="60">
        <v>0</v>
      </c>
      <c r="R137" s="26"/>
      <c r="S137" s="79" t="s">
        <v>115</v>
      </c>
      <c r="T137" s="26"/>
      <c r="U137" s="60">
        <f>Q137</f>
        <v>0</v>
      </c>
      <c r="V137" s="196"/>
      <c r="W137" s="6"/>
    </row>
    <row r="138" spans="1:25" ht="15.6">
      <c r="A138" s="25"/>
      <c r="B138" s="26" t="s">
        <v>56</v>
      </c>
      <c r="C138" s="26"/>
      <c r="D138" s="26"/>
      <c r="E138" s="26"/>
      <c r="F138" s="26"/>
      <c r="G138" s="26"/>
      <c r="H138" s="26"/>
      <c r="I138" s="26"/>
      <c r="J138" s="26"/>
      <c r="K138" s="26"/>
      <c r="L138" s="26"/>
      <c r="M138" s="26"/>
      <c r="N138" s="26"/>
      <c r="O138" s="26"/>
      <c r="P138" s="26"/>
      <c r="Q138" s="60">
        <f>+'June 07'!Q140</f>
        <v>2501</v>
      </c>
      <c r="R138" s="26"/>
      <c r="S138" s="79" t="s">
        <v>115</v>
      </c>
      <c r="T138" s="26"/>
      <c r="U138" s="60">
        <f>Q138</f>
        <v>2501</v>
      </c>
      <c r="V138" s="196"/>
      <c r="W138" s="6"/>
    </row>
    <row r="139" spans="1:25" ht="15.6">
      <c r="A139" s="25"/>
      <c r="B139" s="26" t="s">
        <v>57</v>
      </c>
      <c r="C139" s="26"/>
      <c r="D139" s="26"/>
      <c r="E139" s="26"/>
      <c r="F139" s="26"/>
      <c r="G139" s="26"/>
      <c r="H139" s="26"/>
      <c r="I139" s="26"/>
      <c r="J139" s="26"/>
      <c r="K139" s="26"/>
      <c r="L139" s="26"/>
      <c r="M139" s="26"/>
      <c r="N139" s="26"/>
      <c r="O139" s="26"/>
      <c r="P139" s="26"/>
      <c r="Q139" s="60">
        <v>555</v>
      </c>
      <c r="R139" s="26"/>
      <c r="S139" s="79" t="s">
        <v>115</v>
      </c>
      <c r="T139" s="26"/>
      <c r="U139" s="60">
        <f>Q139</f>
        <v>555</v>
      </c>
      <c r="V139" s="196"/>
      <c r="W139" s="6"/>
    </row>
    <row r="140" spans="1:25" ht="15.6">
      <c r="A140" s="25"/>
      <c r="B140" s="26" t="s">
        <v>58</v>
      </c>
      <c r="C140" s="26"/>
      <c r="D140" s="26"/>
      <c r="E140" s="26"/>
      <c r="F140" s="26"/>
      <c r="G140" s="26"/>
      <c r="H140" s="26"/>
      <c r="I140" s="26"/>
      <c r="J140" s="26"/>
      <c r="K140" s="26"/>
      <c r="L140" s="26"/>
      <c r="M140" s="26"/>
      <c r="N140" s="26"/>
      <c r="O140" s="26"/>
      <c r="P140" s="26"/>
      <c r="Q140" s="60">
        <f>SUM(Q138:Q139)</f>
        <v>3056</v>
      </c>
      <c r="R140" s="26"/>
      <c r="S140" s="79" t="s">
        <v>115</v>
      </c>
      <c r="T140" s="26"/>
      <c r="U140" s="60">
        <f>Q140</f>
        <v>3056</v>
      </c>
      <c r="V140" s="196"/>
      <c r="W140" s="6"/>
    </row>
    <row r="141" spans="1:25" ht="15.6">
      <c r="A141" s="25"/>
      <c r="B141" s="26" t="s">
        <v>215</v>
      </c>
      <c r="C141" s="26"/>
      <c r="D141" s="26"/>
      <c r="E141" s="26"/>
      <c r="F141" s="26"/>
      <c r="G141" s="26"/>
      <c r="H141" s="26"/>
      <c r="I141" s="26"/>
      <c r="J141" s="26"/>
      <c r="K141" s="26"/>
      <c r="L141" s="26"/>
      <c r="M141" s="26"/>
      <c r="N141" s="26"/>
      <c r="O141" s="26"/>
      <c r="P141" s="26"/>
      <c r="Q141" s="60"/>
      <c r="R141" s="26"/>
      <c r="S141" s="79"/>
      <c r="T141" s="26"/>
      <c r="U141" s="60"/>
      <c r="V141" s="196"/>
      <c r="W141" s="6"/>
    </row>
    <row r="142" spans="1:25" ht="15.6">
      <c r="A142" s="25"/>
      <c r="B142" s="26"/>
      <c r="C142" s="26"/>
      <c r="D142" s="26"/>
      <c r="E142" s="26"/>
      <c r="F142" s="26"/>
      <c r="G142" s="26"/>
      <c r="H142" s="26"/>
      <c r="I142" s="26"/>
      <c r="J142" s="26"/>
      <c r="K142" s="26"/>
      <c r="L142" s="26"/>
      <c r="M142" s="26"/>
      <c r="N142" s="26"/>
      <c r="O142" s="26"/>
      <c r="P142" s="26"/>
      <c r="Q142" s="26"/>
      <c r="R142" s="26"/>
      <c r="S142" s="26"/>
      <c r="T142" s="26"/>
      <c r="U142" s="26"/>
      <c r="V142" s="196"/>
      <c r="W142" s="6"/>
    </row>
    <row r="143" spans="1:25" ht="15.6">
      <c r="A143" s="25"/>
      <c r="B143" s="29"/>
      <c r="C143" s="29"/>
      <c r="D143" s="29"/>
      <c r="E143" s="29"/>
      <c r="F143" s="29"/>
      <c r="G143" s="29"/>
      <c r="H143" s="29"/>
      <c r="I143" s="29"/>
      <c r="J143" s="29"/>
      <c r="K143" s="29"/>
      <c r="L143" s="29"/>
      <c r="M143" s="29"/>
      <c r="N143" s="29"/>
      <c r="O143" s="29"/>
      <c r="P143" s="29"/>
      <c r="Q143" s="29"/>
      <c r="R143" s="29"/>
      <c r="S143" s="29"/>
      <c r="T143" s="29"/>
      <c r="U143" s="29"/>
      <c r="V143" s="203"/>
      <c r="W143" s="6"/>
    </row>
    <row r="144" spans="1:25" ht="15.6">
      <c r="A144" s="80"/>
      <c r="B144" s="57" t="s">
        <v>59</v>
      </c>
      <c r="C144" s="81"/>
      <c r="D144" s="81"/>
      <c r="E144" s="81"/>
      <c r="F144" s="81"/>
      <c r="G144" s="81"/>
      <c r="H144" s="81"/>
      <c r="I144" s="81"/>
      <c r="J144" s="81"/>
      <c r="K144" s="81"/>
      <c r="L144" s="81"/>
      <c r="M144" s="81"/>
      <c r="N144" s="81"/>
      <c r="O144" s="81"/>
      <c r="P144" s="19"/>
      <c r="Q144" s="19"/>
      <c r="R144" s="19"/>
      <c r="S144" s="19">
        <v>39353</v>
      </c>
      <c r="T144" s="15"/>
      <c r="U144" s="15"/>
      <c r="V144" s="194"/>
      <c r="W144" s="6"/>
    </row>
    <row r="145" spans="1:23" ht="15.6">
      <c r="A145" s="82"/>
      <c r="B145" s="83" t="s">
        <v>60</v>
      </c>
      <c r="C145" s="84"/>
      <c r="D145" s="84"/>
      <c r="E145" s="84"/>
      <c r="F145" s="84"/>
      <c r="G145" s="84"/>
      <c r="H145" s="84"/>
      <c r="I145" s="84"/>
      <c r="J145" s="84"/>
      <c r="K145" s="84"/>
      <c r="L145" s="84"/>
      <c r="M145" s="84"/>
      <c r="N145" s="84"/>
      <c r="O145" s="84"/>
      <c r="P145" s="85"/>
      <c r="Q145" s="85"/>
      <c r="R145" s="85"/>
      <c r="S145" s="86">
        <v>0.10630000000000001</v>
      </c>
      <c r="T145" s="26"/>
      <c r="U145" s="26"/>
      <c r="V145" s="196"/>
      <c r="W145" s="6"/>
    </row>
    <row r="146" spans="1:23" ht="15.6">
      <c r="A146" s="82"/>
      <c r="B146" s="83" t="s">
        <v>61</v>
      </c>
      <c r="C146" s="84"/>
      <c r="D146" s="84"/>
      <c r="E146" s="84"/>
      <c r="F146" s="84"/>
      <c r="G146" s="84"/>
      <c r="H146" s="84"/>
      <c r="I146" s="84"/>
      <c r="J146" s="84"/>
      <c r="K146" s="84"/>
      <c r="L146" s="84"/>
      <c r="M146" s="84"/>
      <c r="N146" s="84"/>
      <c r="O146" s="84"/>
      <c r="P146" s="85"/>
      <c r="Q146" s="85"/>
      <c r="R146" s="85"/>
      <c r="S146" s="86">
        <v>5.2200000000000003E-2</v>
      </c>
      <c r="T146" s="86"/>
      <c r="U146" s="26"/>
      <c r="V146" s="196"/>
      <c r="W146" s="6"/>
    </row>
    <row r="147" spans="1:23" ht="15.6">
      <c r="A147" s="82"/>
      <c r="B147" s="83" t="s">
        <v>62</v>
      </c>
      <c r="C147" s="84"/>
      <c r="D147" s="84"/>
      <c r="E147" s="84"/>
      <c r="F147" s="84"/>
      <c r="G147" s="84"/>
      <c r="H147" s="84"/>
      <c r="I147" s="84"/>
      <c r="J147" s="84"/>
      <c r="K147" s="84"/>
      <c r="L147" s="84"/>
      <c r="M147" s="84"/>
      <c r="N147" s="84"/>
      <c r="O147" s="84"/>
      <c r="P147" s="85"/>
      <c r="Q147" s="85"/>
      <c r="R147" s="85"/>
      <c r="S147" s="86">
        <f>S145-S146</f>
        <v>5.4100000000000002E-2</v>
      </c>
      <c r="T147" s="26"/>
      <c r="U147" s="26"/>
      <c r="V147" s="196"/>
      <c r="W147" s="6"/>
    </row>
    <row r="148" spans="1:23" ht="15.6">
      <c r="A148" s="82"/>
      <c r="B148" s="83" t="s">
        <v>63</v>
      </c>
      <c r="C148" s="84"/>
      <c r="D148" s="84"/>
      <c r="E148" s="84"/>
      <c r="F148" s="84"/>
      <c r="G148" s="84"/>
      <c r="H148" s="84"/>
      <c r="I148" s="84"/>
      <c r="J148" s="84"/>
      <c r="K148" s="84"/>
      <c r="L148" s="84"/>
      <c r="M148" s="84"/>
      <c r="N148" s="84"/>
      <c r="O148" s="84"/>
      <c r="P148" s="85"/>
      <c r="Q148" s="85"/>
      <c r="R148" s="85"/>
      <c r="S148" s="86">
        <v>0.10573</v>
      </c>
      <c r="T148" s="26"/>
      <c r="U148" s="26"/>
      <c r="V148" s="196"/>
      <c r="W148" s="6"/>
    </row>
    <row r="149" spans="1:23" ht="15.6">
      <c r="A149" s="82"/>
      <c r="B149" s="83" t="s">
        <v>64</v>
      </c>
      <c r="C149" s="84"/>
      <c r="D149" s="84"/>
      <c r="E149" s="84"/>
      <c r="F149" s="84"/>
      <c r="G149" s="84"/>
      <c r="H149" s="84"/>
      <c r="I149" s="84"/>
      <c r="J149" s="84"/>
      <c r="K149" s="84"/>
      <c r="L149" s="84"/>
      <c r="M149" s="84"/>
      <c r="N149" s="84"/>
      <c r="O149" s="84"/>
      <c r="P149" s="85"/>
      <c r="Q149" s="85"/>
      <c r="R149" s="85"/>
      <c r="S149" s="86">
        <f>+U40</f>
        <v>6.3637707444444441E-2</v>
      </c>
      <c r="T149" s="26"/>
      <c r="U149" s="26"/>
      <c r="V149" s="196"/>
      <c r="W149" s="6"/>
    </row>
    <row r="150" spans="1:23" ht="15.6">
      <c r="A150" s="82"/>
      <c r="B150" s="83" t="s">
        <v>65</v>
      </c>
      <c r="C150" s="84"/>
      <c r="D150" s="84"/>
      <c r="E150" s="84"/>
      <c r="F150" s="84"/>
      <c r="G150" s="84"/>
      <c r="H150" s="84"/>
      <c r="I150" s="84"/>
      <c r="J150" s="84"/>
      <c r="K150" s="84"/>
      <c r="L150" s="84"/>
      <c r="M150" s="84"/>
      <c r="N150" s="84"/>
      <c r="O150" s="84"/>
      <c r="P150" s="85"/>
      <c r="Q150" s="85"/>
      <c r="R150" s="85"/>
      <c r="S150" s="86">
        <f>S148-S149</f>
        <v>4.2092292555555563E-2</v>
      </c>
      <c r="T150" s="26"/>
      <c r="U150" s="26"/>
      <c r="V150" s="196"/>
      <c r="W150" s="6"/>
    </row>
    <row r="151" spans="1:23" ht="15.6">
      <c r="A151" s="82"/>
      <c r="B151" s="83" t="s">
        <v>204</v>
      </c>
      <c r="C151" s="84"/>
      <c r="D151" s="84"/>
      <c r="E151" s="84"/>
      <c r="F151" s="84"/>
      <c r="G151" s="84"/>
      <c r="H151" s="84"/>
      <c r="I151" s="84"/>
      <c r="J151" s="84"/>
      <c r="K151" s="84"/>
      <c r="L151" s="84"/>
      <c r="M151" s="84"/>
      <c r="N151" s="84"/>
      <c r="O151" s="84"/>
      <c r="P151" s="85"/>
      <c r="Q151" s="85"/>
      <c r="R151" s="85"/>
      <c r="S151" s="183">
        <v>49780</v>
      </c>
      <c r="T151" s="26"/>
      <c r="U151" s="26"/>
      <c r="V151" s="196"/>
      <c r="W151" s="6"/>
    </row>
    <row r="152" spans="1:23" ht="15.6">
      <c r="A152" s="82"/>
      <c r="B152" s="83" t="s">
        <v>205</v>
      </c>
      <c r="C152" s="84"/>
      <c r="D152" s="84"/>
      <c r="E152" s="84"/>
      <c r="F152" s="84"/>
      <c r="G152" s="84"/>
      <c r="H152" s="84"/>
      <c r="I152" s="84"/>
      <c r="J152" s="84"/>
      <c r="K152" s="84"/>
      <c r="L152" s="84"/>
      <c r="M152" s="84"/>
      <c r="N152" s="84"/>
      <c r="O152" s="84"/>
      <c r="P152" s="85"/>
      <c r="Q152" s="85"/>
      <c r="R152" s="85"/>
      <c r="S152" s="183">
        <v>49780</v>
      </c>
      <c r="T152" s="26"/>
      <c r="U152" s="26"/>
      <c r="V152" s="196"/>
      <c r="W152" s="6"/>
    </row>
    <row r="153" spans="1:23" ht="15.6">
      <c r="A153" s="82"/>
      <c r="B153" s="83" t="s">
        <v>206</v>
      </c>
      <c r="C153" s="84"/>
      <c r="D153" s="84"/>
      <c r="E153" s="84"/>
      <c r="F153" s="84"/>
      <c r="G153" s="84"/>
      <c r="H153" s="84"/>
      <c r="I153" s="84"/>
      <c r="J153" s="84"/>
      <c r="K153" s="84"/>
      <c r="L153" s="84"/>
      <c r="M153" s="84"/>
      <c r="N153" s="84"/>
      <c r="O153" s="84"/>
      <c r="P153" s="85"/>
      <c r="Q153" s="85"/>
      <c r="R153" s="85"/>
      <c r="S153" s="183">
        <v>49780</v>
      </c>
      <c r="T153" s="26"/>
      <c r="U153" s="26"/>
      <c r="V153" s="196"/>
      <c r="W153" s="6"/>
    </row>
    <row r="154" spans="1:23" ht="15.6">
      <c r="A154" s="82"/>
      <c r="B154" s="83" t="s">
        <v>207</v>
      </c>
      <c r="C154" s="84"/>
      <c r="D154" s="84"/>
      <c r="E154" s="84"/>
      <c r="F154" s="84"/>
      <c r="G154" s="84"/>
      <c r="H154" s="84"/>
      <c r="I154" s="84"/>
      <c r="J154" s="84"/>
      <c r="K154" s="84"/>
      <c r="L154" s="84"/>
      <c r="M154" s="84"/>
      <c r="N154" s="84"/>
      <c r="O154" s="84"/>
      <c r="P154" s="85"/>
      <c r="Q154" s="85"/>
      <c r="R154" s="85"/>
      <c r="S154" s="183">
        <v>49780</v>
      </c>
      <c r="T154" s="26"/>
      <c r="U154" s="26"/>
      <c r="V154" s="196"/>
      <c r="W154" s="6"/>
    </row>
    <row r="155" spans="1:23" ht="15.6">
      <c r="A155" s="82"/>
      <c r="B155" s="83" t="s">
        <v>221</v>
      </c>
      <c r="C155" s="84"/>
      <c r="D155" s="84"/>
      <c r="E155" s="84"/>
      <c r="F155" s="84"/>
      <c r="G155" s="84"/>
      <c r="H155" s="84"/>
      <c r="I155" s="84"/>
      <c r="J155" s="84"/>
      <c r="K155" s="84"/>
      <c r="L155" s="84"/>
      <c r="M155" s="84"/>
      <c r="N155" s="84"/>
      <c r="O155" s="84"/>
      <c r="P155" s="85"/>
      <c r="Q155" s="85"/>
      <c r="R155" s="85"/>
      <c r="S155" s="87">
        <v>111.34</v>
      </c>
      <c r="T155" s="26"/>
      <c r="U155" s="26"/>
      <c r="V155" s="196"/>
      <c r="W155" s="6"/>
    </row>
    <row r="156" spans="1:23" ht="15.6">
      <c r="A156" s="82"/>
      <c r="B156" s="83" t="s">
        <v>222</v>
      </c>
      <c r="C156" s="84"/>
      <c r="D156" s="84"/>
      <c r="E156" s="84"/>
      <c r="F156" s="84"/>
      <c r="G156" s="84"/>
      <c r="H156" s="84"/>
      <c r="I156" s="84"/>
      <c r="J156" s="84"/>
      <c r="K156" s="84"/>
      <c r="L156" s="84"/>
      <c r="M156" s="84"/>
      <c r="N156" s="84"/>
      <c r="O156" s="84"/>
      <c r="P156" s="85"/>
      <c r="Q156" s="85"/>
      <c r="R156" s="85"/>
      <c r="S156" s="87">
        <v>110.62</v>
      </c>
      <c r="T156" s="26"/>
      <c r="U156" s="26"/>
      <c r="V156" s="196"/>
      <c r="W156" s="6"/>
    </row>
    <row r="157" spans="1:23" ht="15.6">
      <c r="A157" s="82" t="s">
        <v>223</v>
      </c>
      <c r="B157" s="83" t="s">
        <v>66</v>
      </c>
      <c r="C157" s="84"/>
      <c r="D157" s="84"/>
      <c r="E157" s="84"/>
      <c r="F157" s="84"/>
      <c r="G157" s="84"/>
      <c r="H157" s="84"/>
      <c r="I157" s="84"/>
      <c r="J157" s="84"/>
      <c r="K157" s="84"/>
      <c r="L157" s="84"/>
      <c r="M157" s="84"/>
      <c r="N157" s="84"/>
      <c r="O157" s="84"/>
      <c r="P157" s="85"/>
      <c r="Q157" s="85"/>
      <c r="R157" s="85"/>
      <c r="S157" s="86">
        <v>0.12970000000000001</v>
      </c>
      <c r="T157" s="26"/>
      <c r="U157" s="26"/>
      <c r="V157" s="196"/>
      <c r="W157" s="6"/>
    </row>
    <row r="158" spans="1:23" ht="15.6">
      <c r="A158" s="82"/>
      <c r="B158" s="83" t="s">
        <v>67</v>
      </c>
      <c r="C158" s="84"/>
      <c r="D158" s="84"/>
      <c r="E158" s="84"/>
      <c r="F158" s="84"/>
      <c r="G158" s="84"/>
      <c r="H158" s="84"/>
      <c r="I158" s="84"/>
      <c r="J158" s="84"/>
      <c r="K158" s="84"/>
      <c r="L158" s="84"/>
      <c r="M158" s="84"/>
      <c r="N158" s="84"/>
      <c r="O158" s="84"/>
      <c r="P158" s="85"/>
      <c r="Q158" s="85"/>
      <c r="R158" s="85"/>
      <c r="S158" s="86">
        <v>0.41589999999999999</v>
      </c>
      <c r="T158" s="26"/>
      <c r="U158" s="26"/>
      <c r="V158" s="196"/>
      <c r="W158" s="6"/>
    </row>
    <row r="159" spans="1:23" ht="15.6">
      <c r="A159" s="82"/>
      <c r="B159" s="83"/>
      <c r="C159" s="83"/>
      <c r="D159" s="83"/>
      <c r="E159" s="83"/>
      <c r="F159" s="83"/>
      <c r="G159" s="83"/>
      <c r="H159" s="83"/>
      <c r="I159" s="83"/>
      <c r="J159" s="83"/>
      <c r="K159" s="83"/>
      <c r="L159" s="83"/>
      <c r="M159" s="83"/>
      <c r="N159" s="83"/>
      <c r="O159" s="83"/>
      <c r="P159" s="26"/>
      <c r="Q159" s="26"/>
      <c r="R159" s="33"/>
      <c r="S159" s="88"/>
      <c r="T159" s="26"/>
      <c r="U159" s="89"/>
      <c r="V159" s="196"/>
      <c r="W159" s="6"/>
    </row>
    <row r="160" spans="1:23" ht="15.6">
      <c r="A160" s="80"/>
      <c r="B160" s="90"/>
      <c r="C160" s="90"/>
      <c r="D160" s="90"/>
      <c r="E160" s="90"/>
      <c r="F160" s="90"/>
      <c r="G160" s="90"/>
      <c r="H160" s="90"/>
      <c r="I160" s="90"/>
      <c r="J160" s="90"/>
      <c r="K160" s="90"/>
      <c r="L160" s="90"/>
      <c r="M160" s="90"/>
      <c r="N160" s="90"/>
      <c r="O160" s="90"/>
      <c r="P160" s="9"/>
      <c r="Q160" s="9"/>
      <c r="R160" s="20"/>
      <c r="S160" s="91"/>
      <c r="T160" s="9"/>
      <c r="U160" s="92"/>
      <c r="V160" s="194"/>
      <c r="W160" s="6"/>
    </row>
    <row r="161" spans="1:23" ht="16.2" thickBot="1">
      <c r="A161" s="136"/>
      <c r="B161" s="131" t="str">
        <f>+B110</f>
        <v>PPAF3 INVESTOR REPORT QUARTER ENDING SEPTEMBER 2007</v>
      </c>
      <c r="C161" s="137"/>
      <c r="D161" s="137"/>
      <c r="E161" s="137"/>
      <c r="F161" s="137"/>
      <c r="G161" s="137"/>
      <c r="H161" s="137"/>
      <c r="I161" s="137"/>
      <c r="J161" s="137"/>
      <c r="K161" s="137"/>
      <c r="L161" s="137"/>
      <c r="M161" s="137"/>
      <c r="N161" s="137"/>
      <c r="O161" s="137"/>
      <c r="P161" s="132"/>
      <c r="Q161" s="132"/>
      <c r="R161" s="138"/>
      <c r="S161" s="139"/>
      <c r="T161" s="132"/>
      <c r="U161" s="140"/>
      <c r="V161" s="134"/>
      <c r="W161" s="6"/>
    </row>
    <row r="162" spans="1:23" ht="15.6">
      <c r="A162" s="93"/>
      <c r="B162" s="94" t="s">
        <v>68</v>
      </c>
      <c r="C162" s="95"/>
      <c r="D162" s="95"/>
      <c r="E162" s="95"/>
      <c r="F162" s="95"/>
      <c r="G162" s="95"/>
      <c r="H162" s="95"/>
      <c r="I162" s="95"/>
      <c r="J162" s="95"/>
      <c r="K162" s="95"/>
      <c r="L162" s="95"/>
      <c r="M162" s="96"/>
      <c r="N162" s="95"/>
      <c r="O162" s="96"/>
      <c r="P162" s="95"/>
      <c r="Q162" s="96"/>
      <c r="R162" s="95" t="s">
        <v>94</v>
      </c>
      <c r="S162" s="96" t="s">
        <v>116</v>
      </c>
      <c r="T162" s="97"/>
      <c r="U162" s="97"/>
      <c r="V162" s="193"/>
      <c r="W162" s="6"/>
    </row>
    <row r="163" spans="1:23" ht="15.6">
      <c r="A163" s="98"/>
      <c r="B163" s="83" t="s">
        <v>216</v>
      </c>
      <c r="C163" s="61"/>
      <c r="D163" s="61"/>
      <c r="E163" s="61"/>
      <c r="F163" s="61"/>
      <c r="G163" s="61"/>
      <c r="H163" s="61"/>
      <c r="I163" s="61"/>
      <c r="J163" s="61"/>
      <c r="K163" s="61"/>
      <c r="L163" s="61"/>
      <c r="M163" s="61"/>
      <c r="N163" s="61"/>
      <c r="O163" s="26"/>
      <c r="P163" s="26"/>
      <c r="Q163" s="26"/>
      <c r="R163" s="59">
        <v>495</v>
      </c>
      <c r="S163" s="60">
        <v>15545</v>
      </c>
      <c r="T163" s="60"/>
      <c r="U163" s="89"/>
      <c r="V163" s="204"/>
      <c r="W163" s="6"/>
    </row>
    <row r="164" spans="1:23" ht="15.6">
      <c r="A164" s="98"/>
      <c r="B164" s="83" t="s">
        <v>217</v>
      </c>
      <c r="C164" s="61"/>
      <c r="D164" s="61"/>
      <c r="E164" s="61"/>
      <c r="F164" s="61"/>
      <c r="G164" s="61"/>
      <c r="H164" s="61"/>
      <c r="I164" s="61"/>
      <c r="J164" s="61"/>
      <c r="K164" s="61"/>
      <c r="L164" s="61"/>
      <c r="M164" s="61"/>
      <c r="N164" s="61"/>
      <c r="O164" s="26"/>
      <c r="P164" s="26"/>
      <c r="Q164" s="26"/>
      <c r="R164" s="26">
        <v>78</v>
      </c>
      <c r="S164" s="60">
        <v>875</v>
      </c>
      <c r="T164" s="60"/>
      <c r="U164" s="89"/>
      <c r="V164" s="204"/>
      <c r="W164" s="6"/>
    </row>
    <row r="165" spans="1:23" ht="15.6">
      <c r="A165" s="98"/>
      <c r="B165" s="83" t="s">
        <v>218</v>
      </c>
      <c r="C165" s="61"/>
      <c r="D165" s="61"/>
      <c r="E165" s="61"/>
      <c r="F165" s="61"/>
      <c r="G165" s="61"/>
      <c r="H165" s="61"/>
      <c r="I165" s="61"/>
      <c r="J165" s="61"/>
      <c r="K165" s="61"/>
      <c r="L165" s="61"/>
      <c r="M165" s="61"/>
      <c r="N165" s="61"/>
      <c r="O165" s="26"/>
      <c r="P165" s="26"/>
      <c r="Q165" s="26"/>
      <c r="R165" s="26">
        <v>265</v>
      </c>
      <c r="S165" s="60">
        <v>382</v>
      </c>
      <c r="T165" s="60"/>
      <c r="U165" s="89"/>
      <c r="V165" s="204"/>
      <c r="W165" s="6"/>
    </row>
    <row r="166" spans="1:23" ht="15.6">
      <c r="A166" s="98"/>
      <c r="B166" s="83" t="s">
        <v>219</v>
      </c>
      <c r="C166" s="61"/>
      <c r="D166" s="61"/>
      <c r="E166" s="61"/>
      <c r="F166" s="61"/>
      <c r="G166" s="61"/>
      <c r="H166" s="61"/>
      <c r="I166" s="61"/>
      <c r="J166" s="61"/>
      <c r="K166" s="61"/>
      <c r="L166" s="61"/>
      <c r="M166" s="61"/>
      <c r="N166" s="61"/>
      <c r="O166" s="26"/>
      <c r="P166" s="26"/>
      <c r="Q166" s="26"/>
      <c r="R166" s="26">
        <v>404</v>
      </c>
      <c r="S166" s="60">
        <v>2080</v>
      </c>
      <c r="T166" s="60"/>
      <c r="U166" s="89"/>
      <c r="V166" s="204"/>
      <c r="W166" s="6"/>
    </row>
    <row r="167" spans="1:23" ht="15.6">
      <c r="A167" s="98"/>
      <c r="B167" s="83" t="s">
        <v>90</v>
      </c>
      <c r="C167" s="61"/>
      <c r="D167" s="61"/>
      <c r="E167" s="61"/>
      <c r="F167" s="61"/>
      <c r="G167" s="61"/>
      <c r="H167" s="61"/>
      <c r="I167" s="61"/>
      <c r="J167" s="61"/>
      <c r="K167" s="61"/>
      <c r="L167" s="61"/>
      <c r="M167" s="61"/>
      <c r="N167" s="61"/>
      <c r="O167" s="26"/>
      <c r="P167" s="26"/>
      <c r="Q167" s="26"/>
      <c r="R167" s="59">
        <f>SUM(R163:R166)</f>
        <v>1242</v>
      </c>
      <c r="S167" s="60">
        <f>SUM(S163:S166)</f>
        <v>18882</v>
      </c>
      <c r="T167" s="60"/>
      <c r="U167" s="89"/>
      <c r="V167" s="204"/>
      <c r="W167" s="6"/>
    </row>
    <row r="168" spans="1:23" ht="15.6">
      <c r="A168" s="98"/>
      <c r="B168" s="83"/>
      <c r="C168" s="61"/>
      <c r="D168" s="61"/>
      <c r="E168" s="61"/>
      <c r="F168" s="61"/>
      <c r="G168" s="61"/>
      <c r="H168" s="61"/>
      <c r="I168" s="61"/>
      <c r="J168" s="61"/>
      <c r="K168" s="61"/>
      <c r="L168" s="61"/>
      <c r="M168" s="61"/>
      <c r="N168" s="61"/>
      <c r="O168" s="26"/>
      <c r="P168" s="26"/>
      <c r="Q168" s="26"/>
      <c r="R168" s="26"/>
      <c r="S168" s="60"/>
      <c r="T168" s="60"/>
      <c r="U168" s="89"/>
      <c r="V168" s="204"/>
      <c r="W168" s="6"/>
    </row>
    <row r="169" spans="1:23" ht="15.6">
      <c r="A169" s="98"/>
      <c r="B169" s="83" t="s">
        <v>220</v>
      </c>
      <c r="C169" s="61"/>
      <c r="D169" s="61"/>
      <c r="E169" s="61"/>
      <c r="F169" s="61"/>
      <c r="G169" s="61"/>
      <c r="H169" s="61"/>
      <c r="I169" s="61"/>
      <c r="J169" s="61"/>
      <c r="K169" s="61"/>
      <c r="L169" s="61"/>
      <c r="M169" s="61"/>
      <c r="N169" s="61"/>
      <c r="O169" s="26"/>
      <c r="P169" s="26"/>
      <c r="Q169" s="26"/>
      <c r="R169" s="26">
        <v>25</v>
      </c>
      <c r="S169" s="60">
        <v>464</v>
      </c>
      <c r="T169" s="60"/>
      <c r="U169" s="89"/>
      <c r="V169" s="204"/>
      <c r="W169" s="6"/>
    </row>
    <row r="170" spans="1:23" ht="15.6">
      <c r="A170" s="98"/>
      <c r="B170" s="83" t="s">
        <v>224</v>
      </c>
      <c r="C170" s="61"/>
      <c r="D170" s="61"/>
      <c r="E170" s="61"/>
      <c r="F170" s="61"/>
      <c r="G170" s="61"/>
      <c r="H170" s="61"/>
      <c r="I170" s="61"/>
      <c r="J170" s="61"/>
      <c r="K170" s="61"/>
      <c r="L170" s="61"/>
      <c r="M170" s="61"/>
      <c r="N170" s="61"/>
      <c r="O170" s="26"/>
      <c r="P170" s="26"/>
      <c r="Q170" s="26"/>
      <c r="R170" s="26">
        <v>25</v>
      </c>
      <c r="S170" s="60">
        <v>795</v>
      </c>
      <c r="T170" s="60"/>
      <c r="U170" s="89"/>
      <c r="V170" s="204"/>
      <c r="W170" s="6"/>
    </row>
    <row r="171" spans="1:23" ht="15.6">
      <c r="A171" s="98"/>
      <c r="B171" s="156" t="s">
        <v>69</v>
      </c>
      <c r="C171" s="61"/>
      <c r="D171" s="61"/>
      <c r="E171" s="61"/>
      <c r="F171" s="61"/>
      <c r="G171" s="61"/>
      <c r="H171" s="61"/>
      <c r="I171" s="61"/>
      <c r="J171" s="61"/>
      <c r="K171" s="61"/>
      <c r="L171" s="61"/>
      <c r="M171" s="61"/>
      <c r="N171" s="61"/>
      <c r="O171" s="26"/>
      <c r="P171" s="26"/>
      <c r="Q171" s="26"/>
      <c r="R171" s="26"/>
      <c r="S171" s="60">
        <v>0</v>
      </c>
      <c r="T171" s="26"/>
      <c r="U171" s="89"/>
      <c r="V171" s="204"/>
      <c r="W171" s="6"/>
    </row>
    <row r="172" spans="1:23" ht="15.6">
      <c r="A172" s="98"/>
      <c r="B172" s="156" t="s">
        <v>70</v>
      </c>
      <c r="C172" s="61"/>
      <c r="D172" s="61"/>
      <c r="E172" s="61"/>
      <c r="F172" s="61"/>
      <c r="G172" s="61"/>
      <c r="H172" s="61"/>
      <c r="I172" s="61"/>
      <c r="J172" s="61"/>
      <c r="K172" s="61"/>
      <c r="L172" s="61"/>
      <c r="M172" s="61"/>
      <c r="N172" s="61"/>
      <c r="O172" s="26"/>
      <c r="P172" s="26"/>
      <c r="Q172" s="26"/>
      <c r="R172" s="26"/>
      <c r="S172" s="60">
        <f>Q76</f>
        <v>53158</v>
      </c>
      <c r="T172" s="26"/>
      <c r="U172" s="89"/>
      <c r="V172" s="204"/>
      <c r="W172" s="6"/>
    </row>
    <row r="173" spans="1:23" ht="15.6">
      <c r="A173" s="101"/>
      <c r="B173" s="156" t="s">
        <v>71</v>
      </c>
      <c r="C173" s="61"/>
      <c r="D173" s="61"/>
      <c r="E173" s="61"/>
      <c r="F173" s="61"/>
      <c r="G173" s="61"/>
      <c r="H173" s="61"/>
      <c r="I173" s="61"/>
      <c r="J173" s="61"/>
      <c r="K173" s="61"/>
      <c r="L173" s="61"/>
      <c r="M173" s="83"/>
      <c r="N173" s="83"/>
      <c r="O173" s="83"/>
      <c r="P173" s="26"/>
      <c r="Q173" s="26"/>
      <c r="R173" s="26"/>
      <c r="S173" s="102"/>
      <c r="T173" s="26"/>
      <c r="U173" s="89"/>
      <c r="V173" s="205"/>
      <c r="W173" s="6"/>
    </row>
    <row r="174" spans="1:23" ht="15.6">
      <c r="A174" s="98"/>
      <c r="B174" s="83" t="s">
        <v>72</v>
      </c>
      <c r="C174" s="61"/>
      <c r="D174" s="61"/>
      <c r="E174" s="61"/>
      <c r="F174" s="61"/>
      <c r="G174" s="61"/>
      <c r="H174" s="61"/>
      <c r="I174" s="61"/>
      <c r="J174" s="61"/>
      <c r="K174" s="61"/>
      <c r="L174" s="61"/>
      <c r="M174" s="61"/>
      <c r="N174" s="61"/>
      <c r="O174" s="61"/>
      <c r="P174" s="26"/>
      <c r="Q174" s="26"/>
      <c r="R174" s="26"/>
      <c r="S174" s="60">
        <f>U129</f>
        <v>2365</v>
      </c>
      <c r="T174" s="26"/>
      <c r="U174" s="89"/>
      <c r="V174" s="205"/>
      <c r="W174" s="6"/>
    </row>
    <row r="175" spans="1:23" ht="15.6">
      <c r="A175" s="98"/>
      <c r="B175" s="83" t="s">
        <v>73</v>
      </c>
      <c r="C175" s="61"/>
      <c r="D175" s="61"/>
      <c r="E175" s="61"/>
      <c r="F175" s="61"/>
      <c r="G175" s="61"/>
      <c r="H175" s="61"/>
      <c r="I175" s="61"/>
      <c r="J175" s="61"/>
      <c r="K175" s="61"/>
      <c r="L175" s="61"/>
      <c r="M175" s="61"/>
      <c r="N175" s="61"/>
      <c r="O175" s="61"/>
      <c r="P175" s="26"/>
      <c r="Q175" s="26"/>
      <c r="R175" s="26"/>
      <c r="S175" s="60">
        <f>'June 07'!S175+S174</f>
        <v>37536</v>
      </c>
      <c r="T175" s="26"/>
      <c r="U175" s="89"/>
      <c r="V175" s="205"/>
      <c r="W175" s="6"/>
    </row>
    <row r="176" spans="1:23" ht="15.6">
      <c r="A176" s="98"/>
      <c r="B176" s="83" t="s">
        <v>74</v>
      </c>
      <c r="C176" s="61"/>
      <c r="D176" s="61"/>
      <c r="E176" s="61"/>
      <c r="F176" s="61"/>
      <c r="G176" s="61"/>
      <c r="H176" s="61"/>
      <c r="I176" s="61"/>
      <c r="J176" s="61"/>
      <c r="K176" s="61"/>
      <c r="L176" s="61"/>
      <c r="M176" s="61"/>
      <c r="N176" s="61"/>
      <c r="O176" s="61"/>
      <c r="P176" s="26"/>
      <c r="Q176" s="26"/>
      <c r="R176" s="26"/>
      <c r="S176" s="60">
        <f>+'June 07'!S176+810</f>
        <v>5731</v>
      </c>
      <c r="T176" s="26"/>
      <c r="U176" s="89"/>
      <c r="V176" s="205"/>
      <c r="W176" s="6"/>
    </row>
    <row r="177" spans="1:23" ht="15.6">
      <c r="A177" s="98"/>
      <c r="B177" s="83"/>
      <c r="C177" s="61"/>
      <c r="D177" s="61"/>
      <c r="E177" s="61"/>
      <c r="F177" s="61"/>
      <c r="G177" s="61"/>
      <c r="H177" s="61"/>
      <c r="I177" s="61"/>
      <c r="J177" s="61"/>
      <c r="K177" s="61"/>
      <c r="L177" s="61"/>
      <c r="M177" s="61"/>
      <c r="N177" s="61"/>
      <c r="O177" s="61"/>
      <c r="P177" s="26"/>
      <c r="Q177" s="26"/>
      <c r="R177" s="26"/>
      <c r="S177" s="60"/>
      <c r="T177" s="26"/>
      <c r="U177" s="89"/>
      <c r="V177" s="205"/>
      <c r="W177" s="6"/>
    </row>
    <row r="178" spans="1:23" ht="15.6">
      <c r="A178" s="101"/>
      <c r="B178" s="156" t="s">
        <v>259</v>
      </c>
      <c r="C178" s="61"/>
      <c r="D178" s="61"/>
      <c r="E178" s="61"/>
      <c r="F178" s="61"/>
      <c r="G178" s="61"/>
      <c r="H178" s="61"/>
      <c r="I178" s="61"/>
      <c r="J178" s="61"/>
      <c r="K178" s="61"/>
      <c r="L178" s="61"/>
      <c r="M178" s="83"/>
      <c r="N178" s="83"/>
      <c r="O178" s="83"/>
      <c r="P178" s="26"/>
      <c r="Q178" s="26"/>
      <c r="R178" s="26"/>
      <c r="S178" s="79"/>
      <c r="T178" s="26"/>
      <c r="U178" s="89"/>
      <c r="V178" s="205"/>
      <c r="W178" s="6"/>
    </row>
    <row r="179" spans="1:23" ht="15.6">
      <c r="A179" s="101"/>
      <c r="B179" s="83" t="s">
        <v>255</v>
      </c>
      <c r="C179" s="61"/>
      <c r="D179" s="61"/>
      <c r="E179" s="61"/>
      <c r="F179" s="61"/>
      <c r="G179" s="61"/>
      <c r="H179" s="61"/>
      <c r="I179" s="61"/>
      <c r="J179" s="61"/>
      <c r="K179" s="61"/>
      <c r="L179" s="61"/>
      <c r="M179" s="83"/>
      <c r="N179" s="83"/>
      <c r="O179" s="83"/>
      <c r="P179" s="26"/>
      <c r="Q179" s="26"/>
      <c r="R179" s="26"/>
      <c r="S179" s="79">
        <v>8</v>
      </c>
      <c r="T179" s="26"/>
      <c r="U179" s="89"/>
      <c r="V179" s="205"/>
      <c r="W179" s="6"/>
    </row>
    <row r="180" spans="1:23" ht="15.6">
      <c r="A180" s="98"/>
      <c r="B180" s="83" t="s">
        <v>75</v>
      </c>
      <c r="C180" s="61"/>
      <c r="D180" s="61"/>
      <c r="E180" s="61"/>
      <c r="F180" s="61"/>
      <c r="G180" s="61"/>
      <c r="H180" s="61"/>
      <c r="I180" s="61"/>
      <c r="J180" s="61"/>
      <c r="K180" s="61"/>
      <c r="L180" s="61"/>
      <c r="M180" s="104"/>
      <c r="N180" s="104"/>
      <c r="O180" s="105"/>
      <c r="P180" s="26"/>
      <c r="Q180" s="26"/>
      <c r="R180" s="26"/>
      <c r="S180" s="191">
        <v>12.82</v>
      </c>
      <c r="T180" s="26"/>
      <c r="U180" s="89"/>
      <c r="V180" s="205"/>
      <c r="W180" s="6"/>
    </row>
    <row r="181" spans="1:23" ht="15.6">
      <c r="A181" s="98"/>
      <c r="B181" s="83" t="s">
        <v>76</v>
      </c>
      <c r="C181" s="61"/>
      <c r="D181" s="61"/>
      <c r="E181" s="61"/>
      <c r="F181" s="61"/>
      <c r="G181" s="61"/>
      <c r="H181" s="61"/>
      <c r="I181" s="61"/>
      <c r="J181" s="61"/>
      <c r="K181" s="61"/>
      <c r="L181" s="61"/>
      <c r="M181" s="104"/>
      <c r="N181" s="104"/>
      <c r="O181" s="105"/>
      <c r="P181" s="26"/>
      <c r="Q181" s="26"/>
      <c r="R181" s="26"/>
      <c r="S181" s="191">
        <v>153.75</v>
      </c>
      <c r="T181" s="26"/>
      <c r="U181" s="89"/>
      <c r="V181" s="205"/>
      <c r="W181" s="6"/>
    </row>
    <row r="182" spans="1:23" ht="15.6">
      <c r="A182" s="98"/>
      <c r="B182" s="83"/>
      <c r="C182" s="61"/>
      <c r="D182" s="61"/>
      <c r="E182" s="61"/>
      <c r="F182" s="61"/>
      <c r="G182" s="61"/>
      <c r="H182" s="61"/>
      <c r="I182" s="61"/>
      <c r="J182" s="61"/>
      <c r="K182" s="61"/>
      <c r="L182" s="61"/>
      <c r="M182" s="106"/>
      <c r="N182" s="104"/>
      <c r="O182" s="105"/>
      <c r="P182" s="26"/>
      <c r="Q182" s="26"/>
      <c r="R182" s="26"/>
      <c r="S182" s="79"/>
      <c r="T182" s="26"/>
      <c r="U182" s="89"/>
      <c r="V182" s="205"/>
      <c r="W182" s="6"/>
    </row>
    <row r="183" spans="1:23" ht="15.6">
      <c r="A183" s="98"/>
      <c r="B183" s="156" t="s">
        <v>77</v>
      </c>
      <c r="C183" s="61"/>
      <c r="D183" s="61"/>
      <c r="E183" s="61"/>
      <c r="F183" s="61"/>
      <c r="G183" s="61"/>
      <c r="H183" s="61"/>
      <c r="I183" s="61"/>
      <c r="J183" s="61"/>
      <c r="K183" s="61"/>
      <c r="L183" s="61"/>
      <c r="M183" s="61"/>
      <c r="N183" s="106"/>
      <c r="O183" s="104"/>
      <c r="P183" s="105"/>
      <c r="Q183" s="26"/>
      <c r="R183" s="33"/>
      <c r="S183" s="33"/>
      <c r="T183" s="107"/>
      <c r="U183" s="33"/>
      <c r="V183" s="206"/>
      <c r="W183" s="6"/>
    </row>
    <row r="184" spans="1:23" ht="15.6">
      <c r="A184" s="98"/>
      <c r="B184" s="83" t="s">
        <v>78</v>
      </c>
      <c r="C184" s="61"/>
      <c r="D184" s="61"/>
      <c r="E184" s="61"/>
      <c r="F184" s="61"/>
      <c r="G184" s="61"/>
      <c r="H184" s="61"/>
      <c r="I184" s="61"/>
      <c r="J184" s="61"/>
      <c r="K184" s="61"/>
      <c r="L184" s="61"/>
      <c r="M184" s="61"/>
      <c r="N184" s="106"/>
      <c r="O184" s="104"/>
      <c r="P184" s="105"/>
      <c r="Q184" s="26"/>
      <c r="R184" s="33"/>
      <c r="S184" s="108">
        <v>125</v>
      </c>
      <c r="T184" s="108"/>
      <c r="U184" s="33"/>
      <c r="V184" s="206"/>
      <c r="W184" s="6"/>
    </row>
    <row r="185" spans="1:23" ht="15.6">
      <c r="A185" s="98"/>
      <c r="B185" s="83" t="s">
        <v>75</v>
      </c>
      <c r="C185" s="61"/>
      <c r="D185" s="61"/>
      <c r="E185" s="61"/>
      <c r="F185" s="61"/>
      <c r="G185" s="61"/>
      <c r="H185" s="61"/>
      <c r="I185" s="61"/>
      <c r="J185" s="61"/>
      <c r="K185" s="61"/>
      <c r="L185" s="61"/>
      <c r="M185" s="61"/>
      <c r="N185" s="106"/>
      <c r="O185" s="104"/>
      <c r="P185" s="105"/>
      <c r="Q185" s="26"/>
      <c r="R185" s="33"/>
      <c r="S185" s="108">
        <v>5.13</v>
      </c>
      <c r="T185" s="108"/>
      <c r="U185" s="33"/>
      <c r="V185" s="206"/>
      <c r="W185" s="6"/>
    </row>
    <row r="186" spans="1:23" ht="15.6">
      <c r="A186" s="98"/>
      <c r="B186" s="83" t="s">
        <v>79</v>
      </c>
      <c r="C186" s="61"/>
      <c r="D186" s="61"/>
      <c r="E186" s="61"/>
      <c r="F186" s="61"/>
      <c r="G186" s="61"/>
      <c r="H186" s="61"/>
      <c r="I186" s="61"/>
      <c r="J186" s="61"/>
      <c r="K186" s="61"/>
      <c r="L186" s="61"/>
      <c r="M186" s="61"/>
      <c r="N186" s="106"/>
      <c r="O186" s="104"/>
      <c r="P186" s="105"/>
      <c r="Q186" s="26"/>
      <c r="R186" s="33"/>
      <c r="S186" s="108">
        <v>85.88</v>
      </c>
      <c r="T186" s="108"/>
      <c r="U186" s="33"/>
      <c r="V186" s="206"/>
      <c r="W186" s="6"/>
    </row>
    <row r="187" spans="1:23" ht="15.6">
      <c r="A187" s="98"/>
      <c r="B187" s="83"/>
      <c r="C187" s="61"/>
      <c r="D187" s="61"/>
      <c r="E187" s="61"/>
      <c r="F187" s="61"/>
      <c r="G187" s="61"/>
      <c r="H187" s="61"/>
      <c r="I187" s="61"/>
      <c r="J187" s="61"/>
      <c r="K187" s="61"/>
      <c r="L187" s="61"/>
      <c r="M187" s="106"/>
      <c r="N187" s="104"/>
      <c r="O187" s="105"/>
      <c r="P187" s="26"/>
      <c r="Q187" s="26"/>
      <c r="R187" s="26"/>
      <c r="S187" s="79"/>
      <c r="T187" s="26"/>
      <c r="U187" s="89"/>
      <c r="V187" s="205"/>
      <c r="W187" s="6"/>
    </row>
    <row r="188" spans="1:23" ht="17.399999999999999">
      <c r="A188" s="98"/>
      <c r="B188" s="180" t="s">
        <v>196</v>
      </c>
      <c r="C188" s="61"/>
      <c r="D188" s="61"/>
      <c r="E188" s="61"/>
      <c r="F188" s="61"/>
      <c r="G188" s="61"/>
      <c r="H188" s="61"/>
      <c r="I188" s="61"/>
      <c r="J188" s="61"/>
      <c r="K188" s="181" t="s">
        <v>195</v>
      </c>
      <c r="L188" s="61"/>
      <c r="M188" s="106"/>
      <c r="N188" s="104"/>
      <c r="O188" s="105"/>
      <c r="P188" s="26"/>
      <c r="Q188" s="26"/>
      <c r="R188" s="26"/>
      <c r="S188" s="79"/>
      <c r="T188" s="26"/>
      <c r="U188" s="89"/>
      <c r="V188" s="205"/>
      <c r="W188" s="6"/>
    </row>
    <row r="189" spans="1:23" ht="15.6">
      <c r="A189" s="25"/>
      <c r="B189" s="109" t="s">
        <v>80</v>
      </c>
      <c r="C189" s="110"/>
      <c r="D189" s="110"/>
      <c r="E189" s="110"/>
      <c r="F189" s="110"/>
      <c r="G189" s="110"/>
      <c r="H189" s="110"/>
      <c r="I189" s="110"/>
      <c r="J189" s="110"/>
      <c r="K189" s="110"/>
      <c r="L189" s="110"/>
      <c r="M189" s="111"/>
      <c r="N189" s="110"/>
      <c r="O189" s="111"/>
      <c r="P189" s="110"/>
      <c r="Q189" s="111"/>
      <c r="R189" s="110"/>
      <c r="S189" s="111"/>
      <c r="T189" s="110"/>
      <c r="U189" s="112"/>
      <c r="V189" s="205"/>
      <c r="W189" s="6"/>
    </row>
    <row r="190" spans="1:23" ht="15.6">
      <c r="A190" s="25"/>
      <c r="B190" s="30"/>
      <c r="C190" s="189"/>
      <c r="D190" s="189"/>
      <c r="E190" s="189"/>
      <c r="F190" s="189"/>
      <c r="G190" s="189"/>
      <c r="H190" s="189"/>
      <c r="I190" s="189"/>
      <c r="J190" s="189"/>
      <c r="K190" s="189"/>
      <c r="L190" s="189"/>
      <c r="M190" s="109" t="s">
        <v>100</v>
      </c>
      <c r="N190" s="110"/>
      <c r="O190" s="111"/>
      <c r="P190" s="110"/>
      <c r="Q190" s="109" t="s">
        <v>26</v>
      </c>
      <c r="R190" s="110"/>
      <c r="S190" s="111"/>
      <c r="T190" s="110"/>
      <c r="U190" s="112"/>
      <c r="V190" s="205"/>
      <c r="W190" s="6"/>
    </row>
    <row r="191" spans="1:23" ht="15.6">
      <c r="A191" s="25"/>
      <c r="B191" s="189"/>
      <c r="C191" s="111"/>
      <c r="D191" s="111"/>
      <c r="E191" s="111"/>
      <c r="F191" s="111"/>
      <c r="G191" s="111"/>
      <c r="H191" s="111"/>
      <c r="I191" s="111"/>
      <c r="J191" s="111"/>
      <c r="K191" s="111"/>
      <c r="L191" s="111" t="s">
        <v>94</v>
      </c>
      <c r="M191" s="110" t="s">
        <v>101</v>
      </c>
      <c r="N191" s="111" t="s">
        <v>103</v>
      </c>
      <c r="O191" s="110" t="s">
        <v>101</v>
      </c>
      <c r="P191" s="110"/>
      <c r="Q191" s="111" t="s">
        <v>94</v>
      </c>
      <c r="R191" s="110" t="s">
        <v>101</v>
      </c>
      <c r="S191" s="111" t="s">
        <v>103</v>
      </c>
      <c r="T191" s="110" t="s">
        <v>101</v>
      </c>
      <c r="U191" s="112"/>
      <c r="V191" s="205"/>
      <c r="W191" s="6"/>
    </row>
    <row r="192" spans="1:23" ht="15.6">
      <c r="A192" s="25"/>
      <c r="B192" s="61" t="s">
        <v>81</v>
      </c>
      <c r="C192" s="113"/>
      <c r="D192" s="113"/>
      <c r="E192" s="113"/>
      <c r="F192" s="113"/>
      <c r="G192" s="113"/>
      <c r="H192" s="113"/>
      <c r="I192" s="113"/>
      <c r="J192" s="113"/>
      <c r="K192" s="113"/>
      <c r="L192" s="113">
        <v>7230</v>
      </c>
      <c r="M192" s="86">
        <f t="shared" ref="M192:M198" si="0">+L192/$L$199</f>
        <v>0.90431519699812379</v>
      </c>
      <c r="N192" s="113">
        <v>29023</v>
      </c>
      <c r="O192" s="86">
        <f t="shared" ref="O192:O198" si="1">N192/$N$199</f>
        <v>0.88665872361225673</v>
      </c>
      <c r="P192" s="110"/>
      <c r="Q192" s="113">
        <v>35486</v>
      </c>
      <c r="R192" s="86">
        <f t="shared" ref="R192:R198" si="2">+Q192/$Q$199</f>
        <v>0.98490147099639191</v>
      </c>
      <c r="S192" s="113">
        <v>38960</v>
      </c>
      <c r="T192" s="86">
        <f t="shared" ref="T192:T198" si="3">+S192/$S$199</f>
        <v>0.98153326783059991</v>
      </c>
      <c r="U192" s="112"/>
      <c r="V192" s="205"/>
      <c r="W192" s="6"/>
    </row>
    <row r="193" spans="1:24" ht="15.6">
      <c r="A193" s="25"/>
      <c r="B193" s="61" t="s">
        <v>82</v>
      </c>
      <c r="C193" s="113"/>
      <c r="D193" s="113"/>
      <c r="E193" s="113"/>
      <c r="F193" s="113"/>
      <c r="G193" s="113"/>
      <c r="H193" s="113"/>
      <c r="I193" s="113"/>
      <c r="J193" s="113"/>
      <c r="K193" s="113"/>
      <c r="L193" s="113">
        <v>103</v>
      </c>
      <c r="M193" s="86">
        <f t="shared" si="0"/>
        <v>1.2883051907442152E-2</v>
      </c>
      <c r="N193" s="113">
        <v>444</v>
      </c>
      <c r="O193" s="86">
        <f t="shared" si="1"/>
        <v>1.356429291540647E-2</v>
      </c>
      <c r="P193" s="110"/>
      <c r="Q193" s="113">
        <v>76</v>
      </c>
      <c r="R193" s="86">
        <f t="shared" si="2"/>
        <v>2.1093533166805438E-3</v>
      </c>
      <c r="S193" s="113">
        <v>91</v>
      </c>
      <c r="T193" s="86">
        <f t="shared" si="3"/>
        <v>2.2925956717809184E-3</v>
      </c>
      <c r="U193" s="112"/>
      <c r="V193" s="205"/>
      <c r="W193" s="6"/>
    </row>
    <row r="194" spans="1:24" ht="15.6">
      <c r="A194" s="25"/>
      <c r="B194" s="61" t="s">
        <v>83</v>
      </c>
      <c r="C194" s="113"/>
      <c r="D194" s="113"/>
      <c r="E194" s="113"/>
      <c r="F194" s="113"/>
      <c r="G194" s="113"/>
      <c r="H194" s="113"/>
      <c r="I194" s="113"/>
      <c r="J194" s="113"/>
      <c r="K194" s="113"/>
      <c r="L194" s="113">
        <v>73</v>
      </c>
      <c r="M194" s="86">
        <f t="shared" si="0"/>
        <v>9.1307066916823023E-3</v>
      </c>
      <c r="N194" s="113">
        <v>339</v>
      </c>
      <c r="O194" s="86">
        <f t="shared" si="1"/>
        <v>1.0356520942168454E-2</v>
      </c>
      <c r="P194" s="110"/>
      <c r="Q194" s="113">
        <v>61</v>
      </c>
      <c r="R194" s="86">
        <f t="shared" si="2"/>
        <v>1.6930335831251734E-3</v>
      </c>
      <c r="S194" s="113">
        <v>72</v>
      </c>
      <c r="T194" s="86">
        <f t="shared" si="3"/>
        <v>1.8139218502002871E-3</v>
      </c>
      <c r="U194" s="112"/>
      <c r="V194" s="205"/>
      <c r="W194" s="6"/>
    </row>
    <row r="195" spans="1:24" ht="15.6">
      <c r="A195" s="25"/>
      <c r="B195" s="61" t="s">
        <v>186</v>
      </c>
      <c r="C195" s="113"/>
      <c r="D195" s="113"/>
      <c r="E195" s="113"/>
      <c r="F195" s="113"/>
      <c r="G195" s="113"/>
      <c r="H195" s="113"/>
      <c r="I195" s="113"/>
      <c r="J195" s="113"/>
      <c r="K195" s="113"/>
      <c r="L195" s="113">
        <v>76</v>
      </c>
      <c r="M195" s="86">
        <f t="shared" si="0"/>
        <v>9.5059412132582864E-3</v>
      </c>
      <c r="N195" s="113">
        <v>383</v>
      </c>
      <c r="O195" s="86">
        <f t="shared" si="1"/>
        <v>1.1700730150001528E-2</v>
      </c>
      <c r="P195" s="110"/>
      <c r="Q195" s="113">
        <v>49</v>
      </c>
      <c r="R195" s="86">
        <f t="shared" si="2"/>
        <v>1.359977796280877E-3</v>
      </c>
      <c r="S195" s="113">
        <v>75</v>
      </c>
      <c r="T195" s="86">
        <f t="shared" si="3"/>
        <v>1.8895019272919659E-3</v>
      </c>
      <c r="U195" s="112"/>
      <c r="V195" s="205"/>
      <c r="W195" s="6"/>
    </row>
    <row r="196" spans="1:24" ht="15.6">
      <c r="A196" s="25"/>
      <c r="B196" s="61" t="s">
        <v>187</v>
      </c>
      <c r="C196" s="113"/>
      <c r="D196" s="113"/>
      <c r="E196" s="113"/>
      <c r="F196" s="113"/>
      <c r="G196" s="113"/>
      <c r="H196" s="113"/>
      <c r="I196" s="113"/>
      <c r="J196" s="113"/>
      <c r="K196" s="113"/>
      <c r="L196" s="113">
        <v>59</v>
      </c>
      <c r="M196" s="86">
        <f t="shared" si="0"/>
        <v>7.3796122576610381E-3</v>
      </c>
      <c r="N196" s="113">
        <v>225</v>
      </c>
      <c r="O196" s="86">
        <f t="shared" si="1"/>
        <v>6.8737970855100358E-3</v>
      </c>
      <c r="P196" s="110"/>
      <c r="Q196" s="113">
        <v>52</v>
      </c>
      <c r="R196" s="86">
        <f t="shared" si="2"/>
        <v>1.4432417429919512E-3</v>
      </c>
      <c r="S196" s="113">
        <v>65</v>
      </c>
      <c r="T196" s="86">
        <f t="shared" si="3"/>
        <v>1.6375683369863703E-3</v>
      </c>
      <c r="U196" s="112"/>
      <c r="V196" s="205"/>
      <c r="W196" s="6"/>
    </row>
    <row r="197" spans="1:24" ht="15.6">
      <c r="A197" s="25"/>
      <c r="B197" s="61" t="s">
        <v>188</v>
      </c>
      <c r="C197" s="113"/>
      <c r="D197" s="113"/>
      <c r="E197" s="113"/>
      <c r="F197" s="113"/>
      <c r="G197" s="113"/>
      <c r="H197" s="113"/>
      <c r="I197" s="113"/>
      <c r="J197" s="113"/>
      <c r="K197" s="113"/>
      <c r="L197" s="113">
        <v>73</v>
      </c>
      <c r="M197" s="86">
        <f t="shared" si="0"/>
        <v>9.1307066916823023E-3</v>
      </c>
      <c r="N197" s="113">
        <v>306</v>
      </c>
      <c r="O197" s="86">
        <f t="shared" si="1"/>
        <v>9.3483640362936483E-3</v>
      </c>
      <c r="P197" s="110"/>
      <c r="Q197" s="113">
        <v>51</v>
      </c>
      <c r="R197" s="86">
        <f t="shared" si="2"/>
        <v>1.4154870940882597E-3</v>
      </c>
      <c r="S197" s="113">
        <v>70</v>
      </c>
      <c r="T197" s="86">
        <f t="shared" si="3"/>
        <v>1.7635351321391682E-3</v>
      </c>
      <c r="U197" s="112"/>
      <c r="V197" s="205"/>
      <c r="W197" s="6"/>
    </row>
    <row r="198" spans="1:24" ht="15.6">
      <c r="A198" s="25"/>
      <c r="B198" s="61" t="s">
        <v>189</v>
      </c>
      <c r="C198" s="113"/>
      <c r="D198" s="113"/>
      <c r="E198" s="113"/>
      <c r="F198" s="113"/>
      <c r="G198" s="113"/>
      <c r="H198" s="113"/>
      <c r="I198" s="113"/>
      <c r="J198" s="113"/>
      <c r="K198" s="113"/>
      <c r="L198" s="113">
        <v>381</v>
      </c>
      <c r="M198" s="86">
        <f t="shared" si="0"/>
        <v>4.7654784240150093E-2</v>
      </c>
      <c r="N198" s="113">
        <v>2013</v>
      </c>
      <c r="O198" s="86">
        <f t="shared" si="1"/>
        <v>6.1497571258363116E-2</v>
      </c>
      <c r="P198" s="110"/>
      <c r="Q198" s="113">
        <v>255</v>
      </c>
      <c r="R198" s="86">
        <f t="shared" si="2"/>
        <v>7.0774354704412987E-3</v>
      </c>
      <c r="S198" s="113">
        <v>360</v>
      </c>
      <c r="T198" s="86">
        <f t="shared" si="3"/>
        <v>9.069609251001436E-3</v>
      </c>
      <c r="U198" s="112"/>
      <c r="V198" s="205"/>
      <c r="W198" s="6"/>
    </row>
    <row r="199" spans="1:24" ht="15.6">
      <c r="A199" s="25"/>
      <c r="B199" s="61" t="s">
        <v>84</v>
      </c>
      <c r="C199" s="113"/>
      <c r="D199" s="113"/>
      <c r="E199" s="113"/>
      <c r="F199" s="113"/>
      <c r="G199" s="113"/>
      <c r="H199" s="113"/>
      <c r="I199" s="113"/>
      <c r="J199" s="113"/>
      <c r="K199" s="113"/>
      <c r="L199" s="113">
        <f>SUM(L192:L198)</f>
        <v>7995</v>
      </c>
      <c r="M199" s="86">
        <f>SUM(M192:M198)</f>
        <v>0.99999999999999989</v>
      </c>
      <c r="N199" s="113">
        <f>SUM(N192:N198)</f>
        <v>32733</v>
      </c>
      <c r="O199" s="86">
        <f>SUM(O192:O198)</f>
        <v>1</v>
      </c>
      <c r="P199" s="110"/>
      <c r="Q199" s="113">
        <f>SUM(Q192:Q198)</f>
        <v>36030</v>
      </c>
      <c r="R199" s="86">
        <f>SUM(R192:R198)</f>
        <v>0.99999999999999989</v>
      </c>
      <c r="S199" s="113">
        <f>SUM(S192:S198)</f>
        <v>39693</v>
      </c>
      <c r="T199" s="86">
        <f>SUM(T192:T198)</f>
        <v>1</v>
      </c>
      <c r="U199" s="112"/>
      <c r="V199" s="205"/>
      <c r="W199" s="6"/>
      <c r="X199" s="64"/>
    </row>
    <row r="200" spans="1:24" ht="15.6">
      <c r="A200" s="25"/>
      <c r="B200" s="61" t="s">
        <v>85</v>
      </c>
      <c r="C200" s="113"/>
      <c r="D200" s="113"/>
      <c r="E200" s="113"/>
      <c r="F200" s="113"/>
      <c r="G200" s="113"/>
      <c r="H200" s="113"/>
      <c r="I200" s="113"/>
      <c r="J200" s="113"/>
      <c r="K200" s="113"/>
      <c r="L200" s="113">
        <v>937</v>
      </c>
      <c r="M200" s="114"/>
      <c r="N200" s="113">
        <v>6756</v>
      </c>
      <c r="O200" s="114"/>
      <c r="P200" s="110"/>
      <c r="Q200" s="113">
        <v>329</v>
      </c>
      <c r="R200" s="114"/>
      <c r="S200" s="113">
        <v>569</v>
      </c>
      <c r="T200" s="114"/>
      <c r="U200" s="112"/>
      <c r="V200" s="205"/>
      <c r="W200" s="6"/>
      <c r="X200" s="64"/>
    </row>
    <row r="201" spans="1:24" ht="15.6">
      <c r="A201" s="25"/>
      <c r="B201" s="61" t="s">
        <v>86</v>
      </c>
      <c r="C201" s="113"/>
      <c r="D201" s="113"/>
      <c r="E201" s="113"/>
      <c r="F201" s="113"/>
      <c r="G201" s="113"/>
      <c r="H201" s="113"/>
      <c r="I201" s="113"/>
      <c r="J201" s="113"/>
      <c r="K201" s="113"/>
      <c r="L201" s="113">
        <f>SUM(L199:L200)</f>
        <v>8932</v>
      </c>
      <c r="M201" s="189"/>
      <c r="N201" s="113">
        <f>SUM(N199:N200)</f>
        <v>39489</v>
      </c>
      <c r="O201" s="115"/>
      <c r="P201" s="189"/>
      <c r="Q201" s="113">
        <f>SUM(Q199:Q200)</f>
        <v>36359</v>
      </c>
      <c r="R201" s="189"/>
      <c r="S201" s="113">
        <f>SUM(S199:S200)</f>
        <v>40262</v>
      </c>
      <c r="T201" s="189"/>
      <c r="U201" s="189"/>
      <c r="V201" s="205"/>
      <c r="W201" s="6"/>
      <c r="X201" s="64"/>
    </row>
    <row r="202" spans="1:24" ht="15.6">
      <c r="A202" s="25"/>
      <c r="B202" s="61"/>
      <c r="C202" s="113"/>
      <c r="D202" s="113"/>
      <c r="E202" s="113"/>
      <c r="F202" s="113"/>
      <c r="G202" s="113"/>
      <c r="H202" s="113"/>
      <c r="I202" s="113"/>
      <c r="J202" s="113"/>
      <c r="K202" s="113"/>
      <c r="L202" s="113"/>
      <c r="M202" s="115"/>
      <c r="N202" s="113"/>
      <c r="O202" s="115"/>
      <c r="P202" s="110"/>
      <c r="Q202" s="113"/>
      <c r="R202" s="115"/>
      <c r="S202" s="113"/>
      <c r="T202" s="115"/>
      <c r="U202" s="112"/>
      <c r="V202" s="205"/>
      <c r="W202" s="6"/>
    </row>
    <row r="203" spans="1:24" ht="15.6">
      <c r="A203" s="25"/>
      <c r="B203" s="61"/>
      <c r="C203" s="110"/>
      <c r="D203" s="110"/>
      <c r="E203" s="110"/>
      <c r="F203" s="110"/>
      <c r="G203" s="110"/>
      <c r="H203" s="110"/>
      <c r="I203" s="110"/>
      <c r="J203" s="110"/>
      <c r="K203" s="110"/>
      <c r="L203" s="110"/>
      <c r="M203" s="109" t="s">
        <v>27</v>
      </c>
      <c r="N203" s="110"/>
      <c r="O203" s="111"/>
      <c r="P203" s="110"/>
      <c r="Q203" s="109" t="s">
        <v>28</v>
      </c>
      <c r="R203" s="110"/>
      <c r="S203" s="111"/>
      <c r="T203" s="110"/>
      <c r="U203" s="112"/>
      <c r="V203" s="205"/>
      <c r="W203" s="6"/>
    </row>
    <row r="204" spans="1:24" ht="15.6">
      <c r="A204" s="25"/>
      <c r="B204" s="189"/>
      <c r="C204" s="111"/>
      <c r="D204" s="111"/>
      <c r="E204" s="111"/>
      <c r="F204" s="111"/>
      <c r="G204" s="111"/>
      <c r="H204" s="111"/>
      <c r="I204" s="111"/>
      <c r="J204" s="111"/>
      <c r="K204" s="111"/>
      <c r="L204" s="111" t="s">
        <v>94</v>
      </c>
      <c r="M204" s="110" t="s">
        <v>101</v>
      </c>
      <c r="N204" s="111" t="s">
        <v>103</v>
      </c>
      <c r="O204" s="110" t="s">
        <v>101</v>
      </c>
      <c r="P204" s="110"/>
      <c r="Q204" s="111" t="s">
        <v>94</v>
      </c>
      <c r="R204" s="110" t="s">
        <v>101</v>
      </c>
      <c r="S204" s="111" t="s">
        <v>103</v>
      </c>
      <c r="T204" s="110" t="s">
        <v>101</v>
      </c>
      <c r="U204" s="112"/>
      <c r="V204" s="205"/>
      <c r="W204" s="6"/>
    </row>
    <row r="205" spans="1:24" ht="15.6">
      <c r="A205" s="25"/>
      <c r="B205" s="61" t="s">
        <v>81</v>
      </c>
      <c r="C205" s="113"/>
      <c r="D205" s="113"/>
      <c r="E205" s="113"/>
      <c r="F205" s="113"/>
      <c r="G205" s="113"/>
      <c r="H205" s="113"/>
      <c r="I205" s="113"/>
      <c r="J205" s="113"/>
      <c r="K205" s="113"/>
      <c r="L205" s="113">
        <v>5799</v>
      </c>
      <c r="M205" s="86">
        <f t="shared" ref="M205:M211" si="4">+L205/$L$212</f>
        <v>0.92135367016205916</v>
      </c>
      <c r="N205" s="113">
        <v>163653</v>
      </c>
      <c r="O205" s="86">
        <f t="shared" ref="O205:O211" si="5">+N205/$N$212</f>
        <v>0.91325238004888443</v>
      </c>
      <c r="P205" s="110"/>
      <c r="Q205" s="113">
        <v>10159</v>
      </c>
      <c r="R205" s="86">
        <f t="shared" ref="R205:R211" si="6">Q205/$Q$212</f>
        <v>0.98230516341133245</v>
      </c>
      <c r="S205" s="113">
        <v>124749</v>
      </c>
      <c r="T205" s="86">
        <f t="shared" ref="T205:T211" si="7">+S205/$S$212</f>
        <v>0.98354568103692963</v>
      </c>
      <c r="U205" s="112"/>
      <c r="V205" s="205"/>
      <c r="W205" s="6"/>
    </row>
    <row r="206" spans="1:24" ht="15.6">
      <c r="A206" s="25"/>
      <c r="B206" s="61" t="s">
        <v>82</v>
      </c>
      <c r="C206" s="113"/>
      <c r="D206" s="113"/>
      <c r="E206" s="113"/>
      <c r="F206" s="113"/>
      <c r="G206" s="113"/>
      <c r="H206" s="113"/>
      <c r="I206" s="113"/>
      <c r="J206" s="113"/>
      <c r="K206" s="113"/>
      <c r="L206" s="113">
        <v>163</v>
      </c>
      <c r="M206" s="86">
        <f t="shared" si="4"/>
        <v>2.5897680330473467E-2</v>
      </c>
      <c r="N206" s="113">
        <v>4699</v>
      </c>
      <c r="O206" s="86">
        <f t="shared" si="5"/>
        <v>2.6222390874898159E-2</v>
      </c>
      <c r="P206" s="110"/>
      <c r="Q206" s="113">
        <v>53</v>
      </c>
      <c r="R206" s="86">
        <f t="shared" si="6"/>
        <v>5.1247340939856896E-3</v>
      </c>
      <c r="S206" s="113">
        <v>544</v>
      </c>
      <c r="T206" s="86">
        <f t="shared" si="7"/>
        <v>4.2890031221419784E-3</v>
      </c>
      <c r="U206" s="112"/>
      <c r="V206" s="205"/>
      <c r="W206" s="6"/>
    </row>
    <row r="207" spans="1:24" ht="15.6">
      <c r="A207" s="25"/>
      <c r="B207" s="61" t="s">
        <v>83</v>
      </c>
      <c r="C207" s="113"/>
      <c r="D207" s="113"/>
      <c r="E207" s="113"/>
      <c r="F207" s="113"/>
      <c r="G207" s="113"/>
      <c r="H207" s="113"/>
      <c r="I207" s="113"/>
      <c r="J207" s="113"/>
      <c r="K207" s="113"/>
      <c r="L207" s="113">
        <v>80</v>
      </c>
      <c r="M207" s="86">
        <f t="shared" si="4"/>
        <v>1.271051795360661E-2</v>
      </c>
      <c r="N207" s="113">
        <v>2528</v>
      </c>
      <c r="O207" s="86">
        <f t="shared" si="5"/>
        <v>1.4107300304690901E-2</v>
      </c>
      <c r="P207" s="110"/>
      <c r="Q207" s="113">
        <v>45</v>
      </c>
      <c r="R207" s="86">
        <f t="shared" si="6"/>
        <v>4.3511893250821896E-3</v>
      </c>
      <c r="S207" s="113">
        <v>550</v>
      </c>
      <c r="T207" s="86">
        <f t="shared" si="7"/>
        <v>4.3363083036361914E-3</v>
      </c>
      <c r="U207" s="112"/>
      <c r="V207" s="205"/>
      <c r="W207" s="6"/>
    </row>
    <row r="208" spans="1:24" ht="15.6">
      <c r="A208" s="25"/>
      <c r="B208" s="61" t="s">
        <v>186</v>
      </c>
      <c r="C208" s="113"/>
      <c r="D208" s="113"/>
      <c r="E208" s="113"/>
      <c r="F208" s="113"/>
      <c r="G208" s="113"/>
      <c r="H208" s="113"/>
      <c r="I208" s="113"/>
      <c r="J208" s="113"/>
      <c r="K208" s="113"/>
      <c r="L208" s="113">
        <v>59</v>
      </c>
      <c r="M208" s="86">
        <f t="shared" si="4"/>
        <v>9.374006990784875E-3</v>
      </c>
      <c r="N208" s="113">
        <v>1799</v>
      </c>
      <c r="O208" s="86">
        <f t="shared" si="5"/>
        <v>1.0039174544358754E-2</v>
      </c>
      <c r="P208" s="110"/>
      <c r="Q208" s="113">
        <v>17</v>
      </c>
      <c r="R208" s="86">
        <f t="shared" si="6"/>
        <v>1.6437826339199381E-3</v>
      </c>
      <c r="S208" s="113">
        <v>179</v>
      </c>
      <c r="T208" s="86">
        <f t="shared" si="7"/>
        <v>1.4112712479106878E-3</v>
      </c>
      <c r="U208" s="112"/>
      <c r="V208" s="205"/>
      <c r="W208" s="6"/>
    </row>
    <row r="209" spans="1:24" ht="15.6">
      <c r="A209" s="25"/>
      <c r="B209" s="61" t="s">
        <v>187</v>
      </c>
      <c r="C209" s="113"/>
      <c r="D209" s="113"/>
      <c r="E209" s="113"/>
      <c r="F209" s="113"/>
      <c r="G209" s="113"/>
      <c r="H209" s="113"/>
      <c r="I209" s="113"/>
      <c r="J209" s="113"/>
      <c r="K209" s="113"/>
      <c r="L209" s="113">
        <v>39</v>
      </c>
      <c r="M209" s="86">
        <f t="shared" si="4"/>
        <v>6.1963775023832221E-3</v>
      </c>
      <c r="N209" s="113">
        <v>953</v>
      </c>
      <c r="O209" s="86">
        <f t="shared" si="5"/>
        <v>5.3181397113807073E-3</v>
      </c>
      <c r="P209" s="110"/>
      <c r="Q209" s="113">
        <v>14</v>
      </c>
      <c r="R209" s="86">
        <f t="shared" si="6"/>
        <v>1.3537033455811255E-3</v>
      </c>
      <c r="S209" s="113">
        <v>149</v>
      </c>
      <c r="T209" s="86">
        <f t="shared" si="7"/>
        <v>1.1747453404396227E-3</v>
      </c>
      <c r="U209" s="112"/>
      <c r="V209" s="205"/>
      <c r="W209" s="6"/>
    </row>
    <row r="210" spans="1:24" ht="15.6">
      <c r="A210" s="25"/>
      <c r="B210" s="61" t="s">
        <v>188</v>
      </c>
      <c r="C210" s="113"/>
      <c r="D210" s="113"/>
      <c r="E210" s="113"/>
      <c r="F210" s="113"/>
      <c r="G210" s="113"/>
      <c r="H210" s="113"/>
      <c r="I210" s="113"/>
      <c r="J210" s="113"/>
      <c r="K210" s="113"/>
      <c r="L210" s="113">
        <v>38</v>
      </c>
      <c r="M210" s="86">
        <f t="shared" si="4"/>
        <v>6.0374960279631395E-3</v>
      </c>
      <c r="N210" s="113">
        <v>1510</v>
      </c>
      <c r="O210" s="86">
        <f t="shared" si="5"/>
        <v>8.4264333307291373E-3</v>
      </c>
      <c r="P210" s="110"/>
      <c r="Q210" s="113">
        <v>9</v>
      </c>
      <c r="R210" s="86">
        <f t="shared" si="6"/>
        <v>8.7023786501643787E-4</v>
      </c>
      <c r="S210" s="113">
        <v>125</v>
      </c>
      <c r="T210" s="86">
        <f t="shared" si="7"/>
        <v>9.855246144627708E-4</v>
      </c>
      <c r="U210" s="112"/>
      <c r="V210" s="205"/>
      <c r="W210" s="6"/>
    </row>
    <row r="211" spans="1:24" ht="15.6">
      <c r="A211" s="25"/>
      <c r="B211" s="61" t="s">
        <v>189</v>
      </c>
      <c r="C211" s="113"/>
      <c r="D211" s="113"/>
      <c r="E211" s="113"/>
      <c r="F211" s="113"/>
      <c r="G211" s="113"/>
      <c r="H211" s="113"/>
      <c r="I211" s="113"/>
      <c r="J211" s="113"/>
      <c r="K211" s="113"/>
      <c r="L211" s="113">
        <v>116</v>
      </c>
      <c r="M211" s="86">
        <f t="shared" si="4"/>
        <v>1.8430251032729585E-2</v>
      </c>
      <c r="N211" s="113">
        <v>4056</v>
      </c>
      <c r="O211" s="86">
        <f t="shared" si="5"/>
        <v>2.2634181185057868E-2</v>
      </c>
      <c r="P211" s="110"/>
      <c r="Q211" s="113">
        <v>45</v>
      </c>
      <c r="R211" s="86">
        <f t="shared" si="6"/>
        <v>4.3511893250821896E-3</v>
      </c>
      <c r="S211" s="113">
        <v>540</v>
      </c>
      <c r="T211" s="86">
        <f t="shared" si="7"/>
        <v>4.2574663344791697E-3</v>
      </c>
      <c r="U211" s="112"/>
      <c r="V211" s="205"/>
      <c r="W211" s="6"/>
    </row>
    <row r="212" spans="1:24" ht="15.6">
      <c r="A212" s="25"/>
      <c r="B212" s="61" t="str">
        <f>B199</f>
        <v>Total Performing  Assets</v>
      </c>
      <c r="C212" s="113"/>
      <c r="D212" s="113"/>
      <c r="E212" s="113"/>
      <c r="F212" s="113"/>
      <c r="G212" s="113"/>
      <c r="H212" s="113"/>
      <c r="I212" s="113"/>
      <c r="J212" s="113"/>
      <c r="K212" s="113"/>
      <c r="L212" s="113">
        <f>SUM(L205:L211)</f>
        <v>6294</v>
      </c>
      <c r="M212" s="86">
        <f>SUM(M205:M211)</f>
        <v>0.99999999999999989</v>
      </c>
      <c r="N212" s="113">
        <f>SUM(N205:N211)</f>
        <v>179198</v>
      </c>
      <c r="O212" s="86">
        <f>SUM(O205:O211)</f>
        <v>1</v>
      </c>
      <c r="P212" s="110"/>
      <c r="Q212" s="113">
        <f>SUM(Q205:Q211)</f>
        <v>10342</v>
      </c>
      <c r="R212" s="86">
        <f>SUM(R205:R211)</f>
        <v>1</v>
      </c>
      <c r="S212" s="113">
        <f>SUM(S205:S211)</f>
        <v>126836</v>
      </c>
      <c r="T212" s="86">
        <f>SUM(T205:T211)</f>
        <v>1</v>
      </c>
      <c r="U212" s="112"/>
      <c r="V212" s="205"/>
      <c r="W212" s="6"/>
    </row>
    <row r="213" spans="1:24" ht="15.6">
      <c r="A213" s="25"/>
      <c r="B213" s="61" t="s">
        <v>85</v>
      </c>
      <c r="C213" s="113"/>
      <c r="D213" s="113"/>
      <c r="E213" s="113"/>
      <c r="F213" s="113"/>
      <c r="G213" s="113"/>
      <c r="H213" s="113"/>
      <c r="I213" s="113"/>
      <c r="J213" s="113"/>
      <c r="K213" s="113"/>
      <c r="L213" s="113">
        <v>37</v>
      </c>
      <c r="M213" s="116"/>
      <c r="N213" s="113">
        <v>1352</v>
      </c>
      <c r="O213" s="114"/>
      <c r="P213" s="110"/>
      <c r="Q213" s="113">
        <v>35</v>
      </c>
      <c r="R213" s="116"/>
      <c r="S213" s="113">
        <v>544</v>
      </c>
      <c r="T213" s="116"/>
      <c r="U213" s="112"/>
      <c r="V213" s="205"/>
      <c r="W213" s="6"/>
    </row>
    <row r="214" spans="1:24" ht="15.6">
      <c r="A214" s="25"/>
      <c r="B214" s="61" t="s">
        <v>86</v>
      </c>
      <c r="C214" s="113"/>
      <c r="D214" s="113"/>
      <c r="E214" s="113"/>
      <c r="F214" s="113"/>
      <c r="G214" s="113"/>
      <c r="H214" s="113"/>
      <c r="I214" s="113"/>
      <c r="J214" s="113"/>
      <c r="K214" s="113"/>
      <c r="L214" s="113">
        <f>SUM(L212:L213)</f>
        <v>6331</v>
      </c>
      <c r="M214" s="189"/>
      <c r="N214" s="113">
        <f>SUM(N212:N213)</f>
        <v>180550</v>
      </c>
      <c r="O214" s="86"/>
      <c r="P214" s="189"/>
      <c r="Q214" s="113">
        <f>SUM(Q212:Q213)</f>
        <v>10377</v>
      </c>
      <c r="R214" s="189"/>
      <c r="S214" s="113">
        <f>SUM(S212:S213)</f>
        <v>127380</v>
      </c>
      <c r="T214" s="189"/>
      <c r="U214" s="189"/>
      <c r="V214" s="190"/>
    </row>
    <row r="215" spans="1:24" ht="15.6">
      <c r="A215" s="25"/>
      <c r="B215" s="61"/>
      <c r="C215" s="110"/>
      <c r="D215" s="110"/>
      <c r="E215" s="110"/>
      <c r="F215" s="110"/>
      <c r="G215" s="110"/>
      <c r="H215" s="110"/>
      <c r="I215" s="110"/>
      <c r="J215" s="110"/>
      <c r="K215" s="110"/>
      <c r="L215" s="110"/>
      <c r="M215" s="111"/>
      <c r="N215" s="110"/>
      <c r="O215" s="111"/>
      <c r="P215" s="110"/>
      <c r="Q215" s="117"/>
      <c r="R215" s="110"/>
      <c r="S215" s="113"/>
      <c r="T215" s="110"/>
      <c r="U215" s="112"/>
      <c r="V215" s="205"/>
      <c r="W215" s="6"/>
    </row>
    <row r="216" spans="1:24" ht="15.6">
      <c r="A216" s="25"/>
      <c r="B216" s="61" t="s">
        <v>86</v>
      </c>
      <c r="C216" s="110"/>
      <c r="D216" s="110"/>
      <c r="E216" s="110"/>
      <c r="F216" s="110"/>
      <c r="G216" s="110"/>
      <c r="H216" s="110"/>
      <c r="I216" s="110"/>
      <c r="J216" s="110"/>
      <c r="K216" s="110"/>
      <c r="L216" s="110"/>
      <c r="M216" s="111"/>
      <c r="N216" s="110"/>
      <c r="O216" s="111"/>
      <c r="P216" s="110"/>
      <c r="Q216" s="117"/>
      <c r="R216" s="116"/>
      <c r="S216" s="113">
        <f>N201+S201+N214+S214</f>
        <v>387681</v>
      </c>
      <c r="T216" s="115"/>
      <c r="U216" s="112"/>
      <c r="V216" s="205"/>
      <c r="W216" s="6"/>
      <c r="X216" s="182"/>
    </row>
    <row r="217" spans="1:24" ht="15.6">
      <c r="A217" s="25"/>
      <c r="B217" s="61"/>
      <c r="C217" s="110"/>
      <c r="D217" s="110"/>
      <c r="E217" s="110"/>
      <c r="F217" s="110"/>
      <c r="G217" s="110"/>
      <c r="H217" s="110"/>
      <c r="I217" s="110"/>
      <c r="J217" s="110"/>
      <c r="K217" s="110"/>
      <c r="L217" s="110"/>
      <c r="M217" s="111"/>
      <c r="N217" s="110"/>
      <c r="O217" s="111"/>
      <c r="P217" s="110"/>
      <c r="Q217" s="111"/>
      <c r="R217" s="110"/>
      <c r="S217" s="113"/>
      <c r="T217" s="116"/>
      <c r="U217" s="112"/>
      <c r="V217" s="205"/>
      <c r="W217" s="6"/>
    </row>
    <row r="218" spans="1:24" ht="15.6">
      <c r="A218" s="25"/>
      <c r="B218" s="118" t="s">
        <v>87</v>
      </c>
      <c r="C218" s="110"/>
      <c r="D218" s="110"/>
      <c r="E218" s="110"/>
      <c r="F218" s="110"/>
      <c r="G218" s="110"/>
      <c r="H218" s="110"/>
      <c r="I218" s="110"/>
      <c r="J218" s="110"/>
      <c r="K218" s="110"/>
      <c r="L218" s="110"/>
      <c r="M218" s="111"/>
      <c r="N218" s="110"/>
      <c r="O218" s="111"/>
      <c r="P218" s="110"/>
      <c r="Q218" s="111"/>
      <c r="R218" s="110"/>
      <c r="S218" s="113"/>
      <c r="T218" s="110"/>
      <c r="U218" s="209"/>
      <c r="V218" s="205"/>
      <c r="W218" s="6"/>
    </row>
    <row r="219" spans="1:24" ht="15.6">
      <c r="A219" s="25"/>
      <c r="B219" s="61"/>
      <c r="C219" s="110"/>
      <c r="D219" s="110"/>
      <c r="E219" s="110"/>
      <c r="F219" s="110"/>
      <c r="G219" s="110"/>
      <c r="H219" s="110"/>
      <c r="I219" s="110"/>
      <c r="J219" s="110"/>
      <c r="K219" s="110"/>
      <c r="L219" s="110"/>
      <c r="M219" s="111"/>
      <c r="N219" s="110"/>
      <c r="O219" s="111"/>
      <c r="P219" s="110"/>
      <c r="Q219" s="111"/>
      <c r="R219" s="110"/>
      <c r="S219" s="113"/>
      <c r="T219" s="110"/>
      <c r="U219" s="112"/>
      <c r="V219" s="205"/>
      <c r="W219" s="6"/>
    </row>
    <row r="220" spans="1:24" ht="15.6">
      <c r="A220" s="25"/>
      <c r="B220" s="61" t="s">
        <v>88</v>
      </c>
      <c r="C220" s="110"/>
      <c r="D220" s="110"/>
      <c r="E220" s="110"/>
      <c r="F220" s="110"/>
      <c r="G220" s="110"/>
      <c r="H220" s="110"/>
      <c r="I220" s="110"/>
      <c r="J220" s="110"/>
      <c r="K220" s="110"/>
      <c r="L220" s="110"/>
      <c r="M220" s="111"/>
      <c r="N220" s="110"/>
      <c r="O220" s="111"/>
      <c r="P220" s="110"/>
      <c r="Q220" s="111"/>
      <c r="R220" s="110"/>
      <c r="S220" s="113">
        <f>+N199+S199+N212+S212</f>
        <v>378460</v>
      </c>
      <c r="T220" s="110"/>
      <c r="U220" s="112"/>
      <c r="V220" s="205"/>
      <c r="W220" s="6"/>
      <c r="X220" s="182"/>
    </row>
    <row r="221" spans="1:24" ht="15.6">
      <c r="A221" s="25"/>
      <c r="B221" s="61" t="s">
        <v>89</v>
      </c>
      <c r="C221" s="110"/>
      <c r="D221" s="110"/>
      <c r="E221" s="110"/>
      <c r="F221" s="110"/>
      <c r="G221" s="110"/>
      <c r="H221" s="110"/>
      <c r="I221" s="110"/>
      <c r="J221" s="110"/>
      <c r="K221" s="110"/>
      <c r="L221" s="110"/>
      <c r="M221" s="111"/>
      <c r="N221" s="110"/>
      <c r="O221" s="111"/>
      <c r="P221" s="110"/>
      <c r="Q221" s="111"/>
      <c r="R221" s="110"/>
      <c r="S221" s="113">
        <f>-U103</f>
        <v>71540</v>
      </c>
      <c r="T221" s="110"/>
      <c r="U221" s="112"/>
      <c r="V221" s="205"/>
      <c r="W221" s="119"/>
    </row>
    <row r="222" spans="1:24" ht="15.6">
      <c r="A222" s="25"/>
      <c r="B222" s="61" t="s">
        <v>90</v>
      </c>
      <c r="C222" s="110"/>
      <c r="D222" s="110"/>
      <c r="E222" s="110"/>
      <c r="F222" s="110"/>
      <c r="G222" s="110"/>
      <c r="H222" s="110"/>
      <c r="I222" s="110"/>
      <c r="J222" s="110"/>
      <c r="K222" s="110"/>
      <c r="L222" s="110"/>
      <c r="M222" s="111"/>
      <c r="N222" s="110"/>
      <c r="O222" s="111"/>
      <c r="P222" s="110"/>
      <c r="Q222" s="111"/>
      <c r="R222" s="110"/>
      <c r="S222" s="113">
        <f>SUM(S220:S221)</f>
        <v>450000</v>
      </c>
      <c r="T222" s="110"/>
      <c r="U222" s="112"/>
      <c r="V222" s="205"/>
      <c r="W222" s="6"/>
    </row>
    <row r="223" spans="1:24" ht="15.6">
      <c r="A223" s="25"/>
      <c r="B223" s="61"/>
      <c r="C223" s="110"/>
      <c r="D223" s="110"/>
      <c r="E223" s="110"/>
      <c r="F223" s="110"/>
      <c r="G223" s="110"/>
      <c r="H223" s="110"/>
      <c r="I223" s="110"/>
      <c r="J223" s="110"/>
      <c r="K223" s="110"/>
      <c r="L223" s="110"/>
      <c r="M223" s="111"/>
      <c r="N223" s="110"/>
      <c r="O223" s="111"/>
      <c r="P223" s="110"/>
      <c r="Q223" s="111"/>
      <c r="R223" s="110"/>
      <c r="S223" s="113"/>
      <c r="T223" s="110"/>
      <c r="U223" s="112"/>
      <c r="V223" s="205"/>
      <c r="W223" s="6"/>
    </row>
    <row r="224" spans="1:24" ht="15.6">
      <c r="A224" s="25"/>
      <c r="B224" s="61" t="s">
        <v>91</v>
      </c>
      <c r="C224" s="110"/>
      <c r="D224" s="110"/>
      <c r="E224" s="110"/>
      <c r="F224" s="110"/>
      <c r="G224" s="110"/>
      <c r="H224" s="110"/>
      <c r="I224" s="110"/>
      <c r="J224" s="110"/>
      <c r="K224" s="110"/>
      <c r="L224" s="110"/>
      <c r="M224" s="111"/>
      <c r="N224" s="110"/>
      <c r="O224" s="111"/>
      <c r="P224" s="110"/>
      <c r="Q224" s="111"/>
      <c r="R224" s="110"/>
      <c r="S224" s="113">
        <f>U33</f>
        <v>450000</v>
      </c>
      <c r="T224" s="110"/>
      <c r="U224" s="112"/>
      <c r="V224" s="205"/>
      <c r="W224" s="6"/>
    </row>
    <row r="225" spans="1:23" ht="15.6">
      <c r="A225" s="25"/>
      <c r="B225" s="61"/>
      <c r="C225" s="110"/>
      <c r="D225" s="110"/>
      <c r="E225" s="110"/>
      <c r="F225" s="110"/>
      <c r="G225" s="110"/>
      <c r="H225" s="110"/>
      <c r="I225" s="110"/>
      <c r="J225" s="110"/>
      <c r="K225" s="110"/>
      <c r="L225" s="110"/>
      <c r="M225" s="111"/>
      <c r="N225" s="110"/>
      <c r="O225" s="111"/>
      <c r="P225" s="110"/>
      <c r="Q225" s="111"/>
      <c r="R225" s="110"/>
      <c r="S225" s="113"/>
      <c r="T225" s="110"/>
      <c r="U225" s="112"/>
      <c r="V225" s="205"/>
      <c r="W225" s="6"/>
    </row>
    <row r="226" spans="1:23" ht="15.6">
      <c r="A226" s="25"/>
      <c r="B226" s="61" t="s">
        <v>92</v>
      </c>
      <c r="C226" s="110"/>
      <c r="D226" s="110"/>
      <c r="E226" s="110"/>
      <c r="F226" s="110"/>
      <c r="G226" s="110"/>
      <c r="H226" s="110"/>
      <c r="I226" s="110"/>
      <c r="J226" s="110"/>
      <c r="K226" s="110"/>
      <c r="L226" s="110"/>
      <c r="M226" s="111"/>
      <c r="N226" s="110"/>
      <c r="O226" s="111"/>
      <c r="P226" s="110"/>
      <c r="Q226" s="111"/>
      <c r="R226" s="110"/>
      <c r="S226" s="113">
        <f>S222/S224</f>
        <v>1</v>
      </c>
      <c r="T226" s="110"/>
      <c r="U226" s="112"/>
      <c r="V226" s="205"/>
      <c r="W226" s="6"/>
    </row>
    <row r="227" spans="1:23" ht="15.6">
      <c r="A227" s="25"/>
      <c r="B227" s="26"/>
      <c r="C227" s="26"/>
      <c r="D227" s="26"/>
      <c r="E227" s="26"/>
      <c r="F227" s="26"/>
      <c r="G227" s="26"/>
      <c r="H227" s="26"/>
      <c r="I227" s="26"/>
      <c r="J227" s="26"/>
      <c r="K227" s="26"/>
      <c r="L227" s="26"/>
      <c r="M227" s="33"/>
      <c r="N227" s="26"/>
      <c r="O227" s="26"/>
      <c r="P227" s="26"/>
      <c r="Q227" s="59"/>
      <c r="R227" s="120"/>
      <c r="S227" s="60"/>
      <c r="T227" s="120"/>
      <c r="U227" s="89"/>
      <c r="V227" s="196"/>
      <c r="W227" s="6"/>
    </row>
    <row r="228" spans="1:23" ht="15.6">
      <c r="A228" s="121"/>
      <c r="B228" s="30" t="s">
        <v>127</v>
      </c>
      <c r="C228" s="122"/>
      <c r="D228" s="122"/>
      <c r="E228" s="122"/>
      <c r="F228" s="122"/>
      <c r="G228" s="122"/>
      <c r="H228" s="122"/>
      <c r="I228" s="122"/>
      <c r="J228" s="122"/>
      <c r="K228" s="122"/>
      <c r="L228" s="122"/>
      <c r="M228" s="110"/>
      <c r="N228" s="112"/>
      <c r="O228" s="30"/>
      <c r="P228" s="123"/>
      <c r="Q228" s="123"/>
      <c r="R228" s="123"/>
      <c r="S228" s="124"/>
      <c r="T228" s="29"/>
      <c r="U228" s="29"/>
      <c r="V228" s="203"/>
      <c r="W228" s="6"/>
    </row>
    <row r="229" spans="1:23" ht="15.6">
      <c r="A229" s="125"/>
      <c r="B229" s="13" t="s">
        <v>128</v>
      </c>
      <c r="C229" s="126"/>
      <c r="D229" s="126"/>
      <c r="E229" s="126"/>
      <c r="F229" s="126"/>
      <c r="G229" s="126"/>
      <c r="H229" s="126"/>
      <c r="I229" s="126"/>
      <c r="J229" s="126"/>
      <c r="K229" s="126"/>
      <c r="L229" s="126"/>
      <c r="M229" s="127"/>
      <c r="N229" s="13"/>
      <c r="O229" s="13"/>
      <c r="P229" s="126"/>
      <c r="Q229" s="126"/>
      <c r="R229" s="12"/>
      <c r="S229" s="12"/>
      <c r="T229" s="12"/>
      <c r="U229" s="12"/>
      <c r="V229" s="207"/>
      <c r="W229" s="6"/>
    </row>
    <row r="230" spans="1:23" ht="15.6">
      <c r="A230" s="125"/>
      <c r="B230" s="13" t="s">
        <v>246</v>
      </c>
      <c r="C230" s="13"/>
      <c r="D230" s="13"/>
      <c r="E230" s="13"/>
      <c r="F230" s="13"/>
      <c r="G230" s="13"/>
      <c r="H230" s="13"/>
      <c r="I230" s="13"/>
      <c r="J230" s="13"/>
      <c r="K230" s="13"/>
      <c r="L230" s="13"/>
      <c r="M230" s="13"/>
      <c r="N230" s="13"/>
      <c r="O230" s="13"/>
      <c r="P230" s="13"/>
      <c r="Q230" s="13"/>
      <c r="R230" s="13"/>
      <c r="S230" s="13"/>
      <c r="T230" s="13"/>
      <c r="U230" s="13"/>
      <c r="V230" s="207"/>
      <c r="W230" s="6"/>
    </row>
    <row r="231" spans="1:23" ht="15.6">
      <c r="A231" s="125"/>
      <c r="B231" s="13" t="s">
        <v>129</v>
      </c>
      <c r="C231" s="126"/>
      <c r="D231" s="126"/>
      <c r="E231" s="126"/>
      <c r="F231" s="126"/>
      <c r="G231" s="126"/>
      <c r="H231" s="126"/>
      <c r="I231" s="126"/>
      <c r="J231" s="126"/>
      <c r="K231" s="126"/>
      <c r="L231" s="126"/>
      <c r="M231" s="127"/>
      <c r="N231" s="13"/>
      <c r="O231" s="13"/>
      <c r="P231" s="126"/>
      <c r="Q231" s="126"/>
      <c r="R231" s="12"/>
      <c r="S231" s="12"/>
      <c r="T231" s="12"/>
      <c r="U231" s="12"/>
      <c r="V231" s="207"/>
      <c r="W231" s="6"/>
    </row>
    <row r="232" spans="1:23" ht="15.6">
      <c r="A232" s="125"/>
      <c r="B232" s="13"/>
      <c r="C232" s="126"/>
      <c r="D232" s="126"/>
      <c r="E232" s="126"/>
      <c r="F232" s="126"/>
      <c r="G232" s="126"/>
      <c r="H232" s="126"/>
      <c r="I232" s="126"/>
      <c r="J232" s="126"/>
      <c r="K232" s="126"/>
      <c r="L232" s="126"/>
      <c r="M232" s="127"/>
      <c r="N232" s="13"/>
      <c r="O232" s="13"/>
      <c r="P232" s="126"/>
      <c r="Q232" s="126"/>
      <c r="R232" s="12"/>
      <c r="S232" s="12"/>
      <c r="T232" s="12"/>
      <c r="U232" s="12"/>
      <c r="V232" s="207"/>
      <c r="W232" s="6"/>
    </row>
    <row r="233" spans="1:23" ht="15.6">
      <c r="A233" s="125"/>
      <c r="B233" s="13"/>
      <c r="C233" s="126"/>
      <c r="D233" s="126"/>
      <c r="E233" s="126"/>
      <c r="F233" s="126"/>
      <c r="G233" s="126"/>
      <c r="H233" s="126"/>
      <c r="I233" s="126"/>
      <c r="J233" s="126"/>
      <c r="K233" s="126"/>
      <c r="L233" s="126"/>
      <c r="M233" s="127"/>
      <c r="N233" s="13"/>
      <c r="O233" s="13"/>
      <c r="P233" s="126"/>
      <c r="Q233" s="126"/>
      <c r="R233" s="12"/>
      <c r="S233" s="12"/>
      <c r="T233" s="12"/>
      <c r="U233" s="12"/>
      <c r="V233" s="207"/>
      <c r="W233" s="6"/>
    </row>
    <row r="234" spans="1:23" ht="16.2" thickBot="1">
      <c r="A234" s="125"/>
      <c r="B234" s="13" t="str">
        <f>+B161</f>
        <v>PPAF3 INVESTOR REPORT QUARTER ENDING SEPTEMBER 2007</v>
      </c>
      <c r="C234" s="126"/>
      <c r="D234" s="126"/>
      <c r="E234" s="126"/>
      <c r="F234" s="126"/>
      <c r="G234" s="126"/>
      <c r="H234" s="126"/>
      <c r="I234" s="126"/>
      <c r="J234" s="126"/>
      <c r="K234" s="126"/>
      <c r="L234" s="126"/>
      <c r="M234" s="127"/>
      <c r="N234" s="13"/>
      <c r="O234" s="13"/>
      <c r="P234" s="126"/>
      <c r="Q234" s="126"/>
      <c r="R234" s="12"/>
      <c r="S234" s="12"/>
      <c r="T234" s="12"/>
      <c r="U234" s="12"/>
      <c r="V234" s="208"/>
      <c r="W234" s="6"/>
    </row>
    <row r="235" spans="1:23">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row>
  </sheetData>
  <phoneticPr fontId="0" type="noConversion"/>
  <hyperlinks>
    <hyperlink ref="I9" r:id="rId1"/>
    <hyperlink ref="K188" r:id="rId2"/>
  </hyperlinks>
  <printOptions horizontalCentered="1" verticalCentered="1"/>
  <pageMargins left="0.23622047244094491" right="0.43307086614173229" top="0.23622047244094491" bottom="0.74803149606299213" header="0" footer="0"/>
  <pageSetup scale="35" orientation="landscape" r:id="rId3"/>
  <headerFooter alignWithMargins="0"/>
  <rowBreaks count="4" manualBreakCount="4">
    <brk id="59" max="16383" man="1"/>
    <brk id="110" max="16383" man="1"/>
    <brk id="161" max="21" man="1"/>
    <brk id="240" man="1"/>
  </rowBreaks>
  <colBreaks count="1" manualBreakCount="1">
    <brk id="23" max="1048575" man="1"/>
  </col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46</vt:i4>
      </vt:variant>
    </vt:vector>
  </HeadingPairs>
  <TitlesOfParts>
    <vt:vector size="92" baseType="lpstr">
      <vt:lpstr>Sept 05</vt:lpstr>
      <vt:lpstr>Dec 05</vt:lpstr>
      <vt:lpstr>March 06</vt:lpstr>
      <vt:lpstr>June 06</vt:lpstr>
      <vt:lpstr>Sept 06</vt:lpstr>
      <vt:lpstr>Dec 06</vt:lpstr>
      <vt:lpstr>March 07</vt:lpstr>
      <vt:lpstr>June 07</vt:lpstr>
      <vt:lpstr>September 07</vt:lpstr>
      <vt:lpstr>Dec 07</vt:lpstr>
      <vt:lpstr>March 08</vt:lpstr>
      <vt:lpstr>June 08</vt:lpstr>
      <vt:lpstr>September 08</vt:lpstr>
      <vt:lpstr>Dec 08</vt:lpstr>
      <vt:lpstr>March 09</vt:lpstr>
      <vt:lpstr>June 09</vt:lpstr>
      <vt:lpstr>September 09</vt:lpstr>
      <vt:lpstr>Dec 09</vt:lpstr>
      <vt:lpstr>March 10</vt:lpstr>
      <vt:lpstr>June 10</vt:lpstr>
      <vt:lpstr>September 10</vt:lpstr>
      <vt:lpstr>Dec 10</vt:lpstr>
      <vt:lpstr>March 11</vt:lpstr>
      <vt:lpstr>June 11</vt:lpstr>
      <vt:lpstr>September 11</vt:lpstr>
      <vt:lpstr>Dec 11</vt:lpstr>
      <vt:lpstr>March 12</vt:lpstr>
      <vt:lpstr>June 12</vt:lpstr>
      <vt:lpstr>September 12</vt:lpstr>
      <vt:lpstr>Dec 12</vt:lpstr>
      <vt:lpstr>March 13</vt:lpstr>
      <vt:lpstr>June 13</vt:lpstr>
      <vt:lpstr>September 13</vt:lpstr>
      <vt:lpstr>Dec 13</vt:lpstr>
      <vt:lpstr>March 14</vt:lpstr>
      <vt:lpstr>June 14</vt:lpstr>
      <vt:lpstr>Sept 14</vt:lpstr>
      <vt:lpstr>Dec 14</vt:lpstr>
      <vt:lpstr>March 15</vt:lpstr>
      <vt:lpstr>June 15</vt:lpstr>
      <vt:lpstr>Sept 15</vt:lpstr>
      <vt:lpstr>Dec 15</vt:lpstr>
      <vt:lpstr>March 16</vt:lpstr>
      <vt:lpstr>June 16</vt:lpstr>
      <vt:lpstr>Sept 16</vt:lpstr>
      <vt:lpstr>Dec 16</vt:lpstr>
      <vt:lpstr>'Dec 05'!Print_Area</vt:lpstr>
      <vt:lpstr>'Dec 06'!Print_Area</vt:lpstr>
      <vt:lpstr>'Dec 07'!Print_Area</vt:lpstr>
      <vt:lpstr>'Dec 08'!Print_Area</vt:lpstr>
      <vt:lpstr>'Dec 09'!Print_Area</vt:lpstr>
      <vt:lpstr>'Dec 10'!Print_Area</vt:lpstr>
      <vt:lpstr>'Dec 11'!Print_Area</vt:lpstr>
      <vt:lpstr>'Dec 12'!Print_Area</vt:lpstr>
      <vt:lpstr>'Dec 13'!Print_Area</vt:lpstr>
      <vt:lpstr>'Dec 14'!Print_Area</vt:lpstr>
      <vt:lpstr>'Dec 15'!Print_Area</vt:lpstr>
      <vt:lpstr>'Dec 16'!Print_Area</vt:lpstr>
      <vt:lpstr>'June 06'!Print_Area</vt:lpstr>
      <vt:lpstr>'June 07'!Print_Area</vt:lpstr>
      <vt:lpstr>'June 08'!Print_Area</vt:lpstr>
      <vt:lpstr>'June 09'!Print_Area</vt:lpstr>
      <vt:lpstr>'June 10'!Print_Area</vt:lpstr>
      <vt:lpstr>'June 11'!Print_Area</vt:lpstr>
      <vt:lpstr>'June 12'!Print_Area</vt:lpstr>
      <vt:lpstr>'June 13'!Print_Area</vt:lpstr>
      <vt:lpstr>'June 14'!Print_Area</vt:lpstr>
      <vt:lpstr>'June 15'!Print_Area</vt:lpstr>
      <vt:lpstr>'June 16'!Print_Area</vt:lpstr>
      <vt:lpstr>'March 06'!Print_Area</vt:lpstr>
      <vt:lpstr>'March 07'!Print_Area</vt:lpstr>
      <vt:lpstr>'March 08'!Print_Area</vt:lpstr>
      <vt:lpstr>'March 09'!Print_Area</vt:lpstr>
      <vt:lpstr>'March 10'!Print_Area</vt:lpstr>
      <vt:lpstr>'March 11'!Print_Area</vt:lpstr>
      <vt:lpstr>'March 12'!Print_Area</vt:lpstr>
      <vt:lpstr>'March 13'!Print_Area</vt:lpstr>
      <vt:lpstr>'March 14'!Print_Area</vt:lpstr>
      <vt:lpstr>'March 15'!Print_Area</vt:lpstr>
      <vt:lpstr>'March 16'!Print_Area</vt:lpstr>
      <vt:lpstr>'Sept 05'!Print_Area</vt:lpstr>
      <vt:lpstr>'Sept 06'!Print_Area</vt:lpstr>
      <vt:lpstr>'Sept 14'!Print_Area</vt:lpstr>
      <vt:lpstr>'Sept 15'!Print_Area</vt:lpstr>
      <vt:lpstr>'Sept 16'!Print_Area</vt:lpstr>
      <vt:lpstr>'September 07'!Print_Area</vt:lpstr>
      <vt:lpstr>'September 08'!Print_Area</vt:lpstr>
      <vt:lpstr>'September 09'!Print_Area</vt:lpstr>
      <vt:lpstr>'September 10'!Print_Area</vt:lpstr>
      <vt:lpstr>'September 11'!Print_Area</vt:lpstr>
      <vt:lpstr>'September 12'!Print_Area</vt:lpstr>
      <vt:lpstr>'September 13'!Print_Area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Dowler</dc:creator>
  <cp:lastModifiedBy>Andrew Kitching</cp:lastModifiedBy>
  <cp:lastPrinted>2017-01-19T15:31:21Z</cp:lastPrinted>
  <dcterms:created xsi:type="dcterms:W3CDTF">2003-09-30T08:02:45Z</dcterms:created>
  <dcterms:modified xsi:type="dcterms:W3CDTF">2017-01-23T08:15:10Z</dcterms:modified>
</cp:coreProperties>
</file>